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AE6600E7-7A62-396C-DE95-9942FA9DD81E}"/>
  <workbookPr codeName="ThisWorkbook" defaultThemeVersion="124226"/>
  <mc:AlternateContent xmlns:mc="http://schemas.openxmlformats.org/markup-compatibility/2006">
    <mc:Choice Requires="x15">
      <x15ac:absPath xmlns:x15ac="http://schemas.microsoft.com/office/spreadsheetml/2010/11/ac" url="X:\Desktop\Research\Dynamic hybrid MABR model\Library rebuild\Good\"/>
    </mc:Choice>
  </mc:AlternateContent>
  <xr:revisionPtr revIDLastSave="0" documentId="13_ncr:1_{710EEA4A-BF98-4FFA-AC2A-CE22BBECD028}" xr6:coauthVersionLast="47" xr6:coauthVersionMax="47" xr10:uidLastSave="{00000000-0000-0000-0000-000000000000}"/>
  <bookViews>
    <workbookView xWindow="24850" yWindow="-110" windowWidth="38620" windowHeight="15500" tabRatio="894" activeTab="1" xr2:uid="{00000000-000D-0000-FFFF-FFFF00000000}"/>
  </bookViews>
  <sheets>
    <sheet name="Help" sheetId="29" r:id="rId1"/>
    <sheet name="Parameters" sheetId="9" r:id="rId2"/>
    <sheet name="PU parameters" sheetId="37" r:id="rId3"/>
    <sheet name="Model" sheetId="1" r:id="rId4"/>
    <sheet name="pH" sheetId="4" r:id="rId5"/>
    <sheet name="Species" sheetId="20" r:id="rId6"/>
    <sheet name="Tableau" sheetId="17" state="hidden" r:id="rId7"/>
    <sheet name="Components" sheetId="2" r:id="rId8"/>
    <sheet name="Algebraic model" sheetId="13" state="hidden" r:id="rId9"/>
    <sheet name="Expert knowledge" sheetId="14" state="hidden" r:id="rId10"/>
    <sheet name="Calculated variables" sheetId="5" r:id="rId11"/>
    <sheet name="systemcode_constants" sheetId="36" r:id="rId12"/>
    <sheet name="Functions" sheetId="3" state="hidden" r:id="rId13"/>
    <sheet name="Code" sheetId="10" state="hidden" r:id="rId14"/>
    <sheet name="Alert" sheetId="15" state="veryHidden" r:id="rId15"/>
    <sheet name="Security" sheetId="16" state="veryHidden" r:id="rId16"/>
    <sheet name="systemcode_functions" sheetId="34" state="hidden" r:id="rId17"/>
    <sheet name="other parameters" sheetId="27" state="hidden" r:id="rId18"/>
  </sheets>
  <definedNames>
    <definedName name="µ_AMETO">Parameters!$D$160</definedName>
    <definedName name="µ_AMETO_T">'Calculated variables'!$E$628</definedName>
    <definedName name="µ_AMX">Parameters!$D$146</definedName>
    <definedName name="µ_AMX_T">'Calculated variables'!$E$626</definedName>
    <definedName name="µ_AOB">Parameters!$D$102</definedName>
    <definedName name="µ_AOB_T">'Calculated variables'!$E$622</definedName>
    <definedName name="µ_ASRO">Parameters!$D$189</definedName>
    <definedName name="µ_ASRO_T">'Calculated variables'!$E$632</definedName>
    <definedName name="µ_CASTO">Parameters!$D$54</definedName>
    <definedName name="µ_CASTO_T">'Calculated variables'!$E$613</definedName>
    <definedName name="µ_FERM_OHO">Parameters!$D$8</definedName>
    <definedName name="µ_FERM_OHO_T">'Calculated variables'!$E$609</definedName>
    <definedName name="µ_FERM_PAO">Parameters!$D$56</definedName>
    <definedName name="µ_FERM_PAO_T">'Calculated variables'!$E$615</definedName>
    <definedName name="µ_HMETO">Parameters!$D$174</definedName>
    <definedName name="µ_HMETO_T">'Calculated variables'!$E$630</definedName>
    <definedName name="µ_HSRO">Parameters!$D$199</definedName>
    <definedName name="µ_HSRO_T">'Calculated variables'!$E$633</definedName>
    <definedName name="µ_MEOLO">Parameters!$D$44</definedName>
    <definedName name="µ_MEOLO_T">'Calculated variables'!$E$611</definedName>
    <definedName name="µ_MOB">Parameters!$D$562</definedName>
    <definedName name="µ_MOB_T">'Calculated variables'!$E$649</definedName>
    <definedName name="µ_NOB">Parameters!$D$132</definedName>
    <definedName name="µ_NOB_T">'Calculated variables'!$E$624</definedName>
    <definedName name="µ_OHO">Parameters!$D$7</definedName>
    <definedName name="µ_OHO_T">'Calculated variables'!$E$608</definedName>
    <definedName name="µ_PAO_lim">Parameters!$D$57</definedName>
    <definedName name="µ_PAO_lim_T">'Calculated variables'!$E$614</definedName>
    <definedName name="µ_SOO_H2S">Parameters!$D$209</definedName>
    <definedName name="µ_SOO_H2S_T">'Calculated variables'!$E$636</definedName>
    <definedName name="µ_SOO_S">Parameters!$D$210</definedName>
    <definedName name="µ_SOO_S_T">'Calculated variables'!$E$637</definedName>
    <definedName name="A_Davies">'Calculated variables'!$E$654</definedName>
    <definedName name="A_H2O">systemcode_constants!$D$37</definedName>
    <definedName name="A_MAc">systemcode_constants!$D$166</definedName>
    <definedName name="A_MAg">systemcode_constants!$D$124</definedName>
    <definedName name="A_MAl">systemcode_constants!$D$90</definedName>
    <definedName name="A_MAm">systemcode_constants!$D$172</definedName>
    <definedName name="A_MAr">systemcode_constants!$D$95</definedName>
    <definedName name="A_MAs">systemcode_constants!$D$110</definedName>
    <definedName name="A_MAt">systemcode_constants!$D$162</definedName>
    <definedName name="A_MAu">systemcode_constants!$D$156</definedName>
    <definedName name="A_MB">systemcode_constants!$D$82</definedName>
    <definedName name="A_MBa">systemcode_constants!$D$133</definedName>
    <definedName name="A_MBe">systemcode_constants!$D$81</definedName>
    <definedName name="A_MBh">systemcode_constants!$D$184</definedName>
    <definedName name="A_MBi">systemcode_constants!$D$160</definedName>
    <definedName name="A_MBk">systemcode_constants!$D$174</definedName>
    <definedName name="A_MBr">systemcode_constants!$D$112</definedName>
    <definedName name="A_MC">systemcode_constants!$D$83</definedName>
    <definedName name="A_MCa">systemcode_constants!$D$97</definedName>
    <definedName name="A_MCd">systemcode_constants!$D$125</definedName>
    <definedName name="A_MCe">systemcode_constants!$D$135</definedName>
    <definedName name="A_MCf">systemcode_constants!$D$175</definedName>
    <definedName name="A_MCl">systemcode_constants!$D$94</definedName>
    <definedName name="A_MCm">systemcode_constants!$D$173</definedName>
    <definedName name="A_MCn">systemcode_constants!$D$189</definedName>
    <definedName name="A_MCo">systemcode_constants!$D$104</definedName>
    <definedName name="A_MCr">systemcode_constants!$D$101</definedName>
    <definedName name="A_MCs">systemcode_constants!$D$132</definedName>
    <definedName name="A_MCu">systemcode_constants!$D$106</definedName>
    <definedName name="A_MDb">systemcode_constants!$D$182</definedName>
    <definedName name="A_MDs">systemcode_constants!$D$187</definedName>
    <definedName name="A_MDy">systemcode_constants!$D$143</definedName>
    <definedName name="A_MEr">systemcode_constants!$D$145</definedName>
    <definedName name="A_MEs">systemcode_constants!$D$176</definedName>
    <definedName name="A_MEu">systemcode_constants!$D$140</definedName>
    <definedName name="A_MF">systemcode_constants!$D$86</definedName>
    <definedName name="A_MFe">systemcode_constants!$D$103</definedName>
    <definedName name="A_MFl">systemcode_constants!$D$191</definedName>
    <definedName name="A_MFm">systemcode_constants!$D$177</definedName>
    <definedName name="A_MFr">systemcode_constants!$D$164</definedName>
    <definedName name="A_MGa">systemcode_constants!$D$108</definedName>
    <definedName name="A_MGd">systemcode_constants!$D$141</definedName>
    <definedName name="A_MGe">systemcode_constants!$D$109</definedName>
    <definedName name="A_MH">systemcode_constants!$D$78</definedName>
    <definedName name="A_MHe">systemcode_constants!$D$79</definedName>
    <definedName name="A_MHf">systemcode_constants!$D$149</definedName>
    <definedName name="A_MHg">systemcode_constants!$D$157</definedName>
    <definedName name="A_MHo">systemcode_constants!$D$144</definedName>
    <definedName name="A_MHs">systemcode_constants!$D$185</definedName>
    <definedName name="A_MI">systemcode_constants!$D$130</definedName>
    <definedName name="A_MIn">systemcode_constants!$D$126</definedName>
    <definedName name="A_MIr">systemcode_constants!$D$154</definedName>
    <definedName name="A_MK">systemcode_constants!$D$96</definedName>
    <definedName name="A_MKr">systemcode_constants!$D$113</definedName>
    <definedName name="A_MLa">systemcode_constants!$D$134</definedName>
    <definedName name="A_MLi">systemcode_constants!$D$80</definedName>
    <definedName name="A_MLr">systemcode_constants!$D$180</definedName>
    <definedName name="A_MLu">systemcode_constants!$D$148</definedName>
    <definedName name="A_MLv">systemcode_constants!$D$193</definedName>
    <definedName name="A_MMd">systemcode_constants!$D$178</definedName>
    <definedName name="A_MMg">systemcode_constants!$D$89</definedName>
    <definedName name="A_MMn">systemcode_constants!$D$102</definedName>
    <definedName name="A_MMo">systemcode_constants!$D$119</definedName>
    <definedName name="A_MMt">systemcode_constants!$D$186</definedName>
    <definedName name="A_MN">systemcode_constants!$D$84</definedName>
    <definedName name="A_MNa">systemcode_constants!$D$88</definedName>
    <definedName name="A_MNb">systemcode_constants!$D$118</definedName>
    <definedName name="A_MNd">systemcode_constants!$D$137</definedName>
    <definedName name="A_MNe">systemcode_constants!$D$87</definedName>
    <definedName name="A_MNi">systemcode_constants!$D$105</definedName>
    <definedName name="A_MNo">systemcode_constants!$D$179</definedName>
    <definedName name="A_MNp">systemcode_constants!$D$170</definedName>
    <definedName name="A_MO">systemcode_constants!$D$85</definedName>
    <definedName name="A_MOs">systemcode_constants!$D$153</definedName>
    <definedName name="A_MP">systemcode_constants!$D$92</definedName>
    <definedName name="A_MPa">systemcode_constants!$D$168</definedName>
    <definedName name="A_MPb">systemcode_constants!$D$159</definedName>
    <definedName name="A_MPd">systemcode_constants!$D$123</definedName>
    <definedName name="A_MPm">systemcode_constants!$D$138</definedName>
    <definedName name="A_MPo">systemcode_constants!$D$161</definedName>
    <definedName name="A_MPr">systemcode_constants!$D$136</definedName>
    <definedName name="A_MPt">systemcode_constants!$D$155</definedName>
    <definedName name="A_MPu">systemcode_constants!$D$171</definedName>
    <definedName name="A_MRa">systemcode_constants!$D$165</definedName>
    <definedName name="A_MRb">systemcode_constants!$D$114</definedName>
    <definedName name="A_MRe">systemcode_constants!$D$152</definedName>
    <definedName name="A_MRf">systemcode_constants!$D$181</definedName>
    <definedName name="A_MRg">systemcode_constants!$D$188</definedName>
    <definedName name="A_MRh">systemcode_constants!$D$122</definedName>
    <definedName name="A_MRn">systemcode_constants!$D$163</definedName>
    <definedName name="A_MRu">systemcode_constants!$D$121</definedName>
    <definedName name="A_MS">systemcode_constants!$D$93</definedName>
    <definedName name="A_MSb">systemcode_constants!$D$128</definedName>
    <definedName name="A_MSc">systemcode_constants!$D$98</definedName>
    <definedName name="A_MSe">systemcode_constants!$D$111</definedName>
    <definedName name="A_MSg">systemcode_constants!$D$183</definedName>
    <definedName name="A_MSi">systemcode_constants!$D$91</definedName>
    <definedName name="A_MSm">systemcode_constants!$D$139</definedName>
    <definedName name="A_MSn">systemcode_constants!$D$127</definedName>
    <definedName name="A_MSr">systemcode_constants!$D$115</definedName>
    <definedName name="A_MTa">systemcode_constants!$D$150</definedName>
    <definedName name="A_MTb">systemcode_constants!$D$142</definedName>
    <definedName name="A_MTc">systemcode_constants!$D$120</definedName>
    <definedName name="A_MTe">systemcode_constants!$D$129</definedName>
    <definedName name="A_MTh">systemcode_constants!$D$167</definedName>
    <definedName name="A_MTi">systemcode_constants!$D$99</definedName>
    <definedName name="A_MTl">systemcode_constants!$D$158</definedName>
    <definedName name="A_MTm">systemcode_constants!$D$146</definedName>
    <definedName name="A_MU">systemcode_constants!$D$169</definedName>
    <definedName name="A_MUuo">systemcode_constants!$D$195</definedName>
    <definedName name="A_MUup">systemcode_constants!$D$192</definedName>
    <definedName name="A_MUus">systemcode_constants!$D$194</definedName>
    <definedName name="A_MUut">systemcode_constants!$D$190</definedName>
    <definedName name="A_MV">systemcode_constants!$D$100</definedName>
    <definedName name="A_MW">systemcode_constants!$D$151</definedName>
    <definedName name="A_MXe">systemcode_constants!$D$131</definedName>
    <definedName name="A_MY">systemcode_constants!$D$116</definedName>
    <definedName name="A_MYb">systemcode_constants!$D$147</definedName>
    <definedName name="A_MZn">systemcode_constants!$D$107</definedName>
    <definedName name="A_MZr">systemcode_constants!$D$117</definedName>
    <definedName name="A_SFHAO_H">Parameters!$D$483</definedName>
    <definedName name="A_SFHAO_L">Parameters!$D$484</definedName>
    <definedName name="A_SFHFO_H">Parameters!$D$476</definedName>
    <definedName name="A_SFHFO_L">Parameters!$D$477</definedName>
    <definedName name="A_UR">'Calculated variables'!$E$132</definedName>
    <definedName name="actferm_PAO_ORP">'Calculated variables'!$E$63</definedName>
    <definedName name="actGAO">'Calculated variables'!$E$58</definedName>
    <definedName name="actPAO">'Calculated variables'!$E$57</definedName>
    <definedName name="actsto_GAO_ORP">'Calculated variables'!$E$61</definedName>
    <definedName name="actsto_PAO_ORP">'Calculated variables'!$E$62</definedName>
    <definedName name="b_AMETO">Parameters!$D$161</definedName>
    <definedName name="b_AMETO_T">'Calculated variables'!$E$629</definedName>
    <definedName name="b_AMX">Parameters!$D$147</definedName>
    <definedName name="b_AMX_T">'Calculated variables'!$E$627</definedName>
    <definedName name="b_AOB">Parameters!$D$105</definedName>
    <definedName name="b_AOB_T">'Calculated variables'!$E$623</definedName>
    <definedName name="b_ASRO">Parameters!$D$190</definedName>
    <definedName name="b_ASRO_T">'Calculated variables'!$E$634</definedName>
    <definedName name="b_CASTO">Parameters!$D$58</definedName>
    <definedName name="b_CASTO_T">'Calculated variables'!$E$621</definedName>
    <definedName name="B_ellinhpH">'Calculated variables'!$E$424</definedName>
    <definedName name="B_ellinhpH_AMETO">'Calculated variables'!$E$426</definedName>
    <definedName name="B_ellinhpH_HMETO">'Calculated variables'!$E$428</definedName>
    <definedName name="B_H2O">systemcode_constants!$D$38</definedName>
    <definedName name="b_HMETO">Parameters!$D$175</definedName>
    <definedName name="b_HMETO_T">'Calculated variables'!$E$631</definedName>
    <definedName name="b_HSRO">Parameters!$D$200</definedName>
    <definedName name="b_HSRO_T">'Calculated variables'!$E$635</definedName>
    <definedName name="b_MEOLO">Parameters!$D$45</definedName>
    <definedName name="b_MEOLO_T">'Calculated variables'!$E$612</definedName>
    <definedName name="b_MOB">Parameters!$D$563</definedName>
    <definedName name="b_MOB_T">'Calculated variables'!$E$650</definedName>
    <definedName name="b_NOB">Parameters!$D$133</definedName>
    <definedName name="b_NOB_T">'Calculated variables'!$E$625</definedName>
    <definedName name="b_OHO">Parameters!$D$9</definedName>
    <definedName name="b_OHO_T">'Calculated variables'!$E$610</definedName>
    <definedName name="b_PP_ana">Parameters!$D$60</definedName>
    <definedName name="b_PP_ana_T">'Calculated variables'!$E$620</definedName>
    <definedName name="b_SOO">Parameters!$D$211</definedName>
    <definedName name="b_SOO_T">'Calculated variables'!$E$638</definedName>
    <definedName name="b_STC">Parameters!$D$59</definedName>
    <definedName name="b_STC_T">'Calculated variables'!$E$619</definedName>
    <definedName name="C_B">Components!$E$7</definedName>
    <definedName name="c_cm_m">systemcode_constants!$D$389</definedName>
    <definedName name="c_cm2_m2">systemcode_constants!$D$390</definedName>
    <definedName name="c_cm3_m3">systemcode_constants!$D$391</definedName>
    <definedName name="c_d_mon">systemcode_constants!$D$375</definedName>
    <definedName name="c_d_w">systemcode_constants!$D$374</definedName>
    <definedName name="c_d_y">systemcode_constants!$D$376</definedName>
    <definedName name="c_ft_m">systemcode_constants!$D$397</definedName>
    <definedName name="c_ft2_m2">systemcode_constants!$D$396</definedName>
    <definedName name="c_ft3_m3">systemcode_constants!$D$395</definedName>
    <definedName name="c_g_kg">systemcode_constants!$D$378</definedName>
    <definedName name="c_G_m3">systemcode_constants!$D$393</definedName>
    <definedName name="c_g_ton">systemcode_constants!$D$379</definedName>
    <definedName name="c_h_d">systemcode_constants!$D$369</definedName>
    <definedName name="C_H2O">systemcode_constants!$D$39</definedName>
    <definedName name="c_hargebalance">pH!$AF$22</definedName>
    <definedName name="c_hargebalanceerror">'Calculated variables'!$E$761</definedName>
    <definedName name="c_kJ_MJ">systemcode_constants!$D$381</definedName>
    <definedName name="c_L_m3">systemcode_constants!$D$380</definedName>
    <definedName name="c_lbs_g">systemcode_constants!$D$394</definedName>
    <definedName name="c_mg_g">systemcode_constants!$D$377</definedName>
    <definedName name="c_MG_m3">systemcode_constants!$D$392</definedName>
    <definedName name="c_micron_m">systemcode_constants!$D$387</definedName>
    <definedName name="c_min_d">systemcode_constants!$D$367</definedName>
    <definedName name="c_min_h">systemcode_constants!$D$368</definedName>
    <definedName name="c_mm_m">systemcode_constants!$D$388</definedName>
    <definedName name="c_mmol_mol">systemcode_constants!$D$363</definedName>
    <definedName name="c_ms_d">systemcode_constants!$D$370</definedName>
    <definedName name="c_ms_h">systemcode_constants!$D$371</definedName>
    <definedName name="c_ms_min">systemcode_constants!$D$372</definedName>
    <definedName name="c_ms_s">systemcode_constants!$D$373</definedName>
    <definedName name="c_oeffdamp_ALPHA">Parameters!$D$504</definedName>
    <definedName name="c_oefflead_TSS_α_mech">Parameters!$D$508</definedName>
    <definedName name="c_oefflin_TSS_α_mech">Parameters!$D$509</definedName>
    <definedName name="c_onstTSS_α_mech">Parameters!$D$510</definedName>
    <definedName name="c_orrTSS_α">'Calculated variables'!$E$842</definedName>
    <definedName name="C_OUR">'Calculated variables'!$E$122</definedName>
    <definedName name="c_p_water">systemcode_constants!$D$66</definedName>
    <definedName name="c_Pa_bar">systemcode_constants!$D$385</definedName>
    <definedName name="c_Pa_Hgmm">systemcode_constants!$D$384</definedName>
    <definedName name="c_Pa_mbar">systemcode_constants!$D$386</definedName>
    <definedName name="c_Pa_MPa">systemcode_constants!$D$383</definedName>
    <definedName name="c_percent_fraction">systemcode_constants!$D$362</definedName>
    <definedName name="c_percent_Vconc">systemcode_constants!$D$361</definedName>
    <definedName name="c_ppm_Vconc">systemcode_constants!$D$360</definedName>
    <definedName name="c_s_d">systemcode_constants!$D$364</definedName>
    <definedName name="c_s_h">systemcode_constants!$D$365</definedName>
    <definedName name="c_s_min">systemcode_constants!$D$366</definedName>
    <definedName name="C_U">Components!$E$10</definedName>
    <definedName name="c_W_kW">systemcode_constants!$D$382</definedName>
    <definedName name="conc_Acm_I">Species!$D$19</definedName>
    <definedName name="conc_Acm_Ieq">'Calculated variables'!$E$712</definedName>
    <definedName name="conc_ANm_I">Species!$D$24</definedName>
    <definedName name="conc_Ca2p_I">Species!$D$20</definedName>
    <definedName name="conc_CATp_I">Species!$D$22</definedName>
    <definedName name="conc_CO32m_I">Species!$D$13</definedName>
    <definedName name="conc_Fe2p_I">Species!$D$31</definedName>
    <definedName name="conc_H2CO3_I">Species!$D$11</definedName>
    <definedName name="conc_H2PO4m_I">Species!$D$15</definedName>
    <definedName name="conc_H2PO4m_Ieq">'Calculated variables'!$E$711</definedName>
    <definedName name="conc_H2S_I">Species!$D$28</definedName>
    <definedName name="conc_H2SO4_I">Species!$D$25</definedName>
    <definedName name="conc_H3PO4_I">Species!$D$14</definedName>
    <definedName name="conc_HAc_I">Species!$D$18</definedName>
    <definedName name="conc_HCO3m_I">Species!$D$12</definedName>
    <definedName name="conc_HNO2_I">Species!$D$8</definedName>
    <definedName name="conc_Hp_I">Species!$D$4</definedName>
    <definedName name="conc_Hp_Ieq">systemcode_constants!$D$352</definedName>
    <definedName name="conc_HPO42m_I">Species!$D$16</definedName>
    <definedName name="conc_HPO42m_Ieq">'Calculated variables'!$E$710</definedName>
    <definedName name="conc_HSm_I">Species!$D$29</definedName>
    <definedName name="conc_HSm_Ieq">'Calculated variables'!$E$714</definedName>
    <definedName name="conc_HSO4m_I">Species!$D$26</definedName>
    <definedName name="conc_Kp_I">Species!$D$23</definedName>
    <definedName name="conc_Mg2p_I">Species!$D$21</definedName>
    <definedName name="conc_NH3_I">Species!$D$6</definedName>
    <definedName name="conc_NH4p_I">Species!$D$7</definedName>
    <definedName name="conc_NO2m_I">Species!$D$9</definedName>
    <definedName name="conc_NO2m_Ieq">'Calculated variables'!$E$713</definedName>
    <definedName name="conc_NO3m_I">Species!$D$10</definedName>
    <definedName name="conc_OHm_I">Species!$D$5</definedName>
    <definedName name="conc_PO43m_I">Species!$D$17</definedName>
    <definedName name="conc_S2m_I">Species!$D$30</definedName>
    <definedName name="conc_SO42m_I">Species!$D$27</definedName>
    <definedName name="d_ampALPHA">'Calculated variables'!$E$841</definedName>
    <definedName name="D_CB">systemcode_constants!$D$479</definedName>
    <definedName name="D_CU">systemcode_constants!$D$480</definedName>
    <definedName name="D_GCH4_25">systemcode_constants!$D$30</definedName>
    <definedName name="D_GCO2_25">systemcode_constants!$D$28</definedName>
    <definedName name="D_GH2_25">systemcode_constants!$D$29</definedName>
    <definedName name="D_GH2S_25">systemcode_constants!$D$33</definedName>
    <definedName name="D_GN2_25">systemcode_constants!$D$26</definedName>
    <definedName name="D_GN2O_25">systemcode_constants!$D$32</definedName>
    <definedName name="D_GNH3_25">systemcode_constants!$D$27</definedName>
    <definedName name="D_GNO_25">systemcode_constants!$D$31</definedName>
    <definedName name="D_GO2_25">systemcode_constants!$D$25</definedName>
    <definedName name="d_HCaCO3">systemcode_constants!$D$451</definedName>
    <definedName name="d_HCaH2PO4p">systemcode_constants!$D$455</definedName>
    <definedName name="d_HCaHCO3p">systemcode_constants!$D$452</definedName>
    <definedName name="d_HCaHPO4">systemcode_constants!$D$454</definedName>
    <definedName name="d_HCaOHp">systemcode_constants!$D$450</definedName>
    <definedName name="d_HCaPO4m">systemcode_constants!$D$453</definedName>
    <definedName name="d_Hdiss_But">systemcode_constants!$D$444</definedName>
    <definedName name="d_Hdiss_CO2_1">systemcode_constants!$D$437</definedName>
    <definedName name="d_Hdiss_CO2_2">systemcode_constants!$D$438</definedName>
    <definedName name="d_Hdiss_H2O">systemcode_constants!$D$434</definedName>
    <definedName name="d_Hdiss_NO2">systemcode_constants!$D$436</definedName>
    <definedName name="d_Hdiss_PO4_1">systemcode_constants!$D$439</definedName>
    <definedName name="d_Hdiss_PO4_2">systemcode_constants!$D$440</definedName>
    <definedName name="d_Hdiss_PO4_3">systemcode_constants!$D$441</definedName>
    <definedName name="d_Hdiss_Prop">systemcode_constants!$D$443</definedName>
    <definedName name="d_Hdiss_S_1">systemcode_constants!$D$446</definedName>
    <definedName name="d_Hdiss_S_2">systemcode_constants!$D$447</definedName>
    <definedName name="d_Hdiss_SO4_1">systemcode_constants!$D$448</definedName>
    <definedName name="d_Hdiss_SO4_2">systemcode_constants!$D$449</definedName>
    <definedName name="d_Hdiss_Val">systemcode_constants!$D$445</definedName>
    <definedName name="d_Hdiss_VFA">systemcode_constants!$D$442</definedName>
    <definedName name="d_Hion_amm">systemcode_constants!$D$435</definedName>
    <definedName name="d_HMgCO3">systemcode_constants!$D$457</definedName>
    <definedName name="d_HMgH2PO4p">systemcode_constants!$D$461</definedName>
    <definedName name="d_HMgHCO3p">systemcode_constants!$D$458</definedName>
    <definedName name="d_HMgHPO4">systemcode_constants!$D$459</definedName>
    <definedName name="d_HMgOHp">systemcode_constants!$D$456</definedName>
    <definedName name="d_HMgPO4m">systemcode_constants!$D$460</definedName>
    <definedName name="d_HNaHPO4m">systemcode_constants!$D$462</definedName>
    <definedName name="D_NBS">systemcode_constants!$D$489</definedName>
    <definedName name="D_NH3">systemcode_constants!$D$484</definedName>
    <definedName name="D_NO3">systemcode_constants!$D$485</definedName>
    <definedName name="D_NUS">systemcode_constants!$D$488</definedName>
    <definedName name="D_PO4">systemcode_constants!$D$486</definedName>
    <definedName name="D_SA">systemcode_constants!$D$467</definedName>
    <definedName name="D_SALK">systemcode_constants!$D$515</definedName>
    <definedName name="D_SALPHA">systemcode_constants!$D$473</definedName>
    <definedName name="D_SAN">systemcode_constants!$D$511</definedName>
    <definedName name="D_SB">systemcode_constants!$D$469</definedName>
    <definedName name="D_SB_mono">systemcode_constants!$D$470</definedName>
    <definedName name="D_SB_poly">systemcode_constants!$D$471</definedName>
    <definedName name="D_SBSA">systemcode_constants!$D$468</definedName>
    <definedName name="D_SBSC">systemcode_constants!$D$475</definedName>
    <definedName name="D_SCa">systemcode_constants!$D$508</definedName>
    <definedName name="D_SCAT">systemcode_constants!$D$510</definedName>
    <definedName name="D_SCH4">systemcode_constants!$D$504</definedName>
    <definedName name="D_SCO2">systemcode_constants!$D$506</definedName>
    <definedName name="D_SF">systemcode_constants!$D$474</definedName>
    <definedName name="D_SFe2">systemcode_constants!$D$514</definedName>
    <definedName name="D_SH2">systemcode_constants!$D$505</definedName>
    <definedName name="D_SH2S">systemcode_constants!$D$512</definedName>
    <definedName name="D_SHCO">systemcode_constants!$D$516</definedName>
    <definedName name="D_SI">systemcode_constants!$D$478</definedName>
    <definedName name="D_SK">systemcode_constants!$D$507</definedName>
    <definedName name="D_SMEOL">systemcode_constants!$D$476</definedName>
    <definedName name="D_SMg">systemcode_constants!$D$509</definedName>
    <definedName name="D_SMM_index">systemcode_constants!$D$517</definedName>
    <definedName name="D_SN_B">systemcode_constants!$D$497</definedName>
    <definedName name="D_SN2">systemcode_constants!$D$487</definedName>
    <definedName name="D_SN2O">systemcode_constants!$D$496</definedName>
    <definedName name="D_SND">systemcode_constants!$D$498</definedName>
    <definedName name="D_SNH">systemcode_constants!$D$483</definedName>
    <definedName name="D_SNH2OH">systemcode_constants!$D$492</definedName>
    <definedName name="D_SNH4">systemcode_constants!$D$482</definedName>
    <definedName name="D_SNHx">systemcode_constants!$D$481</definedName>
    <definedName name="D_SNO">systemcode_constants!$D$495</definedName>
    <definedName name="D_SNO2">systemcode_constants!$D$494</definedName>
    <definedName name="D_SNO3">systemcode_constants!$D$493</definedName>
    <definedName name="D_SNOx">systemcode_constants!$D$491</definedName>
    <definedName name="D_SO">systemcode_constants!$D$503</definedName>
    <definedName name="D_SO2">systemcode_constants!$D$502</definedName>
    <definedName name="D_SP_B">systemcode_constants!$D$501</definedName>
    <definedName name="D_SPO">systemcode_constants!$D$500</definedName>
    <definedName name="D_SPO4">systemcode_constants!$D$499</definedName>
    <definedName name="D_SS">systemcode_constants!$D$472</definedName>
    <definedName name="D_SSO4">systemcode_constants!$D$513</definedName>
    <definedName name="D_SU">systemcode_constants!$D$477</definedName>
    <definedName name="D_SUS">systemcode_constants!$D$490</definedName>
    <definedName name="D_SVFA">systemcode_constants!$D$466</definedName>
    <definedName name="E_EQFe2">systemcode_constants!$D$337</definedName>
    <definedName name="E_EQH2S">systemcode_constants!$D$339</definedName>
    <definedName name="E_EQN2">systemcode_constants!$D$324</definedName>
    <definedName name="E_EQN2_N2O">systemcode_constants!$D$335</definedName>
    <definedName name="E_EQN2_NO2">systemcode_constants!$D$332</definedName>
    <definedName name="E_EQN2_NO3">systemcode_constants!$D$336</definedName>
    <definedName name="E_EQN2O">systemcode_constants!$D$325</definedName>
    <definedName name="E_EQN2O_NO">systemcode_constants!$D$334</definedName>
    <definedName name="E_EQNH2OH">systemcode_constants!$D$329</definedName>
    <definedName name="E_EQNH2OH_NO">systemcode_constants!$D$330</definedName>
    <definedName name="E_EQNO">systemcode_constants!$D$326</definedName>
    <definedName name="E_EQNO_NO2">systemcode_constants!$D$333</definedName>
    <definedName name="E_EQNO2">systemcode_constants!$D$327</definedName>
    <definedName name="E_EQNO2_NO3">systemcode_constants!$D$331</definedName>
    <definedName name="E_EQNO3">systemcode_constants!$D$328</definedName>
    <definedName name="E_EQS">systemcode_constants!$D$338</definedName>
    <definedName name="e_rrorNHx_NOx">'Calculated variables'!$E$48</definedName>
    <definedName name="F__">systemcode_constants!$D$64</definedName>
    <definedName name="f_Ar_air">systemcode_constants!$D$48</definedName>
    <definedName name="f_bw_floc">'Calculated variables'!$E$52</definedName>
    <definedName name="f_C_BOD5_BODult">Parameters!$D$471</definedName>
    <definedName name="f_CO2_air">systemcode_constants!$D$49</definedName>
    <definedName name="f_di">'Calculated variables'!$E$664</definedName>
    <definedName name="f_di_IS_an">systemcode_constants!$D$346</definedName>
    <definedName name="f_di_IS_cat">systemcode_constants!$D$345</definedName>
    <definedName name="f_di_ISlim">'Calculated variables'!$E$661</definedName>
    <definedName name="f_E">Parameters!$D$416</definedName>
    <definedName name="f_H2O_HAO_TSS">Parameters!$D$485</definedName>
    <definedName name="f_H2O_HAO_VSS">Parameters!$D$486</definedName>
    <definedName name="f_H2O_HFO_TSS">Parameters!$D$478</definedName>
    <definedName name="f_H2O_HFO_VSS">Parameters!$D$479</definedName>
    <definedName name="f_kL_GCH4">Parameters!$D$496</definedName>
    <definedName name="f_kL_GCO2">Parameters!$D$495</definedName>
    <definedName name="f_kL_GH2">Parameters!$D$497</definedName>
    <definedName name="f_kL_GH2S">Parameters!$D$498</definedName>
    <definedName name="f_kL_GN2">Parameters!$D$492</definedName>
    <definedName name="f_kL_GN2O">Parameters!$D$493</definedName>
    <definedName name="f_kL_GNH3">Parameters!$D$499</definedName>
    <definedName name="f_kL_GNO">Parameters!$D$494</definedName>
    <definedName name="f_KS">'other parameters'!$D$4</definedName>
    <definedName name="f_KS_biofilm">Parameters!$D$329</definedName>
    <definedName name="f_mono">'Calculated variables'!$E$663</definedName>
    <definedName name="f_mono_IS_an">systemcode_constants!$D$344</definedName>
    <definedName name="f_mono_IS_cat">systemcode_constants!$D$343</definedName>
    <definedName name="f_mono_ISlim">'Calculated variables'!$E$660</definedName>
    <definedName name="f_N2_air">systemcode_constants!$D$47</definedName>
    <definedName name="f_Na">Parameters!$D$462</definedName>
    <definedName name="f_O2_air">systemcode_constants!$D$46</definedName>
    <definedName name="f_P_VFA">Parameters!$D$396</definedName>
    <definedName name="f_S_BOD5_BODult">Parameters!$D$470</definedName>
    <definedName name="f_SO2_max_ALPHA">Parameters!$D$503</definedName>
    <definedName name="f_TOC_1">Parameters!$D$531</definedName>
    <definedName name="f_TOC_2">Parameters!$D$532</definedName>
    <definedName name="f_tri">'Calculated variables'!$E$665</definedName>
    <definedName name="f_tri_IS_an">systemcode_constants!$D$348</definedName>
    <definedName name="f_tri_IS_cat">systemcode_constants!$D$347</definedName>
    <definedName name="f_tri_ISlim">'Calculated variables'!$E$662</definedName>
    <definedName name="f_VFA_DM">Parameters!$D$465</definedName>
    <definedName name="f_X_BOD5_BODult">Parameters!$D$472</definedName>
    <definedName name="G_CH4">Components!$E$80</definedName>
    <definedName name="G_CH4_atm">Components!$E$89</definedName>
    <definedName name="G_CO2">Components!$E$79</definedName>
    <definedName name="G_CO2_atm">Components!$E$88</definedName>
    <definedName name="g_grav">systemcode_constants!$D$65</definedName>
    <definedName name="G_H2">Components!$E$81</definedName>
    <definedName name="G_H2_atm">Components!$E$90</definedName>
    <definedName name="G_H2S">Components!$E$87</definedName>
    <definedName name="G_H2S_atm">Components!$E$96</definedName>
    <definedName name="G_H2S_odor_lim">Parameters!$D$285</definedName>
    <definedName name="G_N2">Components!$E$86</definedName>
    <definedName name="G_N2_atm">Components!$E$95</definedName>
    <definedName name="G_N2O">Components!$E$85</definedName>
    <definedName name="G_N2O_atm">Components!$E$94</definedName>
    <definedName name="G_NH3">Components!$E$83</definedName>
    <definedName name="G_NH3_atm">Components!$E$92</definedName>
    <definedName name="G_NO">Components!$E$84</definedName>
    <definedName name="G_NO_atm">Components!$E$93</definedName>
    <definedName name="G_O2">Components!$E$82</definedName>
    <definedName name="G_O2_atm">Components!$E$91</definedName>
    <definedName name="H__">Components!$E$77</definedName>
    <definedName name="H_Acm">systemcode_constants!$D$417</definedName>
    <definedName name="H_Ca2p">systemcode_constants!$D$424</definedName>
    <definedName name="H_CO32m">systemcode_constants!$D$411</definedName>
    <definedName name="H_enryGCH4_25">systemcode_constants!$D$16</definedName>
    <definedName name="H_enryGCH4_dt">systemcode_constants!$D$17</definedName>
    <definedName name="H_enryGCO2_25">systemcode_constants!$D$6</definedName>
    <definedName name="H_enryGCO2_dt">systemcode_constants!$D$7</definedName>
    <definedName name="H_enryGH2_25">systemcode_constants!$D$14</definedName>
    <definedName name="H_enryGH2_dt">systemcode_constants!$D$15</definedName>
    <definedName name="H_enryGH2S_25">systemcode_constants!$D$20</definedName>
    <definedName name="H_enryGH2S_dt">systemcode_constants!$D$21</definedName>
    <definedName name="H_enryGN2_25">systemcode_constants!$D$12</definedName>
    <definedName name="H_enryGN2_dt">systemcode_constants!$D$13</definedName>
    <definedName name="H_enryGN2O_25">systemcode_constants!$D$10</definedName>
    <definedName name="H_enryGN2O_dt">systemcode_constants!$D$11</definedName>
    <definedName name="H_enryGNH3_25">systemcode_constants!$D$18</definedName>
    <definedName name="H_enryGNH3_dt">systemcode_constants!$D$19</definedName>
    <definedName name="H_enryGNO_25">systemcode_constants!$D$8</definedName>
    <definedName name="H_enryGNO_dt">systemcode_constants!$D$9</definedName>
    <definedName name="H_enryGO2_25">systemcode_constants!$D$4</definedName>
    <definedName name="H_enryGO2_dt">systemcode_constants!$D$5</definedName>
    <definedName name="H_H2CO3">systemcode_constants!$D$409</definedName>
    <definedName name="H_H2O">systemcode_constants!$D$430</definedName>
    <definedName name="H_H2PO4m">systemcode_constants!$D$413</definedName>
    <definedName name="H_H2S">systemcode_constants!$D$418</definedName>
    <definedName name="H_H2SO4">systemcode_constants!$D$421</definedName>
    <definedName name="H_H3Op">systemcode_constants!$D$402</definedName>
    <definedName name="H_H3PO4">systemcode_constants!$D$412</definedName>
    <definedName name="H_HAc">systemcode_constants!$D$416</definedName>
    <definedName name="H_HCO3m">systemcode_constants!$D$410</definedName>
    <definedName name="H_HNO2">systemcode_constants!$D$406</definedName>
    <definedName name="H_Hp">systemcode_constants!$D$401</definedName>
    <definedName name="H_HPO42m">systemcode_constants!$D$414</definedName>
    <definedName name="H_HSm">systemcode_constants!$D$419</definedName>
    <definedName name="H_HSO4m">systemcode_constants!$D$422</definedName>
    <definedName name="H_Mg2p">systemcode_constants!$D$425</definedName>
    <definedName name="H_Nap">systemcode_constants!$D$426</definedName>
    <definedName name="H_NH3">systemcode_constants!$D$404</definedName>
    <definedName name="H_NH4p">systemcode_constants!$D$405</definedName>
    <definedName name="H_NO2m">systemcode_constants!$D$407</definedName>
    <definedName name="H_NO3m">systemcode_constants!$D$408</definedName>
    <definedName name="H_OHm">systemcode_constants!$D$403</definedName>
    <definedName name="H_PO43m">systemcode_constants!$D$415</definedName>
    <definedName name="H_S2m">systemcode_constants!$D$420</definedName>
    <definedName name="H_satSH2S_KH2S_SOO">'Calculated variables'!$E$565</definedName>
    <definedName name="H_satSNO_KNO_OHO">'Calculated variables'!$E$474</definedName>
    <definedName name="H_satSVFA_AMETO">'Calculated variables'!$E$545</definedName>
    <definedName name="H_SO42m">systemcode_constants!$D$423</definedName>
    <definedName name="H_STP">systemcode_constants!$D$70</definedName>
    <definedName name="i_Ca_INORG">Parameters!$D$463</definedName>
    <definedName name="i_Ca_PP">Parameters!$D$459</definedName>
    <definedName name="i_CIT_BIO">Parameters!$D$451</definedName>
    <definedName name="i_CIT_CH4">Parameters!$D$454</definedName>
    <definedName name="i_CIT_GLY">Parameters!$D$457</definedName>
    <definedName name="i_CIT_MEOL">Parameters!$D$453</definedName>
    <definedName name="i_CIT_PHA">Parameters!$D$456</definedName>
    <definedName name="i_CIT_SB">Parameters!$D$452</definedName>
    <definedName name="i_CIT_STC">'Calculated variables'!$E$66</definedName>
    <definedName name="i_CIT_VFA">Parameters!$D$455</definedName>
    <definedName name="i_CV_BIO">Parameters!$D$441</definedName>
    <definedName name="i_CV_CB">Parameters!$D$447</definedName>
    <definedName name="i_CV_CU">Parameters!$D$448</definedName>
    <definedName name="i_CV_GLY">Parameters!$D$450</definedName>
    <definedName name="i_CV_MEOL">Parameters!$D$445</definedName>
    <definedName name="i_CV_PHA">Parameters!$D$449</definedName>
    <definedName name="i_CV_SB">Parameters!$D$444</definedName>
    <definedName name="i_CV_SU">Parameters!$D$446</definedName>
    <definedName name="i_CV_VFA">Parameters!$D$443</definedName>
    <definedName name="i_CV_XB">Parameters!$D$439</definedName>
    <definedName name="i_CV_XE">Parameters!$D$442</definedName>
    <definedName name="i_CV_XU">Parameters!$D$440</definedName>
    <definedName name="i_INORG">Parameters!$D$458</definedName>
    <definedName name="i_iw_BIO">Parameters!$D$536</definedName>
    <definedName name="i_K_PP">Parameters!$D$461</definedName>
    <definedName name="i_Mg_INORG">Parameters!$D$464</definedName>
    <definedName name="i_Mg_PP">Parameters!$D$460</definedName>
    <definedName name="i_N_BIO">Parameters!$D$417</definedName>
    <definedName name="i_N_CB">Parameters!$D$419</definedName>
    <definedName name="i_N_CU">Parameters!$D$420</definedName>
    <definedName name="i_N_SU">Parameters!$D$421</definedName>
    <definedName name="i_N_XE">Parameters!$D$418</definedName>
    <definedName name="i_N_XSTR">Parameters!$D$422</definedName>
    <definedName name="i_P_BIO">Parameters!$D$423</definedName>
    <definedName name="i_P_CB">Parameters!$D$424</definedName>
    <definedName name="i_P_CU">Parameters!$D$425</definedName>
    <definedName name="i_P_SU">Parameters!$D$426</definedName>
    <definedName name="i_P_XACP">Parameters!$D$428</definedName>
    <definedName name="i_P_XBSH">Parameters!$D$429</definedName>
    <definedName name="i_P_XSTR">Parameters!$D$427</definedName>
    <definedName name="i_P_XVivi">Parameters!$D$430</definedName>
    <definedName name="I_S">'Calculated variables'!$E$719</definedName>
    <definedName name="i_S_BIO">Parameters!$D$431</definedName>
    <definedName name="i_S_CB">Parameters!$D$434</definedName>
    <definedName name="i_S_CU">Parameters!$D$435</definedName>
    <definedName name="i_S_FeS">Parameters!$D$438</definedName>
    <definedName name="i_S_SB">Parameters!$D$432</definedName>
    <definedName name="i_S_SU">Parameters!$D$433</definedName>
    <definedName name="i_S_XB">Parameters!$D$436</definedName>
    <definedName name="i_S_XU">Parameters!$D$437</definedName>
    <definedName name="I_Scalc">pH!$AF$23</definedName>
    <definedName name="I_Serror">'Calculated variables'!$E$762</definedName>
    <definedName name="I_Sinput_AS">Parameters!$D$525</definedName>
    <definedName name="I_Sinput_DIG">Parameters!$D$526</definedName>
    <definedName name="I_Sinput_sidestream">Parameters!$D$527</definedName>
    <definedName name="I_Slim">Parameters!$D$523</definedName>
    <definedName name="i_TSS_PP">Parameters!$D$397</definedName>
    <definedName name="i_vw_BIO">Parameters!$D$542</definedName>
    <definedName name="i_vw_CB">Parameters!$D$544</definedName>
    <definedName name="i_vw_CU">Parameters!$D$545</definedName>
    <definedName name="i_vw_EPS">Parameters!$D$548</definedName>
    <definedName name="i_vw_GLY">Parameters!$D$547</definedName>
    <definedName name="i_vw_PHA">Parameters!$D$546</definedName>
    <definedName name="i_vw_XB">Parameters!$D$540</definedName>
    <definedName name="i_vw_XE">Parameters!$D$543</definedName>
    <definedName name="i_vw_XU">Parameters!$D$541</definedName>
    <definedName name="i_wh_BIO">Parameters!$D$554</definedName>
    <definedName name="i_wh_EPS">Parameters!$D$558</definedName>
    <definedName name="i_wh_GLY">Parameters!$D$557</definedName>
    <definedName name="i_wh_PHA">Parameters!$D$556</definedName>
    <definedName name="i_wh_XB">Parameters!$D$552</definedName>
    <definedName name="i_wh_XE">Parameters!$D$555</definedName>
    <definedName name="i_wh_XU">Parameters!$D$553</definedName>
    <definedName name="K_Ac">'Calculated variables'!$E$695</definedName>
    <definedName name="K_Ac_param">systemcode_constants!$D$301</definedName>
    <definedName name="K_Ac_T">'Calculated variables'!$E$679</definedName>
    <definedName name="K_ACP_DISS">Parameters!$D$237</definedName>
    <definedName name="K_AN">'Calculated variables'!$E$377</definedName>
    <definedName name="K_AN_AS">Parameters!$D$298</definedName>
    <definedName name="K_BSH_DISS">Parameters!$D$238</definedName>
    <definedName name="K_But_param">systemcode_constants!$D$303</definedName>
    <definedName name="K_C1">'Calculated variables'!$E$686</definedName>
    <definedName name="K_C1_param">systemcode_constants!$D$296</definedName>
    <definedName name="K_C1_T">'Calculated variables'!$E$670</definedName>
    <definedName name="K_C2">'Calculated variables'!$E$687</definedName>
    <definedName name="K_C2_param">systemcode_constants!$D$297</definedName>
    <definedName name="K_C2_T">'Calculated variables'!$E$671</definedName>
    <definedName name="K_Ca_BIO">'Calculated variables'!$E$381</definedName>
    <definedName name="K_Ca_BIO_AS">Parameters!$D$300</definedName>
    <definedName name="K_Ca_PAO">'Calculated variables'!$E$289</definedName>
    <definedName name="K_Ca_PAO_AS">Parameters!$D$87</definedName>
    <definedName name="K_CaCO3_DISS">Parameters!$D$239</definedName>
    <definedName name="K_CAT">'Calculated variables'!$E$375</definedName>
    <definedName name="K_CAT_AS">Parameters!$D$297</definedName>
    <definedName name="K_CH4_MOB">Parameters!$D$565</definedName>
    <definedName name="K_CO2_AMX_AS">Parameters!$D$150</definedName>
    <definedName name="K_CO2_AMX_pH">'Calculated variables'!$E$200</definedName>
    <definedName name="K_CO2_AMX_pH_AS">Parameters!$D$152</definedName>
    <definedName name="K_CO2_AOB_AS">Parameters!$D$106</definedName>
    <definedName name="K_CO2_AOB_pH">'Calculated variables'!$E$155</definedName>
    <definedName name="K_CO2_AOB_pH_AS">Parameters!$D$110</definedName>
    <definedName name="K_CO2_AOB_pH_sidestream">Parameters!$D$112</definedName>
    <definedName name="K_CO2_AOB_sidestream">Parameters!$D$108</definedName>
    <definedName name="K_CO2_BIO">'Calculated variables'!$E$373</definedName>
    <definedName name="K_CO2_BIO_AS">Parameters!$D$296</definedName>
    <definedName name="K_CO2_NOB_AS">Parameters!$D$135</definedName>
    <definedName name="K_CO2_NOB_pH">'Calculated variables'!$E$184</definedName>
    <definedName name="K_CO2_NOB_pH_AS">Parameters!$D$137</definedName>
    <definedName name="K_FeS_DISS">Parameters!$D$240</definedName>
    <definedName name="K_FLOC">'Calculated variables'!$E$383</definedName>
    <definedName name="K_FLOC_AS">Parameters!$D$315</definedName>
    <definedName name="K_GLY">Parameters!$D$93</definedName>
    <definedName name="K_H2_HMETO">'Calculated variables'!$E$311</definedName>
    <definedName name="K_H2_HMETO_AS">Parameters!$D$176</definedName>
    <definedName name="K_H2_HSRO">'Calculated variables'!$E$333</definedName>
    <definedName name="K_H2_HSRO_AS">Parameters!$D$201</definedName>
    <definedName name="K_H2S_ASSIM">'Calculated variables'!$E$395</definedName>
    <definedName name="K_H2S_ASSIM_AS">Parameters!$D$325</definedName>
    <definedName name="K_H2S_param">systemcode_constants!$D$309</definedName>
    <definedName name="K_H2S_SOO">'Calculated variables'!$E$358</definedName>
    <definedName name="K_H2S_SOO_AS">Parameters!$D$218</definedName>
    <definedName name="K_HNO2_AOB">'Calculated variables'!$E$165</definedName>
    <definedName name="K_HNO2_AOB_AS">Parameters!$D$122</definedName>
    <definedName name="K_HYD">'Calculated variables'!$E$385</definedName>
    <definedName name="K_HYD_AS">Parameters!$D$316</definedName>
    <definedName name="K_iGLY_GAO_max">Parameters!$D$94</definedName>
    <definedName name="K_iH2S_ASRO">'Calculated variables'!$E$324</definedName>
    <definedName name="K_iH2S_ASRO_AS">Parameters!$D$193</definedName>
    <definedName name="K_iH2S_HSRO">'Calculated variables'!$E$337</definedName>
    <definedName name="K_iH2S_HSRO_AS">Parameters!$D$203</definedName>
    <definedName name="K_iH2S_SOO">'Calculated variables'!$E$360</definedName>
    <definedName name="K_iH2S_SOO_AS">Parameters!$D$219</definedName>
    <definedName name="K_iHNO2_AMX_pH">'Calculated variables'!$E$205</definedName>
    <definedName name="K_iHNO2_AMX_pH_AS">Parameters!$D$156</definedName>
    <definedName name="K_iHNO2_AOB_pH">'Calculated variables'!$E$176</definedName>
    <definedName name="K_iHNO2_AOB_pH_AS">Parameters!$D$128</definedName>
    <definedName name="K_iNH3_AMETO_pH">'Calculated variables'!$E$302</definedName>
    <definedName name="K_iNH3_AMETO_pH_AS">Parameters!$D$165</definedName>
    <definedName name="K_iNH3_NOB_pH">'Calculated variables'!$E$190</definedName>
    <definedName name="K_iNH3_NOB_pH_AS">Parameters!$D$142</definedName>
    <definedName name="K_iNHx_AMETO">'Calculated variables'!$E$300</definedName>
    <definedName name="K_iNHx_AMETO_AS">Parameters!$D$164</definedName>
    <definedName name="K_iNHx_ASSIM">'Calculated variables'!$E$387</definedName>
    <definedName name="K_iNHx_ASSIM_AS">Parameters!$D$321</definedName>
    <definedName name="K_iNO_OHO_N2O">'Calculated variables'!$E$254</definedName>
    <definedName name="K_iNO_OHO_N2O_AS">Parameters!$D$36</definedName>
    <definedName name="K_iNO_OHO_NO">'Calculated variables'!$E$252</definedName>
    <definedName name="K_iNO_OHO_NO_AS">Parameters!$D$35</definedName>
    <definedName name="K_iNO_OHO_NO2">'Calculated variables'!$E$250</definedName>
    <definedName name="K_iNO_OHO_NO2_AS">Parameters!$D$34</definedName>
    <definedName name="K_iO2_AMETO">'Calculated variables'!$E$304</definedName>
    <definedName name="K_iO2_AMETO_AS">Parameters!$D$167</definedName>
    <definedName name="K_iO2_AMX">'Calculated variables'!$E$201</definedName>
    <definedName name="K_iO2_AMX_AS">Parameters!$D$154</definedName>
    <definedName name="K_iO2_AOB">'Calculated variables'!$E$171</definedName>
    <definedName name="K_iO2_AOB_AS">Parameters!$D$125</definedName>
    <definedName name="K_iO2_ASRO">'Calculated variables'!$E$326</definedName>
    <definedName name="K_iO2_ASRO_AS">Parameters!$D$194</definedName>
    <definedName name="K_iO2_HMETO">'Calculated variables'!$E$313</definedName>
    <definedName name="K_iO2_HMETO_AS">Parameters!$D$177</definedName>
    <definedName name="K_iO2_HSRO">'Calculated variables'!$E$339</definedName>
    <definedName name="K_iO2_HSRO_AS">Parameters!$D$204</definedName>
    <definedName name="K_iO2_MEOLO">'Calculated variables'!$E$266</definedName>
    <definedName name="K_iO2_MEOLO_AS">Parameters!$D$48</definedName>
    <definedName name="K_iP_DESORP">Parameters!$D$261</definedName>
    <definedName name="K_iP_HAO_DESORP">Parameters!$D$276</definedName>
    <definedName name="K_iP_HAO_DISS">Parameters!$D$274</definedName>
    <definedName name="K_iP_HFO_DISS">Parameters!$D$259</definedName>
    <definedName name="K_iPHA_PAO_max">Parameters!$D$83</definedName>
    <definedName name="K_iPO4_lim">'Calculated variables'!$E$291</definedName>
    <definedName name="K_iPO4_lim_AS">Parameters!$D$89</definedName>
    <definedName name="K_iPP_PAO_max">Parameters!$D$80</definedName>
    <definedName name="K_iSO4_ASSIM">'Calculated variables'!$E$393</definedName>
    <definedName name="K_iSO4_ASSIM_AS">Parameters!$D$324</definedName>
    <definedName name="K_iSO4_RED">Parameters!$D$258</definedName>
    <definedName name="K_iVFA_AMETO">'Calculated variables'!$E$298</definedName>
    <definedName name="K_iVFA_AMETO_AS">Parameters!$D$163</definedName>
    <definedName name="K_K_PAO">'Calculated variables'!$E$287</definedName>
    <definedName name="K_K_PAO_AS">Parameters!$D$86</definedName>
    <definedName name="k_L_GCH4_bub">'Calculated variables'!$E$824</definedName>
    <definedName name="k_L_GCH4_sur">'Calculated variables'!$E$832</definedName>
    <definedName name="k_L_GCO2_bub">'Calculated variables'!$E$823</definedName>
    <definedName name="k_L_GCO2_sur">'Calculated variables'!$E$831</definedName>
    <definedName name="k_L_GH2_bub">'Calculated variables'!$E$825</definedName>
    <definedName name="k_L_GH2_sur">'Calculated variables'!$E$833</definedName>
    <definedName name="k_L_GH2S_bub">'Calculated variables'!$E$821</definedName>
    <definedName name="k_L_GH2S_sur">'Calculated variables'!$E$829</definedName>
    <definedName name="k_L_GN2_bub">'Calculated variables'!$E$822</definedName>
    <definedName name="k_L_GN2_sur">'Calculated variables'!$E$830</definedName>
    <definedName name="k_L_GN2O_bub">'Calculated variables'!$E$826</definedName>
    <definedName name="k_L_GN2O_sur">'Calculated variables'!$E$835</definedName>
    <definedName name="k_L_GNH3_bub">'Calculated variables'!$E$828</definedName>
    <definedName name="k_L_GNH3_sur">'Calculated variables'!$E$834</definedName>
    <definedName name="k_L_GNO_bub">'Calculated variables'!$E$827</definedName>
    <definedName name="k_L_GNO_sur">'Calculated variables'!$E$836</definedName>
    <definedName name="k_L_GO2_bub">Parameters!$D$490</definedName>
    <definedName name="k_L_GO2_sur">Parameters!$D$491</definedName>
    <definedName name="k_LaGCH4_bub">'other parameters'!$D$11</definedName>
    <definedName name="k_LaGCH4_sur">'other parameters'!$D$32</definedName>
    <definedName name="k_LaGCO2_bub">'other parameters'!$D$10</definedName>
    <definedName name="k_LaGCO2_sur">'other parameters'!$D$31</definedName>
    <definedName name="k_LaGH2_bub">'other parameters'!$D$12</definedName>
    <definedName name="k_LaGH2_sur">'other parameters'!$D$33</definedName>
    <definedName name="k_LaGH2S_bub">'other parameters'!$D$8</definedName>
    <definedName name="k_LaGH2S_sur">'other parameters'!$D$29</definedName>
    <definedName name="k_LaGN2_bub">'other parameters'!$D$14</definedName>
    <definedName name="k_LaGN2_sur">'other parameters'!$D$35</definedName>
    <definedName name="k_LaGN2O_bub">'other parameters'!$D$15</definedName>
    <definedName name="k_LaGN2O_sur">'other parameters'!$D$36</definedName>
    <definedName name="k_LaGNH3_bub">'other parameters'!$D$13</definedName>
    <definedName name="k_LaGNH3_sur">'other parameters'!$D$34</definedName>
    <definedName name="k_LaGNO_bub">'other parameters'!$D$16</definedName>
    <definedName name="k_LaGNO_sur">'other parameters'!$D$37</definedName>
    <definedName name="k_LaGO2_bub">'other parameters'!$D$9</definedName>
    <definedName name="k_LaGO2_sur">'other parameters'!$D$30</definedName>
    <definedName name="K_MEOL">'Calculated variables'!$E$264</definedName>
    <definedName name="K_MEOL_AS">Parameters!$D$47</definedName>
    <definedName name="K_MEOL_OHO">'Calculated variables'!$E$240</definedName>
    <definedName name="K_MEOL_OHO_AS">Parameters!$D$29</definedName>
    <definedName name="K_Mg_BIO">'Calculated variables'!$E$379</definedName>
    <definedName name="K_Mg_BIO_AS">Parameters!$D$299</definedName>
    <definedName name="K_Mg_PAO">'Calculated variables'!$E$285</definedName>
    <definedName name="K_Mg_PAO_AS">Parameters!$D$85</definedName>
    <definedName name="K_N2O_OHO">'Calculated variables'!$E$248</definedName>
    <definedName name="K_N2O_OHO_AS">Parameters!$D$33</definedName>
    <definedName name="K_NH2OH_AOB">'Calculated variables'!$E$151</definedName>
    <definedName name="K_NH2OH_AOB_AS">Parameters!$D$120</definedName>
    <definedName name="K_NH3">'Calculated variables'!$E$697</definedName>
    <definedName name="K_NH3_param">systemcode_constants!$D$294</definedName>
    <definedName name="K_NH3_T">'Calculated variables'!$E$681</definedName>
    <definedName name="K_NHx_AMX">'Calculated variables'!$E$195</definedName>
    <definedName name="K_NHx_AMX_AS">Parameters!$D$148</definedName>
    <definedName name="K_NHx_AOB">'Calculated variables'!$E$147</definedName>
    <definedName name="K_NHx_AOB_AS">Parameters!$D$118</definedName>
    <definedName name="K_NHx_BIO">'Calculated variables'!$E$367</definedName>
    <definedName name="K_NHx_BIO_AS">Parameters!$D$293</definedName>
    <definedName name="K_NHx_NH2OH_AOB">'Calculated variables'!$E$149</definedName>
    <definedName name="K_NHx_NH2OH_AOB_AS">Parameters!$D$119</definedName>
    <definedName name="K_NO_N2O_AOB">'Calculated variables'!$E$169</definedName>
    <definedName name="K_NO_N2O_AOB_AS">Parameters!$D$124</definedName>
    <definedName name="K_NO_NO2_AOB">'Calculated variables'!$E$167</definedName>
    <definedName name="K_NO_NO2_AOB_AS">Parameters!$D$123</definedName>
    <definedName name="K_NO_OHO">'Calculated variables'!$E$246</definedName>
    <definedName name="K_NO_OHO_AS">Parameters!$D$32</definedName>
    <definedName name="K_NO2">'Calculated variables'!$E$696</definedName>
    <definedName name="K_NO2_AMX">'Calculated variables'!$E$197</definedName>
    <definedName name="K_NO2_AMX_AS">Parameters!$D$149</definedName>
    <definedName name="K_NO2_ASSIM">'Calculated variables'!$E$389</definedName>
    <definedName name="K_NO2_ASSIM_AS">Parameters!$D$322</definedName>
    <definedName name="K_NO2_CASTO">'Calculated variables'!$E$277</definedName>
    <definedName name="K_NO2_CASTO_AS">Parameters!$D$77</definedName>
    <definedName name="K_NO2_H2S_SOO">'Calculated variables'!$E$348</definedName>
    <definedName name="K_NO2_H2S_SOO_AS">Parameters!$D$213</definedName>
    <definedName name="K_NO2_MEOLO">'Calculated variables'!$E$268</definedName>
    <definedName name="K_NO2_MEOLO_AS">Parameters!$D$50</definedName>
    <definedName name="K_NO2_NOB">'Calculated variables'!$E$181</definedName>
    <definedName name="K_NO2_NOB_AS">Parameters!$D$134</definedName>
    <definedName name="K_NO2_OHO">'Calculated variables'!$E$244</definedName>
    <definedName name="K_NO2_OHO_AS">Parameters!$D$31</definedName>
    <definedName name="K_NO2_param">systemcode_constants!$D$295</definedName>
    <definedName name="K_NO2_S_SOO">'Calculated variables'!$E$354</definedName>
    <definedName name="K_NO2_S_SOO_AS">Parameters!$D$216</definedName>
    <definedName name="K_NO2_T">'Calculated variables'!$E$680</definedName>
    <definedName name="K_NO3_ASSIM">'Calculated variables'!$E$391</definedName>
    <definedName name="K_NO3_ASSIM_AS">Parameters!$D$323</definedName>
    <definedName name="K_NO3_CASTO">'Calculated variables'!$E$279</definedName>
    <definedName name="K_NO3_CASTO_AS">Parameters!$D$76</definedName>
    <definedName name="K_NO3_H2S_SOO">'Calculated variables'!$E$350</definedName>
    <definedName name="K_NO3_H2S_SOO_AS">Parameters!$D$214</definedName>
    <definedName name="K_NO3_MEOLO">'Calculated variables'!$E$270</definedName>
    <definedName name="K_NO3_MEOLO_AS">Parameters!$D$49</definedName>
    <definedName name="K_NO3_OHO">'Calculated variables'!$E$242</definedName>
    <definedName name="K_NO3_OHO_AS">Parameters!$D$30</definedName>
    <definedName name="K_NO3_S_SOO">'Calculated variables'!$E$356</definedName>
    <definedName name="K_NO3_S_SOO_AS">Parameters!$D$217</definedName>
    <definedName name="K_NOx_AMETO">'Calculated variables'!$E$306</definedName>
    <definedName name="K_NOx_AMETO_AS">Parameters!$D$168</definedName>
    <definedName name="K_NOx_AMX">'Calculated variables'!$E$203</definedName>
    <definedName name="K_NOx_AMX_AS">Parameters!$D$155</definedName>
    <definedName name="K_NOx_AOB">'Calculated variables'!$E$163</definedName>
    <definedName name="K_NOx_AOB_AS">Parameters!$D$121</definedName>
    <definedName name="K_NOx_ASRO">'Calculated variables'!$E$328</definedName>
    <definedName name="K_NOx_ASRO_AS">Parameters!$D$195</definedName>
    <definedName name="K_NOx_HMETO">'Calculated variables'!$E$315</definedName>
    <definedName name="K_NOx_HMETO_AS">Parameters!$D$178</definedName>
    <definedName name="K_NOx_HSRO">'Calculated variables'!$E$341</definedName>
    <definedName name="K_NOx_HSRO_AS">Parameters!$D$205</definedName>
    <definedName name="K_NOx_NOB">'Calculated variables'!$E$188</definedName>
    <definedName name="K_NOx_NOB_AS">Parameters!$D$141</definedName>
    <definedName name="K_O2_AOB">'Calculated variables'!$E$173</definedName>
    <definedName name="K_O2_AOB_AS">Parameters!$D$127</definedName>
    <definedName name="K_O2_AOB_sidestream">Parameters!$D$126</definedName>
    <definedName name="K_O2_CASTO">'Calculated variables'!$E$275</definedName>
    <definedName name="K_O2_CASTO_AS">Parameters!$D$75</definedName>
    <definedName name="K_O2_H2S_SOO">'Calculated variables'!$E$346</definedName>
    <definedName name="K_O2_H2S_SOO_AS">Parameters!$D$212</definedName>
    <definedName name="K_O2_MOB">Parameters!$D$564</definedName>
    <definedName name="K_O2_NH2OH_AOB">'Calculated variables'!$E$160</definedName>
    <definedName name="K_O2_NH2OH_AOB_AS">Parameters!$D$117</definedName>
    <definedName name="K_O2_NH2OH_AOB_sidestream">Parameters!$D$115</definedName>
    <definedName name="K_O2_NHx_AOB">'Calculated variables'!$E$157</definedName>
    <definedName name="K_O2_NHx_AOB_AS">Parameters!$D$116</definedName>
    <definedName name="K_O2_NHx_AOB_sidestream">Parameters!$D$114</definedName>
    <definedName name="K_O2_NOB">'Calculated variables'!$E$185</definedName>
    <definedName name="K_O2_NOB_AS">Parameters!$D$140</definedName>
    <definedName name="K_O2_NOB_sidestream">Parameters!$D$139</definedName>
    <definedName name="K_O2_OHO">'Calculated variables'!$E$230</definedName>
    <definedName name="K_O2_OHO_AS">Parameters!$D$19</definedName>
    <definedName name="K_O2_OHO_N2O">'Calculated variables'!$E$238</definedName>
    <definedName name="K_O2_OHO_N2O_AS">Parameters!$D$23</definedName>
    <definedName name="K_O2_OHO_NO">'Calculated variables'!$E$236</definedName>
    <definedName name="K_O2_OHO_NO_AS">Parameters!$D$22</definedName>
    <definedName name="K_O2_OHO_NO2">'Calculated variables'!$E$234</definedName>
    <definedName name="K_O2_OHO_NO2_AS">Parameters!$D$21</definedName>
    <definedName name="K_O2_OHO_NO3">'Calculated variables'!$E$232</definedName>
    <definedName name="K_O2_OHO_NO3_AS">Parameters!$D$20</definedName>
    <definedName name="K_O2_S_SOO">'Calculated variables'!$E$352</definedName>
    <definedName name="K_O2_S_SOO_AS">Parameters!$D$215</definedName>
    <definedName name="K_ORP_H2_CH4_H2S">Parameters!$D$519</definedName>
    <definedName name="K_ORP_SNOx">Parameters!$D$518</definedName>
    <definedName name="K_ORP_SO2">Parameters!$D$517</definedName>
    <definedName name="K_P_BIND">Parameters!$D$262</definedName>
    <definedName name="K_P_HAO_BIND">Parameters!$D$273</definedName>
    <definedName name="K_P1">'Calculated variables'!$E$688</definedName>
    <definedName name="K_P1_param">systemcode_constants!$D$298</definedName>
    <definedName name="K_P1_T">'Calculated variables'!$E$672</definedName>
    <definedName name="K_P2">'Calculated variables'!$E$689</definedName>
    <definedName name="K_P2_param">systemcode_constants!$D$299</definedName>
    <definedName name="K_P2_T">'Calculated variables'!$E$673</definedName>
    <definedName name="K_P3">'Calculated variables'!$E$690</definedName>
    <definedName name="K_P3_param">systemcode_constants!$D$300</definedName>
    <definedName name="K_P3_T">'Calculated variables'!$E$674</definedName>
    <definedName name="K_PHA">Parameters!$D$73</definedName>
    <definedName name="K_PHA_cle">Parameters!$D$72</definedName>
    <definedName name="K_PO4_BIO">'Calculated variables'!$E$369</definedName>
    <definedName name="K_PO4_BIO_AS">Parameters!$D$294</definedName>
    <definedName name="K_PO4_PAO">'Calculated variables'!$E$283</definedName>
    <definedName name="K_PO4_PAO_AS">Parameters!$D$69</definedName>
    <definedName name="K_PP">Parameters!$D$79</definedName>
    <definedName name="K_PP_lim">Parameters!$D$88</definedName>
    <definedName name="K_Prop_param">systemcode_constants!$D$302</definedName>
    <definedName name="K_S_SOO">'Calculated variables'!$E$362</definedName>
    <definedName name="K_S_SOO_AS">Parameters!$D$220</definedName>
    <definedName name="K_S1">'Calculated variables'!$E$691</definedName>
    <definedName name="K_S1_param">systemcode_constants!$D$305</definedName>
    <definedName name="K_S1_T">'Calculated variables'!$E$675</definedName>
    <definedName name="K_S2">'Calculated variables'!$E$692</definedName>
    <definedName name="K_S2_param">systemcode_constants!$D$306</definedName>
    <definedName name="K_S2_T">'Calculated variables'!$E$676</definedName>
    <definedName name="K_SB">'Calculated variables'!$E$210</definedName>
    <definedName name="K_SB_ana">'Calculated variables'!$E$258</definedName>
    <definedName name="K_SB_ana_AS">Parameters!$D$39</definedName>
    <definedName name="K_SB_ana_DIG">Parameters!$D$40</definedName>
    <definedName name="K_SB_AS">Parameters!$D$14</definedName>
    <definedName name="K_SB_N2O">'Calculated variables'!$E$218</definedName>
    <definedName name="K_SB_N2O_AS">Parameters!$D$18</definedName>
    <definedName name="K_SB_NO">'Calculated variables'!$E$216</definedName>
    <definedName name="K_SB_NO_AS">Parameters!$D$17</definedName>
    <definedName name="K_SB_NO2">'Calculated variables'!$E$214</definedName>
    <definedName name="K_SB_NO2_AS">Parameters!$D$16</definedName>
    <definedName name="K_SB_NO3">'Calculated variables'!$E$212</definedName>
    <definedName name="K_SB_NO3_AS">Parameters!$D$15</definedName>
    <definedName name="K_scaling">Parameters!$D$283</definedName>
    <definedName name="K_SO2_ALPHA">Parameters!$D$502</definedName>
    <definedName name="K_SO4_ASRO">'Calculated variables'!$E$322</definedName>
    <definedName name="K_SO4_ASRO_AS">Parameters!$D$192</definedName>
    <definedName name="K_SO4_BIO">'Calculated variables'!$E$371</definedName>
    <definedName name="K_SO4_BIO_AS">Parameters!$D$295</definedName>
    <definedName name="K_SO4_HSRO">'Calculated variables'!$E$335</definedName>
    <definedName name="K_SO4_HSRO_AS">Parameters!$D$202</definedName>
    <definedName name="K_SO41">'Calculated variables'!$E$693</definedName>
    <definedName name="K_SO41_param">systemcode_constants!$D$307</definedName>
    <definedName name="K_SO41_T">'Calculated variables'!$E$677</definedName>
    <definedName name="K_SO42">'Calculated variables'!$E$694</definedName>
    <definedName name="K_SO42_param">systemcode_constants!$D$308</definedName>
    <definedName name="K_SO42_T">'Calculated variables'!$E$678</definedName>
    <definedName name="K_sp_ACP">'Calculated variables'!$E$705</definedName>
    <definedName name="K_sp_ACP_param">systemcode_constants!$D$315</definedName>
    <definedName name="K_sp_BSH">'Calculated variables'!$E$706</definedName>
    <definedName name="K_sp_BSH_param">systemcode_constants!$D$316</definedName>
    <definedName name="K_sp_CaCO3">'Calculated variables'!$E$701</definedName>
    <definedName name="K_sp_CaCO3_param">systemcode_constants!$D$313</definedName>
    <definedName name="K_sp_FeS">'Calculated variables'!$E$703</definedName>
    <definedName name="K_sp_FeS_param">systemcode_constants!$D$318</definedName>
    <definedName name="K_sp_HDP_param">systemcode_constants!$D$319</definedName>
    <definedName name="K_sp_MKP_param">systemcode_constants!$D$320</definedName>
    <definedName name="K_sp_STR">'Calculated variables'!$E$702</definedName>
    <definedName name="K_sp_STR_param">systemcode_constants!$D$314</definedName>
    <definedName name="K_sp_Vivi">'Calculated variables'!$E$704</definedName>
    <definedName name="K_sp_Vivi_param">systemcode_constants!$D$317</definedName>
    <definedName name="K_STC">Parameters!$D$74</definedName>
    <definedName name="K_STR_DISS">Parameters!$D$236</definedName>
    <definedName name="K_TKN_B">Parameters!$D$282</definedName>
    <definedName name="k_transfer_GCO2_bub">'Calculated variables'!$E$803</definedName>
    <definedName name="k_transfer_GCO2_sur">'Calculated variables'!$E$812</definedName>
    <definedName name="k_transfer_GH2S_bub">'Calculated variables'!$E$807</definedName>
    <definedName name="k_transfer_GH2S_sur">'Calculated variables'!$E$816</definedName>
    <definedName name="k_transfer_GNH3_bub">'Calculated variables'!$E$805</definedName>
    <definedName name="k_transfer_GNH3_sur">'Calculated variables'!$E$814</definedName>
    <definedName name="k_transfer_MM">Parameters!$D$284</definedName>
    <definedName name="K_Val_param">systemcode_constants!$D$304</definedName>
    <definedName name="K_VFA">'Calculated variables'!$E$220</definedName>
    <definedName name="K_VFA_AMETO">'Calculated variables'!$E$296</definedName>
    <definedName name="K_VFA_AMETO_AS">Parameters!$D$162</definedName>
    <definedName name="K_VFA_AS">Parameters!$D$24</definedName>
    <definedName name="K_VFA_ASRO">'Calculated variables'!$E$320</definedName>
    <definedName name="K_VFA_ASRO_AS">Parameters!$D$191</definedName>
    <definedName name="K_VFA_CASTO">'Calculated variables'!$E$281</definedName>
    <definedName name="K_VFA_CASTO_AS">Parameters!$D$78</definedName>
    <definedName name="K_VFA_FERM">'Calculated variables'!$E$256</definedName>
    <definedName name="K_VFA_FERM_AS">Parameters!$D$37</definedName>
    <definedName name="K_VFA_N2O">'Calculated variables'!$E$228</definedName>
    <definedName name="K_VFA_N2O_AS">Parameters!$D$28</definedName>
    <definedName name="K_VFA_NO">'Calculated variables'!$E$226</definedName>
    <definedName name="K_VFA_NO_AS">Parameters!$D$27</definedName>
    <definedName name="K_VFA_NO2">'Calculated variables'!$E$224</definedName>
    <definedName name="K_VFA_NO2_AS">Parameters!$D$26</definedName>
    <definedName name="K_VFA_NO3">'Calculated variables'!$E$222</definedName>
    <definedName name="K_VFA_NO3_AS">Parameters!$D$25</definedName>
    <definedName name="K_Vivi_DISS">Parameters!$D$241</definedName>
    <definedName name="K_W">'Calculated variables'!$E$685</definedName>
    <definedName name="K_W_param">systemcode_constants!$D$293</definedName>
    <definedName name="K_W_T">'Calculated variables'!$E$669</definedName>
    <definedName name="L_oginhORP_HFO">'Calculated variables'!$E$83</definedName>
    <definedName name="L_oginhORP_MM">'Calculated variables'!$E$84</definedName>
    <definedName name="L_oginhORP_PAO">'Calculated variables'!$E$78</definedName>
    <definedName name="L_oginhpHNH3_AMETO">'Calculated variables'!$E$442</definedName>
    <definedName name="L_oginhSPO4_KiP_HAO_DISS">'Calculated variables'!$E$592</definedName>
    <definedName name="L_oginhSPO4_KiP_HFO_DISS">'Calculated variables'!$E$589</definedName>
    <definedName name="L_oginhSVFA_KVFA_FERM">'Calculated variables'!$E$483</definedName>
    <definedName name="L_oginhXGLY_XGAO_max">'Calculated variables'!$E$538</definedName>
    <definedName name="L_oginhXPHA_XPAO_max">'Calculated variables'!$E$536</definedName>
    <definedName name="L_oginhXPP_XPAO_max">'Calculated variables'!$E$537</definedName>
    <definedName name="L_ograngeCO2_AMX_AS">Parameters!$D$151</definedName>
    <definedName name="L_ograngeCO2_AMX_pH_AS">Parameters!$D$153</definedName>
    <definedName name="L_ograngeCO2_AOB_AS">Parameters!$D$107</definedName>
    <definedName name="L_ograngeCO2_AOB_pH_AS">Parameters!$D$111</definedName>
    <definedName name="L_ograngeCO2_AOB_pH_sidestream">Parameters!$D$113</definedName>
    <definedName name="L_ograngeCO2_AOB_sidestream">Parameters!$D$109</definedName>
    <definedName name="L_ograngeCO2_NOB_AS">Parameters!$D$136</definedName>
    <definedName name="L_ograngeCO2_NOB_pH_AS">Parameters!$D$138</definedName>
    <definedName name="L_ograngeGLY_GAO_inh">Parameters!$D$95</definedName>
    <definedName name="L_ograngeNH3_AMETO">Parameters!$D$166</definedName>
    <definedName name="L_ograngeP_HAO_DISS">Parameters!$D$275</definedName>
    <definedName name="L_ograngeP_HFO_DISS">Parameters!$D$260</definedName>
    <definedName name="L_ograngePHA_PAO_inh">Parameters!$D$84</definedName>
    <definedName name="L_ograngePO4_PAO_AS_sat">Parameters!$D$70</definedName>
    <definedName name="L_ograngePP_PAO_AS_sat">Parameters!$D$71</definedName>
    <definedName name="L_ograngePP_PAO_inh">Parameters!$D$81</definedName>
    <definedName name="L_ograngeVFA_FERM_AS">Parameters!$D$38</definedName>
    <definedName name="L_ogsatORP_GAO_Half_15">Parameters!$D$96</definedName>
    <definedName name="L_ogsatORP_GAO_Half_25">Parameters!$D$97</definedName>
    <definedName name="L_ogsatORP_GAO_Half_T">'Calculated variables'!$E$81</definedName>
    <definedName name="L_ogsatORP_GAO_Slope">Parameters!$D$98</definedName>
    <definedName name="L_ogsatORP_GAO_T">'Calculated variables'!$E$82</definedName>
    <definedName name="L_ogsatORP_HFO_Half">Parameters!$D$253</definedName>
    <definedName name="L_ogsatORP_HFO_Slope">Parameters!$D$254</definedName>
    <definedName name="L_ogsatORP_MM_Half">Parameters!$D$288</definedName>
    <definedName name="L_ogsatORP_MM_Slope">Parameters!$D$289</definedName>
    <definedName name="L_ogsatORP_PAO_Half">Parameters!$D$90</definedName>
    <definedName name="L_ogsatORP_PAO_Slope">Parameters!$D$91</definedName>
    <definedName name="L_ogsatpHCO2_AMX">'Calculated variables'!$E$438</definedName>
    <definedName name="L_ogsatpHCO2_AOB">'Calculated variables'!$E$432</definedName>
    <definedName name="L_ogsatpHCO2_NOB">'Calculated variables'!$E$436</definedName>
    <definedName name="L_ogsatSPO4_KPO4_PAO">'Calculated variables'!$E$531</definedName>
    <definedName name="L_ogsatSVFA_KVFA_FERM">'Calculated variables'!$E$482</definedName>
    <definedName name="L_ogsatXPP_KPO4_PAO">'Calculated variables'!$E$534</definedName>
    <definedName name="L_ogslopeCO2_AMX_pH">'Calculated variables'!$E$407</definedName>
    <definedName name="L_ogslopeCO2_AOB_pH">'Calculated variables'!$E$402</definedName>
    <definedName name="L_ogslopeCO2_NOB_pH">'Calculated variables'!$E$405</definedName>
    <definedName name="L_ogslopeGLY_GAO_inh">'Calculated variables'!$E$416</definedName>
    <definedName name="L_ogslopeNH3_AMETO_pH">'Calculated variables'!$E$418</definedName>
    <definedName name="L_ogslopeP_HAO_DISS">'Calculated variables'!$E$420</definedName>
    <definedName name="L_ogslopeP_HFO_DISS">'Calculated variables'!$E$419</definedName>
    <definedName name="L_ogslopePHA_PAO_inh">'Calculated variables'!$E$414</definedName>
    <definedName name="L_ogslopePO4_PAO_sat">'Calculated variables'!$E$410</definedName>
    <definedName name="L_ogslopePP_PAO_inh">'Calculated variables'!$E$415</definedName>
    <definedName name="L_ogslopePP_PAO_sat">'Calculated variables'!$E$412</definedName>
    <definedName name="L_ogslopeVFA_FERM">'Calculated variables'!$E$408</definedName>
    <definedName name="M_inhH2S_KiH2S_ASRO">'Calculated variables'!$E$551</definedName>
    <definedName name="M_inhH2S_KiH2S_HSRO">'Calculated variables'!$E$558</definedName>
    <definedName name="M_inhpHHNO2_AMX">'Calculated variables'!$E$440</definedName>
    <definedName name="M_inhpHHNO2_AOB">'Calculated variables'!$E$430</definedName>
    <definedName name="M_inhpHNH3_NOB">'Calculated variables'!$E$434</definedName>
    <definedName name="M_inhSH2S_KiH2S_SOO">'Calculated variables'!$E$566</definedName>
    <definedName name="M_inhSNHx_KiNHx_ASSIM">'Calculated variables'!$E$579</definedName>
    <definedName name="M_inhSNO_KiNO_OHO_N2O">'Calculated variables'!$E$464</definedName>
    <definedName name="M_inhSNO_KiNO_OHO_NO2">'Calculated variables'!$E$463</definedName>
    <definedName name="M_inhSNO2_KNO2_ASSIM">'Calculated variables'!$E$586</definedName>
    <definedName name="M_inhSNO2_KNO2_CASTO">'Calculated variables'!$E$515</definedName>
    <definedName name="M_inhSNO2_KNO2_H2S_SOO">'Calculated variables'!$E$568</definedName>
    <definedName name="M_inhSNO2_KNO2_MEOLO">'Calculated variables'!$E$485</definedName>
    <definedName name="M_inhSNO2_KNO2_OHO">'Calculated variables'!$E$455</definedName>
    <definedName name="M_inhSNO2_KNO2_S_SOO">'Calculated variables'!$E$569</definedName>
    <definedName name="M_inhSNO3_KNO3_CASTO">'Calculated variables'!$E$516</definedName>
    <definedName name="M_inhSNO3_KNO3_H2S_SOO">'Calculated variables'!$E$567</definedName>
    <definedName name="M_inhSNO3_KNO3_MEOLO">'Calculated variables'!$E$486</definedName>
    <definedName name="M_inhSNO3_KNO3_OHO">'Calculated variables'!$E$456</definedName>
    <definedName name="M_inhSNOx_KNO3_AMETO">'Calculated variables'!$E$541</definedName>
    <definedName name="M_inhSNOx_KNO3_HMETO">'Calculated variables'!$E$546</definedName>
    <definedName name="M_inhSNOx_KNOx_AMX">'Calculated variables'!$E$509</definedName>
    <definedName name="M_inhSNOx_KNOx_AOB">'Calculated variables'!$E$491</definedName>
    <definedName name="M_inhSNOx_KNOx_ASRO">'Calculated variables'!$E$553</definedName>
    <definedName name="M_inhSNOx_KNOx_HSRO">'Calculated variables'!$E$560</definedName>
    <definedName name="M_inhSNOx_KNOx_NOB">'Calculated variables'!$E$504</definedName>
    <definedName name="M_inhSO2_KiO2_AMETO">'Calculated variables'!$E$542</definedName>
    <definedName name="M_inhSO2_KiO2_AMX">'Calculated variables'!$E$510</definedName>
    <definedName name="M_inhSO2_KiO2_AOB">'Calculated variables'!$E$494</definedName>
    <definedName name="M_inhSO2_KiO2_ASRO">'Calculated variables'!$E$555</definedName>
    <definedName name="M_inhSO2_KiO2_HMETO">'Calculated variables'!$E$547</definedName>
    <definedName name="M_inhSO2_KiO2_HSRO">'Calculated variables'!$E$562</definedName>
    <definedName name="M_inhSO2_KiO2_MEOLO">'Calculated variables'!$E$484</definedName>
    <definedName name="M_inhSO2_KO2_AOB">'Calculated variables'!$E$492</definedName>
    <definedName name="M_inhSO2_KO2_CASTO">'Calculated variables'!$E$517</definedName>
    <definedName name="M_inhSO2_KO2_H2S_SOO">'Calculated variables'!$E$570</definedName>
    <definedName name="M_inhSO2_KO2_NOB">'Calculated variables'!$E$505</definedName>
    <definedName name="M_inhSO2_KO2_OHO">'Calculated variables'!$E$457</definedName>
    <definedName name="M_inhSO2_KO2_OHO_N2O">'Calculated variables'!$E$461</definedName>
    <definedName name="M_inhSO2_KO2_OHO_NO">'Calculated variables'!$E$460</definedName>
    <definedName name="M_inhSO2_KO2_OHO_NO2">'Calculated variables'!$E$459</definedName>
    <definedName name="M_inhSO2_KO2_OHO_NO3">'Calculated variables'!$E$458</definedName>
    <definedName name="M_inhSO2_KO2_S_SOO">'Calculated variables'!$E$571</definedName>
    <definedName name="M_inhSPO4_KiP_DESORP">'Calculated variables'!$E$590</definedName>
    <definedName name="M_inhSPO4_KiP_HAO_DESORP">'Calculated variables'!$E$593</definedName>
    <definedName name="M_inhSPO4_KiPO4_lim">'Calculated variables'!$E$518</definedName>
    <definedName name="M_inhSSO4_KiSO4_ASSIM">'Calculated variables'!$E$587</definedName>
    <definedName name="M_inhSSO4_KiSO4_RED">'Calculated variables'!$E$595</definedName>
    <definedName name="M_inhSVFA_KVFA">'Calculated variables'!$E$462</definedName>
    <definedName name="M_MACP">systemcode_constants!$D$212</definedName>
    <definedName name="M_Mair">systemcode_constants!$D$199</definedName>
    <definedName name="M_MAl2SO43">systemcode_constants!$D$213</definedName>
    <definedName name="M_MAlCl3">systemcode_constants!$D$214</definedName>
    <definedName name="M_MAlOH3">systemcode_constants!$D$215</definedName>
    <definedName name="M_MAlPO4">systemcode_constants!$D$216</definedName>
    <definedName name="M_MBSH">systemcode_constants!$D$217</definedName>
    <definedName name="M_MCaCl2">systemcode_constants!$D$218</definedName>
    <definedName name="M_MCaCO3">systemcode_constants!$D$219</definedName>
    <definedName name="M_MCaH2PO4">systemcode_constants!$D$220</definedName>
    <definedName name="M_MCaHCO3">systemcode_constants!$D$221</definedName>
    <definedName name="M_MCaHPO4">systemcode_constants!$D$222</definedName>
    <definedName name="M_MCaOH">systemcode_constants!$D$223</definedName>
    <definedName name="M_MCaOH2">systemcode_constants!$D$224</definedName>
    <definedName name="M_MCaPO4">systemcode_constants!$D$225</definedName>
    <definedName name="M_MCH3COOH">systemcode_constants!$D$226</definedName>
    <definedName name="M_MCH3OH">systemcode_constants!$D$227</definedName>
    <definedName name="M_MCO2">systemcode_constants!$D$228</definedName>
    <definedName name="M_MCO3">systemcode_constants!$D$229</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systemcode_constants!$D$230</definedName>
    <definedName name="M_MFe2SO43">systemcode_constants!$D$231</definedName>
    <definedName name="M_MFeCl2">systemcode_constants!$D$232</definedName>
    <definedName name="M_MFeCl3">systemcode_constants!$D$233</definedName>
    <definedName name="M_MFeOH3">systemcode_constants!$D$234</definedName>
    <definedName name="M_MFeS">systemcode_constants!$D$235</definedName>
    <definedName name="M_MFeSO4">systemcode_constants!$D$236</definedName>
    <definedName name="M_MGCH4">systemcode_constants!$D$201</definedName>
    <definedName name="M_MGCO2">systemcode_constants!$D$202</definedName>
    <definedName name="M_MGH2">systemcode_constants!$D$200</definedName>
    <definedName name="M_MGH2S">systemcode_constants!$D$208</definedName>
    <definedName name="M_MGN2">systemcode_constants!$D$204</definedName>
    <definedName name="M_MGN2O">systemcode_constants!$D$207</definedName>
    <definedName name="M_MGNH3">systemcode_constants!$D$203</definedName>
    <definedName name="M_MGNO">systemcode_constants!$D$206</definedName>
    <definedName name="M_MGO2">systemcode_constants!$D$205</definedName>
    <definedName name="M_MH2CO3">systemcode_constants!$D$237</definedName>
    <definedName name="M_MH2O">systemcode_constants!$D$238</definedName>
    <definedName name="M_MH2S">systemcode_constants!$D$240</definedName>
    <definedName name="M_MH2SO4">systemcode_constants!$D$241</definedName>
    <definedName name="M_MH3PO4">systemcode_constants!$D$239</definedName>
    <definedName name="M_MHAP">systemcode_constants!$D$242</definedName>
    <definedName name="M_MHCl">systemcode_constants!$D$243</definedName>
    <definedName name="M_MHCO3">systemcode_constants!$D$244</definedName>
    <definedName name="M_MHDP">systemcode_constants!$D$245</definedName>
    <definedName name="M_MHNO3">systemcode_constants!$D$246</definedName>
    <definedName name="M_MHSO4">systemcode_constants!$D$247</definedName>
    <definedName name="M_MKNO2">systemcode_constants!$D$263</definedName>
    <definedName name="M_MKNO3">systemcode_constants!$D$264</definedName>
    <definedName name="M_MMgCO3">systemcode_constants!$D$248</definedName>
    <definedName name="M_MMgH2PO4">systemcode_constants!$D$249</definedName>
    <definedName name="M_MMgHCO3">systemcode_constants!$D$250</definedName>
    <definedName name="M_MMgHPO4">systemcode_constants!$D$251</definedName>
    <definedName name="M_MMgOH">systemcode_constants!$D$252</definedName>
    <definedName name="M_MMgOH2">systemcode_constants!$D$253</definedName>
    <definedName name="M_MMgPO4">systemcode_constants!$D$254</definedName>
    <definedName name="M_MMKP">systemcode_constants!$D$255</definedName>
    <definedName name="M_MMMC">systemcode_constants!$D$256</definedName>
    <definedName name="M_MN2">systemcode_constants!$D$257</definedName>
    <definedName name="M_MN2O">systemcode_constants!$D$258</definedName>
    <definedName name="M_MNa2CO3">systemcode_constants!$D$259</definedName>
    <definedName name="M_MNaCl">systemcode_constants!$D$260</definedName>
    <definedName name="M_MNaHCO3">systemcode_constants!$D$261</definedName>
    <definedName name="M_MNaHPO4">systemcode_constants!$D$262</definedName>
    <definedName name="M_MNaOH">systemcode_constants!$D$265</definedName>
    <definedName name="M_MNH3">systemcode_constants!$D$266</definedName>
    <definedName name="M_MNH4">systemcode_constants!$D$267</definedName>
    <definedName name="M_MNH4HCO3">systemcode_constants!$D$268</definedName>
    <definedName name="M_MNO">systemcode_constants!$D$269</definedName>
    <definedName name="M_MNO2">systemcode_constants!$D$270</definedName>
    <definedName name="M_MNO3">systemcode_constants!$D$271</definedName>
    <definedName name="M_MO2">systemcode_constants!$D$272</definedName>
    <definedName name="M_MPO4">systemcode_constants!$D$273</definedName>
    <definedName name="M_MSiO2">systemcode_constants!$D$274</definedName>
    <definedName name="M_MSO4">systemcode_constants!$D$275</definedName>
    <definedName name="M_MSTR">systemcode_constants!$D$276</definedName>
    <definedName name="M_MVivi">systemcode_constants!$D$277</definedName>
    <definedName name="M_RinhXGLY_XGAO_KGLY">'Calculated variables'!$E$539</definedName>
    <definedName name="M_RinhXPHA_XPAO_KPHA_cle">'Calculated variables'!$E$521</definedName>
    <definedName name="M_RinhXPP_XPAO_KPP">'Calculated variables'!$E$523</definedName>
    <definedName name="M_RinhXSTC_XCASTO_KSTC">'Calculated variables'!$E$522</definedName>
    <definedName name="M_RsatCB_XBIO_KFLOC">'Calculated variables'!$E$580</definedName>
    <definedName name="M_RsatCU_XBIO_KFLOC">'Calculated variables'!$E$581</definedName>
    <definedName name="M_RsatXB_XBIO_KHYD">'Calculated variables'!$E$582</definedName>
    <definedName name="M_RsatXEana_XBIO_KHYD">'Calculated variables'!$E$583</definedName>
    <definedName name="M_RsatXGLY_XGAO_KGLY">'Calculated variables'!$E$540</definedName>
    <definedName name="M_RsatXPHA_XPAO_KPHA">'Calculated variables'!$E$520</definedName>
    <definedName name="M_RsatXPP_XPAO_KPP">'Calculated variables'!$E$524</definedName>
    <definedName name="M_RsatXSTC_XCASTO_KSTC">'Calculated variables'!$E$519</definedName>
    <definedName name="M_satSAN_KAN">'Calculated variables'!$E$447</definedName>
    <definedName name="M_satSB_KSB">'Calculated variables'!$E$465</definedName>
    <definedName name="M_satSB_KSB_ana">'Calculated variables'!$E$470</definedName>
    <definedName name="M_satSB_KSB_N2O">'Calculated variables'!$E$469</definedName>
    <definedName name="M_satSB_KSB_NO">'Calculated variables'!$E$468</definedName>
    <definedName name="M_satSB_KSB_NO2">'Calculated variables'!$E$467</definedName>
    <definedName name="M_satSB_KSB_NO3">'Calculated variables'!$E$466</definedName>
    <definedName name="M_satSCa_KCa">'Calculated variables'!$E$449</definedName>
    <definedName name="M_satSCa_KCa_PAO">'Calculated variables'!$E$525</definedName>
    <definedName name="M_satSCAT_KCAT">'Calculated variables'!$E$448</definedName>
    <definedName name="M_satSCH4_MOB">'Calculated variables'!$E$604</definedName>
    <definedName name="M_satSCO2_KCO2_BIO">'Calculated variables'!$E$451</definedName>
    <definedName name="M_satSH2_KH2_HMETO">'Calculated variables'!$E$548</definedName>
    <definedName name="M_satSH2_KH2_HSRO">'Calculated variables'!$E$563</definedName>
    <definedName name="M_satSH2S_KH2S_ASSIM">'Calculated variables'!$E$588</definedName>
    <definedName name="M_satSHNO2_KHNO2_AOB">'Calculated variables'!$E$501</definedName>
    <definedName name="M_satSK_KK_PAO">'Calculated variables'!$E$526</definedName>
    <definedName name="M_satSMEOL_KMEOL">'Calculated variables'!$E$487</definedName>
    <definedName name="M_satSMEOL_KMEOL_OHO">'Calculated variables'!$E$471</definedName>
    <definedName name="M_satSMg_KMg">'Calculated variables'!$E$450</definedName>
    <definedName name="M_satSMg_KMg_PAO">'Calculated variables'!$E$527</definedName>
    <definedName name="M_satSN2O_KN2O_OHO">'Calculated variables'!$E$475</definedName>
    <definedName name="M_satSNH2OH_KNH2OH_AOB">'Calculated variables'!$E$497</definedName>
    <definedName name="M_satSNHx_KNHx_AMX">'Calculated variables'!$E$511</definedName>
    <definedName name="M_satSNHx_KNHx_AOB">'Calculated variables'!$E$495</definedName>
    <definedName name="M_satSNHx_KNHx_BIO">'Calculated variables'!$E$452</definedName>
    <definedName name="M_satSNHx_KNHx_NH2OH_AOB">'Calculated variables'!$E$496</definedName>
    <definedName name="M_satSNO_KNO_N2O_AOB">'Calculated variables'!$E$503</definedName>
    <definedName name="M_satSNO_KNO_NO2_AOB">'Calculated variables'!$E$502</definedName>
    <definedName name="M_satSNO2_KNO2_AMX">'Calculated variables'!$E$512</definedName>
    <definedName name="M_satSNO2_KNO2_ASSIM">'Calculated variables'!$E$584</definedName>
    <definedName name="M_satSNO2_KNO2_CASTO">'Calculated variables'!$E$528</definedName>
    <definedName name="M_satSNO2_KNO2_H2S_SOO">'Calculated variables'!$E$572</definedName>
    <definedName name="M_satSNO2_KNO2_MEOLO">'Calculated variables'!$E$488</definedName>
    <definedName name="M_satSNO2_KNO2_NOB">'Calculated variables'!$E$506</definedName>
    <definedName name="M_satSNO2_KNO2_OHO">'Calculated variables'!$E$473</definedName>
    <definedName name="M_satSNO2_KNO2_S_SOO">'Calculated variables'!$E$573</definedName>
    <definedName name="M_satSNO3_KNO3_ASSIM">'Calculated variables'!$E$585</definedName>
    <definedName name="M_satSNO3_KNO3_CASTO">'Calculated variables'!$E$529</definedName>
    <definedName name="M_satSNO3_KNO3_H2S_SOO">'Calculated variables'!$E$574</definedName>
    <definedName name="M_satSNO3_KNO3_MEOLO">'Calculated variables'!$E$489</definedName>
    <definedName name="M_satSNO3_KNO3_OHO">'Calculated variables'!$E$472</definedName>
    <definedName name="M_satSNO3_KNO3_S_SOO">'Calculated variables'!$E$575</definedName>
    <definedName name="M_satSNOx_KNO3_AMETO">'Calculated variables'!$E$543</definedName>
    <definedName name="M_satSNOx_KNO3_HMETO">'Calculated variables'!$E$549</definedName>
    <definedName name="M_satSNOx_KNOx_AMX">'Calculated variables'!$E$513</definedName>
    <definedName name="M_satSNOx_KNOx_AOB">'Calculated variables'!$E$498</definedName>
    <definedName name="M_satSNOx_KNOx_ASRO">'Calculated variables'!$E$552</definedName>
    <definedName name="M_satSNOx_KNOx_HSRO">'Calculated variables'!$E$559</definedName>
    <definedName name="M_satSNOx_KNOx_NOB">'Calculated variables'!$E$507</definedName>
    <definedName name="M_satSO2_KiO2_AMETO">'Calculated variables'!$E$544</definedName>
    <definedName name="M_satSO2_KiO2_AMX">'Calculated variables'!$E$514</definedName>
    <definedName name="M_satSO2_KiO2_ASRO">'Calculated variables'!$E$554</definedName>
    <definedName name="M_satSO2_KiO2_HMETO">'Calculated variables'!$E$550</definedName>
    <definedName name="M_satSO2_KiO2_HSRO">'Calculated variables'!$E$561</definedName>
    <definedName name="M_satSO2_KiO2_MEOLO">'Calculated variables'!$E$490</definedName>
    <definedName name="M_satSO2_KO2_AOB">'Calculated variables'!$E$493</definedName>
    <definedName name="M_satSO2_KO2_CASTO">'Calculated variables'!$E$530</definedName>
    <definedName name="M_satSO2_KO2_H2S_SOO">'Calculated variables'!$E$576</definedName>
    <definedName name="M_satSO2_KO2_MOB">'Calculated variables'!$E$603</definedName>
    <definedName name="M_satSO2_KO2_NH2OH_AOB">'Calculated variables'!$E$500</definedName>
    <definedName name="M_satSO2_KO2_NHx_AOB">'Calculated variables'!$E$499</definedName>
    <definedName name="M_satSO2_KO2_NOB">'Calculated variables'!$E$508</definedName>
    <definedName name="M_satSO2_KO2_OHO">'Calculated variables'!$E$476</definedName>
    <definedName name="M_satSO2_KO2_S_SOO">'Calculated variables'!$E$577</definedName>
    <definedName name="M_satSO4_KSO4_ASRO">'Calculated variables'!$E$556</definedName>
    <definedName name="M_satSO4_KSO4_HSRO">'Calculated variables'!$E$564</definedName>
    <definedName name="M_satSPO4_KP_BIND">'Calculated variables'!$E$591</definedName>
    <definedName name="M_satSPO4_KP_HAO_BIND">'Calculated variables'!$E$594</definedName>
    <definedName name="M_satSPO4_KPO4_BIO">'Calculated variables'!$E$453</definedName>
    <definedName name="M_satSPO4_KPO4_PAO">'Calculated variables'!$E$532</definedName>
    <definedName name="M_satSSO4_KSO4_BIO">'Calculated variables'!$E$454</definedName>
    <definedName name="M_satSVFA_KVFA">'Calculated variables'!$E$477</definedName>
    <definedName name="M_satSVFA_KVFA_ASRO">'Calculated variables'!$E$557</definedName>
    <definedName name="M_satSVFA_KVFA_CASTO">'Calculated variables'!$E$533</definedName>
    <definedName name="M_satSVFA_KVFA_N2O">'Calculated variables'!$E$481</definedName>
    <definedName name="M_satSVFA_KVFA_NO">'Calculated variables'!$E$480</definedName>
    <definedName name="M_satSVFA_KVFA_NO2">'Calculated variables'!$E$479</definedName>
    <definedName name="M_satSVFA_KVFA_NO3">'Calculated variables'!$E$478</definedName>
    <definedName name="M_satTKNB_KTKNB">'Calculated variables'!$E$602</definedName>
    <definedName name="M_satXACP_KACP_DISS">'Calculated variables'!$E$596</definedName>
    <definedName name="M_satXBSH_KBSH_DISS">'Calculated variables'!$E$597</definedName>
    <definedName name="M_satXCaCO3_KCaCO3_DISS">'Calculated variables'!$E$598</definedName>
    <definedName name="M_satXFeS_KFeS_DISS">'Calculated variables'!$E$599</definedName>
    <definedName name="M_satXPP_KPP_lim">'Calculated variables'!$E$535</definedName>
    <definedName name="M_satXS_KS_SOO">'Calculated variables'!$E$578</definedName>
    <definedName name="M_satXSTR_KSTR_DISS">'Calculated variables'!$E$600</definedName>
    <definedName name="M_satXVivi_KVivi_DISS">'Calculated variables'!$E$601</definedName>
    <definedName name="m_tox_aer">Parameters!$D$304</definedName>
    <definedName name="m_tox_ana">'Calculated variables'!$E$143</definedName>
    <definedName name="m_tox_ana_max">Parameters!$D$305</definedName>
    <definedName name="m_tox_anox">Parameters!$D$303</definedName>
    <definedName name="N_2OPR">'Calculated variables'!$E$126</definedName>
    <definedName name="N_2OPR_denit">'Calculated variables'!$E$128</definedName>
    <definedName name="N_2OPR_ND">'Calculated variables'!$E$131</definedName>
    <definedName name="N_2OPR_nit">'Calculated variables'!$E$129</definedName>
    <definedName name="N_2OPR_NN">'Calculated variables'!$E$130</definedName>
    <definedName name="N_2OUR_denit">'Calculated variables'!$E$127</definedName>
    <definedName name="N_2UR">'Calculated variables'!$E$125</definedName>
    <definedName name="N_3UR">'Calculated variables'!$E$124</definedName>
    <definedName name="ƞ_AOB_NO_N2O">Parameters!$D$103</definedName>
    <definedName name="ƞ_AOB_NO2_N2O">Parameters!$D$104</definedName>
    <definedName name="n_H2S_odor">Parameters!$D$287</definedName>
    <definedName name="N_OUR">'Calculated variables'!$E$123</definedName>
    <definedName name="O_dorH2S">'Calculated variables'!$E$88</definedName>
    <definedName name="O_dorindex">'Calculated variables'!$E$90</definedName>
    <definedName name="O_dorMM">'Calculated variables'!$E$89</definedName>
    <definedName name="O_RP">'Calculated variables'!$E$74</definedName>
    <definedName name="O_RPbase">Parameters!$D$514</definedName>
    <definedName name="O_RPH2_CH4_H2S">'Calculated variables'!$E$73</definedName>
    <definedName name="O_RPmax_SNOx">Parameters!$D$516</definedName>
    <definedName name="O_RPmax_SO2">Parameters!$D$515</definedName>
    <definedName name="O_RPNOx">'Calculated variables'!$E$71</definedName>
    <definedName name="O_RPO2">'Calculated variables'!$E$70</definedName>
    <definedName name="O_UR">'Calculated variables'!$E$121</definedName>
    <definedName name="p_H">'Calculated variables'!$E$731</definedName>
    <definedName name="p_Hhigh">Parameters!$D$307</definedName>
    <definedName name="p_Hhigh_AMETO">Parameters!$D$170</definedName>
    <definedName name="p_Hhigh_HMETO">Parameters!$D$180</definedName>
    <definedName name="p_Hlow">Parameters!$D$306</definedName>
    <definedName name="p_Hlow_AMETO">Parameters!$D$169</definedName>
    <definedName name="p_Hlow_HMETO">Parameters!$D$179</definedName>
    <definedName name="p_i">systemcode_constants!$D$74</definedName>
    <definedName name="p_NTP">systemcode_constants!$D$52</definedName>
    <definedName name="p_owdamp_ALPHA">Parameters!$D$505</definedName>
    <definedName name="P_recipDrivingForceACP">'Calculated variables'!$E$98</definedName>
    <definedName name="P_recipDrivingForceBSH">'Calculated variables'!$E$102</definedName>
    <definedName name="P_recipDrivingForceCaCO3">'Calculated variables'!$E$106</definedName>
    <definedName name="P_recipDrivingForceFeS">'Calculated variables'!$E$110</definedName>
    <definedName name="P_recipDrivingForceSTR">'Calculated variables'!$E$94</definedName>
    <definedName name="P_recipDrivingForceVivi">'Calculated variables'!$E$114</definedName>
    <definedName name="P_RR">'Calculated variables'!$E$136</definedName>
    <definedName name="p_STP">systemcode_constants!$D$51</definedName>
    <definedName name="P_UR">'Calculated variables'!$E$133</definedName>
    <definedName name="P_URBIO">'Calculated variables'!$E$134</definedName>
    <definedName name="P_URCHEM">'Calculated variables'!$E$135</definedName>
    <definedName name="q_ACP">'Calculated variables'!$E$101</definedName>
    <definedName name="q_ACP_DISS">Parameters!$D$229</definedName>
    <definedName name="q_ACP_PREC">Parameters!$D$228</definedName>
    <definedName name="q_ALPHA">Parameters!$D$500</definedName>
    <definedName name="q_ALPHA_SO2">'Calculated variables'!$E$840</definedName>
    <definedName name="q_AMMON">Parameters!$D$317</definedName>
    <definedName name="q_AMMON_T">'Calculated variables'!$E$641</definedName>
    <definedName name="q_ASSIM">Parameters!$D$320</definedName>
    <definedName name="q_ASSIM_T">'Calculated variables'!$E$644</definedName>
    <definedName name="q_BSH">'Calculated variables'!$E$105</definedName>
    <definedName name="q_BSH_DISS">Parameters!$D$231</definedName>
    <definedName name="q_BSH_PREC">Parameters!$D$230</definedName>
    <definedName name="q_CaCO3">'Calculated variables'!$E$109</definedName>
    <definedName name="q_CaCO3_DISS">Parameters!$D$225</definedName>
    <definedName name="q_CaCO3_PREC">Parameters!$D$224</definedName>
    <definedName name="q_Fe2_OX">Parameters!$D$255</definedName>
    <definedName name="q_Fe2_OX_T">'Calculated variables'!$E$645</definedName>
    <definedName name="q_FeS">'Calculated variables'!$E$113</definedName>
    <definedName name="q_FeS_DISS">Parameters!$D$235</definedName>
    <definedName name="q_FeS_OX">Parameters!$D$257</definedName>
    <definedName name="q_FeS_OX_T">'Calculated variables'!$E$646</definedName>
    <definedName name="q_FeS_PREC">Parameters!$D$234</definedName>
    <definedName name="q_FLOC">Parameters!$D$314</definedName>
    <definedName name="q_FLOC_T">'Calculated variables'!$E$639</definedName>
    <definedName name="q_GAO_GLY">Parameters!$D$62</definedName>
    <definedName name="q_GAO_GLY_T">'Calculated variables'!$E$618</definedName>
    <definedName name="q_H2S_OX">Parameters!$D$184</definedName>
    <definedName name="q_HAO_DISS">Parameters!$D$272</definedName>
    <definedName name="q_HAOH_AGING">Parameters!$D$266</definedName>
    <definedName name="q_HAOH_DESORP">Parameters!$D$270</definedName>
    <definedName name="q_HAOL_AGING">Parameters!$D$267</definedName>
    <definedName name="q_HAOL_DESORP">Parameters!$D$271</definedName>
    <definedName name="q_HFO_DISS">Parameters!$D$251</definedName>
    <definedName name="q_HFO_H2S_RED">Parameters!$D$256</definedName>
    <definedName name="q_HFO_H2S_RED_T">'Calculated variables'!$E$648</definedName>
    <definedName name="q_HFO_RED">Parameters!$D$252</definedName>
    <definedName name="q_HFO_RED_T">'Calculated variables'!$E$647</definedName>
    <definedName name="q_HFOH_AGING">Parameters!$D$245</definedName>
    <definedName name="q_HFOH_DESORP">Parameters!$D$249</definedName>
    <definedName name="q_HFOL_AGING">Parameters!$D$246</definedName>
    <definedName name="q_HFOL_DESORP">Parameters!$D$250</definedName>
    <definedName name="q_HYD">Parameters!$D$311</definedName>
    <definedName name="q_HYD_T">'Calculated variables'!$E$640</definedName>
    <definedName name="q_MEOL">Parameters!$D$46</definedName>
    <definedName name="q_MM_DEGR">Parameters!$D$281</definedName>
    <definedName name="q_MM_PROD">Parameters!$D$280</definedName>
    <definedName name="q_P_BIND">Parameters!$D$248</definedName>
    <definedName name="q_P_COPREC">Parameters!$D$247</definedName>
    <definedName name="q_P_HAO_BIND">Parameters!$D$269</definedName>
    <definedName name="q_P_HAO_COPREC">Parameters!$D$268</definedName>
    <definedName name="q_PAO_PHA">Parameters!$D$61</definedName>
    <definedName name="q_PAO_PHA_T">'Calculated variables'!$E$617</definedName>
    <definedName name="q_PAO_PP">Parameters!$D$55</definedName>
    <definedName name="q_PAO_PP_T">'Calculated variables'!$E$616</definedName>
    <definedName name="q_S_OX">Parameters!$D$185</definedName>
    <definedName name="q_SPB">Parameters!$D$318</definedName>
    <definedName name="q_SPB_T">'Calculated variables'!$E$642</definedName>
    <definedName name="q_STR">'Calculated variables'!$E$97</definedName>
    <definedName name="q_STR_DISS">Parameters!$D$227</definedName>
    <definedName name="q_STR_PREC">Parameters!$D$226</definedName>
    <definedName name="q_Vivi">'Calculated variables'!$E$117</definedName>
    <definedName name="q_Vivi_DISS">Parameters!$D$233</definedName>
    <definedName name="q_Vivi_PREC">Parameters!$D$232</definedName>
    <definedName name="q_XE">Parameters!$D$319</definedName>
    <definedName name="q_XE_T">'Calculated variables'!$E$643</definedName>
    <definedName name="R__">systemcode_constants!$D$60</definedName>
    <definedName name="r_1">Model!$CV$160</definedName>
    <definedName name="r_10">Model!$CV$169</definedName>
    <definedName name="r_100">Model!$CV$259</definedName>
    <definedName name="r_101">Model!$CV$260</definedName>
    <definedName name="r_102">Model!$CV$261</definedName>
    <definedName name="r_103">Model!$CV$262</definedName>
    <definedName name="r_104">Model!$CV$263</definedName>
    <definedName name="r_105">Model!$CV$264</definedName>
    <definedName name="r_106">Model!$CV$265</definedName>
    <definedName name="r_107">Model!$CV$266</definedName>
    <definedName name="r_108">Model!$CV$267</definedName>
    <definedName name="r_109">Model!$CV$268</definedName>
    <definedName name="r_11">Model!$CV$170</definedName>
    <definedName name="r_110">Model!$CV$269</definedName>
    <definedName name="r_111">Model!$CV$270</definedName>
    <definedName name="r_112">Model!$CV$271</definedName>
    <definedName name="r_113">Model!$CV$272</definedName>
    <definedName name="r_114">Model!$CV$273</definedName>
    <definedName name="r_115">Model!$CV$274</definedName>
    <definedName name="r_116">Model!$CV$275</definedName>
    <definedName name="r_117">Model!$CV$276</definedName>
    <definedName name="r_118">Model!$CV$277</definedName>
    <definedName name="r_119">Model!$CV$278</definedName>
    <definedName name="r_12">Model!$CV$171</definedName>
    <definedName name="r_120">Model!$CV$279</definedName>
    <definedName name="r_121">Model!$CV$280</definedName>
    <definedName name="r_122">Model!$CV$281</definedName>
    <definedName name="r_123">Model!$CV$282</definedName>
    <definedName name="r_124">Model!$CV$283</definedName>
    <definedName name="r_125">Model!$CV$284</definedName>
    <definedName name="r_126">Model!$CV$285</definedName>
    <definedName name="r_127">Model!$CV$286</definedName>
    <definedName name="r_128">Model!$CV$287</definedName>
    <definedName name="r_129">Model!$CV$288</definedName>
    <definedName name="r_13">Model!$CV$172</definedName>
    <definedName name="r_130">Model!$CV$289</definedName>
    <definedName name="r_131">Model!$CV$290</definedName>
    <definedName name="r_132">Model!$CV$291</definedName>
    <definedName name="r_133">Model!$CV$292</definedName>
    <definedName name="r_134">Model!$CV$293</definedName>
    <definedName name="r_135">Model!$CV$294</definedName>
    <definedName name="r_136">Model!$CV$295</definedName>
    <definedName name="r_14">Model!$CV$173</definedName>
    <definedName name="r_15">Model!$CV$174</definedName>
    <definedName name="r_16">Model!$CV$175</definedName>
    <definedName name="r_17">Model!$CV$176</definedName>
    <definedName name="r_18">Model!$CV$177</definedName>
    <definedName name="r_19">Model!$CV$178</definedName>
    <definedName name="r_2">Model!$CV$161</definedName>
    <definedName name="r_20">Model!$CV$179</definedName>
    <definedName name="r_21">Model!$CV$180</definedName>
    <definedName name="r_22">Model!$CV$181</definedName>
    <definedName name="r_23">Model!$CV$182</definedName>
    <definedName name="r_24">Model!$CV$183</definedName>
    <definedName name="r_25">Model!$CV$184</definedName>
    <definedName name="r_26">Model!$CV$185</definedName>
    <definedName name="r_27">Model!$CV$186</definedName>
    <definedName name="r_28">Model!$CV$187</definedName>
    <definedName name="r_29">Model!$CV$188</definedName>
    <definedName name="r_3">Model!$CV$162</definedName>
    <definedName name="r_30">Model!$CV$189</definedName>
    <definedName name="r_31">Model!$CV$190</definedName>
    <definedName name="r_32">Model!$CV$191</definedName>
    <definedName name="r_33">Model!$CV$192</definedName>
    <definedName name="r_34">Model!$CV$193</definedName>
    <definedName name="r_35">Model!$CV$194</definedName>
    <definedName name="r_36">Model!$CV$195</definedName>
    <definedName name="r_37">Model!$CV$196</definedName>
    <definedName name="r_38">Model!$CV$197</definedName>
    <definedName name="r_39">Model!$CV$198</definedName>
    <definedName name="r_4">Model!$CV$163</definedName>
    <definedName name="r_40">Model!$CV$199</definedName>
    <definedName name="r_41">Model!$CV$200</definedName>
    <definedName name="r_42">Model!$CV$201</definedName>
    <definedName name="r_43">Model!$CV$202</definedName>
    <definedName name="r_44">Model!$CV$203</definedName>
    <definedName name="r_45">Model!$CV$204</definedName>
    <definedName name="r_46">Model!$CV$205</definedName>
    <definedName name="r_47">Model!$CV$206</definedName>
    <definedName name="r_48">Model!$CV$207</definedName>
    <definedName name="r_49">Model!$CV$208</definedName>
    <definedName name="r_5">Model!$CV$164</definedName>
    <definedName name="r_50">Model!$CV$209</definedName>
    <definedName name="r_51">Model!$CV$210</definedName>
    <definedName name="r_52">Model!$CV$211</definedName>
    <definedName name="r_53">Model!$CV$212</definedName>
    <definedName name="r_54">Model!$CV$213</definedName>
    <definedName name="r_55">Model!$CV$214</definedName>
    <definedName name="r_56">Model!$CV$215</definedName>
    <definedName name="r_57">Model!$CV$216</definedName>
    <definedName name="r_58">Model!$CV$217</definedName>
    <definedName name="r_59">Model!$CV$218</definedName>
    <definedName name="r_6">Model!$CV$165</definedName>
    <definedName name="r_60">Model!$CV$219</definedName>
    <definedName name="r_61">Model!$CV$220</definedName>
    <definedName name="r_62">Model!$CV$221</definedName>
    <definedName name="r_63">Model!$CV$222</definedName>
    <definedName name="r_64">Model!$CV$223</definedName>
    <definedName name="r_65">Model!$CV$224</definedName>
    <definedName name="r_66">Model!$CV$225</definedName>
    <definedName name="r_67">Model!$CV$226</definedName>
    <definedName name="r_68">Model!$CV$227</definedName>
    <definedName name="r_69">Model!$CV$228</definedName>
    <definedName name="r_7">Model!$CV$166</definedName>
    <definedName name="r_70">Model!$CV$229</definedName>
    <definedName name="r_71">Model!$CV$230</definedName>
    <definedName name="r_72">Model!$CV$231</definedName>
    <definedName name="r_73">Model!$CV$232</definedName>
    <definedName name="r_74">Model!$CV$233</definedName>
    <definedName name="r_75">Model!$CV$234</definedName>
    <definedName name="r_76">Model!$CV$235</definedName>
    <definedName name="r_77">Model!$CV$236</definedName>
    <definedName name="r_78">Model!$CV$237</definedName>
    <definedName name="r_79">Model!$CV$238</definedName>
    <definedName name="r_8">Model!$CV$167</definedName>
    <definedName name="r_80">Model!$CV$239</definedName>
    <definedName name="r_81">Model!$CV$240</definedName>
    <definedName name="r_82">Model!$CV$241</definedName>
    <definedName name="r_83">Model!$CV$242</definedName>
    <definedName name="r_84">Model!$CV$243</definedName>
    <definedName name="r_85">Model!$CV$244</definedName>
    <definedName name="r_86">Model!$CV$245</definedName>
    <definedName name="r_87">Model!$CV$246</definedName>
    <definedName name="r_88">Model!$CV$247</definedName>
    <definedName name="r_89">Model!$CV$248</definedName>
    <definedName name="r_9">Model!$CV$168</definedName>
    <definedName name="r_90">Model!$CV$249</definedName>
    <definedName name="r_91">Model!$CV$250</definedName>
    <definedName name="r_92">Model!$CV$251</definedName>
    <definedName name="r_93">Model!$CV$252</definedName>
    <definedName name="r_94">Model!$CV$253</definedName>
    <definedName name="r_95">Model!$CV$254</definedName>
    <definedName name="r_96">Model!$CV$255</definedName>
    <definedName name="r_97">Model!$CV$256</definedName>
    <definedName name="r_98">Model!$CV$257</definedName>
    <definedName name="r_99">Model!$CV$258</definedName>
    <definedName name="R_air">systemcode_constants!$D$61</definedName>
    <definedName name="r_ateFLOC_CB_polymer">'other parameters'!$D$50</definedName>
    <definedName name="r_ateFLOC_CU_polymer">'other parameters'!$D$51</definedName>
    <definedName name="r_atioVSS_TSS">'Calculated variables'!$E$49</definedName>
    <definedName name="r_transfer_MM_lim">Parameters!$D$286</definedName>
    <definedName name="S_ALK">'Calculated variables'!$E$715</definedName>
    <definedName name="S_ALK_calc">'Calculated variables'!$E$50</definedName>
    <definedName name="S_ALK_input">'other parameters'!$D$52</definedName>
    <definedName name="S_ALPHA">Components!$E$78</definedName>
    <definedName name="S_ALPHA_sat">Parameters!$D$501</definedName>
    <definedName name="S_AN">Components!$E$49</definedName>
    <definedName name="S_AN_ini">'other parameters'!$D$54</definedName>
    <definedName name="S_B">Components!$E$5</definedName>
    <definedName name="S_BOD_5">'Calculated variables'!$E$22</definedName>
    <definedName name="S_BOD_ult">'Calculated variables'!$E$19</definedName>
    <definedName name="S_Ca">Components!$E$50</definedName>
    <definedName name="S_CAT">Components!$E$48</definedName>
    <definedName name="S_CAT_ini">'other parameters'!$D$53</definedName>
    <definedName name="S_CCOD">'Calculated variables'!$E$26</definedName>
    <definedName name="S_CH4">Components!$E$44</definedName>
    <definedName name="S_CO2">Components!$E$46</definedName>
    <definedName name="S_COD">'Calculated variables'!$E$25</definedName>
    <definedName name="S_Fe2">Components!$E$56</definedName>
    <definedName name="S_GCH4_bub_sat">'other parameters'!$D$20</definedName>
    <definedName name="S_GCH4_sur_sat">'other parameters'!$D$41</definedName>
    <definedName name="S_GCO2_bub_sat">'other parameters'!$D$19</definedName>
    <definedName name="S_GCO2_sur_sat">'other parameters'!$D$40</definedName>
    <definedName name="S_GH2_bub_sat">'other parameters'!$D$21</definedName>
    <definedName name="S_GH2_sur_sat">'other parameters'!$D$42</definedName>
    <definedName name="S_GH2S_bub_sat">'other parameters'!$D$17</definedName>
    <definedName name="S_GH2S_sur_sat">'other parameters'!$D$38</definedName>
    <definedName name="S_GN2_bub_sat">'other parameters'!$D$23</definedName>
    <definedName name="S_GN2_sur_sat">'other parameters'!$D$44</definedName>
    <definedName name="S_GN2O_bub_sat">'other parameters'!$D$24</definedName>
    <definedName name="S_GN2O_sur_sat">'other parameters'!$D$45</definedName>
    <definedName name="S_GNH3_bub_sat">'other parameters'!$D$22</definedName>
    <definedName name="S_GNH3_sur_sat">'other parameters'!$D$43</definedName>
    <definedName name="S_GNO_bub_sat">'other parameters'!$D$25</definedName>
    <definedName name="S_GNO_sur_sat">'other parameters'!$D$46</definedName>
    <definedName name="S_GO2_bub_sat">'other parameters'!$D$18</definedName>
    <definedName name="S_GO2_sur_sat">'other parameters'!$D$39</definedName>
    <definedName name="S_H2">Components!$E$45</definedName>
    <definedName name="S_H2_CH4_H2S">'Calculated variables'!$E$72</definedName>
    <definedName name="S_H2S">Components!$E$53</definedName>
    <definedName name="S_HNO2">'Calculated variables'!$E$796</definedName>
    <definedName name="S_K">Components!$E$52</definedName>
    <definedName name="S_KN">'Calculated variables'!$E$37</definedName>
    <definedName name="S_lopeIS_corr">Parameters!$D$524</definedName>
    <definedName name="s_lORP_GAO_Half_T">'Calculated variables'!$E$79</definedName>
    <definedName name="s_lTSS_α_coarse">Parameters!$D$507</definedName>
    <definedName name="s_lTSS_α_def">Parameters!$D$506</definedName>
    <definedName name="S_MEOL">Components!$E$6</definedName>
    <definedName name="S_Mg">Components!$E$51</definedName>
    <definedName name="S_MM_index">Components!$E$97</definedName>
    <definedName name="S_N_B">Components!$E$35</definedName>
    <definedName name="S_N2">Components!$E$34</definedName>
    <definedName name="S_N2O">Components!$E$33</definedName>
    <definedName name="S_NH2OH">Components!$E$28</definedName>
    <definedName name="S_NH3">'Calculated variables'!$E$798</definedName>
    <definedName name="S_NHx">Components!$E$27</definedName>
    <definedName name="S_NO">'Calculated variables'!$E$31</definedName>
    <definedName name="S_NO_AOB">Components!$E$31</definedName>
    <definedName name="S_NO_OHO">Components!$E$32</definedName>
    <definedName name="S_NO2">Components!$E$30</definedName>
    <definedName name="S_NO3">Components!$E$29</definedName>
    <definedName name="S_NOx">'Calculated variables'!$E$32</definedName>
    <definedName name="S_O2">Components!$E$43</definedName>
    <definedName name="S_OxR">'Calculated variables'!$E$137</definedName>
    <definedName name="S_P">'Calculated variables'!$E$39</definedName>
    <definedName name="S_P_B">Components!$E$40</definedName>
    <definedName name="S_PO4">Components!$E$38</definedName>
    <definedName name="S_rbCOD">'Calculated variables'!$E$6</definedName>
    <definedName name="S_RR">'Calculated variables'!$E$138</definedName>
    <definedName name="S_SO4">Components!$E$54</definedName>
    <definedName name="S_U">Components!$E$9</definedName>
    <definedName name="S_U_N">'Calculated variables'!$E$38</definedName>
    <definedName name="S_umo__pHEffects">'other parameters'!$D$58</definedName>
    <definedName name="S_VFA">Components!$E$4</definedName>
    <definedName name="T__">'Calculated variables'!$E$851</definedName>
    <definedName name="T_Al">'Calculated variables'!$E$43</definedName>
    <definedName name="T_base">Parameters!$D$376</definedName>
    <definedName name="T_BOD_5">'Calculated variables'!$E$24</definedName>
    <definedName name="T_BOD_ult">'Calculated variables'!$E$21</definedName>
    <definedName name="T_Ca">'Calculated variables'!$E$44</definedName>
    <definedName name="T_COD">'Calculated variables'!$E$27</definedName>
    <definedName name="T_COD_Th">'Calculated variables'!$E$28</definedName>
    <definedName name="T_Fe">'Calculated variables'!$E$42</definedName>
    <definedName name="T_IN">'Calculated variables'!$E$33</definedName>
    <definedName name="T_K">'Calculated variables'!$E$850</definedName>
    <definedName name="T_KN">'Calculated variables'!$E$29</definedName>
    <definedName name="T_KN_B">'Calculated variables'!$E$30</definedName>
    <definedName name="T_Mg">'Calculated variables'!$E$45</definedName>
    <definedName name="T_N">'Calculated variables'!$E$34</definedName>
    <definedName name="T_NTP_K">systemcode_constants!$D$68</definedName>
    <definedName name="T_OC">'Calculated variables'!$E$51</definedName>
    <definedName name="T_P">'Calculated variables'!$E$35</definedName>
    <definedName name="T_S">'Calculated variables'!$E$36</definedName>
    <definedName name="T_st_K">systemcode_constants!$D$67</definedName>
    <definedName name="T_STP_K">systemcode_constants!$D$69</definedName>
    <definedName name="v_1_CB">Model!$H$160</definedName>
    <definedName name="v_1_CU">Model!$K$160</definedName>
    <definedName name="v_1_GCH4">Model!$CC$160</definedName>
    <definedName name="v_1_GCH4_atm">Model!$CL$160</definedName>
    <definedName name="v_1_GCO2">Model!$CB$160</definedName>
    <definedName name="v_1_GCO2_atm">Model!$CK$160</definedName>
    <definedName name="v_1_GH2">Model!$CD$160</definedName>
    <definedName name="v_1_GH2_atm">Model!$CM$160</definedName>
    <definedName name="v_1_GH2S">Model!$CJ$160</definedName>
    <definedName name="v_1_GH2S_atm">Model!$CS$160</definedName>
    <definedName name="v_1_GN2">Model!$CI$160</definedName>
    <definedName name="v_1_GN2_atm">Model!$CR$160</definedName>
    <definedName name="v_1_GN2O">Model!$CH$160</definedName>
    <definedName name="v_1_GN2O_atm">Model!$CQ$160</definedName>
    <definedName name="v_1_GNH3">Model!$CF$160</definedName>
    <definedName name="v_1_GNH3_atm">Model!$CO$160</definedName>
    <definedName name="v_1_GNO">Model!$CG$160</definedName>
    <definedName name="v_1_GNO_atm">Model!$CP$160</definedName>
    <definedName name="v_1_GO2">Model!$CE$160</definedName>
    <definedName name="v_1_GO2_atm">Model!$CN$160</definedName>
    <definedName name="v_1_H">Model!$BZ$160</definedName>
    <definedName name="v_1_SALPHA">Model!$CA$160</definedName>
    <definedName name="v_1_SAN">Model!$AX$160</definedName>
    <definedName name="v_1_SB">Model!$F$160</definedName>
    <definedName name="v_1_SCa">Model!$AY$160</definedName>
    <definedName name="v_1_SCAT">Model!$AW$160</definedName>
    <definedName name="v_1_SCH4">Model!$AS$160</definedName>
    <definedName name="v_1_SCO2">Model!$AU$160</definedName>
    <definedName name="v_1_SFe2">Model!$BE$160</definedName>
    <definedName name="v_1_SH2">Model!$AT$160</definedName>
    <definedName name="v_1_SH2S">Model!$BB$160</definedName>
    <definedName name="v_1_SK">Model!$BA$160</definedName>
    <definedName name="v_1_SMEOL">Model!$G$160</definedName>
    <definedName name="v_1_SMg">Model!$AZ$160</definedName>
    <definedName name="v_1_SMM_index">Model!$CT$160</definedName>
    <definedName name="v_1_SN_B">Model!$AJ$160</definedName>
    <definedName name="v_1_SN2">Model!$AI$160</definedName>
    <definedName name="v_1_SN2O">Model!$AH$160</definedName>
    <definedName name="v_1_SNH2OH">Model!$AC$160</definedName>
    <definedName name="v_1_SNHx">Model!$AB$160</definedName>
    <definedName name="v_1_SNO_AOB">Model!$AF$160</definedName>
    <definedName name="v_1_SNO_OHO">Model!$AG$160</definedName>
    <definedName name="v_1_SNO2">Model!$AE$160</definedName>
    <definedName name="v_1_SNO3">Model!$AD$160</definedName>
    <definedName name="v_1_SO2">Model!$AR$160</definedName>
    <definedName name="v_1_SP_B">Model!$AO$160</definedName>
    <definedName name="v_1_SPO4">Model!$AM$160</definedName>
    <definedName name="v_1_SSO4">Model!$BC$160</definedName>
    <definedName name="v_1_SU">Model!$J$160</definedName>
    <definedName name="v_1_SVFA">Model!$E$160</definedName>
    <definedName name="v_1_XACP">Model!$BU$160</definedName>
    <definedName name="v_1_XAMETO">Model!$W$160</definedName>
    <definedName name="v_1_XAMX">Model!$V$160</definedName>
    <definedName name="v_1_XAOB">Model!$T$160</definedName>
    <definedName name="v_1_XASRO">Model!$Y$160</definedName>
    <definedName name="v_1_XB">Model!$I$160</definedName>
    <definedName name="v_1_XBSH">Model!$BV$160</definedName>
    <definedName name="v_1_XCaCO3">Model!$BT$160</definedName>
    <definedName name="v_1_XCASTO">Model!$R$160</definedName>
    <definedName name="v_1_XE">Model!$O$160</definedName>
    <definedName name="v_1_XE_ana">Model!$P$160</definedName>
    <definedName name="v_1_XFeS">Model!$BY$160</definedName>
    <definedName name="v_1_XGLY">Model!$N$160</definedName>
    <definedName name="v_1_XHAO_H">Model!$BM$160</definedName>
    <definedName name="v_1_XHAO_H_P">Model!$BP$160</definedName>
    <definedName name="v_1_XHAO_H_P_old">Model!$BR$160</definedName>
    <definedName name="v_1_XHAO_L">Model!$BN$160</definedName>
    <definedName name="v_1_XHAO_L_P">Model!$BQ$160</definedName>
    <definedName name="v_1_XHAO_L_P_old">Model!$BS$160</definedName>
    <definedName name="v_1_XHAO_old">Model!$BO$160</definedName>
    <definedName name="v_1_XHFO_H">Model!$BF$160</definedName>
    <definedName name="v_1_XHFO_H_P">Model!$BI$160</definedName>
    <definedName name="v_1_XHFO_H_P_old">Model!$BK$160</definedName>
    <definedName name="v_1_XHFO_L">Model!$BG$160</definedName>
    <definedName name="v_1_XHFO_L_P">Model!$BJ$160</definedName>
    <definedName name="v_1_XHFO_L_P_old">Model!$BL$160</definedName>
    <definedName name="v_1_XHFO_old">Model!$BH$160</definedName>
    <definedName name="v_1_XHMETO">Model!$X$160</definedName>
    <definedName name="v_1_XHSRO">Model!$Z$160</definedName>
    <definedName name="v_1_XINORG">Model!$AV$160</definedName>
    <definedName name="v_1_XMEOLO">Model!$S$160</definedName>
    <definedName name="v_1_XMOB">Model!$CU$160</definedName>
    <definedName name="v_1_XN_B">Model!$AK$160</definedName>
    <definedName name="v_1_XN_U">Model!$AL$160</definedName>
    <definedName name="v_1_XNOB">Model!$U$160</definedName>
    <definedName name="v_1_XOHO">Model!$Q$160</definedName>
    <definedName name="v_1_XP_B">Model!$AP$160</definedName>
    <definedName name="v_1_XP_U">Model!$AQ$160</definedName>
    <definedName name="v_1_XPHA">Model!$M$160</definedName>
    <definedName name="v_1_XPP">Model!$AN$160</definedName>
    <definedName name="v_1_XS">Model!$BD$160</definedName>
    <definedName name="v_1_XSOO">Model!$AA$160</definedName>
    <definedName name="v_1_XSTR">Model!$BW$160</definedName>
    <definedName name="v_1_XU">Model!$L$160</definedName>
    <definedName name="v_1_XVivi">Model!$BX$160</definedName>
    <definedName name="v_10_CB">Model!$H$169</definedName>
    <definedName name="v_10_CU">Model!$K$169</definedName>
    <definedName name="v_10_GCH4">Model!$CC$169</definedName>
    <definedName name="v_10_GCH4_atm">Model!$CL$169</definedName>
    <definedName name="v_10_GCO2">Model!$CB$169</definedName>
    <definedName name="v_10_GCO2_atm">Model!$CK$169</definedName>
    <definedName name="v_10_GH2">Model!$CD$169</definedName>
    <definedName name="v_10_GH2_atm">Model!$CM$169</definedName>
    <definedName name="v_10_GH2S">Model!$CJ$169</definedName>
    <definedName name="v_10_GH2S_atm">Model!$CS$169</definedName>
    <definedName name="v_10_GN2">Model!$CI$169</definedName>
    <definedName name="v_10_GN2_atm">Model!$CR$169</definedName>
    <definedName name="v_10_GN2O">Model!$CH$169</definedName>
    <definedName name="v_10_GN2O_atm">Model!$CQ$169</definedName>
    <definedName name="v_10_GNH3">Model!$CF$169</definedName>
    <definedName name="v_10_GNH3_atm">Model!$CO$169</definedName>
    <definedName name="v_10_GNO">Model!$CG$169</definedName>
    <definedName name="v_10_GNO_atm">Model!$CP$169</definedName>
    <definedName name="v_10_GO2">Model!$CE$169</definedName>
    <definedName name="v_10_GO2_atm">Model!$CN$169</definedName>
    <definedName name="v_10_H">Model!$BZ$169</definedName>
    <definedName name="v_10_SALPHA">Model!$CA$169</definedName>
    <definedName name="v_10_SAN">Model!$AX$169</definedName>
    <definedName name="v_10_SB">Model!$F$169</definedName>
    <definedName name="v_10_SCa">Model!$AY$169</definedName>
    <definedName name="v_10_SCAT">Model!$AW$169</definedName>
    <definedName name="v_10_SCH4">Model!$AS$169</definedName>
    <definedName name="v_10_SCO2">Model!$AU$169</definedName>
    <definedName name="v_10_SFe2">Model!$BE$169</definedName>
    <definedName name="v_10_SH2">Model!$AT$169</definedName>
    <definedName name="v_10_SH2S">Model!$BB$169</definedName>
    <definedName name="v_10_SK">Model!$BA$169</definedName>
    <definedName name="v_10_SMEOL">Model!$G$169</definedName>
    <definedName name="v_10_SMg">Model!$AZ$169</definedName>
    <definedName name="v_10_SMM_index">Model!$CT$169</definedName>
    <definedName name="v_10_SN_B">Model!$AJ$169</definedName>
    <definedName name="v_10_SN2">Model!$AI$169</definedName>
    <definedName name="v_10_SN2O">Model!$AH$169</definedName>
    <definedName name="v_10_SNH2OH">Model!$AC$169</definedName>
    <definedName name="v_10_SNHx">Model!$AB$169</definedName>
    <definedName name="v_10_SNO_AOB">Model!$AF$169</definedName>
    <definedName name="v_10_SNO_OHO">Model!$AG$169</definedName>
    <definedName name="v_10_SNO2">Model!$AE$169</definedName>
    <definedName name="v_10_SNO3">Model!$AD$169</definedName>
    <definedName name="v_10_SO2">Model!$AR$169</definedName>
    <definedName name="v_10_SP_B">Model!$AO$169</definedName>
    <definedName name="v_10_SPO4">Model!$AM$169</definedName>
    <definedName name="v_10_SSO4">Model!$BC$169</definedName>
    <definedName name="v_10_SU">Model!$J$169</definedName>
    <definedName name="v_10_SVFA">Model!$E$169</definedName>
    <definedName name="v_10_XACP">Model!$BU$169</definedName>
    <definedName name="v_10_XAMETO">Model!$W$169</definedName>
    <definedName name="v_10_XAMX">Model!$V$169</definedName>
    <definedName name="v_10_XAOB">Model!$T$169</definedName>
    <definedName name="v_10_XASRO">Model!$Y$169</definedName>
    <definedName name="v_10_XB">Model!$I$169</definedName>
    <definedName name="v_10_XBSH">Model!$BV$169</definedName>
    <definedName name="v_10_XCaCO3">Model!$BT$169</definedName>
    <definedName name="v_10_XCASTO">Model!$R$169</definedName>
    <definedName name="v_10_XE">Model!$O$169</definedName>
    <definedName name="v_10_XE_ana">Model!$P$169</definedName>
    <definedName name="v_10_XFeS">Model!$BY$169</definedName>
    <definedName name="v_10_XGLY">Model!$N$169</definedName>
    <definedName name="v_10_XHAO_H">Model!$BM$169</definedName>
    <definedName name="v_10_XHAO_H_P">Model!$BP$169</definedName>
    <definedName name="v_10_XHAO_H_P_old">Model!$BR$169</definedName>
    <definedName name="v_10_XHAO_L">Model!$BN$169</definedName>
    <definedName name="v_10_XHAO_L_P">Model!$BQ$169</definedName>
    <definedName name="v_10_XHAO_L_P_old">Model!$BS$169</definedName>
    <definedName name="v_10_XHAO_old">Model!$BO$169</definedName>
    <definedName name="v_10_XHFO_H">Model!$BF$169</definedName>
    <definedName name="v_10_XHFO_H_P">Model!$BI$169</definedName>
    <definedName name="v_10_XHFO_H_P_old">Model!$BK$169</definedName>
    <definedName name="v_10_XHFO_L">Model!$BG$169</definedName>
    <definedName name="v_10_XHFO_L_P">Model!$BJ$169</definedName>
    <definedName name="v_10_XHFO_L_P_old">Model!$BL$169</definedName>
    <definedName name="v_10_XHFO_old">Model!$BH$169</definedName>
    <definedName name="v_10_XHMETO">Model!$X$169</definedName>
    <definedName name="v_10_XHSRO">Model!$Z$169</definedName>
    <definedName name="v_10_XINORG">Model!$AV$169</definedName>
    <definedName name="v_10_XMEOLO">Model!$S$169</definedName>
    <definedName name="v_10_XMOB">Model!$CU$169</definedName>
    <definedName name="v_10_XN_B">Model!$AK$169</definedName>
    <definedName name="v_10_XN_U">Model!$AL$169</definedName>
    <definedName name="v_10_XNOB">Model!$U$169</definedName>
    <definedName name="v_10_XOHO">Model!$Q$169</definedName>
    <definedName name="v_10_XP_B">Model!$AP$169</definedName>
    <definedName name="v_10_XP_U">Model!$AQ$169</definedName>
    <definedName name="v_10_XPHA">Model!$M$169</definedName>
    <definedName name="v_10_XPP">Model!$AN$169</definedName>
    <definedName name="v_10_XS">Model!$BD$169</definedName>
    <definedName name="v_10_XSOO">Model!$AA$169</definedName>
    <definedName name="v_10_XSTR">Model!$BW$169</definedName>
    <definedName name="v_10_XU">Model!$L$169</definedName>
    <definedName name="v_10_XVivi">Model!$BX$169</definedName>
    <definedName name="v_100_CB">Model!$H$259</definedName>
    <definedName name="v_100_CU">Model!$K$259</definedName>
    <definedName name="v_100_GCH4">Model!$CC$259</definedName>
    <definedName name="v_100_GCH4_atm">Model!$CL$259</definedName>
    <definedName name="v_100_GCO2">Model!$CB$259</definedName>
    <definedName name="v_100_GCO2_atm">Model!$CK$259</definedName>
    <definedName name="v_100_GH2">Model!$CD$259</definedName>
    <definedName name="v_100_GH2_atm">Model!$CM$259</definedName>
    <definedName name="v_100_GH2S">Model!$CJ$259</definedName>
    <definedName name="v_100_GH2S_atm">Model!$CS$259</definedName>
    <definedName name="v_100_GN2">Model!$CI$259</definedName>
    <definedName name="v_100_GN2_atm">Model!$CR$259</definedName>
    <definedName name="v_100_GN2O">Model!$CH$259</definedName>
    <definedName name="v_100_GN2O_atm">Model!$CQ$259</definedName>
    <definedName name="v_100_GNH3">Model!$CF$259</definedName>
    <definedName name="v_100_GNH3_atm">Model!$CO$259</definedName>
    <definedName name="v_100_GNO">Model!$CG$259</definedName>
    <definedName name="v_100_GNO_atm">Model!$CP$259</definedName>
    <definedName name="v_100_GO2">Model!$CE$259</definedName>
    <definedName name="v_100_GO2_atm">Model!$CN$259</definedName>
    <definedName name="v_100_H">Model!$BZ$259</definedName>
    <definedName name="v_100_SALPHA">Model!$CA$259</definedName>
    <definedName name="v_100_SAN">Model!$AX$259</definedName>
    <definedName name="v_100_SB">Model!$F$259</definedName>
    <definedName name="v_100_SCa">Model!$AY$259</definedName>
    <definedName name="v_100_SCAT">Model!$AW$259</definedName>
    <definedName name="v_100_SCH4">Model!$AS$259</definedName>
    <definedName name="v_100_SCO2">Model!$AU$259</definedName>
    <definedName name="v_100_SFe2">Model!$BE$259</definedName>
    <definedName name="v_100_SH2">Model!$AT$259</definedName>
    <definedName name="v_100_SH2S">Model!$BB$259</definedName>
    <definedName name="v_100_SK">Model!$BA$259</definedName>
    <definedName name="v_100_SMEOL">Model!$G$259</definedName>
    <definedName name="v_100_SMg">Model!$AZ$259</definedName>
    <definedName name="v_100_SMM_index">Model!$CT$259</definedName>
    <definedName name="v_100_SN_B">Model!$AJ$259</definedName>
    <definedName name="v_100_SN2">Model!$AI$259</definedName>
    <definedName name="v_100_SN2O">Model!$AH$259</definedName>
    <definedName name="v_100_SNH2OH">Model!$AC$259</definedName>
    <definedName name="v_100_SNHx">Model!$AB$259</definedName>
    <definedName name="v_100_SNO_AOB">Model!$AF$259</definedName>
    <definedName name="v_100_SNO_OHO">Model!$AG$259</definedName>
    <definedName name="v_100_SNO2">Model!$AE$259</definedName>
    <definedName name="v_100_SNO3">Model!$AD$259</definedName>
    <definedName name="v_100_SO2">Model!$AR$259</definedName>
    <definedName name="v_100_SP_B">Model!$AO$259</definedName>
    <definedName name="v_100_SPO4">Model!$AM$259</definedName>
    <definedName name="v_100_SSO4">Model!$BC$259</definedName>
    <definedName name="v_100_SU">Model!$J$259</definedName>
    <definedName name="v_100_SVFA">Model!$E$259</definedName>
    <definedName name="v_100_XACP">Model!$BU$259</definedName>
    <definedName name="v_100_XAMETO">Model!$W$259</definedName>
    <definedName name="v_100_XAMX">Model!$V$259</definedName>
    <definedName name="v_100_XAOB">Model!$T$259</definedName>
    <definedName name="v_100_XASRO">Model!$Y$259</definedName>
    <definedName name="v_100_XB">Model!$I$259</definedName>
    <definedName name="v_100_XBSH">Model!$BV$259</definedName>
    <definedName name="v_100_XCaCO3">Model!$BT$259</definedName>
    <definedName name="v_100_XCASTO">Model!$R$259</definedName>
    <definedName name="v_100_XE">Model!$O$259</definedName>
    <definedName name="v_100_XE_ana">Model!$P$259</definedName>
    <definedName name="v_100_XFeS">Model!$BY$259</definedName>
    <definedName name="v_100_XGLY">Model!$N$259</definedName>
    <definedName name="v_100_XHAO_H">Model!$BM$259</definedName>
    <definedName name="v_100_XHAO_H_P">Model!$BP$259</definedName>
    <definedName name="v_100_XHAO_H_P_old">Model!$BR$259</definedName>
    <definedName name="v_100_XHAO_L">Model!$BN$259</definedName>
    <definedName name="v_100_XHAO_L_P">Model!$BQ$259</definedName>
    <definedName name="v_100_XHAO_L_P_old">Model!$BS$259</definedName>
    <definedName name="v_100_XHAO_old">Model!$BO$259</definedName>
    <definedName name="v_100_XHFO_H">Model!$BF$259</definedName>
    <definedName name="v_100_XHFO_H_P">Model!$BI$259</definedName>
    <definedName name="v_100_XHFO_H_P_old">Model!$BK$259</definedName>
    <definedName name="v_100_XHFO_L">Model!$BG$259</definedName>
    <definedName name="v_100_XHFO_L_P">Model!$BJ$259</definedName>
    <definedName name="v_100_XHFO_L_P_old">Model!$BL$259</definedName>
    <definedName name="v_100_XHFO_old">Model!$BH$259</definedName>
    <definedName name="v_100_XHMETO">Model!$X$259</definedName>
    <definedName name="v_100_XHSRO">Model!$Z$259</definedName>
    <definedName name="v_100_XINORG">Model!$AV$259</definedName>
    <definedName name="v_100_XMEOLO">Model!$S$259</definedName>
    <definedName name="v_100_XMOB">Model!$CU$259</definedName>
    <definedName name="v_100_XN_B">Model!$AK$259</definedName>
    <definedName name="v_100_XN_U">Model!$AL$259</definedName>
    <definedName name="v_100_XNOB">Model!$U$259</definedName>
    <definedName name="v_100_XOHO">Model!$Q$259</definedName>
    <definedName name="v_100_XP_B">Model!$AP$259</definedName>
    <definedName name="v_100_XP_U">Model!$AQ$259</definedName>
    <definedName name="v_100_XPHA">Model!$M$259</definedName>
    <definedName name="v_100_XPP">Model!$AN$259</definedName>
    <definedName name="v_100_XS">Model!$BD$259</definedName>
    <definedName name="v_100_XSOO">Model!$AA$259</definedName>
    <definedName name="v_100_XSTR">Model!$BW$259</definedName>
    <definedName name="v_100_XU">Model!$L$259</definedName>
    <definedName name="v_100_XVivi">Model!$BX$259</definedName>
    <definedName name="v_101_CB">Model!$H$260</definedName>
    <definedName name="v_101_CU">Model!$K$260</definedName>
    <definedName name="v_101_GCH4">Model!$CC$260</definedName>
    <definedName name="v_101_GCH4_atm">Model!$CL$260</definedName>
    <definedName name="v_101_GCO2">Model!$CB$260</definedName>
    <definedName name="v_101_GCO2_atm">Model!$CK$260</definedName>
    <definedName name="v_101_GH2">Model!$CD$260</definedName>
    <definedName name="v_101_GH2_atm">Model!$CM$260</definedName>
    <definedName name="v_101_GH2S">Model!$CJ$260</definedName>
    <definedName name="v_101_GH2S_atm">Model!$CS$260</definedName>
    <definedName name="v_101_GN2">Model!$CI$260</definedName>
    <definedName name="v_101_GN2_atm">Model!$CR$260</definedName>
    <definedName name="v_101_GN2O">Model!$CH$260</definedName>
    <definedName name="v_101_GN2O_atm">Model!$CQ$260</definedName>
    <definedName name="v_101_GNH3">Model!$CF$260</definedName>
    <definedName name="v_101_GNH3_atm">Model!$CO$260</definedName>
    <definedName name="v_101_GNO">Model!$CG$260</definedName>
    <definedName name="v_101_GNO_atm">Model!$CP$260</definedName>
    <definedName name="v_101_GO2">Model!$CE$260</definedName>
    <definedName name="v_101_GO2_atm">Model!$CN$260</definedName>
    <definedName name="v_101_H">Model!$BZ$260</definedName>
    <definedName name="v_101_SALPHA">Model!$CA$260</definedName>
    <definedName name="v_101_SAN">Model!$AX$260</definedName>
    <definedName name="v_101_SB">Model!$F$260</definedName>
    <definedName name="v_101_SCa">Model!$AY$260</definedName>
    <definedName name="v_101_SCAT">Model!$AW$260</definedName>
    <definedName name="v_101_SCH4">Model!$AS$260</definedName>
    <definedName name="v_101_SCO2">Model!$AU$260</definedName>
    <definedName name="v_101_SFe2">Model!$BE$260</definedName>
    <definedName name="v_101_SH2">Model!$AT$260</definedName>
    <definedName name="v_101_SH2S">Model!$BB$260</definedName>
    <definedName name="v_101_SK">Model!$BA$260</definedName>
    <definedName name="v_101_SMEOL">Model!$G$260</definedName>
    <definedName name="v_101_SMg">Model!$AZ$260</definedName>
    <definedName name="v_101_SMM_index">Model!$CT$260</definedName>
    <definedName name="v_101_SN_B">Model!$AJ$260</definedName>
    <definedName name="v_101_SN2">Model!$AI$260</definedName>
    <definedName name="v_101_SN2O">Model!$AH$260</definedName>
    <definedName name="v_101_SNH2OH">Model!$AC$260</definedName>
    <definedName name="v_101_SNHx">Model!$AB$260</definedName>
    <definedName name="v_101_SNO_AOB">Model!$AF$260</definedName>
    <definedName name="v_101_SNO_OHO">Model!$AG$260</definedName>
    <definedName name="v_101_SNO2">Model!$AE$260</definedName>
    <definedName name="v_101_SNO3">Model!$AD$260</definedName>
    <definedName name="v_101_SO2">Model!$AR$260</definedName>
    <definedName name="v_101_SP_B">Model!$AO$260</definedName>
    <definedName name="v_101_SPO4">Model!$AM$260</definedName>
    <definedName name="v_101_SSO4">Model!$BC$260</definedName>
    <definedName name="v_101_SU">Model!$J$260</definedName>
    <definedName name="v_101_SVFA">Model!$E$260</definedName>
    <definedName name="v_101_XACP">Model!$BU$260</definedName>
    <definedName name="v_101_XAMETO">Model!$W$260</definedName>
    <definedName name="v_101_XAMX">Model!$V$260</definedName>
    <definedName name="v_101_XAOB">Model!$T$260</definedName>
    <definedName name="v_101_XASRO">Model!$Y$260</definedName>
    <definedName name="v_101_XB">Model!$I$260</definedName>
    <definedName name="v_101_XBSH">Model!$BV$260</definedName>
    <definedName name="v_101_XCaCO3">Model!$BT$260</definedName>
    <definedName name="v_101_XCASTO">Model!$R$260</definedName>
    <definedName name="v_101_XE">Model!$O$260</definedName>
    <definedName name="v_101_XE_ana">Model!$P$260</definedName>
    <definedName name="v_101_XFeS">Model!$BY$260</definedName>
    <definedName name="v_101_XGLY">Model!$N$260</definedName>
    <definedName name="v_101_XHAO_H">Model!$BM$260</definedName>
    <definedName name="v_101_XHAO_H_P">Model!$BP$260</definedName>
    <definedName name="v_101_XHAO_H_P_old">Model!$BR$260</definedName>
    <definedName name="v_101_XHAO_L">Model!$BN$260</definedName>
    <definedName name="v_101_XHAO_L_P">Model!$BQ$260</definedName>
    <definedName name="v_101_XHAO_L_P_old">Model!$BS$260</definedName>
    <definedName name="v_101_XHAO_old">Model!$BO$260</definedName>
    <definedName name="v_101_XHFO_H">Model!$BF$260</definedName>
    <definedName name="v_101_XHFO_H_P">Model!$BI$260</definedName>
    <definedName name="v_101_XHFO_H_P_old">Model!$BK$260</definedName>
    <definedName name="v_101_XHFO_L">Model!$BG$260</definedName>
    <definedName name="v_101_XHFO_L_P">Model!$BJ$260</definedName>
    <definedName name="v_101_XHFO_L_P_old">Model!$BL$260</definedName>
    <definedName name="v_101_XHFO_old">Model!$BH$260</definedName>
    <definedName name="v_101_XHMETO">Model!$X$260</definedName>
    <definedName name="v_101_XHSRO">Model!$Z$260</definedName>
    <definedName name="v_101_XINORG">Model!$AV$260</definedName>
    <definedName name="v_101_XMEOLO">Model!$S$260</definedName>
    <definedName name="v_101_XMOB">Model!$CU$260</definedName>
    <definedName name="v_101_XN_B">Model!$AK$260</definedName>
    <definedName name="v_101_XN_U">Model!$AL$260</definedName>
    <definedName name="v_101_XNOB">Model!$U$260</definedName>
    <definedName name="v_101_XOHO">Model!$Q$260</definedName>
    <definedName name="v_101_XP_B">Model!$AP$260</definedName>
    <definedName name="v_101_XP_U">Model!$AQ$260</definedName>
    <definedName name="v_101_XPHA">Model!$M$260</definedName>
    <definedName name="v_101_XPP">Model!$AN$260</definedName>
    <definedName name="v_101_XS">Model!$BD$260</definedName>
    <definedName name="v_101_XSOO">Model!$AA$260</definedName>
    <definedName name="v_101_XSTR">Model!$BW$260</definedName>
    <definedName name="v_101_XU">Model!$L$260</definedName>
    <definedName name="v_101_XVivi">Model!$BX$260</definedName>
    <definedName name="v_102_CB">Model!$H$261</definedName>
    <definedName name="v_102_CU">Model!$K$261</definedName>
    <definedName name="v_102_GCH4">Model!$CC$261</definedName>
    <definedName name="v_102_GCH4_atm">Model!$CL$261</definedName>
    <definedName name="v_102_GCO2">Model!$CB$261</definedName>
    <definedName name="v_102_GCO2_atm">Model!$CK$261</definedName>
    <definedName name="v_102_GH2">Model!$CD$261</definedName>
    <definedName name="v_102_GH2_atm">Model!$CM$261</definedName>
    <definedName name="v_102_GH2S">Model!$CJ$261</definedName>
    <definedName name="v_102_GH2S_atm">Model!$CS$261</definedName>
    <definedName name="v_102_GN2">Model!$CI$261</definedName>
    <definedName name="v_102_GN2_atm">Model!$CR$261</definedName>
    <definedName name="v_102_GN2O">Model!$CH$261</definedName>
    <definedName name="v_102_GN2O_atm">Model!$CQ$261</definedName>
    <definedName name="v_102_GNH3">Model!$CF$261</definedName>
    <definedName name="v_102_GNH3_atm">Model!$CO$261</definedName>
    <definedName name="v_102_GNO">Model!$CG$261</definedName>
    <definedName name="v_102_GNO_atm">Model!$CP$261</definedName>
    <definedName name="v_102_GO2">Model!$CE$261</definedName>
    <definedName name="v_102_GO2_atm">Model!$CN$261</definedName>
    <definedName name="v_102_H">Model!$BZ$261</definedName>
    <definedName name="v_102_SALPHA">Model!$CA$261</definedName>
    <definedName name="v_102_SAN">Model!$AX$261</definedName>
    <definedName name="v_102_SB">Model!$F$261</definedName>
    <definedName name="v_102_SCa">Model!$AY$261</definedName>
    <definedName name="v_102_SCAT">Model!$AW$261</definedName>
    <definedName name="v_102_SCH4">Model!$AS$261</definedName>
    <definedName name="v_102_SCO2">Model!$AU$261</definedName>
    <definedName name="v_102_SFe2">Model!$BE$261</definedName>
    <definedName name="v_102_SH2">Model!$AT$261</definedName>
    <definedName name="v_102_SH2S">Model!$BB$261</definedName>
    <definedName name="v_102_SK">Model!$BA$261</definedName>
    <definedName name="v_102_SMEOL">Model!$G$261</definedName>
    <definedName name="v_102_SMg">Model!$AZ$261</definedName>
    <definedName name="v_102_SMM_index">Model!$CT$261</definedName>
    <definedName name="v_102_SN_B">Model!$AJ$261</definedName>
    <definedName name="v_102_SN2">Model!$AI$261</definedName>
    <definedName name="v_102_SN2O">Model!$AH$261</definedName>
    <definedName name="v_102_SNH2OH">Model!$AC$261</definedName>
    <definedName name="v_102_SNHx">Model!$AB$261</definedName>
    <definedName name="v_102_SNO_AOB">Model!$AF$261</definedName>
    <definedName name="v_102_SNO_OHO">Model!$AG$261</definedName>
    <definedName name="v_102_SNO2">Model!$AE$261</definedName>
    <definedName name="v_102_SNO3">Model!$AD$261</definedName>
    <definedName name="v_102_SO2">Model!$AR$261</definedName>
    <definedName name="v_102_SP_B">Model!$AO$261</definedName>
    <definedName name="v_102_SPO4">Model!$AM$261</definedName>
    <definedName name="v_102_SSO4">Model!$BC$261</definedName>
    <definedName name="v_102_SU">Model!$J$261</definedName>
    <definedName name="v_102_SVFA">Model!$E$261</definedName>
    <definedName name="v_102_XACP">Model!$BU$261</definedName>
    <definedName name="v_102_XAMETO">Model!$W$261</definedName>
    <definedName name="v_102_XAMX">Model!$V$261</definedName>
    <definedName name="v_102_XAOB">Model!$T$261</definedName>
    <definedName name="v_102_XASRO">Model!$Y$261</definedName>
    <definedName name="v_102_XB">Model!$I$261</definedName>
    <definedName name="v_102_XBSH">Model!$BV$261</definedName>
    <definedName name="v_102_XCaCO3">Model!$BT$261</definedName>
    <definedName name="v_102_XCASTO">Model!$R$261</definedName>
    <definedName name="v_102_XE">Model!$O$261</definedName>
    <definedName name="v_102_XE_ana">Model!$P$261</definedName>
    <definedName name="v_102_XFeS">Model!$BY$261</definedName>
    <definedName name="v_102_XGLY">Model!$N$261</definedName>
    <definedName name="v_102_XHAO_H">Model!$BM$261</definedName>
    <definedName name="v_102_XHAO_H_P">Model!$BP$261</definedName>
    <definedName name="v_102_XHAO_H_P_old">Model!$BR$261</definedName>
    <definedName name="v_102_XHAO_L">Model!$BN$261</definedName>
    <definedName name="v_102_XHAO_L_P">Model!$BQ$261</definedName>
    <definedName name="v_102_XHAO_L_P_old">Model!$BS$261</definedName>
    <definedName name="v_102_XHAO_old">Model!$BO$261</definedName>
    <definedName name="v_102_XHFO_H">Model!$BF$261</definedName>
    <definedName name="v_102_XHFO_H_P">Model!$BI$261</definedName>
    <definedName name="v_102_XHFO_H_P_old">Model!$BK$261</definedName>
    <definedName name="v_102_XHFO_L">Model!$BG$261</definedName>
    <definedName name="v_102_XHFO_L_P">Model!$BJ$261</definedName>
    <definedName name="v_102_XHFO_L_P_old">Model!$BL$261</definedName>
    <definedName name="v_102_XHFO_old">Model!$BH$261</definedName>
    <definedName name="v_102_XHMETO">Model!$X$261</definedName>
    <definedName name="v_102_XHSRO">Model!$Z$261</definedName>
    <definedName name="v_102_XINORG">Model!$AV$261</definedName>
    <definedName name="v_102_XMEOLO">Model!$S$261</definedName>
    <definedName name="v_102_XMOB">Model!$CU$261</definedName>
    <definedName name="v_102_XN_B">Model!$AK$261</definedName>
    <definedName name="v_102_XN_U">Model!$AL$261</definedName>
    <definedName name="v_102_XNOB">Model!$U$261</definedName>
    <definedName name="v_102_XOHO">Model!$Q$261</definedName>
    <definedName name="v_102_XP_B">Model!$AP$261</definedName>
    <definedName name="v_102_XP_U">Model!$AQ$261</definedName>
    <definedName name="v_102_XPHA">Model!$M$261</definedName>
    <definedName name="v_102_XPP">Model!$AN$261</definedName>
    <definedName name="v_102_XS">Model!$BD$261</definedName>
    <definedName name="v_102_XSOO">Model!$AA$261</definedName>
    <definedName name="v_102_XSTR">Model!$BW$261</definedName>
    <definedName name="v_102_XU">Model!$L$261</definedName>
    <definedName name="v_102_XVivi">Model!$BX$261</definedName>
    <definedName name="v_103_CB">Model!$H$262</definedName>
    <definedName name="v_103_CU">Model!$K$262</definedName>
    <definedName name="v_103_GCH4">Model!$CC$262</definedName>
    <definedName name="v_103_GCH4_atm">Model!$CL$262</definedName>
    <definedName name="v_103_GCO2">Model!$CB$262</definedName>
    <definedName name="v_103_GCO2_atm">Model!$CK$262</definedName>
    <definedName name="v_103_GH2">Model!$CD$262</definedName>
    <definedName name="v_103_GH2_atm">Model!$CM$262</definedName>
    <definedName name="v_103_GH2S">Model!$CJ$262</definedName>
    <definedName name="v_103_GH2S_atm">Model!$CS$262</definedName>
    <definedName name="v_103_GN2">Model!$CI$262</definedName>
    <definedName name="v_103_GN2_atm">Model!$CR$262</definedName>
    <definedName name="v_103_GN2O">Model!$CH$262</definedName>
    <definedName name="v_103_GN2O_atm">Model!$CQ$262</definedName>
    <definedName name="v_103_GNH3">Model!$CF$262</definedName>
    <definedName name="v_103_GNH3_atm">Model!$CO$262</definedName>
    <definedName name="v_103_GNO">Model!$CG$262</definedName>
    <definedName name="v_103_GNO_atm">Model!$CP$262</definedName>
    <definedName name="v_103_GO2">Model!$CE$262</definedName>
    <definedName name="v_103_GO2_atm">Model!$CN$262</definedName>
    <definedName name="v_103_H">Model!$BZ$262</definedName>
    <definedName name="v_103_SALPHA">Model!$CA$262</definedName>
    <definedName name="v_103_SAN">Model!$AX$262</definedName>
    <definedName name="v_103_SB">Model!$F$262</definedName>
    <definedName name="v_103_SCa">Model!$AY$262</definedName>
    <definedName name="v_103_SCAT">Model!$AW$262</definedName>
    <definedName name="v_103_SCH4">Model!$AS$262</definedName>
    <definedName name="v_103_SCO2">Model!$AU$262</definedName>
    <definedName name="v_103_SFe2">Model!$BE$262</definedName>
    <definedName name="v_103_SH2">Model!$AT$262</definedName>
    <definedName name="v_103_SH2S">Model!$BB$262</definedName>
    <definedName name="v_103_SK">Model!$BA$262</definedName>
    <definedName name="v_103_SMEOL">Model!$G$262</definedName>
    <definedName name="v_103_SMg">Model!$AZ$262</definedName>
    <definedName name="v_103_SMM_index">Model!$CT$262</definedName>
    <definedName name="v_103_SN_B">Model!$AJ$262</definedName>
    <definedName name="v_103_SN2">Model!$AI$262</definedName>
    <definedName name="v_103_SN2O">Model!$AH$262</definedName>
    <definedName name="v_103_SNH2OH">Model!$AC$262</definedName>
    <definedName name="v_103_SNHx">Model!$AB$262</definedName>
    <definedName name="v_103_SNO_AOB">Model!$AF$262</definedName>
    <definedName name="v_103_SNO_OHO">Model!$AG$262</definedName>
    <definedName name="v_103_SNO2">Model!$AE$262</definedName>
    <definedName name="v_103_SNO3">Model!$AD$262</definedName>
    <definedName name="v_103_SO2">Model!$AR$262</definedName>
    <definedName name="v_103_SP_B">Model!$AO$262</definedName>
    <definedName name="v_103_SPO4">Model!$AM$262</definedName>
    <definedName name="v_103_SSO4">Model!$BC$262</definedName>
    <definedName name="v_103_SU">Model!$J$262</definedName>
    <definedName name="v_103_SVFA">Model!$E$262</definedName>
    <definedName name="v_103_XACP">Model!$BU$262</definedName>
    <definedName name="v_103_XAMETO">Model!$W$262</definedName>
    <definedName name="v_103_XAMX">Model!$V$262</definedName>
    <definedName name="v_103_XAOB">Model!$T$262</definedName>
    <definedName name="v_103_XASRO">Model!$Y$262</definedName>
    <definedName name="v_103_XB">Model!$I$262</definedName>
    <definedName name="v_103_XBSH">Model!$BV$262</definedName>
    <definedName name="v_103_XCaCO3">Model!$BT$262</definedName>
    <definedName name="v_103_XCASTO">Model!$R$262</definedName>
    <definedName name="v_103_XE">Model!$O$262</definedName>
    <definedName name="v_103_XE_ana">Model!$P$262</definedName>
    <definedName name="v_103_XFeS">Model!$BY$262</definedName>
    <definedName name="v_103_XGLY">Model!$N$262</definedName>
    <definedName name="v_103_XHAO_H">Model!$BM$262</definedName>
    <definedName name="v_103_XHAO_H_P">Model!$BP$262</definedName>
    <definedName name="v_103_XHAO_H_P_old">Model!$BR$262</definedName>
    <definedName name="v_103_XHAO_L">Model!$BN$262</definedName>
    <definedName name="v_103_XHAO_L_P">Model!$BQ$262</definedName>
    <definedName name="v_103_XHAO_L_P_old">Model!$BS$262</definedName>
    <definedName name="v_103_XHAO_old">Model!$BO$262</definedName>
    <definedName name="v_103_XHFO_H">Model!$BF$262</definedName>
    <definedName name="v_103_XHFO_H_P">Model!$BI$262</definedName>
    <definedName name="v_103_XHFO_H_P_old">Model!$BK$262</definedName>
    <definedName name="v_103_XHFO_L">Model!$BG$262</definedName>
    <definedName name="v_103_XHFO_L_P">Model!$BJ$262</definedName>
    <definedName name="v_103_XHFO_L_P_old">Model!$BL$262</definedName>
    <definedName name="v_103_XHFO_old">Model!$BH$262</definedName>
    <definedName name="v_103_XHMETO">Model!$X$262</definedName>
    <definedName name="v_103_XHSRO">Model!$Z$262</definedName>
    <definedName name="v_103_XINORG">Model!$AV$262</definedName>
    <definedName name="v_103_XMEOLO">Model!$S$262</definedName>
    <definedName name="v_103_XMOB">Model!$CU$262</definedName>
    <definedName name="v_103_XN_B">Model!$AK$262</definedName>
    <definedName name="v_103_XN_U">Model!$AL$262</definedName>
    <definedName name="v_103_XNOB">Model!$U$262</definedName>
    <definedName name="v_103_XOHO">Model!$Q$262</definedName>
    <definedName name="v_103_XP_B">Model!$AP$262</definedName>
    <definedName name="v_103_XP_U">Model!$AQ$262</definedName>
    <definedName name="v_103_XPHA">Model!$M$262</definedName>
    <definedName name="v_103_XPP">Model!$AN$262</definedName>
    <definedName name="v_103_XS">Model!$BD$262</definedName>
    <definedName name="v_103_XSOO">Model!$AA$262</definedName>
    <definedName name="v_103_XSTR">Model!$BW$262</definedName>
    <definedName name="v_103_XU">Model!$L$262</definedName>
    <definedName name="v_103_XVivi">Model!$BX$262</definedName>
    <definedName name="v_104_CB">Model!$H$263</definedName>
    <definedName name="v_104_CU">Model!$K$263</definedName>
    <definedName name="v_104_GCH4">Model!$CC$263</definedName>
    <definedName name="v_104_GCH4_atm">Model!$CL$263</definedName>
    <definedName name="v_104_GCO2">Model!$CB$263</definedName>
    <definedName name="v_104_GCO2_atm">Model!$CK$263</definedName>
    <definedName name="v_104_GH2">Model!$CD$263</definedName>
    <definedName name="v_104_GH2_atm">Model!$CM$263</definedName>
    <definedName name="v_104_GH2S">Model!$CJ$263</definedName>
    <definedName name="v_104_GH2S_atm">Model!$CS$263</definedName>
    <definedName name="v_104_GN2">Model!$CI$263</definedName>
    <definedName name="v_104_GN2_atm">Model!$CR$263</definedName>
    <definedName name="v_104_GN2O">Model!$CH$263</definedName>
    <definedName name="v_104_GN2O_atm">Model!$CQ$263</definedName>
    <definedName name="v_104_GNH3">Model!$CF$263</definedName>
    <definedName name="v_104_GNH3_atm">Model!$CO$263</definedName>
    <definedName name="v_104_GNO">Model!$CG$263</definedName>
    <definedName name="v_104_GNO_atm">Model!$CP$263</definedName>
    <definedName name="v_104_GO2">Model!$CE$263</definedName>
    <definedName name="v_104_GO2_atm">Model!$CN$263</definedName>
    <definedName name="v_104_H">Model!$BZ$263</definedName>
    <definedName name="v_104_SALPHA">Model!$CA$263</definedName>
    <definedName name="v_104_SAN">Model!$AX$263</definedName>
    <definedName name="v_104_SB">Model!$F$263</definedName>
    <definedName name="v_104_SCa">Model!$AY$263</definedName>
    <definedName name="v_104_SCAT">Model!$AW$263</definedName>
    <definedName name="v_104_SCH4">Model!$AS$263</definedName>
    <definedName name="v_104_SCO2">Model!$AU$263</definedName>
    <definedName name="v_104_SFe2">Model!$BE$263</definedName>
    <definedName name="v_104_SH2">Model!$AT$263</definedName>
    <definedName name="v_104_SH2S">Model!$BB$263</definedName>
    <definedName name="v_104_SK">Model!$BA$263</definedName>
    <definedName name="v_104_SMEOL">Model!$G$263</definedName>
    <definedName name="v_104_SMg">Model!$AZ$263</definedName>
    <definedName name="v_104_SMM_index">Model!$CT$263</definedName>
    <definedName name="v_104_SN_B">Model!$AJ$263</definedName>
    <definedName name="v_104_SN2">Model!$AI$263</definedName>
    <definedName name="v_104_SN2O">Model!$AH$263</definedName>
    <definedName name="v_104_SNH2OH">Model!$AC$263</definedName>
    <definedName name="v_104_SNHx">Model!$AB$263</definedName>
    <definedName name="v_104_SNO_AOB">Model!$AF$263</definedName>
    <definedName name="v_104_SNO_OHO">Model!$AG$263</definedName>
    <definedName name="v_104_SNO2">Model!$AE$263</definedName>
    <definedName name="v_104_SNO3">Model!$AD$263</definedName>
    <definedName name="v_104_SO2">Model!$AR$263</definedName>
    <definedName name="v_104_SP_B">Model!$AO$263</definedName>
    <definedName name="v_104_SPO4">Model!$AM$263</definedName>
    <definedName name="v_104_SSO4">Model!$BC$263</definedName>
    <definedName name="v_104_SU">Model!$J$263</definedName>
    <definedName name="v_104_SVFA">Model!$E$263</definedName>
    <definedName name="v_104_XACP">Model!$BU$263</definedName>
    <definedName name="v_104_XAMETO">Model!$W$263</definedName>
    <definedName name="v_104_XAMX">Model!$V$263</definedName>
    <definedName name="v_104_XAOB">Model!$T$263</definedName>
    <definedName name="v_104_XASRO">Model!$Y$263</definedName>
    <definedName name="v_104_XB">Model!$I$263</definedName>
    <definedName name="v_104_XBSH">Model!$BV$263</definedName>
    <definedName name="v_104_XCaCO3">Model!$BT$263</definedName>
    <definedName name="v_104_XCASTO">Model!$R$263</definedName>
    <definedName name="v_104_XE">Model!$O$263</definedName>
    <definedName name="v_104_XE_ana">Model!$P$263</definedName>
    <definedName name="v_104_XFeS">Model!$BY$263</definedName>
    <definedName name="v_104_XGLY">Model!$N$263</definedName>
    <definedName name="v_104_XHAO_H">Model!$BM$263</definedName>
    <definedName name="v_104_XHAO_H_P">Model!$BP$263</definedName>
    <definedName name="v_104_XHAO_H_P_old">Model!$BR$263</definedName>
    <definedName name="v_104_XHAO_L">Model!$BN$263</definedName>
    <definedName name="v_104_XHAO_L_P">Model!$BQ$263</definedName>
    <definedName name="v_104_XHAO_L_P_old">Model!$BS$263</definedName>
    <definedName name="v_104_XHAO_old">Model!$BO$263</definedName>
    <definedName name="v_104_XHFO_H">Model!$BF$263</definedName>
    <definedName name="v_104_XHFO_H_P">Model!$BI$263</definedName>
    <definedName name="v_104_XHFO_H_P_old">Model!$BK$263</definedName>
    <definedName name="v_104_XHFO_L">Model!$BG$263</definedName>
    <definedName name="v_104_XHFO_L_P">Model!$BJ$263</definedName>
    <definedName name="v_104_XHFO_L_P_old">Model!$BL$263</definedName>
    <definedName name="v_104_XHFO_old">Model!$BH$263</definedName>
    <definedName name="v_104_XHMETO">Model!$X$263</definedName>
    <definedName name="v_104_XHSRO">Model!$Z$263</definedName>
    <definedName name="v_104_XINORG">Model!$AV$263</definedName>
    <definedName name="v_104_XMEOLO">Model!$S$263</definedName>
    <definedName name="v_104_XMOB">Model!$CU$263</definedName>
    <definedName name="v_104_XN_B">Model!$AK$263</definedName>
    <definedName name="v_104_XN_U">Model!$AL$263</definedName>
    <definedName name="v_104_XNOB">Model!$U$263</definedName>
    <definedName name="v_104_XOHO">Model!$Q$263</definedName>
    <definedName name="v_104_XP_B">Model!$AP$263</definedName>
    <definedName name="v_104_XP_U">Model!$AQ$263</definedName>
    <definedName name="v_104_XPHA">Model!$M$263</definedName>
    <definedName name="v_104_XPP">Model!$AN$263</definedName>
    <definedName name="v_104_XS">Model!$BD$263</definedName>
    <definedName name="v_104_XSOO">Model!$AA$263</definedName>
    <definedName name="v_104_XSTR">Model!$BW$263</definedName>
    <definedName name="v_104_XU">Model!$L$263</definedName>
    <definedName name="v_104_XVivi">Model!$BX$263</definedName>
    <definedName name="v_105_CB">Model!$H$264</definedName>
    <definedName name="v_105_CU">Model!$K$264</definedName>
    <definedName name="v_105_GCH4">Model!$CC$264</definedName>
    <definedName name="v_105_GCH4_atm">Model!$CL$264</definedName>
    <definedName name="v_105_GCO2">Model!$CB$264</definedName>
    <definedName name="v_105_GCO2_atm">Model!$CK$264</definedName>
    <definedName name="v_105_GH2">Model!$CD$264</definedName>
    <definedName name="v_105_GH2_atm">Model!$CM$264</definedName>
    <definedName name="v_105_GH2S">Model!$CJ$264</definedName>
    <definedName name="v_105_GH2S_atm">Model!$CS$264</definedName>
    <definedName name="v_105_GN2">Model!$CI$264</definedName>
    <definedName name="v_105_GN2_atm">Model!$CR$264</definedName>
    <definedName name="v_105_GN2O">Model!$CH$264</definedName>
    <definedName name="v_105_GN2O_atm">Model!$CQ$264</definedName>
    <definedName name="v_105_GNH3">Model!$CF$264</definedName>
    <definedName name="v_105_GNH3_atm">Model!$CO$264</definedName>
    <definedName name="v_105_GNO">Model!$CG$264</definedName>
    <definedName name="v_105_GNO_atm">Model!$CP$264</definedName>
    <definedName name="v_105_GO2">Model!$CE$264</definedName>
    <definedName name="v_105_GO2_atm">Model!$CN$264</definedName>
    <definedName name="v_105_H">Model!$BZ$264</definedName>
    <definedName name="v_105_SALPHA">Model!$CA$264</definedName>
    <definedName name="v_105_SAN">Model!$AX$264</definedName>
    <definedName name="v_105_SB">Model!$F$264</definedName>
    <definedName name="v_105_SCa">Model!$AY$264</definedName>
    <definedName name="v_105_SCAT">Model!$AW$264</definedName>
    <definedName name="v_105_SCH4">Model!$AS$264</definedName>
    <definedName name="v_105_SCO2">Model!$AU$264</definedName>
    <definedName name="v_105_SFe2">Model!$BE$264</definedName>
    <definedName name="v_105_SH2">Model!$AT$264</definedName>
    <definedName name="v_105_SH2S">Model!$BB$264</definedName>
    <definedName name="v_105_SK">Model!$BA$264</definedName>
    <definedName name="v_105_SMEOL">Model!$G$264</definedName>
    <definedName name="v_105_SMg">Model!$AZ$264</definedName>
    <definedName name="v_105_SMM_index">Model!$CT$264</definedName>
    <definedName name="v_105_SN_B">Model!$AJ$264</definedName>
    <definedName name="v_105_SN2">Model!$AI$264</definedName>
    <definedName name="v_105_SN2O">Model!$AH$264</definedName>
    <definedName name="v_105_SNH2OH">Model!$AC$264</definedName>
    <definedName name="v_105_SNHx">Model!$AB$264</definedName>
    <definedName name="v_105_SNO_AOB">Model!$AF$264</definedName>
    <definedName name="v_105_SNO_OHO">Model!$AG$264</definedName>
    <definedName name="v_105_SNO2">Model!$AE$264</definedName>
    <definedName name="v_105_SNO3">Model!$AD$264</definedName>
    <definedName name="v_105_SO2">Model!$AR$264</definedName>
    <definedName name="v_105_SP_B">Model!$AO$264</definedName>
    <definedName name="v_105_SPO4">Model!$AM$264</definedName>
    <definedName name="v_105_SSO4">Model!$BC$264</definedName>
    <definedName name="v_105_SU">Model!$J$264</definedName>
    <definedName name="v_105_SVFA">Model!$E$264</definedName>
    <definedName name="v_105_XACP">Model!$BU$264</definedName>
    <definedName name="v_105_XAMETO">Model!$W$264</definedName>
    <definedName name="v_105_XAMX">Model!$V$264</definedName>
    <definedName name="v_105_XAOB">Model!$T$264</definedName>
    <definedName name="v_105_XASRO">Model!$Y$264</definedName>
    <definedName name="v_105_XB">Model!$I$264</definedName>
    <definedName name="v_105_XBSH">Model!$BV$264</definedName>
    <definedName name="v_105_XCaCO3">Model!$BT$264</definedName>
    <definedName name="v_105_XCASTO">Model!$R$264</definedName>
    <definedName name="v_105_XE">Model!$O$264</definedName>
    <definedName name="v_105_XE_ana">Model!$P$264</definedName>
    <definedName name="v_105_XFeS">Model!$BY$264</definedName>
    <definedName name="v_105_XGLY">Model!$N$264</definedName>
    <definedName name="v_105_XHAO_H">Model!$BM$264</definedName>
    <definedName name="v_105_XHAO_H_P">Model!$BP$264</definedName>
    <definedName name="v_105_XHAO_H_P_old">Model!$BR$264</definedName>
    <definedName name="v_105_XHAO_L">Model!$BN$264</definedName>
    <definedName name="v_105_XHAO_L_P">Model!$BQ$264</definedName>
    <definedName name="v_105_XHAO_L_P_old">Model!$BS$264</definedName>
    <definedName name="v_105_XHAO_old">Model!$BO$264</definedName>
    <definedName name="v_105_XHFO_H">Model!$BF$264</definedName>
    <definedName name="v_105_XHFO_H_P">Model!$BI$264</definedName>
    <definedName name="v_105_XHFO_H_P_old">Model!$BK$264</definedName>
    <definedName name="v_105_XHFO_L">Model!$BG$264</definedName>
    <definedName name="v_105_XHFO_L_P">Model!$BJ$264</definedName>
    <definedName name="v_105_XHFO_L_P_old">Model!$BL$264</definedName>
    <definedName name="v_105_XHFO_old">Model!$BH$264</definedName>
    <definedName name="v_105_XHMETO">Model!$X$264</definedName>
    <definedName name="v_105_XHSRO">Model!$Z$264</definedName>
    <definedName name="v_105_XINORG">Model!$AV$264</definedName>
    <definedName name="v_105_XMEOLO">Model!$S$264</definedName>
    <definedName name="v_105_XMOB">Model!$CU$264</definedName>
    <definedName name="v_105_XN_B">Model!$AK$264</definedName>
    <definedName name="v_105_XN_U">Model!$AL$264</definedName>
    <definedName name="v_105_XNOB">Model!$U$264</definedName>
    <definedName name="v_105_XOHO">Model!$Q$264</definedName>
    <definedName name="v_105_XP_B">Model!$AP$264</definedName>
    <definedName name="v_105_XP_U">Model!$AQ$264</definedName>
    <definedName name="v_105_XPHA">Model!$M$264</definedName>
    <definedName name="v_105_XPP">Model!$AN$264</definedName>
    <definedName name="v_105_XS">Model!$BD$264</definedName>
    <definedName name="v_105_XSOO">Model!$AA$264</definedName>
    <definedName name="v_105_XSTR">Model!$BW$264</definedName>
    <definedName name="v_105_XU">Model!$L$264</definedName>
    <definedName name="v_105_XVivi">Model!$BX$264</definedName>
    <definedName name="v_106_CB">Model!$H$265</definedName>
    <definedName name="v_106_CU">Model!$K$265</definedName>
    <definedName name="v_106_GCH4">Model!$CC$265</definedName>
    <definedName name="v_106_GCH4_atm">Model!$CL$265</definedName>
    <definedName name="v_106_GCO2">Model!$CB$265</definedName>
    <definedName name="v_106_GCO2_atm">Model!$CK$265</definedName>
    <definedName name="v_106_GH2">Model!$CD$265</definedName>
    <definedName name="v_106_GH2_atm">Model!$CM$265</definedName>
    <definedName name="v_106_GH2S">Model!$CJ$265</definedName>
    <definedName name="v_106_GH2S_atm">Model!$CS$265</definedName>
    <definedName name="v_106_GN2">Model!$CI$265</definedName>
    <definedName name="v_106_GN2_atm">Model!$CR$265</definedName>
    <definedName name="v_106_GN2O">Model!$CH$265</definedName>
    <definedName name="v_106_GN2O_atm">Model!$CQ$265</definedName>
    <definedName name="v_106_GNH3">Model!$CF$265</definedName>
    <definedName name="v_106_GNH3_atm">Model!$CO$265</definedName>
    <definedName name="v_106_GNO">Model!$CG$265</definedName>
    <definedName name="v_106_GNO_atm">Model!$CP$265</definedName>
    <definedName name="v_106_GO2">Model!$CE$265</definedName>
    <definedName name="v_106_GO2_atm">Model!$CN$265</definedName>
    <definedName name="v_106_H">Model!$BZ$265</definedName>
    <definedName name="v_106_SALPHA">Model!$CA$265</definedName>
    <definedName name="v_106_SAN">Model!$AX$265</definedName>
    <definedName name="v_106_SB">Model!$F$265</definedName>
    <definedName name="v_106_SCa">Model!$AY$265</definedName>
    <definedName name="v_106_SCAT">Model!$AW$265</definedName>
    <definedName name="v_106_SCH4">Model!$AS$265</definedName>
    <definedName name="v_106_SCO2">Model!$AU$265</definedName>
    <definedName name="v_106_SFe2">Model!$BE$265</definedName>
    <definedName name="v_106_SH2">Model!$AT$265</definedName>
    <definedName name="v_106_SH2S">Model!$BB$265</definedName>
    <definedName name="v_106_SK">Model!$BA$265</definedName>
    <definedName name="v_106_SMEOL">Model!$G$265</definedName>
    <definedName name="v_106_SMg">Model!$AZ$265</definedName>
    <definedName name="v_106_SMM_index">Model!$CT$265</definedName>
    <definedName name="v_106_SN_B">Model!$AJ$265</definedName>
    <definedName name="v_106_SN2">Model!$AI$265</definedName>
    <definedName name="v_106_SN2O">Model!$AH$265</definedName>
    <definedName name="v_106_SNH2OH">Model!$AC$265</definedName>
    <definedName name="v_106_SNHx">Model!$AB$265</definedName>
    <definedName name="v_106_SNO_AOB">Model!$AF$265</definedName>
    <definedName name="v_106_SNO_OHO">Model!$AG$265</definedName>
    <definedName name="v_106_SNO2">Model!$AE$265</definedName>
    <definedName name="v_106_SNO3">Model!$AD$265</definedName>
    <definedName name="v_106_SO2">Model!$AR$265</definedName>
    <definedName name="v_106_SP_B">Model!$AO$265</definedName>
    <definedName name="v_106_SPO4">Model!$AM$265</definedName>
    <definedName name="v_106_SSO4">Model!$BC$265</definedName>
    <definedName name="v_106_SU">Model!$J$265</definedName>
    <definedName name="v_106_SVFA">Model!$E$265</definedName>
    <definedName name="v_106_XACP">Model!$BU$265</definedName>
    <definedName name="v_106_XAMETO">Model!$W$265</definedName>
    <definedName name="v_106_XAMX">Model!$V$265</definedName>
    <definedName name="v_106_XAOB">Model!$T$265</definedName>
    <definedName name="v_106_XASRO">Model!$Y$265</definedName>
    <definedName name="v_106_XB">Model!$I$265</definedName>
    <definedName name="v_106_XBSH">Model!$BV$265</definedName>
    <definedName name="v_106_XCaCO3">Model!$BT$265</definedName>
    <definedName name="v_106_XCASTO">Model!$R$265</definedName>
    <definedName name="v_106_XE">Model!$O$265</definedName>
    <definedName name="v_106_XE_ana">Model!$P$265</definedName>
    <definedName name="v_106_XFeS">Model!$BY$265</definedName>
    <definedName name="v_106_XGLY">Model!$N$265</definedName>
    <definedName name="v_106_XHAO_H">Model!$BM$265</definedName>
    <definedName name="v_106_XHAO_H_P">Model!$BP$265</definedName>
    <definedName name="v_106_XHAO_H_P_old">Model!$BR$265</definedName>
    <definedName name="v_106_XHAO_L">Model!$BN$265</definedName>
    <definedName name="v_106_XHAO_L_P">Model!$BQ$265</definedName>
    <definedName name="v_106_XHAO_L_P_old">Model!$BS$265</definedName>
    <definedName name="v_106_XHAO_old">Model!$BO$265</definedName>
    <definedName name="v_106_XHFO_H">Model!$BF$265</definedName>
    <definedName name="v_106_XHFO_H_P">Model!$BI$265</definedName>
    <definedName name="v_106_XHFO_H_P_old">Model!$BK$265</definedName>
    <definedName name="v_106_XHFO_L">Model!$BG$265</definedName>
    <definedName name="v_106_XHFO_L_P">Model!$BJ$265</definedName>
    <definedName name="v_106_XHFO_L_P_old">Model!$BL$265</definedName>
    <definedName name="v_106_XHFO_old">Model!$BH$265</definedName>
    <definedName name="v_106_XHMETO">Model!$X$265</definedName>
    <definedName name="v_106_XHSRO">Model!$Z$265</definedName>
    <definedName name="v_106_XINORG">Model!$AV$265</definedName>
    <definedName name="v_106_XMEOLO">Model!$S$265</definedName>
    <definedName name="v_106_XMOB">Model!$CU$265</definedName>
    <definedName name="v_106_XN_B">Model!$AK$265</definedName>
    <definedName name="v_106_XN_U">Model!$AL$265</definedName>
    <definedName name="v_106_XNOB">Model!$U$265</definedName>
    <definedName name="v_106_XOHO">Model!$Q$265</definedName>
    <definedName name="v_106_XP_B">Model!$AP$265</definedName>
    <definedName name="v_106_XP_U">Model!$AQ$265</definedName>
    <definedName name="v_106_XPHA">Model!$M$265</definedName>
    <definedName name="v_106_XPP">Model!$AN$265</definedName>
    <definedName name="v_106_XS">Model!$BD$265</definedName>
    <definedName name="v_106_XSOO">Model!$AA$265</definedName>
    <definedName name="v_106_XSTR">Model!$BW$265</definedName>
    <definedName name="v_106_XU">Model!$L$265</definedName>
    <definedName name="v_106_XVivi">Model!$BX$265</definedName>
    <definedName name="v_107_CB">Model!$H$266</definedName>
    <definedName name="v_107_CU">Model!$K$266</definedName>
    <definedName name="v_107_GCH4">Model!$CC$266</definedName>
    <definedName name="v_107_GCH4_atm">Model!$CL$266</definedName>
    <definedName name="v_107_GCO2">Model!$CB$266</definedName>
    <definedName name="v_107_GCO2_atm">Model!$CK$266</definedName>
    <definedName name="v_107_GH2">Model!$CD$266</definedName>
    <definedName name="v_107_GH2_atm">Model!$CM$266</definedName>
    <definedName name="v_107_GH2S">Model!$CJ$266</definedName>
    <definedName name="v_107_GH2S_atm">Model!$CS$266</definedName>
    <definedName name="v_107_GN2">Model!$CI$266</definedName>
    <definedName name="v_107_GN2_atm">Model!$CR$266</definedName>
    <definedName name="v_107_GN2O">Model!$CH$266</definedName>
    <definedName name="v_107_GN2O_atm">Model!$CQ$266</definedName>
    <definedName name="v_107_GNH3">Model!$CF$266</definedName>
    <definedName name="v_107_GNH3_atm">Model!$CO$266</definedName>
    <definedName name="v_107_GNO">Model!$CG$266</definedName>
    <definedName name="v_107_GNO_atm">Model!$CP$266</definedName>
    <definedName name="v_107_GO2">Model!$CE$266</definedName>
    <definedName name="v_107_GO2_atm">Model!$CN$266</definedName>
    <definedName name="v_107_H">Model!$BZ$266</definedName>
    <definedName name="v_107_SALPHA">Model!$CA$266</definedName>
    <definedName name="v_107_SAN">Model!$AX$266</definedName>
    <definedName name="v_107_SB">Model!$F$266</definedName>
    <definedName name="v_107_SCa">Model!$AY$266</definedName>
    <definedName name="v_107_SCAT">Model!$AW$266</definedName>
    <definedName name="v_107_SCH4">Model!$AS$266</definedName>
    <definedName name="v_107_SCO2">Model!$AU$266</definedName>
    <definedName name="v_107_SFe2">Model!$BE$266</definedName>
    <definedName name="v_107_SH2">Model!$AT$266</definedName>
    <definedName name="v_107_SH2S">Model!$BB$266</definedName>
    <definedName name="v_107_SK">Model!$BA$266</definedName>
    <definedName name="v_107_SMEOL">Model!$G$266</definedName>
    <definedName name="v_107_SMg">Model!$AZ$266</definedName>
    <definedName name="v_107_SMM_index">Model!$CT$266</definedName>
    <definedName name="v_107_SN_B">Model!$AJ$266</definedName>
    <definedName name="v_107_SN2">Model!$AI$266</definedName>
    <definedName name="v_107_SN2O">Model!$AH$266</definedName>
    <definedName name="v_107_SNH2OH">Model!$AC$266</definedName>
    <definedName name="v_107_SNHx">Model!$AB$266</definedName>
    <definedName name="v_107_SNO_AOB">Model!$AF$266</definedName>
    <definedName name="v_107_SNO_OHO">Model!$AG$266</definedName>
    <definedName name="v_107_SNO2">Model!$AE$266</definedName>
    <definedName name="v_107_SNO3">Model!$AD$266</definedName>
    <definedName name="v_107_SO2">Model!$AR$266</definedName>
    <definedName name="v_107_SP_B">Model!$AO$266</definedName>
    <definedName name="v_107_SPO4">Model!$AM$266</definedName>
    <definedName name="v_107_SSO4">Model!$BC$266</definedName>
    <definedName name="v_107_SU">Model!$J$266</definedName>
    <definedName name="v_107_SVFA">Model!$E$266</definedName>
    <definedName name="v_107_XACP">Model!$BU$266</definedName>
    <definedName name="v_107_XAMETO">Model!$W$266</definedName>
    <definedName name="v_107_XAMX">Model!$V$266</definedName>
    <definedName name="v_107_XAOB">Model!$T$266</definedName>
    <definedName name="v_107_XASRO">Model!$Y$266</definedName>
    <definedName name="v_107_XB">Model!$I$266</definedName>
    <definedName name="v_107_XBSH">Model!$BV$266</definedName>
    <definedName name="v_107_XCaCO3">Model!$BT$266</definedName>
    <definedName name="v_107_XCASTO">Model!$R$266</definedName>
    <definedName name="v_107_XE">Model!$O$266</definedName>
    <definedName name="v_107_XE_ana">Model!$P$266</definedName>
    <definedName name="v_107_XFeS">Model!$BY$266</definedName>
    <definedName name="v_107_XGLY">Model!$N$266</definedName>
    <definedName name="v_107_XHAO_H">Model!$BM$266</definedName>
    <definedName name="v_107_XHAO_H_P">Model!$BP$266</definedName>
    <definedName name="v_107_XHAO_H_P_old">Model!$BR$266</definedName>
    <definedName name="v_107_XHAO_L">Model!$BN$266</definedName>
    <definedName name="v_107_XHAO_L_P">Model!$BQ$266</definedName>
    <definedName name="v_107_XHAO_L_P_old">Model!$BS$266</definedName>
    <definedName name="v_107_XHAO_old">Model!$BO$266</definedName>
    <definedName name="v_107_XHFO_H">Model!$BF$266</definedName>
    <definedName name="v_107_XHFO_H_P">Model!$BI$266</definedName>
    <definedName name="v_107_XHFO_H_P_old">Model!$BK$266</definedName>
    <definedName name="v_107_XHFO_L">Model!$BG$266</definedName>
    <definedName name="v_107_XHFO_L_P">Model!$BJ$266</definedName>
    <definedName name="v_107_XHFO_L_P_old">Model!$BL$266</definedName>
    <definedName name="v_107_XHFO_old">Model!$BH$266</definedName>
    <definedName name="v_107_XHMETO">Model!$X$266</definedName>
    <definedName name="v_107_XHSRO">Model!$Z$266</definedName>
    <definedName name="v_107_XINORG">Model!$AV$266</definedName>
    <definedName name="v_107_XMEOLO">Model!$S$266</definedName>
    <definedName name="v_107_XMOB">Model!$CU$266</definedName>
    <definedName name="v_107_XN_B">Model!$AK$266</definedName>
    <definedName name="v_107_XN_U">Model!$AL$266</definedName>
    <definedName name="v_107_XNOB">Model!$U$266</definedName>
    <definedName name="v_107_XOHO">Model!$Q$266</definedName>
    <definedName name="v_107_XP_B">Model!$AP$266</definedName>
    <definedName name="v_107_XP_U">Model!$AQ$266</definedName>
    <definedName name="v_107_XPHA">Model!$M$266</definedName>
    <definedName name="v_107_XPP">Model!$AN$266</definedName>
    <definedName name="v_107_XS">Model!$BD$266</definedName>
    <definedName name="v_107_XSOO">Model!$AA$266</definedName>
    <definedName name="v_107_XSTR">Model!$BW$266</definedName>
    <definedName name="v_107_XU">Model!$L$266</definedName>
    <definedName name="v_107_XVivi">Model!$BX$266</definedName>
    <definedName name="v_108_CB">Model!$H$267</definedName>
    <definedName name="v_108_CU">Model!$K$267</definedName>
    <definedName name="v_108_GCH4">Model!$CC$267</definedName>
    <definedName name="v_108_GCH4_atm">Model!$CL$267</definedName>
    <definedName name="v_108_GCO2">Model!$CB$267</definedName>
    <definedName name="v_108_GCO2_atm">Model!$CK$267</definedName>
    <definedName name="v_108_GH2">Model!$CD$267</definedName>
    <definedName name="v_108_GH2_atm">Model!$CM$267</definedName>
    <definedName name="v_108_GH2S">Model!$CJ$267</definedName>
    <definedName name="v_108_GH2S_atm">Model!$CS$267</definedName>
    <definedName name="v_108_GN2">Model!$CI$267</definedName>
    <definedName name="v_108_GN2_atm">Model!$CR$267</definedName>
    <definedName name="v_108_GN2O">Model!$CH$267</definedName>
    <definedName name="v_108_GN2O_atm">Model!$CQ$267</definedName>
    <definedName name="v_108_GNH3">Model!$CF$267</definedName>
    <definedName name="v_108_GNH3_atm">Model!$CO$267</definedName>
    <definedName name="v_108_GNO">Model!$CG$267</definedName>
    <definedName name="v_108_GNO_atm">Model!$CP$267</definedName>
    <definedName name="v_108_GO2">Model!$CE$267</definedName>
    <definedName name="v_108_GO2_atm">Model!$CN$267</definedName>
    <definedName name="v_108_H">Model!$BZ$267</definedName>
    <definedName name="v_108_SALPHA">Model!$CA$267</definedName>
    <definedName name="v_108_SAN">Model!$AX$267</definedName>
    <definedName name="v_108_SB">Model!$F$267</definedName>
    <definedName name="v_108_SCa">Model!$AY$267</definedName>
    <definedName name="v_108_SCAT">Model!$AW$267</definedName>
    <definedName name="v_108_SCH4">Model!$AS$267</definedName>
    <definedName name="v_108_SCO2">Model!$AU$267</definedName>
    <definedName name="v_108_SFe2">Model!$BE$267</definedName>
    <definedName name="v_108_SH2">Model!$AT$267</definedName>
    <definedName name="v_108_SH2S">Model!$BB$267</definedName>
    <definedName name="v_108_SK">Model!$BA$267</definedName>
    <definedName name="v_108_SMEOL">Model!$G$267</definedName>
    <definedName name="v_108_SMg">Model!$AZ$267</definedName>
    <definedName name="v_108_SMM_index">Model!$CT$267</definedName>
    <definedName name="v_108_SN_B">Model!$AJ$267</definedName>
    <definedName name="v_108_SN2">Model!$AI$267</definedName>
    <definedName name="v_108_SN2O">Model!$AH$267</definedName>
    <definedName name="v_108_SNH2OH">Model!$AC$267</definedName>
    <definedName name="v_108_SNHx">Model!$AB$267</definedName>
    <definedName name="v_108_SNO_AOB">Model!$AF$267</definedName>
    <definedName name="v_108_SNO_OHO">Model!$AG$267</definedName>
    <definedName name="v_108_SNO2">Model!$AE$267</definedName>
    <definedName name="v_108_SNO3">Model!$AD$267</definedName>
    <definedName name="v_108_SO2">Model!$AR$267</definedName>
    <definedName name="v_108_SP_B">Model!$AO$267</definedName>
    <definedName name="v_108_SPO4">Model!$AM$267</definedName>
    <definedName name="v_108_SSO4">Model!$BC$267</definedName>
    <definedName name="v_108_SU">Model!$J$267</definedName>
    <definedName name="v_108_SVFA">Model!$E$267</definedName>
    <definedName name="v_108_XACP">Model!$BU$267</definedName>
    <definedName name="v_108_XAMETO">Model!$W$267</definedName>
    <definedName name="v_108_XAMX">Model!$V$267</definedName>
    <definedName name="v_108_XAOB">Model!$T$267</definedName>
    <definedName name="v_108_XASRO">Model!$Y$267</definedName>
    <definedName name="v_108_XB">Model!$I$267</definedName>
    <definedName name="v_108_XBSH">Model!$BV$267</definedName>
    <definedName name="v_108_XCaCO3">Model!$BT$267</definedName>
    <definedName name="v_108_XCASTO">Model!$R$267</definedName>
    <definedName name="v_108_XE">Model!$O$267</definedName>
    <definedName name="v_108_XE_ana">Model!$P$267</definedName>
    <definedName name="v_108_XFeS">Model!$BY$267</definedName>
    <definedName name="v_108_XGLY">Model!$N$267</definedName>
    <definedName name="v_108_XHAO_H">Model!$BM$267</definedName>
    <definedName name="v_108_XHAO_H_P">Model!$BP$267</definedName>
    <definedName name="v_108_XHAO_H_P_old">Model!$BR$267</definedName>
    <definedName name="v_108_XHAO_L">Model!$BN$267</definedName>
    <definedName name="v_108_XHAO_L_P">Model!$BQ$267</definedName>
    <definedName name="v_108_XHAO_L_P_old">Model!$BS$267</definedName>
    <definedName name="v_108_XHAO_old">Model!$BO$267</definedName>
    <definedName name="v_108_XHFO_H">Model!$BF$267</definedName>
    <definedName name="v_108_XHFO_H_P">Model!$BI$267</definedName>
    <definedName name="v_108_XHFO_H_P_old">Model!$BK$267</definedName>
    <definedName name="v_108_XHFO_L">Model!$BG$267</definedName>
    <definedName name="v_108_XHFO_L_P">Model!$BJ$267</definedName>
    <definedName name="v_108_XHFO_L_P_old">Model!$BL$267</definedName>
    <definedName name="v_108_XHFO_old">Model!$BH$267</definedName>
    <definedName name="v_108_XHMETO">Model!$X$267</definedName>
    <definedName name="v_108_XHSRO">Model!$Z$267</definedName>
    <definedName name="v_108_XINORG">Model!$AV$267</definedName>
    <definedName name="v_108_XMEOLO">Model!$S$267</definedName>
    <definedName name="v_108_XMOB">Model!$CU$267</definedName>
    <definedName name="v_108_XN_B">Model!$AK$267</definedName>
    <definedName name="v_108_XN_U">Model!$AL$267</definedName>
    <definedName name="v_108_XNOB">Model!$U$267</definedName>
    <definedName name="v_108_XOHO">Model!$Q$267</definedName>
    <definedName name="v_108_XP_B">Model!$AP$267</definedName>
    <definedName name="v_108_XP_U">Model!$AQ$267</definedName>
    <definedName name="v_108_XPHA">Model!$M$267</definedName>
    <definedName name="v_108_XPP">Model!$AN$267</definedName>
    <definedName name="v_108_XS">Model!$BD$267</definedName>
    <definedName name="v_108_XSOO">Model!$AA$267</definedName>
    <definedName name="v_108_XSTR">Model!$BW$267</definedName>
    <definedName name="v_108_XU">Model!$L$267</definedName>
    <definedName name="v_108_XVivi">Model!$BX$267</definedName>
    <definedName name="v_109_CB">Model!$H$268</definedName>
    <definedName name="v_109_CU">Model!$K$268</definedName>
    <definedName name="v_109_GCH4">Model!$CC$268</definedName>
    <definedName name="v_109_GCH4_atm">Model!$CL$268</definedName>
    <definedName name="v_109_GCO2">Model!$CB$268</definedName>
    <definedName name="v_109_GCO2_atm">Model!$CK$268</definedName>
    <definedName name="v_109_GH2">Model!$CD$268</definedName>
    <definedName name="v_109_GH2_atm">Model!$CM$268</definedName>
    <definedName name="v_109_GH2S">Model!$CJ$268</definedName>
    <definedName name="v_109_GH2S_atm">Model!$CS$268</definedName>
    <definedName name="v_109_GN2">Model!$CI$268</definedName>
    <definedName name="v_109_GN2_atm">Model!$CR$268</definedName>
    <definedName name="v_109_GN2O">Model!$CH$268</definedName>
    <definedName name="v_109_GN2O_atm">Model!$CQ$268</definedName>
    <definedName name="v_109_GNH3">Model!$CF$268</definedName>
    <definedName name="v_109_GNH3_atm">Model!$CO$268</definedName>
    <definedName name="v_109_GNO">Model!$CG$268</definedName>
    <definedName name="v_109_GNO_atm">Model!$CP$268</definedName>
    <definedName name="v_109_GO2">Model!$CE$268</definedName>
    <definedName name="v_109_GO2_atm">Model!$CN$268</definedName>
    <definedName name="v_109_H">Model!$BZ$268</definedName>
    <definedName name="v_109_SALPHA">Model!$CA$268</definedName>
    <definedName name="v_109_SAN">Model!$AX$268</definedName>
    <definedName name="v_109_SB">Model!$F$268</definedName>
    <definedName name="v_109_SCa">Model!$AY$268</definedName>
    <definedName name="v_109_SCAT">Model!$AW$268</definedName>
    <definedName name="v_109_SCH4">Model!$AS$268</definedName>
    <definedName name="v_109_SCO2">Model!$AU$268</definedName>
    <definedName name="v_109_SFe2">Model!$BE$268</definedName>
    <definedName name="v_109_SH2">Model!$AT$268</definedName>
    <definedName name="v_109_SH2S">Model!$BB$268</definedName>
    <definedName name="v_109_SK">Model!$BA$268</definedName>
    <definedName name="v_109_SMEOL">Model!$G$268</definedName>
    <definedName name="v_109_SMg">Model!$AZ$268</definedName>
    <definedName name="v_109_SMM_index">Model!$CT$268</definedName>
    <definedName name="v_109_SN_B">Model!$AJ$268</definedName>
    <definedName name="v_109_SN2">Model!$AI$268</definedName>
    <definedName name="v_109_SN2O">Model!$AH$268</definedName>
    <definedName name="v_109_SNH2OH">Model!$AC$268</definedName>
    <definedName name="v_109_SNHx">Model!$AB$268</definedName>
    <definedName name="v_109_SNO_AOB">Model!$AF$268</definedName>
    <definedName name="v_109_SNO_OHO">Model!$AG$268</definedName>
    <definedName name="v_109_SNO2">Model!$AE$268</definedName>
    <definedName name="v_109_SNO3">Model!$AD$268</definedName>
    <definedName name="v_109_SO2">Model!$AR$268</definedName>
    <definedName name="v_109_SP_B">Model!$AO$268</definedName>
    <definedName name="v_109_SPO4">Model!$AM$268</definedName>
    <definedName name="v_109_SSO4">Model!$BC$268</definedName>
    <definedName name="v_109_SU">Model!$J$268</definedName>
    <definedName name="v_109_SVFA">Model!$E$268</definedName>
    <definedName name="v_109_XACP">Model!$BU$268</definedName>
    <definedName name="v_109_XAMETO">Model!$W$268</definedName>
    <definedName name="v_109_XAMX">Model!$V$268</definedName>
    <definedName name="v_109_XAOB">Model!$T$268</definedName>
    <definedName name="v_109_XASRO">Model!$Y$268</definedName>
    <definedName name="v_109_XB">Model!$I$268</definedName>
    <definedName name="v_109_XBSH">Model!$BV$268</definedName>
    <definedName name="v_109_XCaCO3">Model!$BT$268</definedName>
    <definedName name="v_109_XCASTO">Model!$R$268</definedName>
    <definedName name="v_109_XE">Model!$O$268</definedName>
    <definedName name="v_109_XE_ana">Model!$P$268</definedName>
    <definedName name="v_109_XFeS">Model!$BY$268</definedName>
    <definedName name="v_109_XGLY">Model!$N$268</definedName>
    <definedName name="v_109_XHAO_H">Model!$BM$268</definedName>
    <definedName name="v_109_XHAO_H_P">Model!$BP$268</definedName>
    <definedName name="v_109_XHAO_H_P_old">Model!$BR$268</definedName>
    <definedName name="v_109_XHAO_L">Model!$BN$268</definedName>
    <definedName name="v_109_XHAO_L_P">Model!$BQ$268</definedName>
    <definedName name="v_109_XHAO_L_P_old">Model!$BS$268</definedName>
    <definedName name="v_109_XHAO_old">Model!$BO$268</definedName>
    <definedName name="v_109_XHFO_H">Model!$BF$268</definedName>
    <definedName name="v_109_XHFO_H_P">Model!$BI$268</definedName>
    <definedName name="v_109_XHFO_H_P_old">Model!$BK$268</definedName>
    <definedName name="v_109_XHFO_L">Model!$BG$268</definedName>
    <definedName name="v_109_XHFO_L_P">Model!$BJ$268</definedName>
    <definedName name="v_109_XHFO_L_P_old">Model!$BL$268</definedName>
    <definedName name="v_109_XHFO_old">Model!$BH$268</definedName>
    <definedName name="v_109_XHMETO">Model!$X$268</definedName>
    <definedName name="v_109_XHSRO">Model!$Z$268</definedName>
    <definedName name="v_109_XINORG">Model!$AV$268</definedName>
    <definedName name="v_109_XMEOLO">Model!$S$268</definedName>
    <definedName name="v_109_XMOB">Model!$CU$268</definedName>
    <definedName name="v_109_XN_B">Model!$AK$268</definedName>
    <definedName name="v_109_XN_U">Model!$AL$268</definedName>
    <definedName name="v_109_XNOB">Model!$U$268</definedName>
    <definedName name="v_109_XOHO">Model!$Q$268</definedName>
    <definedName name="v_109_XP_B">Model!$AP$268</definedName>
    <definedName name="v_109_XP_U">Model!$AQ$268</definedName>
    <definedName name="v_109_XPHA">Model!$M$268</definedName>
    <definedName name="v_109_XPP">Model!$AN$268</definedName>
    <definedName name="v_109_XS">Model!$BD$268</definedName>
    <definedName name="v_109_XSOO">Model!$AA$268</definedName>
    <definedName name="v_109_XSTR">Model!$BW$268</definedName>
    <definedName name="v_109_XU">Model!$L$268</definedName>
    <definedName name="v_109_XVivi">Model!$BX$268</definedName>
    <definedName name="v_11_CB">Model!$H$170</definedName>
    <definedName name="v_11_CU">Model!$K$170</definedName>
    <definedName name="v_11_GCH4">Model!$CC$170</definedName>
    <definedName name="v_11_GCH4_atm">Model!$CL$170</definedName>
    <definedName name="v_11_GCO2">Model!$CB$170</definedName>
    <definedName name="v_11_GCO2_atm">Model!$CK$170</definedName>
    <definedName name="v_11_GH2">Model!$CD$170</definedName>
    <definedName name="v_11_GH2_atm">Model!$CM$170</definedName>
    <definedName name="v_11_GH2S">Model!$CJ$170</definedName>
    <definedName name="v_11_GH2S_atm">Model!$CS$170</definedName>
    <definedName name="v_11_GN2">Model!$CI$170</definedName>
    <definedName name="v_11_GN2_atm">Model!$CR$170</definedName>
    <definedName name="v_11_GN2O">Model!$CH$170</definedName>
    <definedName name="v_11_GN2O_atm">Model!$CQ$170</definedName>
    <definedName name="v_11_GNH3">Model!$CF$170</definedName>
    <definedName name="v_11_GNH3_atm">Model!$CO$170</definedName>
    <definedName name="v_11_GNO">Model!$CG$170</definedName>
    <definedName name="v_11_GNO_atm">Model!$CP$170</definedName>
    <definedName name="v_11_GO2">Model!$CE$170</definedName>
    <definedName name="v_11_GO2_atm">Model!$CN$170</definedName>
    <definedName name="v_11_H">Model!$BZ$170</definedName>
    <definedName name="v_11_SALPHA">Model!$CA$170</definedName>
    <definedName name="v_11_SAN">Model!$AX$170</definedName>
    <definedName name="v_11_SB">Model!$F$170</definedName>
    <definedName name="v_11_SCa">Model!$AY$170</definedName>
    <definedName name="v_11_SCAT">Model!$AW$170</definedName>
    <definedName name="v_11_SCH4">Model!$AS$170</definedName>
    <definedName name="v_11_SCO2">Model!$AU$170</definedName>
    <definedName name="v_11_SFe2">Model!$BE$170</definedName>
    <definedName name="v_11_SH2">Model!$AT$170</definedName>
    <definedName name="v_11_SH2S">Model!$BB$170</definedName>
    <definedName name="v_11_SK">Model!$BA$170</definedName>
    <definedName name="v_11_SMEOL">Model!$G$170</definedName>
    <definedName name="v_11_SMg">Model!$AZ$170</definedName>
    <definedName name="v_11_SMM_index">Model!$CT$170</definedName>
    <definedName name="v_11_SN_B">Model!$AJ$170</definedName>
    <definedName name="v_11_SN2">Model!$AI$170</definedName>
    <definedName name="v_11_SN2O">Model!$AH$170</definedName>
    <definedName name="v_11_SNH2OH">Model!$AC$170</definedName>
    <definedName name="v_11_SNHx">Model!$AB$170</definedName>
    <definedName name="v_11_SNO_AOB">Model!$AF$170</definedName>
    <definedName name="v_11_SNO_OHO">Model!$AG$170</definedName>
    <definedName name="v_11_SNO2">Model!$AE$170</definedName>
    <definedName name="v_11_SNO3">Model!$AD$170</definedName>
    <definedName name="v_11_SO2">Model!$AR$170</definedName>
    <definedName name="v_11_SP_B">Model!$AO$170</definedName>
    <definedName name="v_11_SPO4">Model!$AM$170</definedName>
    <definedName name="v_11_SSO4">Model!$BC$170</definedName>
    <definedName name="v_11_SU">Model!$J$170</definedName>
    <definedName name="v_11_SVFA">Model!$E$170</definedName>
    <definedName name="v_11_XACP">Model!$BU$170</definedName>
    <definedName name="v_11_XAMETO">Model!$W$170</definedName>
    <definedName name="v_11_XAMX">Model!$V$170</definedName>
    <definedName name="v_11_XAOB">Model!$T$170</definedName>
    <definedName name="v_11_XASRO">Model!$Y$170</definedName>
    <definedName name="v_11_XB">Model!$I$170</definedName>
    <definedName name="v_11_XBSH">Model!$BV$170</definedName>
    <definedName name="v_11_XCaCO3">Model!$BT$170</definedName>
    <definedName name="v_11_XCASTO">Model!$R$170</definedName>
    <definedName name="v_11_XE">Model!$O$170</definedName>
    <definedName name="v_11_XE_ana">Model!$P$170</definedName>
    <definedName name="v_11_XFeS">Model!$BY$170</definedName>
    <definedName name="v_11_XGLY">Model!$N$170</definedName>
    <definedName name="v_11_XHAO_H">Model!$BM$170</definedName>
    <definedName name="v_11_XHAO_H_P">Model!$BP$170</definedName>
    <definedName name="v_11_XHAO_H_P_old">Model!$BR$170</definedName>
    <definedName name="v_11_XHAO_L">Model!$BN$170</definedName>
    <definedName name="v_11_XHAO_L_P">Model!$BQ$170</definedName>
    <definedName name="v_11_XHAO_L_P_old">Model!$BS$170</definedName>
    <definedName name="v_11_XHAO_old">Model!$BO$170</definedName>
    <definedName name="v_11_XHFO_H">Model!$BF$170</definedName>
    <definedName name="v_11_XHFO_H_P">Model!$BI$170</definedName>
    <definedName name="v_11_XHFO_H_P_old">Model!$BK$170</definedName>
    <definedName name="v_11_XHFO_L">Model!$BG$170</definedName>
    <definedName name="v_11_XHFO_L_P">Model!$BJ$170</definedName>
    <definedName name="v_11_XHFO_L_P_old">Model!$BL$170</definedName>
    <definedName name="v_11_XHFO_old">Model!$BH$170</definedName>
    <definedName name="v_11_XHMETO">Model!$X$170</definedName>
    <definedName name="v_11_XHSRO">Model!$Z$170</definedName>
    <definedName name="v_11_XINORG">Model!$AV$170</definedName>
    <definedName name="v_11_XMEOLO">Model!$S$170</definedName>
    <definedName name="v_11_XMOB">Model!$CU$170</definedName>
    <definedName name="v_11_XN_B">Model!$AK$170</definedName>
    <definedName name="v_11_XN_U">Model!$AL$170</definedName>
    <definedName name="v_11_XNOB">Model!$U$170</definedName>
    <definedName name="v_11_XOHO">Model!$Q$170</definedName>
    <definedName name="v_11_XP_B">Model!$AP$170</definedName>
    <definedName name="v_11_XP_U">Model!$AQ$170</definedName>
    <definedName name="v_11_XPHA">Model!$M$170</definedName>
    <definedName name="v_11_XPP">Model!$AN$170</definedName>
    <definedName name="v_11_XS">Model!$BD$170</definedName>
    <definedName name="v_11_XSOO">Model!$AA$170</definedName>
    <definedName name="v_11_XSTR">Model!$BW$170</definedName>
    <definedName name="v_11_XU">Model!$L$170</definedName>
    <definedName name="v_11_XVivi">Model!$BX$170</definedName>
    <definedName name="v_110_CB">Model!$H$269</definedName>
    <definedName name="v_110_CU">Model!$K$269</definedName>
    <definedName name="v_110_GCH4">Model!$CC$269</definedName>
    <definedName name="v_110_GCH4_atm">Model!$CL$269</definedName>
    <definedName name="v_110_GCO2">Model!$CB$269</definedName>
    <definedName name="v_110_GCO2_atm">Model!$CK$269</definedName>
    <definedName name="v_110_GH2">Model!$CD$269</definedName>
    <definedName name="v_110_GH2_atm">Model!$CM$269</definedName>
    <definedName name="v_110_GH2S">Model!$CJ$269</definedName>
    <definedName name="v_110_GH2S_atm">Model!$CS$269</definedName>
    <definedName name="v_110_GN2">Model!$CI$269</definedName>
    <definedName name="v_110_GN2_atm">Model!$CR$269</definedName>
    <definedName name="v_110_GN2O">Model!$CH$269</definedName>
    <definedName name="v_110_GN2O_atm">Model!$CQ$269</definedName>
    <definedName name="v_110_GNH3">Model!$CF$269</definedName>
    <definedName name="v_110_GNH3_atm">Model!$CO$269</definedName>
    <definedName name="v_110_GNO">Model!$CG$269</definedName>
    <definedName name="v_110_GNO_atm">Model!$CP$269</definedName>
    <definedName name="v_110_GO2">Model!$CE$269</definedName>
    <definedName name="v_110_GO2_atm">Model!$CN$269</definedName>
    <definedName name="v_110_H">Model!$BZ$269</definedName>
    <definedName name="v_110_SALPHA">Model!$CA$269</definedName>
    <definedName name="v_110_SAN">Model!$AX$269</definedName>
    <definedName name="v_110_SB">Model!$F$269</definedName>
    <definedName name="v_110_SCa">Model!$AY$269</definedName>
    <definedName name="v_110_SCAT">Model!$AW$269</definedName>
    <definedName name="v_110_SCH4">Model!$AS$269</definedName>
    <definedName name="v_110_SCO2">Model!$AU$269</definedName>
    <definedName name="v_110_SFe2">Model!$BE$269</definedName>
    <definedName name="v_110_SH2">Model!$AT$269</definedName>
    <definedName name="v_110_SH2S">Model!$BB$269</definedName>
    <definedName name="v_110_SK">Model!$BA$269</definedName>
    <definedName name="v_110_SMEOL">Model!$G$269</definedName>
    <definedName name="v_110_SMg">Model!$AZ$269</definedName>
    <definedName name="v_110_SMM_index">Model!$CT$269</definedName>
    <definedName name="v_110_SN_B">Model!$AJ$269</definedName>
    <definedName name="v_110_SN2">Model!$AI$269</definedName>
    <definedName name="v_110_SN2O">Model!$AH$269</definedName>
    <definedName name="v_110_SNH2OH">Model!$AC$269</definedName>
    <definedName name="v_110_SNHx">Model!$AB$269</definedName>
    <definedName name="v_110_SNO_AOB">Model!$AF$269</definedName>
    <definedName name="v_110_SNO_OHO">Model!$AG$269</definedName>
    <definedName name="v_110_SNO2">Model!$AE$269</definedName>
    <definedName name="v_110_SNO3">Model!$AD$269</definedName>
    <definedName name="v_110_SO2">Model!$AR$269</definedName>
    <definedName name="v_110_SP_B">Model!$AO$269</definedName>
    <definedName name="v_110_SPO4">Model!$AM$269</definedName>
    <definedName name="v_110_SSO4">Model!$BC$269</definedName>
    <definedName name="v_110_SU">Model!$J$269</definedName>
    <definedName name="v_110_SVFA">Model!$E$269</definedName>
    <definedName name="v_110_XACP">Model!$BU$269</definedName>
    <definedName name="v_110_XAMETO">Model!$W$269</definedName>
    <definedName name="v_110_XAMX">Model!$V$269</definedName>
    <definedName name="v_110_XAOB">Model!$T$269</definedName>
    <definedName name="v_110_XASRO">Model!$Y$269</definedName>
    <definedName name="v_110_XB">Model!$I$269</definedName>
    <definedName name="v_110_XBSH">Model!$BV$269</definedName>
    <definedName name="v_110_XCaCO3">Model!$BT$269</definedName>
    <definedName name="v_110_XCASTO">Model!$R$269</definedName>
    <definedName name="v_110_XE">Model!$O$269</definedName>
    <definedName name="v_110_XE_ana">Model!$P$269</definedName>
    <definedName name="v_110_XFeS">Model!$BY$269</definedName>
    <definedName name="v_110_XGLY">Model!$N$269</definedName>
    <definedName name="v_110_XHAO_H">Model!$BM$269</definedName>
    <definedName name="v_110_XHAO_H_P">Model!$BP$269</definedName>
    <definedName name="v_110_XHAO_H_P_old">Model!$BR$269</definedName>
    <definedName name="v_110_XHAO_L">Model!$BN$269</definedName>
    <definedName name="v_110_XHAO_L_P">Model!$BQ$269</definedName>
    <definedName name="v_110_XHAO_L_P_old">Model!$BS$269</definedName>
    <definedName name="v_110_XHAO_old">Model!$BO$269</definedName>
    <definedName name="v_110_XHFO_H">Model!$BF$269</definedName>
    <definedName name="v_110_XHFO_H_P">Model!$BI$269</definedName>
    <definedName name="v_110_XHFO_H_P_old">Model!$BK$269</definedName>
    <definedName name="v_110_XHFO_L">Model!$BG$269</definedName>
    <definedName name="v_110_XHFO_L_P">Model!$BJ$269</definedName>
    <definedName name="v_110_XHFO_L_P_old">Model!$BL$269</definedName>
    <definedName name="v_110_XHFO_old">Model!$BH$269</definedName>
    <definedName name="v_110_XHMETO">Model!$X$269</definedName>
    <definedName name="v_110_XHSRO">Model!$Z$269</definedName>
    <definedName name="v_110_XINORG">Model!$AV$269</definedName>
    <definedName name="v_110_XMEOLO">Model!$S$269</definedName>
    <definedName name="v_110_XMOB">Model!$CU$269</definedName>
    <definedName name="v_110_XN_B">Model!$AK$269</definedName>
    <definedName name="v_110_XN_U">Model!$AL$269</definedName>
    <definedName name="v_110_XNOB">Model!$U$269</definedName>
    <definedName name="v_110_XOHO">Model!$Q$269</definedName>
    <definedName name="v_110_XP_B">Model!$AP$269</definedName>
    <definedName name="v_110_XP_U">Model!$AQ$269</definedName>
    <definedName name="v_110_XPHA">Model!$M$269</definedName>
    <definedName name="v_110_XPP">Model!$AN$269</definedName>
    <definedName name="v_110_XS">Model!$BD$269</definedName>
    <definedName name="v_110_XSOO">Model!$AA$269</definedName>
    <definedName name="v_110_XSTR">Model!$BW$269</definedName>
    <definedName name="v_110_XU">Model!$L$269</definedName>
    <definedName name="v_110_XVivi">Model!$BX$269</definedName>
    <definedName name="v_111_CB">Model!$H$270</definedName>
    <definedName name="v_111_CU">Model!$K$270</definedName>
    <definedName name="v_111_GCH4">Model!$CC$270</definedName>
    <definedName name="v_111_GCH4_atm">Model!$CL$270</definedName>
    <definedName name="v_111_GCO2">Model!$CB$270</definedName>
    <definedName name="v_111_GCO2_atm">Model!$CK$270</definedName>
    <definedName name="v_111_GH2">Model!$CD$270</definedName>
    <definedName name="v_111_GH2_atm">Model!$CM$270</definedName>
    <definedName name="v_111_GH2S">Model!$CJ$270</definedName>
    <definedName name="v_111_GH2S_atm">Model!$CS$270</definedName>
    <definedName name="v_111_GN2">Model!$CI$270</definedName>
    <definedName name="v_111_GN2_atm">Model!$CR$270</definedName>
    <definedName name="v_111_GN2O">Model!$CH$270</definedName>
    <definedName name="v_111_GN2O_atm">Model!$CQ$270</definedName>
    <definedName name="v_111_GNH3">Model!$CF$270</definedName>
    <definedName name="v_111_GNH3_atm">Model!$CO$270</definedName>
    <definedName name="v_111_GNO">Model!$CG$270</definedName>
    <definedName name="v_111_GNO_atm">Model!$CP$270</definedName>
    <definedName name="v_111_GO2">Model!$CE$270</definedName>
    <definedName name="v_111_GO2_atm">Model!$CN$270</definedName>
    <definedName name="v_111_H">Model!$BZ$270</definedName>
    <definedName name="v_111_SALPHA">Model!$CA$270</definedName>
    <definedName name="v_111_SAN">Model!$AX$270</definedName>
    <definedName name="v_111_SB">Model!$F$270</definedName>
    <definedName name="v_111_SCa">Model!$AY$270</definedName>
    <definedName name="v_111_SCAT">Model!$AW$270</definedName>
    <definedName name="v_111_SCH4">Model!$AS$270</definedName>
    <definedName name="v_111_SCO2">Model!$AU$270</definedName>
    <definedName name="v_111_SFe2">Model!$BE$270</definedName>
    <definedName name="v_111_SH2">Model!$AT$270</definedName>
    <definedName name="v_111_SH2S">Model!$BB$270</definedName>
    <definedName name="v_111_SK">Model!$BA$270</definedName>
    <definedName name="v_111_SMEOL">Model!$G$270</definedName>
    <definedName name="v_111_SMg">Model!$AZ$270</definedName>
    <definedName name="v_111_SMM_index">Model!$CT$270</definedName>
    <definedName name="v_111_SN_B">Model!$AJ$270</definedName>
    <definedName name="v_111_SN2">Model!$AI$270</definedName>
    <definedName name="v_111_SN2O">Model!$AH$270</definedName>
    <definedName name="v_111_SNH2OH">Model!$AC$270</definedName>
    <definedName name="v_111_SNHx">Model!$AB$270</definedName>
    <definedName name="v_111_SNO_AOB">Model!$AF$270</definedName>
    <definedName name="v_111_SNO_OHO">Model!$AG$270</definedName>
    <definedName name="v_111_SNO2">Model!$AE$270</definedName>
    <definedName name="v_111_SNO3">Model!$AD$270</definedName>
    <definedName name="v_111_SO2">Model!$AR$270</definedName>
    <definedName name="v_111_SP_B">Model!$AO$270</definedName>
    <definedName name="v_111_SPO4">Model!$AM$270</definedName>
    <definedName name="v_111_SSO4">Model!$BC$270</definedName>
    <definedName name="v_111_SU">Model!$J$270</definedName>
    <definedName name="v_111_SVFA">Model!$E$270</definedName>
    <definedName name="v_111_XACP">Model!$BU$270</definedName>
    <definedName name="v_111_XAMETO">Model!$W$270</definedName>
    <definedName name="v_111_XAMX">Model!$V$270</definedName>
    <definedName name="v_111_XAOB">Model!$T$270</definedName>
    <definedName name="v_111_XASRO">Model!$Y$270</definedName>
    <definedName name="v_111_XB">Model!$I$270</definedName>
    <definedName name="v_111_XBSH">Model!$BV$270</definedName>
    <definedName name="v_111_XCaCO3">Model!$BT$270</definedName>
    <definedName name="v_111_XCASTO">Model!$R$270</definedName>
    <definedName name="v_111_XE">Model!$O$270</definedName>
    <definedName name="v_111_XE_ana">Model!$P$270</definedName>
    <definedName name="v_111_XFeS">Model!$BY$270</definedName>
    <definedName name="v_111_XGLY">Model!$N$270</definedName>
    <definedName name="v_111_XHAO_H">Model!$BM$270</definedName>
    <definedName name="v_111_XHAO_H_P">Model!$BP$270</definedName>
    <definedName name="v_111_XHAO_H_P_old">Model!$BR$270</definedName>
    <definedName name="v_111_XHAO_L">Model!$BN$270</definedName>
    <definedName name="v_111_XHAO_L_P">Model!$BQ$270</definedName>
    <definedName name="v_111_XHAO_L_P_old">Model!$BS$270</definedName>
    <definedName name="v_111_XHAO_old">Model!$BO$270</definedName>
    <definedName name="v_111_XHFO_H">Model!$BF$270</definedName>
    <definedName name="v_111_XHFO_H_P">Model!$BI$270</definedName>
    <definedName name="v_111_XHFO_H_P_old">Model!$BK$270</definedName>
    <definedName name="v_111_XHFO_L">Model!$BG$270</definedName>
    <definedName name="v_111_XHFO_L_P">Model!$BJ$270</definedName>
    <definedName name="v_111_XHFO_L_P_old">Model!$BL$270</definedName>
    <definedName name="v_111_XHFO_old">Model!$BH$270</definedName>
    <definedName name="v_111_XHMETO">Model!$X$270</definedName>
    <definedName name="v_111_XHSRO">Model!$Z$270</definedName>
    <definedName name="v_111_XINORG">Model!$AV$270</definedName>
    <definedName name="v_111_XMEOLO">Model!$S$270</definedName>
    <definedName name="v_111_XMOB">Model!$CU$270</definedName>
    <definedName name="v_111_XN_B">Model!$AK$270</definedName>
    <definedName name="v_111_XN_U">Model!$AL$270</definedName>
    <definedName name="v_111_XNOB">Model!$U$270</definedName>
    <definedName name="v_111_XOHO">Model!$Q$270</definedName>
    <definedName name="v_111_XP_B">Model!$AP$270</definedName>
    <definedName name="v_111_XP_U">Model!$AQ$270</definedName>
    <definedName name="v_111_XPHA">Model!$M$270</definedName>
    <definedName name="v_111_XPP">Model!$AN$270</definedName>
    <definedName name="v_111_XS">Model!$BD$270</definedName>
    <definedName name="v_111_XSOO">Model!$AA$270</definedName>
    <definedName name="v_111_XSTR">Model!$BW$270</definedName>
    <definedName name="v_111_XU">Model!$L$270</definedName>
    <definedName name="v_111_XVivi">Model!$BX$270</definedName>
    <definedName name="v_112_CB">Model!$H$271</definedName>
    <definedName name="v_112_CU">Model!$K$271</definedName>
    <definedName name="v_112_GCH4">Model!$CC$271</definedName>
    <definedName name="v_112_GCH4_atm">Model!$CL$271</definedName>
    <definedName name="v_112_GCO2">Model!$CB$271</definedName>
    <definedName name="v_112_GCO2_atm">Model!$CK$271</definedName>
    <definedName name="v_112_GH2">Model!$CD$271</definedName>
    <definedName name="v_112_GH2_atm">Model!$CM$271</definedName>
    <definedName name="v_112_GH2S">Model!$CJ$271</definedName>
    <definedName name="v_112_GH2S_atm">Model!$CS$271</definedName>
    <definedName name="v_112_GN2">Model!$CI$271</definedName>
    <definedName name="v_112_GN2_atm">Model!$CR$271</definedName>
    <definedName name="v_112_GN2O">Model!$CH$271</definedName>
    <definedName name="v_112_GN2O_atm">Model!$CQ$271</definedName>
    <definedName name="v_112_GNH3">Model!$CF$271</definedName>
    <definedName name="v_112_GNH3_atm">Model!$CO$271</definedName>
    <definedName name="v_112_GNO">Model!$CG$271</definedName>
    <definedName name="v_112_GNO_atm">Model!$CP$271</definedName>
    <definedName name="v_112_GO2">Model!$CE$271</definedName>
    <definedName name="v_112_GO2_atm">Model!$CN$271</definedName>
    <definedName name="v_112_H">Model!$BZ$271</definedName>
    <definedName name="v_112_SALPHA">Model!$CA$271</definedName>
    <definedName name="v_112_SAN">Model!$AX$271</definedName>
    <definedName name="v_112_SB">Model!$F$271</definedName>
    <definedName name="v_112_SCa">Model!$AY$271</definedName>
    <definedName name="v_112_SCAT">Model!$AW$271</definedName>
    <definedName name="v_112_SCH4">Model!$AS$271</definedName>
    <definedName name="v_112_SCO2">Model!$AU$271</definedName>
    <definedName name="v_112_SFe2">Model!$BE$271</definedName>
    <definedName name="v_112_SH2">Model!$AT$271</definedName>
    <definedName name="v_112_SH2S">Model!$BB$271</definedName>
    <definedName name="v_112_SK">Model!$BA$271</definedName>
    <definedName name="v_112_SMEOL">Model!$G$271</definedName>
    <definedName name="v_112_SMg">Model!$AZ$271</definedName>
    <definedName name="v_112_SMM_index">Model!$CT$271</definedName>
    <definedName name="v_112_SN_B">Model!$AJ$271</definedName>
    <definedName name="v_112_SN2">Model!$AI$271</definedName>
    <definedName name="v_112_SN2O">Model!$AH$271</definedName>
    <definedName name="v_112_SNH2OH">Model!$AC$271</definedName>
    <definedName name="v_112_SNHx">Model!$AB$271</definedName>
    <definedName name="v_112_SNO_AOB">Model!$AF$271</definedName>
    <definedName name="v_112_SNO_OHO">Model!$AG$271</definedName>
    <definedName name="v_112_SNO2">Model!$AE$271</definedName>
    <definedName name="v_112_SNO3">Model!$AD$271</definedName>
    <definedName name="v_112_SO2">Model!$AR$271</definedName>
    <definedName name="v_112_SP_B">Model!$AO$271</definedName>
    <definedName name="v_112_SPO4">Model!$AM$271</definedName>
    <definedName name="v_112_SSO4">Model!$BC$271</definedName>
    <definedName name="v_112_SU">Model!$J$271</definedName>
    <definedName name="v_112_SVFA">Model!$E$271</definedName>
    <definedName name="v_112_XACP">Model!$BU$271</definedName>
    <definedName name="v_112_XAMETO">Model!$W$271</definedName>
    <definedName name="v_112_XAMX">Model!$V$271</definedName>
    <definedName name="v_112_XAOB">Model!$T$271</definedName>
    <definedName name="v_112_XASRO">Model!$Y$271</definedName>
    <definedName name="v_112_XB">Model!$I$271</definedName>
    <definedName name="v_112_XBSH">Model!$BV$271</definedName>
    <definedName name="v_112_XCaCO3">Model!$BT$271</definedName>
    <definedName name="v_112_XCASTO">Model!$R$271</definedName>
    <definedName name="v_112_XE">Model!$O$271</definedName>
    <definedName name="v_112_XE_ana">Model!$P$271</definedName>
    <definedName name="v_112_XFeS">Model!$BY$271</definedName>
    <definedName name="v_112_XGLY">Model!$N$271</definedName>
    <definedName name="v_112_XHAO_H">Model!$BM$271</definedName>
    <definedName name="v_112_XHAO_H_P">Model!$BP$271</definedName>
    <definedName name="v_112_XHAO_H_P_old">Model!$BR$271</definedName>
    <definedName name="v_112_XHAO_L">Model!$BN$271</definedName>
    <definedName name="v_112_XHAO_L_P">Model!$BQ$271</definedName>
    <definedName name="v_112_XHAO_L_P_old">Model!$BS$271</definedName>
    <definedName name="v_112_XHAO_old">Model!$BO$271</definedName>
    <definedName name="v_112_XHFO_H">Model!$BF$271</definedName>
    <definedName name="v_112_XHFO_H_P">Model!$BI$271</definedName>
    <definedName name="v_112_XHFO_H_P_old">Model!$BK$271</definedName>
    <definedName name="v_112_XHFO_L">Model!$BG$271</definedName>
    <definedName name="v_112_XHFO_L_P">Model!$BJ$271</definedName>
    <definedName name="v_112_XHFO_L_P_old">Model!$BL$271</definedName>
    <definedName name="v_112_XHFO_old">Model!$BH$271</definedName>
    <definedName name="v_112_XHMETO">Model!$X$271</definedName>
    <definedName name="v_112_XHSRO">Model!$Z$271</definedName>
    <definedName name="v_112_XINORG">Model!$AV$271</definedName>
    <definedName name="v_112_XMEOLO">Model!$S$271</definedName>
    <definedName name="v_112_XMOB">Model!$CU$271</definedName>
    <definedName name="v_112_XN_B">Model!$AK$271</definedName>
    <definedName name="v_112_XN_U">Model!$AL$271</definedName>
    <definedName name="v_112_XNOB">Model!$U$271</definedName>
    <definedName name="v_112_XOHO">Model!$Q$271</definedName>
    <definedName name="v_112_XP_B">Model!$AP$271</definedName>
    <definedName name="v_112_XP_U">Model!$AQ$271</definedName>
    <definedName name="v_112_XPHA">Model!$M$271</definedName>
    <definedName name="v_112_XPP">Model!$AN$271</definedName>
    <definedName name="v_112_XS">Model!$BD$271</definedName>
    <definedName name="v_112_XSOO">Model!$AA$271</definedName>
    <definedName name="v_112_XSTR">Model!$BW$271</definedName>
    <definedName name="v_112_XU">Model!$L$271</definedName>
    <definedName name="v_112_XVivi">Model!$BX$271</definedName>
    <definedName name="v_113_CB">Model!$H$272</definedName>
    <definedName name="v_113_CU">Model!$K$272</definedName>
    <definedName name="v_113_GCH4">Model!$CC$272</definedName>
    <definedName name="v_113_GCH4_atm">Model!$CL$272</definedName>
    <definedName name="v_113_GCO2">Model!$CB$272</definedName>
    <definedName name="v_113_GCO2_atm">Model!$CK$272</definedName>
    <definedName name="v_113_GH2">Model!$CD$272</definedName>
    <definedName name="v_113_GH2_atm">Model!$CM$272</definedName>
    <definedName name="v_113_GH2S">Model!$CJ$272</definedName>
    <definedName name="v_113_GH2S_atm">Model!$CS$272</definedName>
    <definedName name="v_113_GN2">Model!$CI$272</definedName>
    <definedName name="v_113_GN2_atm">Model!$CR$272</definedName>
    <definedName name="v_113_GN2O">Model!$CH$272</definedName>
    <definedName name="v_113_GN2O_atm">Model!$CQ$272</definedName>
    <definedName name="v_113_GNH3">Model!$CF$272</definedName>
    <definedName name="v_113_GNH3_atm">Model!$CO$272</definedName>
    <definedName name="v_113_GNO">Model!$CG$272</definedName>
    <definedName name="v_113_GNO_atm">Model!$CP$272</definedName>
    <definedName name="v_113_GO2">Model!$CE$272</definedName>
    <definedName name="v_113_GO2_atm">Model!$CN$272</definedName>
    <definedName name="v_113_H">Model!$BZ$272</definedName>
    <definedName name="v_113_SALPHA">Model!$CA$272</definedName>
    <definedName name="v_113_SAN">Model!$AX$272</definedName>
    <definedName name="v_113_SB">Model!$F$272</definedName>
    <definedName name="v_113_SCa">Model!$AY$272</definedName>
    <definedName name="v_113_SCAT">Model!$AW$272</definedName>
    <definedName name="v_113_SCH4">Model!$AS$272</definedName>
    <definedName name="v_113_SCO2">Model!$AU$272</definedName>
    <definedName name="v_113_SFe2">Model!$BE$272</definedName>
    <definedName name="v_113_SH2">Model!$AT$272</definedName>
    <definedName name="v_113_SH2S">Model!$BB$272</definedName>
    <definedName name="v_113_SK">Model!$BA$272</definedName>
    <definedName name="v_113_SMEOL">Model!$G$272</definedName>
    <definedName name="v_113_SMg">Model!$AZ$272</definedName>
    <definedName name="v_113_SMM_index">Model!$CT$272</definedName>
    <definedName name="v_113_SN_B">Model!$AJ$272</definedName>
    <definedName name="v_113_SN2">Model!$AI$272</definedName>
    <definedName name="v_113_SN2O">Model!$AH$272</definedName>
    <definedName name="v_113_SNH2OH">Model!$AC$272</definedName>
    <definedName name="v_113_SNHx">Model!$AB$272</definedName>
    <definedName name="v_113_SNO_AOB">Model!$AF$272</definedName>
    <definedName name="v_113_SNO_OHO">Model!$AG$272</definedName>
    <definedName name="v_113_SNO2">Model!$AE$272</definedName>
    <definedName name="v_113_SNO3">Model!$AD$272</definedName>
    <definedName name="v_113_SO2">Model!$AR$272</definedName>
    <definedName name="v_113_SP_B">Model!$AO$272</definedName>
    <definedName name="v_113_SPO4">Model!$AM$272</definedName>
    <definedName name="v_113_SSO4">Model!$BC$272</definedName>
    <definedName name="v_113_SU">Model!$J$272</definedName>
    <definedName name="v_113_SVFA">Model!$E$272</definedName>
    <definedName name="v_113_XACP">Model!$BU$272</definedName>
    <definedName name="v_113_XAMETO">Model!$W$272</definedName>
    <definedName name="v_113_XAMX">Model!$V$272</definedName>
    <definedName name="v_113_XAOB">Model!$T$272</definedName>
    <definedName name="v_113_XASRO">Model!$Y$272</definedName>
    <definedName name="v_113_XB">Model!$I$272</definedName>
    <definedName name="v_113_XBSH">Model!$BV$272</definedName>
    <definedName name="v_113_XCaCO3">Model!$BT$272</definedName>
    <definedName name="v_113_XCASTO">Model!$R$272</definedName>
    <definedName name="v_113_XE">Model!$O$272</definedName>
    <definedName name="v_113_XE_ana">Model!$P$272</definedName>
    <definedName name="v_113_XFeS">Model!$BY$272</definedName>
    <definedName name="v_113_XGLY">Model!$N$272</definedName>
    <definedName name="v_113_XHAO_H">Model!$BM$272</definedName>
    <definedName name="v_113_XHAO_H_P">Model!$BP$272</definedName>
    <definedName name="v_113_XHAO_H_P_old">Model!$BR$272</definedName>
    <definedName name="v_113_XHAO_L">Model!$BN$272</definedName>
    <definedName name="v_113_XHAO_L_P">Model!$BQ$272</definedName>
    <definedName name="v_113_XHAO_L_P_old">Model!$BS$272</definedName>
    <definedName name="v_113_XHAO_old">Model!$BO$272</definedName>
    <definedName name="v_113_XHFO_H">Model!$BF$272</definedName>
    <definedName name="v_113_XHFO_H_P">Model!$BI$272</definedName>
    <definedName name="v_113_XHFO_H_P_old">Model!$BK$272</definedName>
    <definedName name="v_113_XHFO_L">Model!$BG$272</definedName>
    <definedName name="v_113_XHFO_L_P">Model!$BJ$272</definedName>
    <definedName name="v_113_XHFO_L_P_old">Model!$BL$272</definedName>
    <definedName name="v_113_XHFO_old">Model!$BH$272</definedName>
    <definedName name="v_113_XHMETO">Model!$X$272</definedName>
    <definedName name="v_113_XHSRO">Model!$Z$272</definedName>
    <definedName name="v_113_XINORG">Model!$AV$272</definedName>
    <definedName name="v_113_XMEOLO">Model!$S$272</definedName>
    <definedName name="v_113_XMOB">Model!$CU$272</definedName>
    <definedName name="v_113_XN_B">Model!$AK$272</definedName>
    <definedName name="v_113_XN_U">Model!$AL$272</definedName>
    <definedName name="v_113_XNOB">Model!$U$272</definedName>
    <definedName name="v_113_XOHO">Model!$Q$272</definedName>
    <definedName name="v_113_XP_B">Model!$AP$272</definedName>
    <definedName name="v_113_XP_U">Model!$AQ$272</definedName>
    <definedName name="v_113_XPHA">Model!$M$272</definedName>
    <definedName name="v_113_XPP">Model!$AN$272</definedName>
    <definedName name="v_113_XS">Model!$BD$272</definedName>
    <definedName name="v_113_XSOO">Model!$AA$272</definedName>
    <definedName name="v_113_XSTR">Model!$BW$272</definedName>
    <definedName name="v_113_XU">Model!$L$272</definedName>
    <definedName name="v_113_XVivi">Model!$BX$272</definedName>
    <definedName name="v_114_CB">Model!$H$273</definedName>
    <definedName name="v_114_CU">Model!$K$273</definedName>
    <definedName name="v_114_GCH4">Model!$CC$273</definedName>
    <definedName name="v_114_GCH4_atm">Model!$CL$273</definedName>
    <definedName name="v_114_GCO2">Model!$CB$273</definedName>
    <definedName name="v_114_GCO2_atm">Model!$CK$273</definedName>
    <definedName name="v_114_GH2">Model!$CD$273</definedName>
    <definedName name="v_114_GH2_atm">Model!$CM$273</definedName>
    <definedName name="v_114_GH2S">Model!$CJ$273</definedName>
    <definedName name="v_114_GH2S_atm">Model!$CS$273</definedName>
    <definedName name="v_114_GN2">Model!$CI$273</definedName>
    <definedName name="v_114_GN2_atm">Model!$CR$273</definedName>
    <definedName name="v_114_GN2O">Model!$CH$273</definedName>
    <definedName name="v_114_GN2O_atm">Model!$CQ$273</definedName>
    <definedName name="v_114_GNH3">Model!$CF$273</definedName>
    <definedName name="v_114_GNH3_atm">Model!$CO$273</definedName>
    <definedName name="v_114_GNO">Model!$CG$273</definedName>
    <definedName name="v_114_GNO_atm">Model!$CP$273</definedName>
    <definedName name="v_114_GO2">Model!$CE$273</definedName>
    <definedName name="v_114_GO2_atm">Model!$CN$273</definedName>
    <definedName name="v_114_H">Model!$BZ$273</definedName>
    <definedName name="v_114_SALPHA">Model!$CA$273</definedName>
    <definedName name="v_114_SAN">Model!$AX$273</definedName>
    <definedName name="v_114_SB">Model!$F$273</definedName>
    <definedName name="v_114_SCa">Model!$AY$273</definedName>
    <definedName name="v_114_SCAT">Model!$AW$273</definedName>
    <definedName name="v_114_SCH4">Model!$AS$273</definedName>
    <definedName name="v_114_SCO2">Model!$AU$273</definedName>
    <definedName name="v_114_SFe2">Model!$BE$273</definedName>
    <definedName name="v_114_SH2">Model!$AT$273</definedName>
    <definedName name="v_114_SH2S">Model!$BB$273</definedName>
    <definedName name="v_114_SK">Model!$BA$273</definedName>
    <definedName name="v_114_SMEOL">Model!$G$273</definedName>
    <definedName name="v_114_SMg">Model!$AZ$273</definedName>
    <definedName name="v_114_SMM_index">Model!$CT$273</definedName>
    <definedName name="v_114_SN_B">Model!$AJ$273</definedName>
    <definedName name="v_114_SN2">Model!$AI$273</definedName>
    <definedName name="v_114_SN2O">Model!$AH$273</definedName>
    <definedName name="v_114_SNH2OH">Model!$AC$273</definedName>
    <definedName name="v_114_SNHx">Model!$AB$273</definedName>
    <definedName name="v_114_SNO_AOB">Model!$AF$273</definedName>
    <definedName name="v_114_SNO_OHO">Model!$AG$273</definedName>
    <definedName name="v_114_SNO2">Model!$AE$273</definedName>
    <definedName name="v_114_SNO3">Model!$AD$273</definedName>
    <definedName name="v_114_SO2">Model!$AR$273</definedName>
    <definedName name="v_114_SP_B">Model!$AO$273</definedName>
    <definedName name="v_114_SPO4">Model!$AM$273</definedName>
    <definedName name="v_114_SSO4">Model!$BC$273</definedName>
    <definedName name="v_114_SU">Model!$J$273</definedName>
    <definedName name="v_114_SVFA">Model!$E$273</definedName>
    <definedName name="v_114_XACP">Model!$BU$273</definedName>
    <definedName name="v_114_XAMETO">Model!$W$273</definedName>
    <definedName name="v_114_XAMX">Model!$V$273</definedName>
    <definedName name="v_114_XAOB">Model!$T$273</definedName>
    <definedName name="v_114_XASRO">Model!$Y$273</definedName>
    <definedName name="v_114_XB">Model!$I$273</definedName>
    <definedName name="v_114_XBSH">Model!$BV$273</definedName>
    <definedName name="v_114_XCaCO3">Model!$BT$273</definedName>
    <definedName name="v_114_XCASTO">Model!$R$273</definedName>
    <definedName name="v_114_XE">Model!$O$273</definedName>
    <definedName name="v_114_XE_ana">Model!$P$273</definedName>
    <definedName name="v_114_XFeS">Model!$BY$273</definedName>
    <definedName name="v_114_XGLY">Model!$N$273</definedName>
    <definedName name="v_114_XHAO_H">Model!$BM$273</definedName>
    <definedName name="v_114_XHAO_H_P">Model!$BP$273</definedName>
    <definedName name="v_114_XHAO_H_P_old">Model!$BR$273</definedName>
    <definedName name="v_114_XHAO_L">Model!$BN$273</definedName>
    <definedName name="v_114_XHAO_L_P">Model!$BQ$273</definedName>
    <definedName name="v_114_XHAO_L_P_old">Model!$BS$273</definedName>
    <definedName name="v_114_XHAO_old">Model!$BO$273</definedName>
    <definedName name="v_114_XHFO_H">Model!$BF$273</definedName>
    <definedName name="v_114_XHFO_H_P">Model!$BI$273</definedName>
    <definedName name="v_114_XHFO_H_P_old">Model!$BK$273</definedName>
    <definedName name="v_114_XHFO_L">Model!$BG$273</definedName>
    <definedName name="v_114_XHFO_L_P">Model!$BJ$273</definedName>
    <definedName name="v_114_XHFO_L_P_old">Model!$BL$273</definedName>
    <definedName name="v_114_XHFO_old">Model!$BH$273</definedName>
    <definedName name="v_114_XHMETO">Model!$X$273</definedName>
    <definedName name="v_114_XHSRO">Model!$Z$273</definedName>
    <definedName name="v_114_XINORG">Model!$AV$273</definedName>
    <definedName name="v_114_XMEOLO">Model!$S$273</definedName>
    <definedName name="v_114_XMOB">Model!$CU$273</definedName>
    <definedName name="v_114_XN_B">Model!$AK$273</definedName>
    <definedName name="v_114_XN_U">Model!$AL$273</definedName>
    <definedName name="v_114_XNOB">Model!$U$273</definedName>
    <definedName name="v_114_XOHO">Model!$Q$273</definedName>
    <definedName name="v_114_XP_B">Model!$AP$273</definedName>
    <definedName name="v_114_XP_U">Model!$AQ$273</definedName>
    <definedName name="v_114_XPHA">Model!$M$273</definedName>
    <definedName name="v_114_XPP">Model!$AN$273</definedName>
    <definedName name="v_114_XS">Model!$BD$273</definedName>
    <definedName name="v_114_XSOO">Model!$AA$273</definedName>
    <definedName name="v_114_XSTR">Model!$BW$273</definedName>
    <definedName name="v_114_XU">Model!$L$273</definedName>
    <definedName name="v_114_XVivi">Model!$BX$273</definedName>
    <definedName name="v_115_CB">Model!$H$274</definedName>
    <definedName name="v_115_CU">Model!$K$274</definedName>
    <definedName name="v_115_GCH4">Model!$CC$274</definedName>
    <definedName name="v_115_GCH4_atm">Model!$CL$274</definedName>
    <definedName name="v_115_GCO2">Model!$CB$274</definedName>
    <definedName name="v_115_GCO2_atm">Model!$CK$274</definedName>
    <definedName name="v_115_GH2">Model!$CD$274</definedName>
    <definedName name="v_115_GH2_atm">Model!$CM$274</definedName>
    <definedName name="v_115_GH2S">Model!$CJ$274</definedName>
    <definedName name="v_115_GH2S_atm">Model!$CS$274</definedName>
    <definedName name="v_115_GN2">Model!$CI$274</definedName>
    <definedName name="v_115_GN2_atm">Model!$CR$274</definedName>
    <definedName name="v_115_GN2O">Model!$CH$274</definedName>
    <definedName name="v_115_GN2O_atm">Model!$CQ$274</definedName>
    <definedName name="v_115_GNH3">Model!$CF$274</definedName>
    <definedName name="v_115_GNH3_atm">Model!$CO$274</definedName>
    <definedName name="v_115_GNO">Model!$CG$274</definedName>
    <definedName name="v_115_GNO_atm">Model!$CP$274</definedName>
    <definedName name="v_115_GO2">Model!$CE$274</definedName>
    <definedName name="v_115_GO2_atm">Model!$CN$274</definedName>
    <definedName name="v_115_H">Model!$BZ$274</definedName>
    <definedName name="v_115_SALPHA">Model!$CA$274</definedName>
    <definedName name="v_115_SAN">Model!$AX$274</definedName>
    <definedName name="v_115_SB">Model!$F$274</definedName>
    <definedName name="v_115_SCa">Model!$AY$274</definedName>
    <definedName name="v_115_SCAT">Model!$AW$274</definedName>
    <definedName name="v_115_SCH4">Model!$AS$274</definedName>
    <definedName name="v_115_SCO2">Model!$AU$274</definedName>
    <definedName name="v_115_SFe2">Model!$BE$274</definedName>
    <definedName name="v_115_SH2">Model!$AT$274</definedName>
    <definedName name="v_115_SH2S">Model!$BB$274</definedName>
    <definedName name="v_115_SK">Model!$BA$274</definedName>
    <definedName name="v_115_SMEOL">Model!$G$274</definedName>
    <definedName name="v_115_SMg">Model!$AZ$274</definedName>
    <definedName name="v_115_SMM_index">Model!$CT$274</definedName>
    <definedName name="v_115_SN_B">Model!$AJ$274</definedName>
    <definedName name="v_115_SN2">Model!$AI$274</definedName>
    <definedName name="v_115_SN2O">Model!$AH$274</definedName>
    <definedName name="v_115_SNH2OH">Model!$AC$274</definedName>
    <definedName name="v_115_SNHx">Model!$AB$274</definedName>
    <definedName name="v_115_SNO_AOB">Model!$AF$274</definedName>
    <definedName name="v_115_SNO_OHO">Model!$AG$274</definedName>
    <definedName name="v_115_SNO2">Model!$AE$274</definedName>
    <definedName name="v_115_SNO3">Model!$AD$274</definedName>
    <definedName name="v_115_SO2">Model!$AR$274</definedName>
    <definedName name="v_115_SP_B">Model!$AO$274</definedName>
    <definedName name="v_115_SPO4">Model!$AM$274</definedName>
    <definedName name="v_115_SSO4">Model!$BC$274</definedName>
    <definedName name="v_115_SU">Model!$J$274</definedName>
    <definedName name="v_115_SVFA">Model!$E$274</definedName>
    <definedName name="v_115_XACP">Model!$BU$274</definedName>
    <definedName name="v_115_XAMETO">Model!$W$274</definedName>
    <definedName name="v_115_XAMX">Model!$V$274</definedName>
    <definedName name="v_115_XAOB">Model!$T$274</definedName>
    <definedName name="v_115_XASRO">Model!$Y$274</definedName>
    <definedName name="v_115_XB">Model!$I$274</definedName>
    <definedName name="v_115_XBSH">Model!$BV$274</definedName>
    <definedName name="v_115_XCaCO3">Model!$BT$274</definedName>
    <definedName name="v_115_XCASTO">Model!$R$274</definedName>
    <definedName name="v_115_XE">Model!$O$274</definedName>
    <definedName name="v_115_XE_ana">Model!$P$274</definedName>
    <definedName name="v_115_XFeS">Model!$BY$274</definedName>
    <definedName name="v_115_XGLY">Model!$N$274</definedName>
    <definedName name="v_115_XHAO_H">Model!$BM$274</definedName>
    <definedName name="v_115_XHAO_H_P">Model!$BP$274</definedName>
    <definedName name="v_115_XHAO_H_P_old">Model!$BR$274</definedName>
    <definedName name="v_115_XHAO_L">Model!$BN$274</definedName>
    <definedName name="v_115_XHAO_L_P">Model!$BQ$274</definedName>
    <definedName name="v_115_XHAO_L_P_old">Model!$BS$274</definedName>
    <definedName name="v_115_XHAO_old">Model!$BO$274</definedName>
    <definedName name="v_115_XHFO_H">Model!$BF$274</definedName>
    <definedName name="v_115_XHFO_H_P">Model!$BI$274</definedName>
    <definedName name="v_115_XHFO_H_P_old">Model!$BK$274</definedName>
    <definedName name="v_115_XHFO_L">Model!$BG$274</definedName>
    <definedName name="v_115_XHFO_L_P">Model!$BJ$274</definedName>
    <definedName name="v_115_XHFO_L_P_old">Model!$BL$274</definedName>
    <definedName name="v_115_XHFO_old">Model!$BH$274</definedName>
    <definedName name="v_115_XHMETO">Model!$X$274</definedName>
    <definedName name="v_115_XHSRO">Model!$Z$274</definedName>
    <definedName name="v_115_XINORG">Model!$AV$274</definedName>
    <definedName name="v_115_XMEOLO">Model!$S$274</definedName>
    <definedName name="v_115_XMOB">Model!$CU$274</definedName>
    <definedName name="v_115_XN_B">Model!$AK$274</definedName>
    <definedName name="v_115_XN_U">Model!$AL$274</definedName>
    <definedName name="v_115_XNOB">Model!$U$274</definedName>
    <definedName name="v_115_XOHO">Model!$Q$274</definedName>
    <definedName name="v_115_XP_B">Model!$AP$274</definedName>
    <definedName name="v_115_XP_U">Model!$AQ$274</definedName>
    <definedName name="v_115_XPHA">Model!$M$274</definedName>
    <definedName name="v_115_XPP">Model!$AN$274</definedName>
    <definedName name="v_115_XS">Model!$BD$274</definedName>
    <definedName name="v_115_XSOO">Model!$AA$274</definedName>
    <definedName name="v_115_XSTR">Model!$BW$274</definedName>
    <definedName name="v_115_XU">Model!$L$274</definedName>
    <definedName name="v_115_XVivi">Model!$BX$274</definedName>
    <definedName name="v_116_CB">Model!$H$275</definedName>
    <definedName name="v_116_CU">Model!$K$275</definedName>
    <definedName name="v_116_GCH4">Model!$CC$275</definedName>
    <definedName name="v_116_GCH4_atm">Model!$CL$275</definedName>
    <definedName name="v_116_GCO2">Model!$CB$275</definedName>
    <definedName name="v_116_GCO2_atm">Model!$CK$275</definedName>
    <definedName name="v_116_GH2">Model!$CD$275</definedName>
    <definedName name="v_116_GH2_atm">Model!$CM$275</definedName>
    <definedName name="v_116_GH2S">Model!$CJ$275</definedName>
    <definedName name="v_116_GH2S_atm">Model!$CS$275</definedName>
    <definedName name="v_116_GN2">Model!$CI$275</definedName>
    <definedName name="v_116_GN2_atm">Model!$CR$275</definedName>
    <definedName name="v_116_GN2O">Model!$CH$275</definedName>
    <definedName name="v_116_GN2O_atm">Model!$CQ$275</definedName>
    <definedName name="v_116_GNH3">Model!$CF$275</definedName>
    <definedName name="v_116_GNH3_atm">Model!$CO$275</definedName>
    <definedName name="v_116_GNO">Model!$CG$275</definedName>
    <definedName name="v_116_GNO_atm">Model!$CP$275</definedName>
    <definedName name="v_116_GO2">Model!$CE$275</definedName>
    <definedName name="v_116_GO2_atm">Model!$CN$275</definedName>
    <definedName name="v_116_H">Model!$BZ$275</definedName>
    <definedName name="v_116_SALPHA">Model!$CA$275</definedName>
    <definedName name="v_116_SAN">Model!$AX$275</definedName>
    <definedName name="v_116_SB">Model!$F$275</definedName>
    <definedName name="v_116_SCa">Model!$AY$275</definedName>
    <definedName name="v_116_SCAT">Model!$AW$275</definedName>
    <definedName name="v_116_SCH4">Model!$AS$275</definedName>
    <definedName name="v_116_SCO2">Model!$AU$275</definedName>
    <definedName name="v_116_SFe2">Model!$BE$275</definedName>
    <definedName name="v_116_SH2">Model!$AT$275</definedName>
    <definedName name="v_116_SH2S">Model!$BB$275</definedName>
    <definedName name="v_116_SK">Model!$BA$275</definedName>
    <definedName name="v_116_SMEOL">Model!$G$275</definedName>
    <definedName name="v_116_SMg">Model!$AZ$275</definedName>
    <definedName name="v_116_SMM_index">Model!$CT$275</definedName>
    <definedName name="v_116_SN_B">Model!$AJ$275</definedName>
    <definedName name="v_116_SN2">Model!$AI$275</definedName>
    <definedName name="v_116_SN2O">Model!$AH$275</definedName>
    <definedName name="v_116_SNH2OH">Model!$AC$275</definedName>
    <definedName name="v_116_SNHx">Model!$AB$275</definedName>
    <definedName name="v_116_SNO_AOB">Model!$AF$275</definedName>
    <definedName name="v_116_SNO_OHO">Model!$AG$275</definedName>
    <definedName name="v_116_SNO2">Model!$AE$275</definedName>
    <definedName name="v_116_SNO3">Model!$AD$275</definedName>
    <definedName name="v_116_SO2">Model!$AR$275</definedName>
    <definedName name="v_116_SP_B">Model!$AO$275</definedName>
    <definedName name="v_116_SPO4">Model!$AM$275</definedName>
    <definedName name="v_116_SSO4">Model!$BC$275</definedName>
    <definedName name="v_116_SU">Model!$J$275</definedName>
    <definedName name="v_116_SVFA">Model!$E$275</definedName>
    <definedName name="v_116_XACP">Model!$BU$275</definedName>
    <definedName name="v_116_XAMETO">Model!$W$275</definedName>
    <definedName name="v_116_XAMX">Model!$V$275</definedName>
    <definedName name="v_116_XAOB">Model!$T$275</definedName>
    <definedName name="v_116_XASRO">Model!$Y$275</definedName>
    <definedName name="v_116_XB">Model!$I$275</definedName>
    <definedName name="v_116_XBSH">Model!$BV$275</definedName>
    <definedName name="v_116_XCaCO3">Model!$BT$275</definedName>
    <definedName name="v_116_XCASTO">Model!$R$275</definedName>
    <definedName name="v_116_XE">Model!$O$275</definedName>
    <definedName name="v_116_XE_ana">Model!$P$275</definedName>
    <definedName name="v_116_XFeS">Model!$BY$275</definedName>
    <definedName name="v_116_XGLY">Model!$N$275</definedName>
    <definedName name="v_116_XHAO_H">Model!$BM$275</definedName>
    <definedName name="v_116_XHAO_H_P">Model!$BP$275</definedName>
    <definedName name="v_116_XHAO_H_P_old">Model!$BR$275</definedName>
    <definedName name="v_116_XHAO_L">Model!$BN$275</definedName>
    <definedName name="v_116_XHAO_L_P">Model!$BQ$275</definedName>
    <definedName name="v_116_XHAO_L_P_old">Model!$BS$275</definedName>
    <definedName name="v_116_XHAO_old">Model!$BO$275</definedName>
    <definedName name="v_116_XHFO_H">Model!$BF$275</definedName>
    <definedName name="v_116_XHFO_H_P">Model!$BI$275</definedName>
    <definedName name="v_116_XHFO_H_P_old">Model!$BK$275</definedName>
    <definedName name="v_116_XHFO_L">Model!$BG$275</definedName>
    <definedName name="v_116_XHFO_L_P">Model!$BJ$275</definedName>
    <definedName name="v_116_XHFO_L_P_old">Model!$BL$275</definedName>
    <definedName name="v_116_XHFO_old">Model!$BH$275</definedName>
    <definedName name="v_116_XHMETO">Model!$X$275</definedName>
    <definedName name="v_116_XHSRO">Model!$Z$275</definedName>
    <definedName name="v_116_XINORG">Model!$AV$275</definedName>
    <definedName name="v_116_XMEOLO">Model!$S$275</definedName>
    <definedName name="v_116_XMOB">Model!$CU$275</definedName>
    <definedName name="v_116_XN_B">Model!$AK$275</definedName>
    <definedName name="v_116_XN_U">Model!$AL$275</definedName>
    <definedName name="v_116_XNOB">Model!$U$275</definedName>
    <definedName name="v_116_XOHO">Model!$Q$275</definedName>
    <definedName name="v_116_XP_B">Model!$AP$275</definedName>
    <definedName name="v_116_XP_U">Model!$AQ$275</definedName>
    <definedName name="v_116_XPHA">Model!$M$275</definedName>
    <definedName name="v_116_XPP">Model!$AN$275</definedName>
    <definedName name="v_116_XS">Model!$BD$275</definedName>
    <definedName name="v_116_XSOO">Model!$AA$275</definedName>
    <definedName name="v_116_XSTR">Model!$BW$275</definedName>
    <definedName name="v_116_XU">Model!$L$275</definedName>
    <definedName name="v_116_XVivi">Model!$BX$275</definedName>
    <definedName name="v_117_CB">Model!$H$276</definedName>
    <definedName name="v_117_CU">Model!$K$276</definedName>
    <definedName name="v_117_GCH4">Model!$CC$276</definedName>
    <definedName name="v_117_GCH4_atm">Model!$CL$276</definedName>
    <definedName name="v_117_GCO2">Model!$CB$276</definedName>
    <definedName name="v_117_GCO2_atm">Model!$CK$276</definedName>
    <definedName name="v_117_GH2">Model!$CD$276</definedName>
    <definedName name="v_117_GH2_atm">Model!$CM$276</definedName>
    <definedName name="v_117_GH2S">Model!$CJ$276</definedName>
    <definedName name="v_117_GH2S_atm">Model!$CS$276</definedName>
    <definedName name="v_117_GN2">Model!$CI$276</definedName>
    <definedName name="v_117_GN2_atm">Model!$CR$276</definedName>
    <definedName name="v_117_GN2O">Model!$CH$276</definedName>
    <definedName name="v_117_GN2O_atm">Model!$CQ$276</definedName>
    <definedName name="v_117_GNH3">Model!$CF$276</definedName>
    <definedName name="v_117_GNH3_atm">Model!$CO$276</definedName>
    <definedName name="v_117_GNO">Model!$CG$276</definedName>
    <definedName name="v_117_GNO_atm">Model!$CP$276</definedName>
    <definedName name="v_117_GO2">Model!$CE$276</definedName>
    <definedName name="v_117_GO2_atm">Model!$CN$276</definedName>
    <definedName name="v_117_H">Model!$BZ$276</definedName>
    <definedName name="v_117_SALPHA">Model!$CA$276</definedName>
    <definedName name="v_117_SAN">Model!$AX$276</definedName>
    <definedName name="v_117_SB">Model!$F$276</definedName>
    <definedName name="v_117_SCa">Model!$AY$276</definedName>
    <definedName name="v_117_SCAT">Model!$AW$276</definedName>
    <definedName name="v_117_SCH4">Model!$AS$276</definedName>
    <definedName name="v_117_SCO2">Model!$AU$276</definedName>
    <definedName name="v_117_SFe2">Model!$BE$276</definedName>
    <definedName name="v_117_SH2">Model!$AT$276</definedName>
    <definedName name="v_117_SH2S">Model!$BB$276</definedName>
    <definedName name="v_117_SK">Model!$BA$276</definedName>
    <definedName name="v_117_SMEOL">Model!$G$276</definedName>
    <definedName name="v_117_SMg">Model!$AZ$276</definedName>
    <definedName name="v_117_SMM_index">Model!$CT$276</definedName>
    <definedName name="v_117_SN_B">Model!$AJ$276</definedName>
    <definedName name="v_117_SN2">Model!$AI$276</definedName>
    <definedName name="v_117_SN2O">Model!$AH$276</definedName>
    <definedName name="v_117_SNH2OH">Model!$AC$276</definedName>
    <definedName name="v_117_SNHx">Model!$AB$276</definedName>
    <definedName name="v_117_SNO_AOB">Model!$AF$276</definedName>
    <definedName name="v_117_SNO_OHO">Model!$AG$276</definedName>
    <definedName name="v_117_SNO2">Model!$AE$276</definedName>
    <definedName name="v_117_SNO3">Model!$AD$276</definedName>
    <definedName name="v_117_SO2">Model!$AR$276</definedName>
    <definedName name="v_117_SP_B">Model!$AO$276</definedName>
    <definedName name="v_117_SPO4">Model!$AM$276</definedName>
    <definedName name="v_117_SSO4">Model!$BC$276</definedName>
    <definedName name="v_117_SU">Model!$J$276</definedName>
    <definedName name="v_117_SVFA">Model!$E$276</definedName>
    <definedName name="v_117_XACP">Model!$BU$276</definedName>
    <definedName name="v_117_XAMETO">Model!$W$276</definedName>
    <definedName name="v_117_XAMX">Model!$V$276</definedName>
    <definedName name="v_117_XAOB">Model!$T$276</definedName>
    <definedName name="v_117_XASRO">Model!$Y$276</definedName>
    <definedName name="v_117_XB">Model!$I$276</definedName>
    <definedName name="v_117_XBSH">Model!$BV$276</definedName>
    <definedName name="v_117_XCaCO3">Model!$BT$276</definedName>
    <definedName name="v_117_XCASTO">Model!$R$276</definedName>
    <definedName name="v_117_XE">Model!$O$276</definedName>
    <definedName name="v_117_XE_ana">Model!$P$276</definedName>
    <definedName name="v_117_XFeS">Model!$BY$276</definedName>
    <definedName name="v_117_XGLY">Model!$N$276</definedName>
    <definedName name="v_117_XHAO_H">Model!$BM$276</definedName>
    <definedName name="v_117_XHAO_H_P">Model!$BP$276</definedName>
    <definedName name="v_117_XHAO_H_P_old">Model!$BR$276</definedName>
    <definedName name="v_117_XHAO_L">Model!$BN$276</definedName>
    <definedName name="v_117_XHAO_L_P">Model!$BQ$276</definedName>
    <definedName name="v_117_XHAO_L_P_old">Model!$BS$276</definedName>
    <definedName name="v_117_XHAO_old">Model!$BO$276</definedName>
    <definedName name="v_117_XHFO_H">Model!$BF$276</definedName>
    <definedName name="v_117_XHFO_H_P">Model!$BI$276</definedName>
    <definedName name="v_117_XHFO_H_P_old">Model!$BK$276</definedName>
    <definedName name="v_117_XHFO_L">Model!$BG$276</definedName>
    <definedName name="v_117_XHFO_L_P">Model!$BJ$276</definedName>
    <definedName name="v_117_XHFO_L_P_old">Model!$BL$276</definedName>
    <definedName name="v_117_XHFO_old">Model!$BH$276</definedName>
    <definedName name="v_117_XHMETO">Model!$X$276</definedName>
    <definedName name="v_117_XHSRO">Model!$Z$276</definedName>
    <definedName name="v_117_XINORG">Model!$AV$276</definedName>
    <definedName name="v_117_XMEOLO">Model!$S$276</definedName>
    <definedName name="v_117_XMOB">Model!$CU$276</definedName>
    <definedName name="v_117_XN_B">Model!$AK$276</definedName>
    <definedName name="v_117_XN_U">Model!$AL$276</definedName>
    <definedName name="v_117_XNOB">Model!$U$276</definedName>
    <definedName name="v_117_XOHO">Model!$Q$276</definedName>
    <definedName name="v_117_XP_B">Model!$AP$276</definedName>
    <definedName name="v_117_XP_U">Model!$AQ$276</definedName>
    <definedName name="v_117_XPHA">Model!$M$276</definedName>
    <definedName name="v_117_XPP">Model!$AN$276</definedName>
    <definedName name="v_117_XS">Model!$BD$276</definedName>
    <definedName name="v_117_XSOO">Model!$AA$276</definedName>
    <definedName name="v_117_XSTR">Model!$BW$276</definedName>
    <definedName name="v_117_XU">Model!$L$276</definedName>
    <definedName name="v_117_XVivi">Model!$BX$276</definedName>
    <definedName name="v_118_CB">Model!$H$277</definedName>
    <definedName name="v_118_CU">Model!$K$277</definedName>
    <definedName name="v_118_GCH4">Model!$CC$277</definedName>
    <definedName name="v_118_GCH4_atm">Model!$CL$277</definedName>
    <definedName name="v_118_GCO2">Model!$CB$277</definedName>
    <definedName name="v_118_GCO2_atm">Model!$CK$277</definedName>
    <definedName name="v_118_GH2">Model!$CD$277</definedName>
    <definedName name="v_118_GH2_atm">Model!$CM$277</definedName>
    <definedName name="v_118_GH2S">Model!$CJ$277</definedName>
    <definedName name="v_118_GH2S_atm">Model!$CS$277</definedName>
    <definedName name="v_118_GN2">Model!$CI$277</definedName>
    <definedName name="v_118_GN2_atm">Model!$CR$277</definedName>
    <definedName name="v_118_GN2O">Model!$CH$277</definedName>
    <definedName name="v_118_GN2O_atm">Model!$CQ$277</definedName>
    <definedName name="v_118_GNH3">Model!$CF$277</definedName>
    <definedName name="v_118_GNH3_atm">Model!$CO$277</definedName>
    <definedName name="v_118_GNO">Model!$CG$277</definedName>
    <definedName name="v_118_GNO_atm">Model!$CP$277</definedName>
    <definedName name="v_118_GO2">Model!$CE$277</definedName>
    <definedName name="v_118_GO2_atm">Model!$CN$277</definedName>
    <definedName name="v_118_H">Model!$BZ$277</definedName>
    <definedName name="v_118_SALPHA">Model!$CA$277</definedName>
    <definedName name="v_118_SAN">Model!$AX$277</definedName>
    <definedName name="v_118_SB">Model!$F$277</definedName>
    <definedName name="v_118_SCa">Model!$AY$277</definedName>
    <definedName name="v_118_SCAT">Model!$AW$277</definedName>
    <definedName name="v_118_SCH4">Model!$AS$277</definedName>
    <definedName name="v_118_SCO2">Model!$AU$277</definedName>
    <definedName name="v_118_SFe2">Model!$BE$277</definedName>
    <definedName name="v_118_SH2">Model!$AT$277</definedName>
    <definedName name="v_118_SH2S">Model!$BB$277</definedName>
    <definedName name="v_118_SK">Model!$BA$277</definedName>
    <definedName name="v_118_SMEOL">Model!$G$277</definedName>
    <definedName name="v_118_SMg">Model!$AZ$277</definedName>
    <definedName name="v_118_SMM_index">Model!$CT$277</definedName>
    <definedName name="v_118_SN_B">Model!$AJ$277</definedName>
    <definedName name="v_118_SN2">Model!$AI$277</definedName>
    <definedName name="v_118_SN2O">Model!$AH$277</definedName>
    <definedName name="v_118_SNH2OH">Model!$AC$277</definedName>
    <definedName name="v_118_SNHx">Model!$AB$277</definedName>
    <definedName name="v_118_SNO_AOB">Model!$AF$277</definedName>
    <definedName name="v_118_SNO_OHO">Model!$AG$277</definedName>
    <definedName name="v_118_SNO2">Model!$AE$277</definedName>
    <definedName name="v_118_SNO3">Model!$AD$277</definedName>
    <definedName name="v_118_SO2">Model!$AR$277</definedName>
    <definedName name="v_118_SP_B">Model!$AO$277</definedName>
    <definedName name="v_118_SPO4">Model!$AM$277</definedName>
    <definedName name="v_118_SSO4">Model!$BC$277</definedName>
    <definedName name="v_118_SU">Model!$J$277</definedName>
    <definedName name="v_118_SVFA">Model!$E$277</definedName>
    <definedName name="v_118_XACP">Model!$BU$277</definedName>
    <definedName name="v_118_XAMETO">Model!$W$277</definedName>
    <definedName name="v_118_XAMX">Model!$V$277</definedName>
    <definedName name="v_118_XAOB">Model!$T$277</definedName>
    <definedName name="v_118_XASRO">Model!$Y$277</definedName>
    <definedName name="v_118_XB">Model!$I$277</definedName>
    <definedName name="v_118_XBSH">Model!$BV$277</definedName>
    <definedName name="v_118_XCaCO3">Model!$BT$277</definedName>
    <definedName name="v_118_XCASTO">Model!$R$277</definedName>
    <definedName name="v_118_XE">Model!$O$277</definedName>
    <definedName name="v_118_XE_ana">Model!$P$277</definedName>
    <definedName name="v_118_XFeS">Model!$BY$277</definedName>
    <definedName name="v_118_XGLY">Model!$N$277</definedName>
    <definedName name="v_118_XHAO_H">Model!$BM$277</definedName>
    <definedName name="v_118_XHAO_H_P">Model!$BP$277</definedName>
    <definedName name="v_118_XHAO_H_P_old">Model!$BR$277</definedName>
    <definedName name="v_118_XHAO_L">Model!$BN$277</definedName>
    <definedName name="v_118_XHAO_L_P">Model!$BQ$277</definedName>
    <definedName name="v_118_XHAO_L_P_old">Model!$BS$277</definedName>
    <definedName name="v_118_XHAO_old">Model!$BO$277</definedName>
    <definedName name="v_118_XHFO_H">Model!$BF$277</definedName>
    <definedName name="v_118_XHFO_H_P">Model!$BI$277</definedName>
    <definedName name="v_118_XHFO_H_P_old">Model!$BK$277</definedName>
    <definedName name="v_118_XHFO_L">Model!$BG$277</definedName>
    <definedName name="v_118_XHFO_L_P">Model!$BJ$277</definedName>
    <definedName name="v_118_XHFO_L_P_old">Model!$BL$277</definedName>
    <definedName name="v_118_XHFO_old">Model!$BH$277</definedName>
    <definedName name="v_118_XHMETO">Model!$X$277</definedName>
    <definedName name="v_118_XHSRO">Model!$Z$277</definedName>
    <definedName name="v_118_XINORG">Model!$AV$277</definedName>
    <definedName name="v_118_XMEOLO">Model!$S$277</definedName>
    <definedName name="v_118_XMOB">Model!$CU$277</definedName>
    <definedName name="v_118_XN_B">Model!$AK$277</definedName>
    <definedName name="v_118_XN_U">Model!$AL$277</definedName>
    <definedName name="v_118_XNOB">Model!$U$277</definedName>
    <definedName name="v_118_XOHO">Model!$Q$277</definedName>
    <definedName name="v_118_XP_B">Model!$AP$277</definedName>
    <definedName name="v_118_XP_U">Model!$AQ$277</definedName>
    <definedName name="v_118_XPHA">Model!$M$277</definedName>
    <definedName name="v_118_XPP">Model!$AN$277</definedName>
    <definedName name="v_118_XS">Model!$BD$277</definedName>
    <definedName name="v_118_XSOO">Model!$AA$277</definedName>
    <definedName name="v_118_XSTR">Model!$BW$277</definedName>
    <definedName name="v_118_XU">Model!$L$277</definedName>
    <definedName name="v_118_XVivi">Model!$BX$277</definedName>
    <definedName name="v_119_CB">Model!$H$278</definedName>
    <definedName name="v_119_CU">Model!$K$278</definedName>
    <definedName name="v_119_GCH4">Model!$CC$278</definedName>
    <definedName name="v_119_GCH4_atm">Model!$CL$278</definedName>
    <definedName name="v_119_GCO2">Model!$CB$278</definedName>
    <definedName name="v_119_GCO2_atm">Model!$CK$278</definedName>
    <definedName name="v_119_GH2">Model!$CD$278</definedName>
    <definedName name="v_119_GH2_atm">Model!$CM$278</definedName>
    <definedName name="v_119_GH2S">Model!$CJ$278</definedName>
    <definedName name="v_119_GH2S_atm">Model!$CS$278</definedName>
    <definedName name="v_119_GN2">Model!$CI$278</definedName>
    <definedName name="v_119_GN2_atm">Model!$CR$278</definedName>
    <definedName name="v_119_GN2O">Model!$CH$278</definedName>
    <definedName name="v_119_GN2O_atm">Model!$CQ$278</definedName>
    <definedName name="v_119_GNH3">Model!$CF$278</definedName>
    <definedName name="v_119_GNH3_atm">Model!$CO$278</definedName>
    <definedName name="v_119_GNO">Model!$CG$278</definedName>
    <definedName name="v_119_GNO_atm">Model!$CP$278</definedName>
    <definedName name="v_119_GO2">Model!$CE$278</definedName>
    <definedName name="v_119_GO2_atm">Model!$CN$278</definedName>
    <definedName name="v_119_H">Model!$BZ$278</definedName>
    <definedName name="v_119_SALPHA">Model!$CA$278</definedName>
    <definedName name="v_119_SAN">Model!$AX$278</definedName>
    <definedName name="v_119_SB">Model!$F$278</definedName>
    <definedName name="v_119_SCa">Model!$AY$278</definedName>
    <definedName name="v_119_SCAT">Model!$AW$278</definedName>
    <definedName name="v_119_SCH4">Model!$AS$278</definedName>
    <definedName name="v_119_SCO2">Model!$AU$278</definedName>
    <definedName name="v_119_SFe2">Model!$BE$278</definedName>
    <definedName name="v_119_SH2">Model!$AT$278</definedName>
    <definedName name="v_119_SH2S">Model!$BB$278</definedName>
    <definedName name="v_119_SK">Model!$BA$278</definedName>
    <definedName name="v_119_SMEOL">Model!$G$278</definedName>
    <definedName name="v_119_SMg">Model!$AZ$278</definedName>
    <definedName name="v_119_SMM_index">Model!$CT$278</definedName>
    <definedName name="v_119_SN_B">Model!$AJ$278</definedName>
    <definedName name="v_119_SN2">Model!$AI$278</definedName>
    <definedName name="v_119_SN2O">Model!$AH$278</definedName>
    <definedName name="v_119_SNH2OH">Model!$AC$278</definedName>
    <definedName name="v_119_SNHx">Model!$AB$278</definedName>
    <definedName name="v_119_SNO_AOB">Model!$AF$278</definedName>
    <definedName name="v_119_SNO_OHO">Model!$AG$278</definedName>
    <definedName name="v_119_SNO2">Model!$AE$278</definedName>
    <definedName name="v_119_SNO3">Model!$AD$278</definedName>
    <definedName name="v_119_SO2">Model!$AR$278</definedName>
    <definedName name="v_119_SP_B">Model!$AO$278</definedName>
    <definedName name="v_119_SPO4">Model!$AM$278</definedName>
    <definedName name="v_119_SSO4">Model!$BC$278</definedName>
    <definedName name="v_119_SU">Model!$J$278</definedName>
    <definedName name="v_119_SVFA">Model!$E$278</definedName>
    <definedName name="v_119_XACP">Model!$BU$278</definedName>
    <definedName name="v_119_XAMETO">Model!$W$278</definedName>
    <definedName name="v_119_XAMX">Model!$V$278</definedName>
    <definedName name="v_119_XAOB">Model!$T$278</definedName>
    <definedName name="v_119_XASRO">Model!$Y$278</definedName>
    <definedName name="v_119_XB">Model!$I$278</definedName>
    <definedName name="v_119_XBSH">Model!$BV$278</definedName>
    <definedName name="v_119_XCaCO3">Model!$BT$278</definedName>
    <definedName name="v_119_XCASTO">Model!$R$278</definedName>
    <definedName name="v_119_XE">Model!$O$278</definedName>
    <definedName name="v_119_XE_ana">Model!$P$278</definedName>
    <definedName name="v_119_XFeS">Model!$BY$278</definedName>
    <definedName name="v_119_XGLY">Model!$N$278</definedName>
    <definedName name="v_119_XHAO_H">Model!$BM$278</definedName>
    <definedName name="v_119_XHAO_H_P">Model!$BP$278</definedName>
    <definedName name="v_119_XHAO_H_P_old">Model!$BR$278</definedName>
    <definedName name="v_119_XHAO_L">Model!$BN$278</definedName>
    <definedName name="v_119_XHAO_L_P">Model!$BQ$278</definedName>
    <definedName name="v_119_XHAO_L_P_old">Model!$BS$278</definedName>
    <definedName name="v_119_XHAO_old">Model!$BO$278</definedName>
    <definedName name="v_119_XHFO_H">Model!$BF$278</definedName>
    <definedName name="v_119_XHFO_H_P">Model!$BI$278</definedName>
    <definedName name="v_119_XHFO_H_P_old">Model!$BK$278</definedName>
    <definedName name="v_119_XHFO_L">Model!$BG$278</definedName>
    <definedName name="v_119_XHFO_L_P">Model!$BJ$278</definedName>
    <definedName name="v_119_XHFO_L_P_old">Model!$BL$278</definedName>
    <definedName name="v_119_XHFO_old">Model!$BH$278</definedName>
    <definedName name="v_119_XHMETO">Model!$X$278</definedName>
    <definedName name="v_119_XHSRO">Model!$Z$278</definedName>
    <definedName name="v_119_XINORG">Model!$AV$278</definedName>
    <definedName name="v_119_XMEOLO">Model!$S$278</definedName>
    <definedName name="v_119_XMOB">Model!$CU$278</definedName>
    <definedName name="v_119_XN_B">Model!$AK$278</definedName>
    <definedName name="v_119_XN_U">Model!$AL$278</definedName>
    <definedName name="v_119_XNOB">Model!$U$278</definedName>
    <definedName name="v_119_XOHO">Model!$Q$278</definedName>
    <definedName name="v_119_XP_B">Model!$AP$278</definedName>
    <definedName name="v_119_XP_U">Model!$AQ$278</definedName>
    <definedName name="v_119_XPHA">Model!$M$278</definedName>
    <definedName name="v_119_XPP">Model!$AN$278</definedName>
    <definedName name="v_119_XS">Model!$BD$278</definedName>
    <definedName name="v_119_XSOO">Model!$AA$278</definedName>
    <definedName name="v_119_XSTR">Model!$BW$278</definedName>
    <definedName name="v_119_XU">Model!$L$278</definedName>
    <definedName name="v_119_XVivi">Model!$BX$278</definedName>
    <definedName name="v_12_CB">Model!$H$171</definedName>
    <definedName name="v_12_CU">Model!$K$171</definedName>
    <definedName name="v_12_GCH4">Model!$CC$171</definedName>
    <definedName name="v_12_GCH4_atm">Model!$CL$171</definedName>
    <definedName name="v_12_GCO2">Model!$CB$171</definedName>
    <definedName name="v_12_GCO2_atm">Model!$CK$171</definedName>
    <definedName name="v_12_GH2">Model!$CD$171</definedName>
    <definedName name="v_12_GH2_atm">Model!$CM$171</definedName>
    <definedName name="v_12_GH2S">Model!$CJ$171</definedName>
    <definedName name="v_12_GH2S_atm">Model!$CS$171</definedName>
    <definedName name="v_12_GN2">Model!$CI$171</definedName>
    <definedName name="v_12_GN2_atm">Model!$CR$171</definedName>
    <definedName name="v_12_GN2O">Model!$CH$171</definedName>
    <definedName name="v_12_GN2O_atm">Model!$CQ$171</definedName>
    <definedName name="v_12_GNH3">Model!$CF$171</definedName>
    <definedName name="v_12_GNH3_atm">Model!$CO$171</definedName>
    <definedName name="v_12_GNO">Model!$CG$171</definedName>
    <definedName name="v_12_GNO_atm">Model!$CP$171</definedName>
    <definedName name="v_12_GO2">Model!$CE$171</definedName>
    <definedName name="v_12_GO2_atm">Model!$CN$171</definedName>
    <definedName name="v_12_H">Model!$BZ$171</definedName>
    <definedName name="v_12_SALPHA">Model!$CA$171</definedName>
    <definedName name="v_12_SAN">Model!$AX$171</definedName>
    <definedName name="v_12_SB">Model!$F$171</definedName>
    <definedName name="v_12_SCa">Model!$AY$171</definedName>
    <definedName name="v_12_SCAT">Model!$AW$171</definedName>
    <definedName name="v_12_SCH4">Model!$AS$171</definedName>
    <definedName name="v_12_SCO2">Model!$AU$171</definedName>
    <definedName name="v_12_SFe2">Model!$BE$171</definedName>
    <definedName name="v_12_SH2">Model!$AT$171</definedName>
    <definedName name="v_12_SH2S">Model!$BB$171</definedName>
    <definedName name="v_12_SK">Model!$BA$171</definedName>
    <definedName name="v_12_SMEOL">Model!$G$171</definedName>
    <definedName name="v_12_SMg">Model!$AZ$171</definedName>
    <definedName name="v_12_SMM_index">Model!$CT$171</definedName>
    <definedName name="v_12_SN_B">Model!$AJ$171</definedName>
    <definedName name="v_12_SN2">Model!$AI$171</definedName>
    <definedName name="v_12_SN2O">Model!$AH$171</definedName>
    <definedName name="v_12_SNH2OH">Model!$AC$171</definedName>
    <definedName name="v_12_SNHx">Model!$AB$171</definedName>
    <definedName name="v_12_SNO_AOB">Model!$AF$171</definedName>
    <definedName name="v_12_SNO_OHO">Model!$AG$171</definedName>
    <definedName name="v_12_SNO2">Model!$AE$171</definedName>
    <definedName name="v_12_SNO3">Model!$AD$171</definedName>
    <definedName name="v_12_SO2">Model!$AR$171</definedName>
    <definedName name="v_12_SP_B">Model!$AO$171</definedName>
    <definedName name="v_12_SPO4">Model!$AM$171</definedName>
    <definedName name="v_12_SSO4">Model!$BC$171</definedName>
    <definedName name="v_12_SU">Model!$J$171</definedName>
    <definedName name="v_12_SVFA">Model!$E$171</definedName>
    <definedName name="v_12_XACP">Model!$BU$171</definedName>
    <definedName name="v_12_XAMETO">Model!$W$171</definedName>
    <definedName name="v_12_XAMX">Model!$V$171</definedName>
    <definedName name="v_12_XAOB">Model!$T$171</definedName>
    <definedName name="v_12_XASRO">Model!$Y$171</definedName>
    <definedName name="v_12_XB">Model!$I$171</definedName>
    <definedName name="v_12_XBSH">Model!$BV$171</definedName>
    <definedName name="v_12_XCaCO3">Model!$BT$171</definedName>
    <definedName name="v_12_XCASTO">Model!$R$171</definedName>
    <definedName name="v_12_XE">Model!$O$171</definedName>
    <definedName name="v_12_XE_ana">Model!$P$171</definedName>
    <definedName name="v_12_XFeS">Model!$BY$171</definedName>
    <definedName name="v_12_XGLY">Model!$N$171</definedName>
    <definedName name="v_12_XHAO_H">Model!$BM$171</definedName>
    <definedName name="v_12_XHAO_H_P">Model!$BP$171</definedName>
    <definedName name="v_12_XHAO_H_P_old">Model!$BR$171</definedName>
    <definedName name="v_12_XHAO_L">Model!$BN$171</definedName>
    <definedName name="v_12_XHAO_L_P">Model!$BQ$171</definedName>
    <definedName name="v_12_XHAO_L_P_old">Model!$BS$171</definedName>
    <definedName name="v_12_XHAO_old">Model!$BO$171</definedName>
    <definedName name="v_12_XHFO_H">Model!$BF$171</definedName>
    <definedName name="v_12_XHFO_H_P">Model!$BI$171</definedName>
    <definedName name="v_12_XHFO_H_P_old">Model!$BK$171</definedName>
    <definedName name="v_12_XHFO_L">Model!$BG$171</definedName>
    <definedName name="v_12_XHFO_L_P">Model!$BJ$171</definedName>
    <definedName name="v_12_XHFO_L_P_old">Model!$BL$171</definedName>
    <definedName name="v_12_XHFO_old">Model!$BH$171</definedName>
    <definedName name="v_12_XHMETO">Model!$X$171</definedName>
    <definedName name="v_12_XHSRO">Model!$Z$171</definedName>
    <definedName name="v_12_XINORG">Model!$AV$171</definedName>
    <definedName name="v_12_XMEOLO">Model!$S$171</definedName>
    <definedName name="v_12_XMOB">Model!$CU$171</definedName>
    <definedName name="v_12_XN_B">Model!$AK$171</definedName>
    <definedName name="v_12_XN_U">Model!$AL$171</definedName>
    <definedName name="v_12_XNOB">Model!$U$171</definedName>
    <definedName name="v_12_XOHO">Model!$Q$171</definedName>
    <definedName name="v_12_XP_B">Model!$AP$171</definedName>
    <definedName name="v_12_XP_U">Model!$AQ$171</definedName>
    <definedName name="v_12_XPHA">Model!$M$171</definedName>
    <definedName name="v_12_XPP">Model!$AN$171</definedName>
    <definedName name="v_12_XS">Model!$BD$171</definedName>
    <definedName name="v_12_XSOO">Model!$AA$171</definedName>
    <definedName name="v_12_XSTR">Model!$BW$171</definedName>
    <definedName name="v_12_XU">Model!$L$171</definedName>
    <definedName name="v_12_XVivi">Model!$BX$171</definedName>
    <definedName name="v_120_CB">Model!$H$279</definedName>
    <definedName name="v_120_CU">Model!$K$279</definedName>
    <definedName name="v_120_GCH4">Model!$CC$279</definedName>
    <definedName name="v_120_GCH4_atm">Model!$CL$279</definedName>
    <definedName name="v_120_GCO2">Model!$CB$279</definedName>
    <definedName name="v_120_GCO2_atm">Model!$CK$279</definedName>
    <definedName name="v_120_GH2">Model!$CD$279</definedName>
    <definedName name="v_120_GH2_atm">Model!$CM$279</definedName>
    <definedName name="v_120_GH2S">Model!$CJ$279</definedName>
    <definedName name="v_120_GH2S_atm">Model!$CS$279</definedName>
    <definedName name="v_120_GN2">Model!$CI$279</definedName>
    <definedName name="v_120_GN2_atm">Model!$CR$279</definedName>
    <definedName name="v_120_GN2O">Model!$CH$279</definedName>
    <definedName name="v_120_GN2O_atm">Model!$CQ$279</definedName>
    <definedName name="v_120_GNH3">Model!$CF$279</definedName>
    <definedName name="v_120_GNH3_atm">Model!$CO$279</definedName>
    <definedName name="v_120_GNO">Model!$CG$279</definedName>
    <definedName name="v_120_GNO_atm">Model!$CP$279</definedName>
    <definedName name="v_120_GO2">Model!$CE$279</definedName>
    <definedName name="v_120_GO2_atm">Model!$CN$279</definedName>
    <definedName name="v_120_H">Model!$BZ$279</definedName>
    <definedName name="v_120_SALPHA">Model!$CA$279</definedName>
    <definedName name="v_120_SAN">Model!$AX$279</definedName>
    <definedName name="v_120_SB">Model!$F$279</definedName>
    <definedName name="v_120_SCa">Model!$AY$279</definedName>
    <definedName name="v_120_SCAT">Model!$AW$279</definedName>
    <definedName name="v_120_SCH4">Model!$AS$279</definedName>
    <definedName name="v_120_SCO2">Model!$AU$279</definedName>
    <definedName name="v_120_SFe2">Model!$BE$279</definedName>
    <definedName name="v_120_SH2">Model!$AT$279</definedName>
    <definedName name="v_120_SH2S">Model!$BB$279</definedName>
    <definedName name="v_120_SK">Model!$BA$279</definedName>
    <definedName name="v_120_SMEOL">Model!$G$279</definedName>
    <definedName name="v_120_SMg">Model!$AZ$279</definedName>
    <definedName name="v_120_SMM_index">Model!$CT$279</definedName>
    <definedName name="v_120_SN_B">Model!$AJ$279</definedName>
    <definedName name="v_120_SN2">Model!$AI$279</definedName>
    <definedName name="v_120_SN2O">Model!$AH$279</definedName>
    <definedName name="v_120_SNH2OH">Model!$AC$279</definedName>
    <definedName name="v_120_SNHx">Model!$AB$279</definedName>
    <definedName name="v_120_SNO_AOB">Model!$AF$279</definedName>
    <definedName name="v_120_SNO_OHO">Model!$AG$279</definedName>
    <definedName name="v_120_SNO2">Model!$AE$279</definedName>
    <definedName name="v_120_SNO3">Model!$AD$279</definedName>
    <definedName name="v_120_SO2">Model!$AR$279</definedName>
    <definedName name="v_120_SP_B">Model!$AO$279</definedName>
    <definedName name="v_120_SPO4">Model!$AM$279</definedName>
    <definedName name="v_120_SSO4">Model!$BC$279</definedName>
    <definedName name="v_120_SU">Model!$J$279</definedName>
    <definedName name="v_120_SVFA">Model!$E$279</definedName>
    <definedName name="v_120_XACP">Model!$BU$279</definedName>
    <definedName name="v_120_XAMETO">Model!$W$279</definedName>
    <definedName name="v_120_XAMX">Model!$V$279</definedName>
    <definedName name="v_120_XAOB">Model!$T$279</definedName>
    <definedName name="v_120_XASRO">Model!$Y$279</definedName>
    <definedName name="v_120_XB">Model!$I$279</definedName>
    <definedName name="v_120_XBSH">Model!$BV$279</definedName>
    <definedName name="v_120_XCaCO3">Model!$BT$279</definedName>
    <definedName name="v_120_XCASTO">Model!$R$279</definedName>
    <definedName name="v_120_XE">Model!$O$279</definedName>
    <definedName name="v_120_XE_ana">Model!$P$279</definedName>
    <definedName name="v_120_XFeS">Model!$BY$279</definedName>
    <definedName name="v_120_XGLY">Model!$N$279</definedName>
    <definedName name="v_120_XHAO_H">Model!$BM$279</definedName>
    <definedName name="v_120_XHAO_H_P">Model!$BP$279</definedName>
    <definedName name="v_120_XHAO_H_P_old">Model!$BR$279</definedName>
    <definedName name="v_120_XHAO_L">Model!$BN$279</definedName>
    <definedName name="v_120_XHAO_L_P">Model!$BQ$279</definedName>
    <definedName name="v_120_XHAO_L_P_old">Model!$BS$279</definedName>
    <definedName name="v_120_XHAO_old">Model!$BO$279</definedName>
    <definedName name="v_120_XHFO_H">Model!$BF$279</definedName>
    <definedName name="v_120_XHFO_H_P">Model!$BI$279</definedName>
    <definedName name="v_120_XHFO_H_P_old">Model!$BK$279</definedName>
    <definedName name="v_120_XHFO_L">Model!$BG$279</definedName>
    <definedName name="v_120_XHFO_L_P">Model!$BJ$279</definedName>
    <definedName name="v_120_XHFO_L_P_old">Model!$BL$279</definedName>
    <definedName name="v_120_XHFO_old">Model!$BH$279</definedName>
    <definedName name="v_120_XHMETO">Model!$X$279</definedName>
    <definedName name="v_120_XHSRO">Model!$Z$279</definedName>
    <definedName name="v_120_XINORG">Model!$AV$279</definedName>
    <definedName name="v_120_XMEOLO">Model!$S$279</definedName>
    <definedName name="v_120_XMOB">Model!$CU$279</definedName>
    <definedName name="v_120_XN_B">Model!$AK$279</definedName>
    <definedName name="v_120_XN_U">Model!$AL$279</definedName>
    <definedName name="v_120_XNOB">Model!$U$279</definedName>
    <definedName name="v_120_XOHO">Model!$Q$279</definedName>
    <definedName name="v_120_XP_B">Model!$AP$279</definedName>
    <definedName name="v_120_XP_U">Model!$AQ$279</definedName>
    <definedName name="v_120_XPHA">Model!$M$279</definedName>
    <definedName name="v_120_XPP">Model!$AN$279</definedName>
    <definedName name="v_120_XS">Model!$BD$279</definedName>
    <definedName name="v_120_XSOO">Model!$AA$279</definedName>
    <definedName name="v_120_XSTR">Model!$BW$279</definedName>
    <definedName name="v_120_XU">Model!$L$279</definedName>
    <definedName name="v_120_XVivi">Model!$BX$279</definedName>
    <definedName name="v_121_CB">Model!$H$280</definedName>
    <definedName name="v_121_CU">Model!$K$280</definedName>
    <definedName name="v_121_GCH4">Model!$CC$280</definedName>
    <definedName name="v_121_GCH4_atm">Model!$CL$280</definedName>
    <definedName name="v_121_GCO2">Model!$CB$280</definedName>
    <definedName name="v_121_GCO2_atm">Model!$CK$280</definedName>
    <definedName name="v_121_GH2">Model!$CD$280</definedName>
    <definedName name="v_121_GH2_atm">Model!$CM$280</definedName>
    <definedName name="v_121_GH2S">Model!$CJ$280</definedName>
    <definedName name="v_121_GH2S_atm">Model!$CS$280</definedName>
    <definedName name="v_121_GN2">Model!$CI$280</definedName>
    <definedName name="v_121_GN2_atm">Model!$CR$280</definedName>
    <definedName name="v_121_GN2O">Model!$CH$280</definedName>
    <definedName name="v_121_GN2O_atm">Model!$CQ$280</definedName>
    <definedName name="v_121_GNH3">Model!$CF$280</definedName>
    <definedName name="v_121_GNH3_atm">Model!$CO$280</definedName>
    <definedName name="v_121_GNO">Model!$CG$280</definedName>
    <definedName name="v_121_GNO_atm">Model!$CP$280</definedName>
    <definedName name="v_121_GO2">Model!$CE$280</definedName>
    <definedName name="v_121_GO2_atm">Model!$CN$280</definedName>
    <definedName name="v_121_H">Model!$BZ$280</definedName>
    <definedName name="v_121_SALPHA">Model!$CA$280</definedName>
    <definedName name="v_121_SAN">Model!$AX$280</definedName>
    <definedName name="v_121_SB">Model!$F$280</definedName>
    <definedName name="v_121_SCa">Model!$AY$280</definedName>
    <definedName name="v_121_SCAT">Model!$AW$280</definedName>
    <definedName name="v_121_SCH4">Model!$AS$280</definedName>
    <definedName name="v_121_SCO2">Model!$AU$280</definedName>
    <definedName name="v_121_SFe2">Model!$BE$280</definedName>
    <definedName name="v_121_SH2">Model!$AT$280</definedName>
    <definedName name="v_121_SH2S">Model!$BB$280</definedName>
    <definedName name="v_121_SK">Model!$BA$280</definedName>
    <definedName name="v_121_SMEOL">Model!$G$280</definedName>
    <definedName name="v_121_SMg">Model!$AZ$280</definedName>
    <definedName name="v_121_SMM_index">Model!$CT$280</definedName>
    <definedName name="v_121_SN_B">Model!$AJ$280</definedName>
    <definedName name="v_121_SN2">Model!$AI$280</definedName>
    <definedName name="v_121_SN2O">Model!$AH$280</definedName>
    <definedName name="v_121_SNH2OH">Model!$AC$280</definedName>
    <definedName name="v_121_SNHx">Model!$AB$280</definedName>
    <definedName name="v_121_SNO_AOB">Model!$AF$280</definedName>
    <definedName name="v_121_SNO_OHO">Model!$AG$280</definedName>
    <definedName name="v_121_SNO2">Model!$AE$280</definedName>
    <definedName name="v_121_SNO3">Model!$AD$280</definedName>
    <definedName name="v_121_SO2">Model!$AR$280</definedName>
    <definedName name="v_121_SP_B">Model!$AO$280</definedName>
    <definedName name="v_121_SPO4">Model!$AM$280</definedName>
    <definedName name="v_121_SSO4">Model!$BC$280</definedName>
    <definedName name="v_121_SU">Model!$J$280</definedName>
    <definedName name="v_121_SVFA">Model!$E$280</definedName>
    <definedName name="v_121_XACP">Model!$BU$280</definedName>
    <definedName name="v_121_XAMETO">Model!$W$280</definedName>
    <definedName name="v_121_XAMX">Model!$V$280</definedName>
    <definedName name="v_121_XAOB">Model!$T$280</definedName>
    <definedName name="v_121_XASRO">Model!$Y$280</definedName>
    <definedName name="v_121_XB">Model!$I$280</definedName>
    <definedName name="v_121_XBSH">Model!$BV$280</definedName>
    <definedName name="v_121_XCaCO3">Model!$BT$280</definedName>
    <definedName name="v_121_XCASTO">Model!$R$280</definedName>
    <definedName name="v_121_XE">Model!$O$280</definedName>
    <definedName name="v_121_XE_ana">Model!$P$280</definedName>
    <definedName name="v_121_XFeS">Model!$BY$280</definedName>
    <definedName name="v_121_XGLY">Model!$N$280</definedName>
    <definedName name="v_121_XHAO_H">Model!$BM$280</definedName>
    <definedName name="v_121_XHAO_H_P">Model!$BP$280</definedName>
    <definedName name="v_121_XHAO_H_P_old">Model!$BR$280</definedName>
    <definedName name="v_121_XHAO_L">Model!$BN$280</definedName>
    <definedName name="v_121_XHAO_L_P">Model!$BQ$280</definedName>
    <definedName name="v_121_XHAO_L_P_old">Model!$BS$280</definedName>
    <definedName name="v_121_XHAO_old">Model!$BO$280</definedName>
    <definedName name="v_121_XHFO_H">Model!$BF$280</definedName>
    <definedName name="v_121_XHFO_H_P">Model!$BI$280</definedName>
    <definedName name="v_121_XHFO_H_P_old">Model!$BK$280</definedName>
    <definedName name="v_121_XHFO_L">Model!$BG$280</definedName>
    <definedName name="v_121_XHFO_L_P">Model!$BJ$280</definedName>
    <definedName name="v_121_XHFO_L_P_old">Model!$BL$280</definedName>
    <definedName name="v_121_XHFO_old">Model!$BH$280</definedName>
    <definedName name="v_121_XHMETO">Model!$X$280</definedName>
    <definedName name="v_121_XHSRO">Model!$Z$280</definedName>
    <definedName name="v_121_XINORG">Model!$AV$280</definedName>
    <definedName name="v_121_XMEOLO">Model!$S$280</definedName>
    <definedName name="v_121_XMOB">Model!$CU$280</definedName>
    <definedName name="v_121_XN_B">Model!$AK$280</definedName>
    <definedName name="v_121_XN_U">Model!$AL$280</definedName>
    <definedName name="v_121_XNOB">Model!$U$280</definedName>
    <definedName name="v_121_XOHO">Model!$Q$280</definedName>
    <definedName name="v_121_XP_B">Model!$AP$280</definedName>
    <definedName name="v_121_XP_U">Model!$AQ$280</definedName>
    <definedName name="v_121_XPHA">Model!$M$280</definedName>
    <definedName name="v_121_XPP">Model!$AN$280</definedName>
    <definedName name="v_121_XS">Model!$BD$280</definedName>
    <definedName name="v_121_XSOO">Model!$AA$280</definedName>
    <definedName name="v_121_XSTR">Model!$BW$280</definedName>
    <definedName name="v_121_XU">Model!$L$280</definedName>
    <definedName name="v_121_XVivi">Model!$BX$280</definedName>
    <definedName name="v_122_CB">Model!$H$281</definedName>
    <definedName name="v_122_CU">Model!$K$281</definedName>
    <definedName name="v_122_GCH4">Model!$CC$281</definedName>
    <definedName name="v_122_GCH4_atm">Model!$CL$281</definedName>
    <definedName name="v_122_GCO2">Model!$CB$281</definedName>
    <definedName name="v_122_GCO2_atm">Model!$CK$281</definedName>
    <definedName name="v_122_GH2">Model!$CD$281</definedName>
    <definedName name="v_122_GH2_atm">Model!$CM$281</definedName>
    <definedName name="v_122_GH2S">Model!$CJ$281</definedName>
    <definedName name="v_122_GH2S_atm">Model!$CS$281</definedName>
    <definedName name="v_122_GN2">Model!$CI$281</definedName>
    <definedName name="v_122_GN2_atm">Model!$CR$281</definedName>
    <definedName name="v_122_GN2O">Model!$CH$281</definedName>
    <definedName name="v_122_GN2O_atm">Model!$CQ$281</definedName>
    <definedName name="v_122_GNH3">Model!$CF$281</definedName>
    <definedName name="v_122_GNH3_atm">Model!$CO$281</definedName>
    <definedName name="v_122_GNO">Model!$CG$281</definedName>
    <definedName name="v_122_GNO_atm">Model!$CP$281</definedName>
    <definedName name="v_122_GO2">Model!$CE$281</definedName>
    <definedName name="v_122_GO2_atm">Model!$CN$281</definedName>
    <definedName name="v_122_H">Model!$BZ$281</definedName>
    <definedName name="v_122_SALPHA">Model!$CA$281</definedName>
    <definedName name="v_122_SAN">Model!$AX$281</definedName>
    <definedName name="v_122_SB">Model!$F$281</definedName>
    <definedName name="v_122_SCa">Model!$AY$281</definedName>
    <definedName name="v_122_SCAT">Model!$AW$281</definedName>
    <definedName name="v_122_SCH4">Model!$AS$281</definedName>
    <definedName name="v_122_SCO2">Model!$AU$281</definedName>
    <definedName name="v_122_SFe2">Model!$BE$281</definedName>
    <definedName name="v_122_SH2">Model!$AT$281</definedName>
    <definedName name="v_122_SH2S">Model!$BB$281</definedName>
    <definedName name="v_122_SK">Model!$BA$281</definedName>
    <definedName name="v_122_SMEOL">Model!$G$281</definedName>
    <definedName name="v_122_SMg">Model!$AZ$281</definedName>
    <definedName name="v_122_SMM_index">Model!$CT$281</definedName>
    <definedName name="v_122_SN_B">Model!$AJ$281</definedName>
    <definedName name="v_122_SN2">Model!$AI$281</definedName>
    <definedName name="v_122_SN2O">Model!$AH$281</definedName>
    <definedName name="v_122_SNH2OH">Model!$AC$281</definedName>
    <definedName name="v_122_SNHx">Model!$AB$281</definedName>
    <definedName name="v_122_SNO_AOB">Model!$AF$281</definedName>
    <definedName name="v_122_SNO_OHO">Model!$AG$281</definedName>
    <definedName name="v_122_SNO2">Model!$AE$281</definedName>
    <definedName name="v_122_SNO3">Model!$AD$281</definedName>
    <definedName name="v_122_SO2">Model!$AR$281</definedName>
    <definedName name="v_122_SP_B">Model!$AO$281</definedName>
    <definedName name="v_122_SPO4">Model!$AM$281</definedName>
    <definedName name="v_122_SSO4">Model!$BC$281</definedName>
    <definedName name="v_122_SU">Model!$J$281</definedName>
    <definedName name="v_122_SVFA">Model!$E$281</definedName>
    <definedName name="v_122_XACP">Model!$BU$281</definedName>
    <definedName name="v_122_XAMETO">Model!$W$281</definedName>
    <definedName name="v_122_XAMX">Model!$V$281</definedName>
    <definedName name="v_122_XAOB">Model!$T$281</definedName>
    <definedName name="v_122_XASRO">Model!$Y$281</definedName>
    <definedName name="v_122_XB">Model!$I$281</definedName>
    <definedName name="v_122_XBSH">Model!$BV$281</definedName>
    <definedName name="v_122_XCaCO3">Model!$BT$281</definedName>
    <definedName name="v_122_XCASTO">Model!$R$281</definedName>
    <definedName name="v_122_XE">Model!$O$281</definedName>
    <definedName name="v_122_XE_ana">Model!$P$281</definedName>
    <definedName name="v_122_XFeS">Model!$BY$281</definedName>
    <definedName name="v_122_XGLY">Model!$N$281</definedName>
    <definedName name="v_122_XHAO_H">Model!$BM$281</definedName>
    <definedName name="v_122_XHAO_H_P">Model!$BP$281</definedName>
    <definedName name="v_122_XHAO_H_P_old">Model!$BR$281</definedName>
    <definedName name="v_122_XHAO_L">Model!$BN$281</definedName>
    <definedName name="v_122_XHAO_L_P">Model!$BQ$281</definedName>
    <definedName name="v_122_XHAO_L_P_old">Model!$BS$281</definedName>
    <definedName name="v_122_XHAO_old">Model!$BO$281</definedName>
    <definedName name="v_122_XHFO_H">Model!$BF$281</definedName>
    <definedName name="v_122_XHFO_H_P">Model!$BI$281</definedName>
    <definedName name="v_122_XHFO_H_P_old">Model!$BK$281</definedName>
    <definedName name="v_122_XHFO_L">Model!$BG$281</definedName>
    <definedName name="v_122_XHFO_L_P">Model!$BJ$281</definedName>
    <definedName name="v_122_XHFO_L_P_old">Model!$BL$281</definedName>
    <definedName name="v_122_XHFO_old">Model!$BH$281</definedName>
    <definedName name="v_122_XHMETO">Model!$X$281</definedName>
    <definedName name="v_122_XHSRO">Model!$Z$281</definedName>
    <definedName name="v_122_XINORG">Model!$AV$281</definedName>
    <definedName name="v_122_XMEOLO">Model!$S$281</definedName>
    <definedName name="v_122_XMOB">Model!$CU$281</definedName>
    <definedName name="v_122_XN_B">Model!$AK$281</definedName>
    <definedName name="v_122_XN_U">Model!$AL$281</definedName>
    <definedName name="v_122_XNOB">Model!$U$281</definedName>
    <definedName name="v_122_XOHO">Model!$Q$281</definedName>
    <definedName name="v_122_XP_B">Model!$AP$281</definedName>
    <definedName name="v_122_XP_U">Model!$AQ$281</definedName>
    <definedName name="v_122_XPHA">Model!$M$281</definedName>
    <definedName name="v_122_XPP">Model!$AN$281</definedName>
    <definedName name="v_122_XS">Model!$BD$281</definedName>
    <definedName name="v_122_XSOO">Model!$AA$281</definedName>
    <definedName name="v_122_XSTR">Model!$BW$281</definedName>
    <definedName name="v_122_XU">Model!$L$281</definedName>
    <definedName name="v_122_XVivi">Model!$BX$281</definedName>
    <definedName name="v_123_CB">Model!$H$282</definedName>
    <definedName name="v_123_CU">Model!$K$282</definedName>
    <definedName name="v_123_GCH4">Model!$CC$282</definedName>
    <definedName name="v_123_GCH4_atm">Model!$CL$282</definedName>
    <definedName name="v_123_GCO2">Model!$CB$282</definedName>
    <definedName name="v_123_GCO2_atm">Model!$CK$282</definedName>
    <definedName name="v_123_GH2">Model!$CD$282</definedName>
    <definedName name="v_123_GH2_atm">Model!$CM$282</definedName>
    <definedName name="v_123_GH2S">Model!$CJ$282</definedName>
    <definedName name="v_123_GH2S_atm">Model!$CS$282</definedName>
    <definedName name="v_123_GN2">Model!$CI$282</definedName>
    <definedName name="v_123_GN2_atm">Model!$CR$282</definedName>
    <definedName name="v_123_GN2O">Model!$CH$282</definedName>
    <definedName name="v_123_GN2O_atm">Model!$CQ$282</definedName>
    <definedName name="v_123_GNH3">Model!$CF$282</definedName>
    <definedName name="v_123_GNH3_atm">Model!$CO$282</definedName>
    <definedName name="v_123_GNO">Model!$CG$282</definedName>
    <definedName name="v_123_GNO_atm">Model!$CP$282</definedName>
    <definedName name="v_123_GO2">Model!$CE$282</definedName>
    <definedName name="v_123_GO2_atm">Model!$CN$282</definedName>
    <definedName name="v_123_H">Model!$BZ$282</definedName>
    <definedName name="v_123_SALPHA">Model!$CA$282</definedName>
    <definedName name="v_123_SAN">Model!$AX$282</definedName>
    <definedName name="v_123_SB">Model!$F$282</definedName>
    <definedName name="v_123_SCa">Model!$AY$282</definedName>
    <definedName name="v_123_SCAT">Model!$AW$282</definedName>
    <definedName name="v_123_SCH4">Model!$AS$282</definedName>
    <definedName name="v_123_SCO2">Model!$AU$282</definedName>
    <definedName name="v_123_SFe2">Model!$BE$282</definedName>
    <definedName name="v_123_SH2">Model!$AT$282</definedName>
    <definedName name="v_123_SH2S">Model!$BB$282</definedName>
    <definedName name="v_123_SK">Model!$BA$282</definedName>
    <definedName name="v_123_SMEOL">Model!$G$282</definedName>
    <definedName name="v_123_SMg">Model!$AZ$282</definedName>
    <definedName name="v_123_SMM_index">Model!$CT$282</definedName>
    <definedName name="v_123_SN_B">Model!$AJ$282</definedName>
    <definedName name="v_123_SN2">Model!$AI$282</definedName>
    <definedName name="v_123_SN2O">Model!$AH$282</definedName>
    <definedName name="v_123_SNH2OH">Model!$AC$282</definedName>
    <definedName name="v_123_SNHx">Model!$AB$282</definedName>
    <definedName name="v_123_SNO_AOB">Model!$AF$282</definedName>
    <definedName name="v_123_SNO_OHO">Model!$AG$282</definedName>
    <definedName name="v_123_SNO2">Model!$AE$282</definedName>
    <definedName name="v_123_SNO3">Model!$AD$282</definedName>
    <definedName name="v_123_SO2">Model!$AR$282</definedName>
    <definedName name="v_123_SP_B">Model!$AO$282</definedName>
    <definedName name="v_123_SPO4">Model!$AM$282</definedName>
    <definedName name="v_123_SSO4">Model!$BC$282</definedName>
    <definedName name="v_123_SU">Model!$J$282</definedName>
    <definedName name="v_123_SVFA">Model!$E$282</definedName>
    <definedName name="v_123_XACP">Model!$BU$282</definedName>
    <definedName name="v_123_XAMETO">Model!$W$282</definedName>
    <definedName name="v_123_XAMX">Model!$V$282</definedName>
    <definedName name="v_123_XAOB">Model!$T$282</definedName>
    <definedName name="v_123_XASRO">Model!$Y$282</definedName>
    <definedName name="v_123_XB">Model!$I$282</definedName>
    <definedName name="v_123_XBSH">Model!$BV$282</definedName>
    <definedName name="v_123_XCaCO3">Model!$BT$282</definedName>
    <definedName name="v_123_XCASTO">Model!$R$282</definedName>
    <definedName name="v_123_XE">Model!$O$282</definedName>
    <definedName name="v_123_XE_ana">Model!$P$282</definedName>
    <definedName name="v_123_XFeS">Model!$BY$282</definedName>
    <definedName name="v_123_XGLY">Model!$N$282</definedName>
    <definedName name="v_123_XHAO_H">Model!$BM$282</definedName>
    <definedName name="v_123_XHAO_H_P">Model!$BP$282</definedName>
    <definedName name="v_123_XHAO_H_P_old">Model!$BR$282</definedName>
    <definedName name="v_123_XHAO_L">Model!$BN$282</definedName>
    <definedName name="v_123_XHAO_L_P">Model!$BQ$282</definedName>
    <definedName name="v_123_XHAO_L_P_old">Model!$BS$282</definedName>
    <definedName name="v_123_XHAO_old">Model!$BO$282</definedName>
    <definedName name="v_123_XHFO_H">Model!$BF$282</definedName>
    <definedName name="v_123_XHFO_H_P">Model!$BI$282</definedName>
    <definedName name="v_123_XHFO_H_P_old">Model!$BK$282</definedName>
    <definedName name="v_123_XHFO_L">Model!$BG$282</definedName>
    <definedName name="v_123_XHFO_L_P">Model!$BJ$282</definedName>
    <definedName name="v_123_XHFO_L_P_old">Model!$BL$282</definedName>
    <definedName name="v_123_XHFO_old">Model!$BH$282</definedName>
    <definedName name="v_123_XHMETO">Model!$X$282</definedName>
    <definedName name="v_123_XHSRO">Model!$Z$282</definedName>
    <definedName name="v_123_XINORG">Model!$AV$282</definedName>
    <definedName name="v_123_XMEOLO">Model!$S$282</definedName>
    <definedName name="v_123_XMOB">Model!$CU$282</definedName>
    <definedName name="v_123_XN_B">Model!$AK$282</definedName>
    <definedName name="v_123_XN_U">Model!$AL$282</definedName>
    <definedName name="v_123_XNOB">Model!$U$282</definedName>
    <definedName name="v_123_XOHO">Model!$Q$282</definedName>
    <definedName name="v_123_XP_B">Model!$AP$282</definedName>
    <definedName name="v_123_XP_U">Model!$AQ$282</definedName>
    <definedName name="v_123_XPHA">Model!$M$282</definedName>
    <definedName name="v_123_XPP">Model!$AN$282</definedName>
    <definedName name="v_123_XS">Model!$BD$282</definedName>
    <definedName name="v_123_XSOO">Model!$AA$282</definedName>
    <definedName name="v_123_XSTR">Model!$BW$282</definedName>
    <definedName name="v_123_XU">Model!$L$282</definedName>
    <definedName name="v_123_XVivi">Model!$BX$282</definedName>
    <definedName name="v_124_CB">Model!$H$283</definedName>
    <definedName name="v_124_CU">Model!$K$283</definedName>
    <definedName name="v_124_GCH4">Model!$CC$283</definedName>
    <definedName name="v_124_GCH4_atm">Model!$CL$283</definedName>
    <definedName name="v_124_GCO2">Model!$CB$283</definedName>
    <definedName name="v_124_GCO2_atm">Model!$CK$283</definedName>
    <definedName name="v_124_GH2">Model!$CD$283</definedName>
    <definedName name="v_124_GH2_atm">Model!$CM$283</definedName>
    <definedName name="v_124_GH2S">Model!$CJ$283</definedName>
    <definedName name="v_124_GH2S_atm">Model!$CS$283</definedName>
    <definedName name="v_124_GN2">Model!$CI$283</definedName>
    <definedName name="v_124_GN2_atm">Model!$CR$283</definedName>
    <definedName name="v_124_GN2O">Model!$CH$283</definedName>
    <definedName name="v_124_GN2O_atm">Model!$CQ$283</definedName>
    <definedName name="v_124_GNH3">Model!$CF$283</definedName>
    <definedName name="v_124_GNH3_atm">Model!$CO$283</definedName>
    <definedName name="v_124_GNO">Model!$CG$283</definedName>
    <definedName name="v_124_GNO_atm">Model!$CP$283</definedName>
    <definedName name="v_124_GO2">Model!$CE$283</definedName>
    <definedName name="v_124_GO2_atm">Model!$CN$283</definedName>
    <definedName name="v_124_H">Model!$BZ$283</definedName>
    <definedName name="v_124_SALPHA">Model!$CA$283</definedName>
    <definedName name="v_124_SAN">Model!$AX$283</definedName>
    <definedName name="v_124_SB">Model!$F$283</definedName>
    <definedName name="v_124_SCa">Model!$AY$283</definedName>
    <definedName name="v_124_SCAT">Model!$AW$283</definedName>
    <definedName name="v_124_SCH4">Model!$AS$283</definedName>
    <definedName name="v_124_SCO2">Model!$AU$283</definedName>
    <definedName name="v_124_SFe2">Model!$BE$283</definedName>
    <definedName name="v_124_SH2">Model!$AT$283</definedName>
    <definedName name="v_124_SH2S">Model!$BB$283</definedName>
    <definedName name="v_124_SK">Model!$BA$283</definedName>
    <definedName name="v_124_SMEOL">Model!$G$283</definedName>
    <definedName name="v_124_SMg">Model!$AZ$283</definedName>
    <definedName name="v_124_SMM_index">Model!$CT$283</definedName>
    <definedName name="v_124_SN_B">Model!$AJ$283</definedName>
    <definedName name="v_124_SN2">Model!$AI$283</definedName>
    <definedName name="v_124_SN2O">Model!$AH$283</definedName>
    <definedName name="v_124_SNH2OH">Model!$AC$283</definedName>
    <definedName name="v_124_SNHx">Model!$AB$283</definedName>
    <definedName name="v_124_SNO_AOB">Model!$AF$283</definedName>
    <definedName name="v_124_SNO_OHO">Model!$AG$283</definedName>
    <definedName name="v_124_SNO2">Model!$AE$283</definedName>
    <definedName name="v_124_SNO3">Model!$AD$283</definedName>
    <definedName name="v_124_SO2">Model!$AR$283</definedName>
    <definedName name="v_124_SP_B">Model!$AO$283</definedName>
    <definedName name="v_124_SPO4">Model!$AM$283</definedName>
    <definedName name="v_124_SSO4">Model!$BC$283</definedName>
    <definedName name="v_124_SU">Model!$J$283</definedName>
    <definedName name="v_124_SVFA">Model!$E$283</definedName>
    <definedName name="v_124_XACP">Model!$BU$283</definedName>
    <definedName name="v_124_XAMETO">Model!$W$283</definedName>
    <definedName name="v_124_XAMX">Model!$V$283</definedName>
    <definedName name="v_124_XAOB">Model!$T$283</definedName>
    <definedName name="v_124_XASRO">Model!$Y$283</definedName>
    <definedName name="v_124_XB">Model!$I$283</definedName>
    <definedName name="v_124_XBSH">Model!$BV$283</definedName>
    <definedName name="v_124_XCaCO3">Model!$BT$283</definedName>
    <definedName name="v_124_XCASTO">Model!$R$283</definedName>
    <definedName name="v_124_XE">Model!$O$283</definedName>
    <definedName name="v_124_XE_ana">Model!$P$283</definedName>
    <definedName name="v_124_XFeS">Model!$BY$283</definedName>
    <definedName name="v_124_XGLY">Model!$N$283</definedName>
    <definedName name="v_124_XHAO_H">Model!$BM$283</definedName>
    <definedName name="v_124_XHAO_H_P">Model!$BP$283</definedName>
    <definedName name="v_124_XHAO_H_P_old">Model!$BR$283</definedName>
    <definedName name="v_124_XHAO_L">Model!$BN$283</definedName>
    <definedName name="v_124_XHAO_L_P">Model!$BQ$283</definedName>
    <definedName name="v_124_XHAO_L_P_old">Model!$BS$283</definedName>
    <definedName name="v_124_XHAO_old">Model!$BO$283</definedName>
    <definedName name="v_124_XHFO_H">Model!$BF$283</definedName>
    <definedName name="v_124_XHFO_H_P">Model!$BI$283</definedName>
    <definedName name="v_124_XHFO_H_P_old">Model!$BK$283</definedName>
    <definedName name="v_124_XHFO_L">Model!$BG$283</definedName>
    <definedName name="v_124_XHFO_L_P">Model!$BJ$283</definedName>
    <definedName name="v_124_XHFO_L_P_old">Model!$BL$283</definedName>
    <definedName name="v_124_XHFO_old">Model!$BH$283</definedName>
    <definedName name="v_124_XHMETO">Model!$X$283</definedName>
    <definedName name="v_124_XHSRO">Model!$Z$283</definedName>
    <definedName name="v_124_XINORG">Model!$AV$283</definedName>
    <definedName name="v_124_XMEOLO">Model!$S$283</definedName>
    <definedName name="v_124_XMOB">Model!$CU$283</definedName>
    <definedName name="v_124_XN_B">Model!$AK$283</definedName>
    <definedName name="v_124_XN_U">Model!$AL$283</definedName>
    <definedName name="v_124_XNOB">Model!$U$283</definedName>
    <definedName name="v_124_XOHO">Model!$Q$283</definedName>
    <definedName name="v_124_XP_B">Model!$AP$283</definedName>
    <definedName name="v_124_XP_U">Model!$AQ$283</definedName>
    <definedName name="v_124_XPHA">Model!$M$283</definedName>
    <definedName name="v_124_XPP">Model!$AN$283</definedName>
    <definedName name="v_124_XS">Model!$BD$283</definedName>
    <definedName name="v_124_XSOO">Model!$AA$283</definedName>
    <definedName name="v_124_XSTR">Model!$BW$283</definedName>
    <definedName name="v_124_XU">Model!$L$283</definedName>
    <definedName name="v_124_XVivi">Model!$BX$283</definedName>
    <definedName name="v_125_CB">Model!$H$284</definedName>
    <definedName name="v_125_CU">Model!$K$284</definedName>
    <definedName name="v_125_GCH4">Model!$CC$284</definedName>
    <definedName name="v_125_GCH4_atm">Model!$CL$284</definedName>
    <definedName name="v_125_GCO2">Model!$CB$284</definedName>
    <definedName name="v_125_GCO2_atm">Model!$CK$284</definedName>
    <definedName name="v_125_GH2">Model!$CD$284</definedName>
    <definedName name="v_125_GH2_atm">Model!$CM$284</definedName>
    <definedName name="v_125_GH2S">Model!$CJ$284</definedName>
    <definedName name="v_125_GH2S_atm">Model!$CS$284</definedName>
    <definedName name="v_125_GN2">Model!$CI$284</definedName>
    <definedName name="v_125_GN2_atm">Model!$CR$284</definedName>
    <definedName name="v_125_GN2O">Model!$CH$284</definedName>
    <definedName name="v_125_GN2O_atm">Model!$CQ$284</definedName>
    <definedName name="v_125_GNH3">Model!$CF$284</definedName>
    <definedName name="v_125_GNH3_atm">Model!$CO$284</definedName>
    <definedName name="v_125_GNO">Model!$CG$284</definedName>
    <definedName name="v_125_GNO_atm">Model!$CP$284</definedName>
    <definedName name="v_125_GO2">Model!$CE$284</definedName>
    <definedName name="v_125_GO2_atm">Model!$CN$284</definedName>
    <definedName name="v_125_H">Model!$BZ$284</definedName>
    <definedName name="v_125_SALPHA">Model!$CA$284</definedName>
    <definedName name="v_125_SAN">Model!$AX$284</definedName>
    <definedName name="v_125_SB">Model!$F$284</definedName>
    <definedName name="v_125_SCa">Model!$AY$284</definedName>
    <definedName name="v_125_SCAT">Model!$AW$284</definedName>
    <definedName name="v_125_SCH4">Model!$AS$284</definedName>
    <definedName name="v_125_SCO2">Model!$AU$284</definedName>
    <definedName name="v_125_SFe2">Model!$BE$284</definedName>
    <definedName name="v_125_SH2">Model!$AT$284</definedName>
    <definedName name="v_125_SH2S">Model!$BB$284</definedName>
    <definedName name="v_125_SK">Model!$BA$284</definedName>
    <definedName name="v_125_SMEOL">Model!$G$284</definedName>
    <definedName name="v_125_SMg">Model!$AZ$284</definedName>
    <definedName name="v_125_SMM_index">Model!$CT$284</definedName>
    <definedName name="v_125_SN_B">Model!$AJ$284</definedName>
    <definedName name="v_125_SN2">Model!$AI$284</definedName>
    <definedName name="v_125_SN2O">Model!$AH$284</definedName>
    <definedName name="v_125_SNH2OH">Model!$AC$284</definedName>
    <definedName name="v_125_SNHx">Model!$AB$284</definedName>
    <definedName name="v_125_SNO_AOB">Model!$AF$284</definedName>
    <definedName name="v_125_SNO_OHO">Model!$AG$284</definedName>
    <definedName name="v_125_SNO2">Model!$AE$284</definedName>
    <definedName name="v_125_SNO3">Model!$AD$284</definedName>
    <definedName name="v_125_SO2">Model!$AR$284</definedName>
    <definedName name="v_125_SP_B">Model!$AO$284</definedName>
    <definedName name="v_125_SPO4">Model!$AM$284</definedName>
    <definedName name="v_125_SSO4">Model!$BC$284</definedName>
    <definedName name="v_125_SU">Model!$J$284</definedName>
    <definedName name="v_125_SVFA">Model!$E$284</definedName>
    <definedName name="v_125_XACP">Model!$BU$284</definedName>
    <definedName name="v_125_XAMETO">Model!$W$284</definedName>
    <definedName name="v_125_XAMX">Model!$V$284</definedName>
    <definedName name="v_125_XAOB">Model!$T$284</definedName>
    <definedName name="v_125_XASRO">Model!$Y$284</definedName>
    <definedName name="v_125_XB">Model!$I$284</definedName>
    <definedName name="v_125_XBSH">Model!$BV$284</definedName>
    <definedName name="v_125_XCaCO3">Model!$BT$284</definedName>
    <definedName name="v_125_XCASTO">Model!$R$284</definedName>
    <definedName name="v_125_XE">Model!$O$284</definedName>
    <definedName name="v_125_XE_ana">Model!$P$284</definedName>
    <definedName name="v_125_XFeS">Model!$BY$284</definedName>
    <definedName name="v_125_XGLY">Model!$N$284</definedName>
    <definedName name="v_125_XHAO_H">Model!$BM$284</definedName>
    <definedName name="v_125_XHAO_H_P">Model!$BP$284</definedName>
    <definedName name="v_125_XHAO_H_P_old">Model!$BR$284</definedName>
    <definedName name="v_125_XHAO_L">Model!$BN$284</definedName>
    <definedName name="v_125_XHAO_L_P">Model!$BQ$284</definedName>
    <definedName name="v_125_XHAO_L_P_old">Model!$BS$284</definedName>
    <definedName name="v_125_XHAO_old">Model!$BO$284</definedName>
    <definedName name="v_125_XHFO_H">Model!$BF$284</definedName>
    <definedName name="v_125_XHFO_H_P">Model!$BI$284</definedName>
    <definedName name="v_125_XHFO_H_P_old">Model!$BK$284</definedName>
    <definedName name="v_125_XHFO_L">Model!$BG$284</definedName>
    <definedName name="v_125_XHFO_L_P">Model!$BJ$284</definedName>
    <definedName name="v_125_XHFO_L_P_old">Model!$BL$284</definedName>
    <definedName name="v_125_XHFO_old">Model!$BH$284</definedName>
    <definedName name="v_125_XHMETO">Model!$X$284</definedName>
    <definedName name="v_125_XHSRO">Model!$Z$284</definedName>
    <definedName name="v_125_XINORG">Model!$AV$284</definedName>
    <definedName name="v_125_XMEOLO">Model!$S$284</definedName>
    <definedName name="v_125_XMOB">Model!$CU$284</definedName>
    <definedName name="v_125_XN_B">Model!$AK$284</definedName>
    <definedName name="v_125_XN_U">Model!$AL$284</definedName>
    <definedName name="v_125_XNOB">Model!$U$284</definedName>
    <definedName name="v_125_XOHO">Model!$Q$284</definedName>
    <definedName name="v_125_XP_B">Model!$AP$284</definedName>
    <definedName name="v_125_XP_U">Model!$AQ$284</definedName>
    <definedName name="v_125_XPHA">Model!$M$284</definedName>
    <definedName name="v_125_XPP">Model!$AN$284</definedName>
    <definedName name="v_125_XS">Model!$BD$284</definedName>
    <definedName name="v_125_XSOO">Model!$AA$284</definedName>
    <definedName name="v_125_XSTR">Model!$BW$284</definedName>
    <definedName name="v_125_XU">Model!$L$284</definedName>
    <definedName name="v_125_XVivi">Model!$BX$284</definedName>
    <definedName name="v_126_CB">Model!$H$285</definedName>
    <definedName name="v_126_CU">Model!$K$285</definedName>
    <definedName name="v_126_GCH4">Model!$CC$285</definedName>
    <definedName name="v_126_GCH4_atm">Model!$CL$285</definedName>
    <definedName name="v_126_GCO2">Model!$CB$285</definedName>
    <definedName name="v_126_GCO2_atm">Model!$CK$285</definedName>
    <definedName name="v_126_GH2">Model!$CD$285</definedName>
    <definedName name="v_126_GH2_atm">Model!$CM$285</definedName>
    <definedName name="v_126_GH2S">Model!$CJ$285</definedName>
    <definedName name="v_126_GH2S_atm">Model!$CS$285</definedName>
    <definedName name="v_126_GN2">Model!$CI$285</definedName>
    <definedName name="v_126_GN2_atm">Model!$CR$285</definedName>
    <definedName name="v_126_GN2O">Model!$CH$285</definedName>
    <definedName name="v_126_GN2O_atm">Model!$CQ$285</definedName>
    <definedName name="v_126_GNH3">Model!$CF$285</definedName>
    <definedName name="v_126_GNH3_atm">Model!$CO$285</definedName>
    <definedName name="v_126_GNO">Model!$CG$285</definedName>
    <definedName name="v_126_GNO_atm">Model!$CP$285</definedName>
    <definedName name="v_126_GO2">Model!$CE$285</definedName>
    <definedName name="v_126_GO2_atm">Model!$CN$285</definedName>
    <definedName name="v_126_H">Model!$BZ$285</definedName>
    <definedName name="v_126_SALPHA">Model!$CA$285</definedName>
    <definedName name="v_126_SAN">Model!$AX$285</definedName>
    <definedName name="v_126_SB">Model!$F$285</definedName>
    <definedName name="v_126_SCa">Model!$AY$285</definedName>
    <definedName name="v_126_SCAT">Model!$AW$285</definedName>
    <definedName name="v_126_SCH4">Model!$AS$285</definedName>
    <definedName name="v_126_SCO2">Model!$AU$285</definedName>
    <definedName name="v_126_SFe2">Model!$BE$285</definedName>
    <definedName name="v_126_SH2">Model!$AT$285</definedName>
    <definedName name="v_126_SH2S">Model!$BB$285</definedName>
    <definedName name="v_126_SK">Model!$BA$285</definedName>
    <definedName name="v_126_SMEOL">Model!$G$285</definedName>
    <definedName name="v_126_SMg">Model!$AZ$285</definedName>
    <definedName name="v_126_SMM_index">Model!$CT$285</definedName>
    <definedName name="v_126_SN_B">Model!$AJ$285</definedName>
    <definedName name="v_126_SN2">Model!$AI$285</definedName>
    <definedName name="v_126_SN2O">Model!$AH$285</definedName>
    <definedName name="v_126_SNH2OH">Model!$AC$285</definedName>
    <definedName name="v_126_SNHx">Model!$AB$285</definedName>
    <definedName name="v_126_SNO_AOB">Model!$AF$285</definedName>
    <definedName name="v_126_SNO_OHO">Model!$AG$285</definedName>
    <definedName name="v_126_SNO2">Model!$AE$285</definedName>
    <definedName name="v_126_SNO3">Model!$AD$285</definedName>
    <definedName name="v_126_SO2">Model!$AR$285</definedName>
    <definedName name="v_126_SP_B">Model!$AO$285</definedName>
    <definedName name="v_126_SPO4">Model!$AM$285</definedName>
    <definedName name="v_126_SSO4">Model!$BC$285</definedName>
    <definedName name="v_126_SU">Model!$J$285</definedName>
    <definedName name="v_126_SVFA">Model!$E$285</definedName>
    <definedName name="v_126_XACP">Model!$BU$285</definedName>
    <definedName name="v_126_XAMETO">Model!$W$285</definedName>
    <definedName name="v_126_XAMX">Model!$V$285</definedName>
    <definedName name="v_126_XAOB">Model!$T$285</definedName>
    <definedName name="v_126_XASRO">Model!$Y$285</definedName>
    <definedName name="v_126_XB">Model!$I$285</definedName>
    <definedName name="v_126_XBSH">Model!$BV$285</definedName>
    <definedName name="v_126_XCaCO3">Model!$BT$285</definedName>
    <definedName name="v_126_XCASTO">Model!$R$285</definedName>
    <definedName name="v_126_XE">Model!$O$285</definedName>
    <definedName name="v_126_XE_ana">Model!$P$285</definedName>
    <definedName name="v_126_XFeS">Model!$BY$285</definedName>
    <definedName name="v_126_XGLY">Model!$N$285</definedName>
    <definedName name="v_126_XHAO_H">Model!$BM$285</definedName>
    <definedName name="v_126_XHAO_H_P">Model!$BP$285</definedName>
    <definedName name="v_126_XHAO_H_P_old">Model!$BR$285</definedName>
    <definedName name="v_126_XHAO_L">Model!$BN$285</definedName>
    <definedName name="v_126_XHAO_L_P">Model!$BQ$285</definedName>
    <definedName name="v_126_XHAO_L_P_old">Model!$BS$285</definedName>
    <definedName name="v_126_XHAO_old">Model!$BO$285</definedName>
    <definedName name="v_126_XHFO_H">Model!$BF$285</definedName>
    <definedName name="v_126_XHFO_H_P">Model!$BI$285</definedName>
    <definedName name="v_126_XHFO_H_P_old">Model!$BK$285</definedName>
    <definedName name="v_126_XHFO_L">Model!$BG$285</definedName>
    <definedName name="v_126_XHFO_L_P">Model!$BJ$285</definedName>
    <definedName name="v_126_XHFO_L_P_old">Model!$BL$285</definedName>
    <definedName name="v_126_XHFO_old">Model!$BH$285</definedName>
    <definedName name="v_126_XHMETO">Model!$X$285</definedName>
    <definedName name="v_126_XHSRO">Model!$Z$285</definedName>
    <definedName name="v_126_XINORG">Model!$AV$285</definedName>
    <definedName name="v_126_XMEOLO">Model!$S$285</definedName>
    <definedName name="v_126_XMOB">Model!$CU$285</definedName>
    <definedName name="v_126_XN_B">Model!$AK$285</definedName>
    <definedName name="v_126_XN_U">Model!$AL$285</definedName>
    <definedName name="v_126_XNOB">Model!$U$285</definedName>
    <definedName name="v_126_XOHO">Model!$Q$285</definedName>
    <definedName name="v_126_XP_B">Model!$AP$285</definedName>
    <definedName name="v_126_XP_U">Model!$AQ$285</definedName>
    <definedName name="v_126_XPHA">Model!$M$285</definedName>
    <definedName name="v_126_XPP">Model!$AN$285</definedName>
    <definedName name="v_126_XS">Model!$BD$285</definedName>
    <definedName name="v_126_XSOO">Model!$AA$285</definedName>
    <definedName name="v_126_XSTR">Model!$BW$285</definedName>
    <definedName name="v_126_XU">Model!$L$285</definedName>
    <definedName name="v_126_XVivi">Model!$BX$285</definedName>
    <definedName name="v_127_CB">Model!$H$286</definedName>
    <definedName name="v_127_CU">Model!$K$286</definedName>
    <definedName name="v_127_GCH4">Model!$CC$286</definedName>
    <definedName name="v_127_GCH4_atm">Model!$CL$286</definedName>
    <definedName name="v_127_GCO2">Model!$CB$286</definedName>
    <definedName name="v_127_GCO2_atm">Model!$CK$286</definedName>
    <definedName name="v_127_GH2">Model!$CD$286</definedName>
    <definedName name="v_127_GH2_atm">Model!$CM$286</definedName>
    <definedName name="v_127_GH2S">Model!$CJ$286</definedName>
    <definedName name="v_127_GH2S_atm">Model!$CS$286</definedName>
    <definedName name="v_127_GN2">Model!$CI$286</definedName>
    <definedName name="v_127_GN2_atm">Model!$CR$286</definedName>
    <definedName name="v_127_GN2O">Model!$CH$286</definedName>
    <definedName name="v_127_GN2O_atm">Model!$CQ$286</definedName>
    <definedName name="v_127_GNH3">Model!$CF$286</definedName>
    <definedName name="v_127_GNH3_atm">Model!$CO$286</definedName>
    <definedName name="v_127_GNO">Model!$CG$286</definedName>
    <definedName name="v_127_GNO_atm">Model!$CP$286</definedName>
    <definedName name="v_127_GO2">Model!$CE$286</definedName>
    <definedName name="v_127_GO2_atm">Model!$CN$286</definedName>
    <definedName name="v_127_H">Model!$BZ$286</definedName>
    <definedName name="v_127_SALPHA">Model!$CA$286</definedName>
    <definedName name="v_127_SAN">Model!$AX$286</definedName>
    <definedName name="v_127_SB">Model!$F$286</definedName>
    <definedName name="v_127_SCa">Model!$AY$286</definedName>
    <definedName name="v_127_SCAT">Model!$AW$286</definedName>
    <definedName name="v_127_SCH4">Model!$AS$286</definedName>
    <definedName name="v_127_SCO2">Model!$AU$286</definedName>
    <definedName name="v_127_SFe2">Model!$BE$286</definedName>
    <definedName name="v_127_SH2">Model!$AT$286</definedName>
    <definedName name="v_127_SH2S">Model!$BB$286</definedName>
    <definedName name="v_127_SK">Model!$BA$286</definedName>
    <definedName name="v_127_SMEOL">Model!$G$286</definedName>
    <definedName name="v_127_SMg">Model!$AZ$286</definedName>
    <definedName name="v_127_SMM_index">Model!$CT$286</definedName>
    <definedName name="v_127_SN_B">Model!$AJ$286</definedName>
    <definedName name="v_127_SN2">Model!$AI$286</definedName>
    <definedName name="v_127_SN2O">Model!$AH$286</definedName>
    <definedName name="v_127_SNH2OH">Model!$AC$286</definedName>
    <definedName name="v_127_SNHx">Model!$AB$286</definedName>
    <definedName name="v_127_SNO_AOB">Model!$AF$286</definedName>
    <definedName name="v_127_SNO_OHO">Model!$AG$286</definedName>
    <definedName name="v_127_SNO2">Model!$AE$286</definedName>
    <definedName name="v_127_SNO3">Model!$AD$286</definedName>
    <definedName name="v_127_SO2">Model!$AR$286</definedName>
    <definedName name="v_127_SP_B">Model!$AO$286</definedName>
    <definedName name="v_127_SPO4">Model!$AM$286</definedName>
    <definedName name="v_127_SSO4">Model!$BC$286</definedName>
    <definedName name="v_127_SU">Model!$J$286</definedName>
    <definedName name="v_127_SVFA">Model!$E$286</definedName>
    <definedName name="v_127_XACP">Model!$BU$286</definedName>
    <definedName name="v_127_XAMETO">Model!$W$286</definedName>
    <definedName name="v_127_XAMX">Model!$V$286</definedName>
    <definedName name="v_127_XAOB">Model!$T$286</definedName>
    <definedName name="v_127_XASRO">Model!$Y$286</definedName>
    <definedName name="v_127_XB">Model!$I$286</definedName>
    <definedName name="v_127_XBSH">Model!$BV$286</definedName>
    <definedName name="v_127_XCaCO3">Model!$BT$286</definedName>
    <definedName name="v_127_XCASTO">Model!$R$286</definedName>
    <definedName name="v_127_XE">Model!$O$286</definedName>
    <definedName name="v_127_XE_ana">Model!$P$286</definedName>
    <definedName name="v_127_XFeS">Model!$BY$286</definedName>
    <definedName name="v_127_XGLY">Model!$N$286</definedName>
    <definedName name="v_127_XHAO_H">Model!$BM$286</definedName>
    <definedName name="v_127_XHAO_H_P">Model!$BP$286</definedName>
    <definedName name="v_127_XHAO_H_P_old">Model!$BR$286</definedName>
    <definedName name="v_127_XHAO_L">Model!$BN$286</definedName>
    <definedName name="v_127_XHAO_L_P">Model!$BQ$286</definedName>
    <definedName name="v_127_XHAO_L_P_old">Model!$BS$286</definedName>
    <definedName name="v_127_XHAO_old">Model!$BO$286</definedName>
    <definedName name="v_127_XHFO_H">Model!$BF$286</definedName>
    <definedName name="v_127_XHFO_H_P">Model!$BI$286</definedName>
    <definedName name="v_127_XHFO_H_P_old">Model!$BK$286</definedName>
    <definedName name="v_127_XHFO_L">Model!$BG$286</definedName>
    <definedName name="v_127_XHFO_L_P">Model!$BJ$286</definedName>
    <definedName name="v_127_XHFO_L_P_old">Model!$BL$286</definedName>
    <definedName name="v_127_XHFO_old">Model!$BH$286</definedName>
    <definedName name="v_127_XHMETO">Model!$X$286</definedName>
    <definedName name="v_127_XHSRO">Model!$Z$286</definedName>
    <definedName name="v_127_XINORG">Model!$AV$286</definedName>
    <definedName name="v_127_XMEOLO">Model!$S$286</definedName>
    <definedName name="v_127_XMOB">Model!$CU$286</definedName>
    <definedName name="v_127_XN_B">Model!$AK$286</definedName>
    <definedName name="v_127_XN_U">Model!$AL$286</definedName>
    <definedName name="v_127_XNOB">Model!$U$286</definedName>
    <definedName name="v_127_XOHO">Model!$Q$286</definedName>
    <definedName name="v_127_XP_B">Model!$AP$286</definedName>
    <definedName name="v_127_XP_U">Model!$AQ$286</definedName>
    <definedName name="v_127_XPHA">Model!$M$286</definedName>
    <definedName name="v_127_XPP">Model!$AN$286</definedName>
    <definedName name="v_127_XS">Model!$BD$286</definedName>
    <definedName name="v_127_XSOO">Model!$AA$286</definedName>
    <definedName name="v_127_XSTR">Model!$BW$286</definedName>
    <definedName name="v_127_XU">Model!$L$286</definedName>
    <definedName name="v_127_XVivi">Model!$BX$286</definedName>
    <definedName name="v_128_CB">Model!$H$287</definedName>
    <definedName name="v_128_CU">Model!$K$287</definedName>
    <definedName name="v_128_GCH4">Model!$CC$287</definedName>
    <definedName name="v_128_GCH4_atm">Model!$CL$287</definedName>
    <definedName name="v_128_GCO2">Model!$CB$287</definedName>
    <definedName name="v_128_GCO2_atm">Model!$CK$287</definedName>
    <definedName name="v_128_GH2">Model!$CD$287</definedName>
    <definedName name="v_128_GH2_atm">Model!$CM$287</definedName>
    <definedName name="v_128_GH2S">Model!$CJ$287</definedName>
    <definedName name="v_128_GH2S_atm">Model!$CS$287</definedName>
    <definedName name="v_128_GN2">Model!$CI$287</definedName>
    <definedName name="v_128_GN2_atm">Model!$CR$287</definedName>
    <definedName name="v_128_GN2O">Model!$CH$287</definedName>
    <definedName name="v_128_GN2O_atm">Model!$CQ$287</definedName>
    <definedName name="v_128_GNH3">Model!$CF$287</definedName>
    <definedName name="v_128_GNH3_atm">Model!$CO$287</definedName>
    <definedName name="v_128_GNO">Model!$CG$287</definedName>
    <definedName name="v_128_GNO_atm">Model!$CP$287</definedName>
    <definedName name="v_128_GO2">Model!$CE$287</definedName>
    <definedName name="v_128_GO2_atm">Model!$CN$287</definedName>
    <definedName name="v_128_H">Model!$BZ$287</definedName>
    <definedName name="v_128_SALPHA">Model!$CA$287</definedName>
    <definedName name="v_128_SAN">Model!$AX$287</definedName>
    <definedName name="v_128_SB">Model!$F$287</definedName>
    <definedName name="v_128_SCa">Model!$AY$287</definedName>
    <definedName name="v_128_SCAT">Model!$AW$287</definedName>
    <definedName name="v_128_SCH4">Model!$AS$287</definedName>
    <definedName name="v_128_SCO2">Model!$AU$287</definedName>
    <definedName name="v_128_SFe2">Model!$BE$287</definedName>
    <definedName name="v_128_SH2">Model!$AT$287</definedName>
    <definedName name="v_128_SH2S">Model!$BB$287</definedName>
    <definedName name="v_128_SK">Model!$BA$287</definedName>
    <definedName name="v_128_SMEOL">Model!$G$287</definedName>
    <definedName name="v_128_SMg">Model!$AZ$287</definedName>
    <definedName name="v_128_SMM_index">Model!$CT$287</definedName>
    <definedName name="v_128_SN_B">Model!$AJ$287</definedName>
    <definedName name="v_128_SN2">Model!$AI$287</definedName>
    <definedName name="v_128_SN2O">Model!$AH$287</definedName>
    <definedName name="v_128_SNH2OH">Model!$AC$287</definedName>
    <definedName name="v_128_SNHx">Model!$AB$287</definedName>
    <definedName name="v_128_SNO_AOB">Model!$AF$287</definedName>
    <definedName name="v_128_SNO_OHO">Model!$AG$287</definedName>
    <definedName name="v_128_SNO2">Model!$AE$287</definedName>
    <definedName name="v_128_SNO3">Model!$AD$287</definedName>
    <definedName name="v_128_SO2">Model!$AR$287</definedName>
    <definedName name="v_128_SP_B">Model!$AO$287</definedName>
    <definedName name="v_128_SPO4">Model!$AM$287</definedName>
    <definedName name="v_128_SSO4">Model!$BC$287</definedName>
    <definedName name="v_128_SU">Model!$J$287</definedName>
    <definedName name="v_128_SVFA">Model!$E$287</definedName>
    <definedName name="v_128_XACP">Model!$BU$287</definedName>
    <definedName name="v_128_XAMETO">Model!$W$287</definedName>
    <definedName name="v_128_XAMX">Model!$V$287</definedName>
    <definedName name="v_128_XAOB">Model!$T$287</definedName>
    <definedName name="v_128_XASRO">Model!$Y$287</definedName>
    <definedName name="v_128_XB">Model!$I$287</definedName>
    <definedName name="v_128_XBSH">Model!$BV$287</definedName>
    <definedName name="v_128_XCaCO3">Model!$BT$287</definedName>
    <definedName name="v_128_XCASTO">Model!$R$287</definedName>
    <definedName name="v_128_XE">Model!$O$287</definedName>
    <definedName name="v_128_XE_ana">Model!$P$287</definedName>
    <definedName name="v_128_XFeS">Model!$BY$287</definedName>
    <definedName name="v_128_XGLY">Model!$N$287</definedName>
    <definedName name="v_128_XHAO_H">Model!$BM$287</definedName>
    <definedName name="v_128_XHAO_H_P">Model!$BP$287</definedName>
    <definedName name="v_128_XHAO_H_P_old">Model!$BR$287</definedName>
    <definedName name="v_128_XHAO_L">Model!$BN$287</definedName>
    <definedName name="v_128_XHAO_L_P">Model!$BQ$287</definedName>
    <definedName name="v_128_XHAO_L_P_old">Model!$BS$287</definedName>
    <definedName name="v_128_XHAO_old">Model!$BO$287</definedName>
    <definedName name="v_128_XHFO_H">Model!$BF$287</definedName>
    <definedName name="v_128_XHFO_H_P">Model!$BI$287</definedName>
    <definedName name="v_128_XHFO_H_P_old">Model!$BK$287</definedName>
    <definedName name="v_128_XHFO_L">Model!$BG$287</definedName>
    <definedName name="v_128_XHFO_L_P">Model!$BJ$287</definedName>
    <definedName name="v_128_XHFO_L_P_old">Model!$BL$287</definedName>
    <definedName name="v_128_XHFO_old">Model!$BH$287</definedName>
    <definedName name="v_128_XHMETO">Model!$X$287</definedName>
    <definedName name="v_128_XHSRO">Model!$Z$287</definedName>
    <definedName name="v_128_XINORG">Model!$AV$287</definedName>
    <definedName name="v_128_XMEOLO">Model!$S$287</definedName>
    <definedName name="v_128_XMOB">Model!$CU$287</definedName>
    <definedName name="v_128_XN_B">Model!$AK$287</definedName>
    <definedName name="v_128_XN_U">Model!$AL$287</definedName>
    <definedName name="v_128_XNOB">Model!$U$287</definedName>
    <definedName name="v_128_XOHO">Model!$Q$287</definedName>
    <definedName name="v_128_XP_B">Model!$AP$287</definedName>
    <definedName name="v_128_XP_U">Model!$AQ$287</definedName>
    <definedName name="v_128_XPHA">Model!$M$287</definedName>
    <definedName name="v_128_XPP">Model!$AN$287</definedName>
    <definedName name="v_128_XS">Model!$BD$287</definedName>
    <definedName name="v_128_XSOO">Model!$AA$287</definedName>
    <definedName name="v_128_XSTR">Model!$BW$287</definedName>
    <definedName name="v_128_XU">Model!$L$287</definedName>
    <definedName name="v_128_XVivi">Model!$BX$287</definedName>
    <definedName name="v_129_CB">Model!$H$288</definedName>
    <definedName name="v_129_CU">Model!$K$288</definedName>
    <definedName name="v_129_GCH4">Model!$CC$288</definedName>
    <definedName name="v_129_GCH4_atm">Model!$CL$288</definedName>
    <definedName name="v_129_GCO2">Model!$CB$288</definedName>
    <definedName name="v_129_GCO2_atm">Model!$CK$288</definedName>
    <definedName name="v_129_GH2">Model!$CD$288</definedName>
    <definedName name="v_129_GH2_atm">Model!$CM$288</definedName>
    <definedName name="v_129_GH2S">Model!$CJ$288</definedName>
    <definedName name="v_129_GH2S_atm">Model!$CS$288</definedName>
    <definedName name="v_129_GN2">Model!$CI$288</definedName>
    <definedName name="v_129_GN2_atm">Model!$CR$288</definedName>
    <definedName name="v_129_GN2O">Model!$CH$288</definedName>
    <definedName name="v_129_GN2O_atm">Model!$CQ$288</definedName>
    <definedName name="v_129_GNH3">Model!$CF$288</definedName>
    <definedName name="v_129_GNH3_atm">Model!$CO$288</definedName>
    <definedName name="v_129_GNO">Model!$CG$288</definedName>
    <definedName name="v_129_GNO_atm">Model!$CP$288</definedName>
    <definedName name="v_129_GO2">Model!$CE$288</definedName>
    <definedName name="v_129_GO2_atm">Model!$CN$288</definedName>
    <definedName name="v_129_H">Model!$BZ$288</definedName>
    <definedName name="v_129_SALPHA">Model!$CA$288</definedName>
    <definedName name="v_129_SAN">Model!$AX$288</definedName>
    <definedName name="v_129_SB">Model!$F$288</definedName>
    <definedName name="v_129_SCa">Model!$AY$288</definedName>
    <definedName name="v_129_SCAT">Model!$AW$288</definedName>
    <definedName name="v_129_SCH4">Model!$AS$288</definedName>
    <definedName name="v_129_SCO2">Model!$AU$288</definedName>
    <definedName name="v_129_SFe2">Model!$BE$288</definedName>
    <definedName name="v_129_SH2">Model!$AT$288</definedName>
    <definedName name="v_129_SH2S">Model!$BB$288</definedName>
    <definedName name="v_129_SK">Model!$BA$288</definedName>
    <definedName name="v_129_SMEOL">Model!$G$288</definedName>
    <definedName name="v_129_SMg">Model!$AZ$288</definedName>
    <definedName name="v_129_SMM_index">Model!$CT$288</definedName>
    <definedName name="v_129_SN_B">Model!$AJ$288</definedName>
    <definedName name="v_129_SN2">Model!$AI$288</definedName>
    <definedName name="v_129_SN2O">Model!$AH$288</definedName>
    <definedName name="v_129_SNH2OH">Model!$AC$288</definedName>
    <definedName name="v_129_SNHx">Model!$AB$288</definedName>
    <definedName name="v_129_SNO_AOB">Model!$AF$288</definedName>
    <definedName name="v_129_SNO_OHO">Model!$AG$288</definedName>
    <definedName name="v_129_SNO2">Model!$AE$288</definedName>
    <definedName name="v_129_SNO3">Model!$AD$288</definedName>
    <definedName name="v_129_SO2">Model!$AR$288</definedName>
    <definedName name="v_129_SP_B">Model!$AO$288</definedName>
    <definedName name="v_129_SPO4">Model!$AM$288</definedName>
    <definedName name="v_129_SSO4">Model!$BC$288</definedName>
    <definedName name="v_129_SU">Model!$J$288</definedName>
    <definedName name="v_129_SVFA">Model!$E$288</definedName>
    <definedName name="v_129_XACP">Model!$BU$288</definedName>
    <definedName name="v_129_XAMETO">Model!$W$288</definedName>
    <definedName name="v_129_XAMX">Model!$V$288</definedName>
    <definedName name="v_129_XAOB">Model!$T$288</definedName>
    <definedName name="v_129_XASRO">Model!$Y$288</definedName>
    <definedName name="v_129_XB">Model!$I$288</definedName>
    <definedName name="v_129_XBSH">Model!$BV$288</definedName>
    <definedName name="v_129_XCaCO3">Model!$BT$288</definedName>
    <definedName name="v_129_XCASTO">Model!$R$288</definedName>
    <definedName name="v_129_XE">Model!$O$288</definedName>
    <definedName name="v_129_XE_ana">Model!$P$288</definedName>
    <definedName name="v_129_XFeS">Model!$BY$288</definedName>
    <definedName name="v_129_XGLY">Model!$N$288</definedName>
    <definedName name="v_129_XHAO_H">Model!$BM$288</definedName>
    <definedName name="v_129_XHAO_H_P">Model!$BP$288</definedName>
    <definedName name="v_129_XHAO_H_P_old">Model!$BR$288</definedName>
    <definedName name="v_129_XHAO_L">Model!$BN$288</definedName>
    <definedName name="v_129_XHAO_L_P">Model!$BQ$288</definedName>
    <definedName name="v_129_XHAO_L_P_old">Model!$BS$288</definedName>
    <definedName name="v_129_XHAO_old">Model!$BO$288</definedName>
    <definedName name="v_129_XHFO_H">Model!$BF$288</definedName>
    <definedName name="v_129_XHFO_H_P">Model!$BI$288</definedName>
    <definedName name="v_129_XHFO_H_P_old">Model!$BK$288</definedName>
    <definedName name="v_129_XHFO_L">Model!$BG$288</definedName>
    <definedName name="v_129_XHFO_L_P">Model!$BJ$288</definedName>
    <definedName name="v_129_XHFO_L_P_old">Model!$BL$288</definedName>
    <definedName name="v_129_XHFO_old">Model!$BH$288</definedName>
    <definedName name="v_129_XHMETO">Model!$X$288</definedName>
    <definedName name="v_129_XHSRO">Model!$Z$288</definedName>
    <definedName name="v_129_XINORG">Model!$AV$288</definedName>
    <definedName name="v_129_XMEOLO">Model!$S$288</definedName>
    <definedName name="v_129_XMOB">Model!$CU$288</definedName>
    <definedName name="v_129_XN_B">Model!$AK$288</definedName>
    <definedName name="v_129_XN_U">Model!$AL$288</definedName>
    <definedName name="v_129_XNOB">Model!$U$288</definedName>
    <definedName name="v_129_XOHO">Model!$Q$288</definedName>
    <definedName name="v_129_XP_B">Model!$AP$288</definedName>
    <definedName name="v_129_XP_U">Model!$AQ$288</definedName>
    <definedName name="v_129_XPHA">Model!$M$288</definedName>
    <definedName name="v_129_XPP">Model!$AN$288</definedName>
    <definedName name="v_129_XS">Model!$BD$288</definedName>
    <definedName name="v_129_XSOO">Model!$AA$288</definedName>
    <definedName name="v_129_XSTR">Model!$BW$288</definedName>
    <definedName name="v_129_XU">Model!$L$288</definedName>
    <definedName name="v_129_XVivi">Model!$BX$288</definedName>
    <definedName name="v_13_CB">Model!$H$172</definedName>
    <definedName name="v_13_CU">Model!$K$172</definedName>
    <definedName name="v_13_GCH4">Model!$CC$172</definedName>
    <definedName name="v_13_GCH4_atm">Model!$CL$172</definedName>
    <definedName name="v_13_GCO2">Model!$CB$172</definedName>
    <definedName name="v_13_GCO2_atm">Model!$CK$172</definedName>
    <definedName name="v_13_GH2">Model!$CD$172</definedName>
    <definedName name="v_13_GH2_atm">Model!$CM$172</definedName>
    <definedName name="v_13_GH2S">Model!$CJ$172</definedName>
    <definedName name="v_13_GH2S_atm">Model!$CS$172</definedName>
    <definedName name="v_13_GN2">Model!$CI$172</definedName>
    <definedName name="v_13_GN2_atm">Model!$CR$172</definedName>
    <definedName name="v_13_GN2O">Model!$CH$172</definedName>
    <definedName name="v_13_GN2O_atm">Model!$CQ$172</definedName>
    <definedName name="v_13_GNH3">Model!$CF$172</definedName>
    <definedName name="v_13_GNH3_atm">Model!$CO$172</definedName>
    <definedName name="v_13_GNO">Model!$CG$172</definedName>
    <definedName name="v_13_GNO_atm">Model!$CP$172</definedName>
    <definedName name="v_13_GO2">Model!$CE$172</definedName>
    <definedName name="v_13_GO2_atm">Model!$CN$172</definedName>
    <definedName name="v_13_H">Model!$BZ$172</definedName>
    <definedName name="v_13_SALPHA">Model!$CA$172</definedName>
    <definedName name="v_13_SAN">Model!$AX$172</definedName>
    <definedName name="v_13_SB">Model!$F$172</definedName>
    <definedName name="v_13_SCa">Model!$AY$172</definedName>
    <definedName name="v_13_SCAT">Model!$AW$172</definedName>
    <definedName name="v_13_SCH4">Model!$AS$172</definedName>
    <definedName name="v_13_SCO2">Model!$AU$172</definedName>
    <definedName name="v_13_SFe2">Model!$BE$172</definedName>
    <definedName name="v_13_SH2">Model!$AT$172</definedName>
    <definedName name="v_13_SH2S">Model!$BB$172</definedName>
    <definedName name="v_13_SK">Model!$BA$172</definedName>
    <definedName name="v_13_SMEOL">Model!$G$172</definedName>
    <definedName name="v_13_SMg">Model!$AZ$172</definedName>
    <definedName name="v_13_SMM_index">Model!$CT$172</definedName>
    <definedName name="v_13_SN_B">Model!$AJ$172</definedName>
    <definedName name="v_13_SN2">Model!$AI$172</definedName>
    <definedName name="v_13_SN2O">Model!$AH$172</definedName>
    <definedName name="v_13_SNH2OH">Model!$AC$172</definedName>
    <definedName name="v_13_SNHx">Model!$AB$172</definedName>
    <definedName name="v_13_SNO_AOB">Model!$AF$172</definedName>
    <definedName name="v_13_SNO_OHO">Model!$AG$172</definedName>
    <definedName name="v_13_SNO2">Model!$AE$172</definedName>
    <definedName name="v_13_SNO3">Model!$AD$172</definedName>
    <definedName name="v_13_SO2">Model!$AR$172</definedName>
    <definedName name="v_13_SP_B">Model!$AO$172</definedName>
    <definedName name="v_13_SPO4">Model!$AM$172</definedName>
    <definedName name="v_13_SSO4">Model!$BC$172</definedName>
    <definedName name="v_13_SU">Model!$J$172</definedName>
    <definedName name="v_13_SVFA">Model!$E$172</definedName>
    <definedName name="v_13_XACP">Model!$BU$172</definedName>
    <definedName name="v_13_XAMETO">Model!$W$172</definedName>
    <definedName name="v_13_XAMX">Model!$V$172</definedName>
    <definedName name="v_13_XAOB">Model!$T$172</definedName>
    <definedName name="v_13_XASRO">Model!$Y$172</definedName>
    <definedName name="v_13_XB">Model!$I$172</definedName>
    <definedName name="v_13_XBSH">Model!$BV$172</definedName>
    <definedName name="v_13_XCaCO3">Model!$BT$172</definedName>
    <definedName name="v_13_XCASTO">Model!$R$172</definedName>
    <definedName name="v_13_XE">Model!$O$172</definedName>
    <definedName name="v_13_XE_ana">Model!$P$172</definedName>
    <definedName name="v_13_XFeS">Model!$BY$172</definedName>
    <definedName name="v_13_XGLY">Model!$N$172</definedName>
    <definedName name="v_13_XHAO_H">Model!$BM$172</definedName>
    <definedName name="v_13_XHAO_H_P">Model!$BP$172</definedName>
    <definedName name="v_13_XHAO_H_P_old">Model!$BR$172</definedName>
    <definedName name="v_13_XHAO_L">Model!$BN$172</definedName>
    <definedName name="v_13_XHAO_L_P">Model!$BQ$172</definedName>
    <definedName name="v_13_XHAO_L_P_old">Model!$BS$172</definedName>
    <definedName name="v_13_XHAO_old">Model!$BO$172</definedName>
    <definedName name="v_13_XHFO_H">Model!$BF$172</definedName>
    <definedName name="v_13_XHFO_H_P">Model!$BI$172</definedName>
    <definedName name="v_13_XHFO_H_P_old">Model!$BK$172</definedName>
    <definedName name="v_13_XHFO_L">Model!$BG$172</definedName>
    <definedName name="v_13_XHFO_L_P">Model!$BJ$172</definedName>
    <definedName name="v_13_XHFO_L_P_old">Model!$BL$172</definedName>
    <definedName name="v_13_XHFO_old">Model!$BH$172</definedName>
    <definedName name="v_13_XHMETO">Model!$X$172</definedName>
    <definedName name="v_13_XHSRO">Model!$Z$172</definedName>
    <definedName name="v_13_XINORG">Model!$AV$172</definedName>
    <definedName name="v_13_XMEOLO">Model!$S$172</definedName>
    <definedName name="v_13_XMOB">Model!$CU$172</definedName>
    <definedName name="v_13_XN_B">Model!$AK$172</definedName>
    <definedName name="v_13_XN_U">Model!$AL$172</definedName>
    <definedName name="v_13_XNOB">Model!$U$172</definedName>
    <definedName name="v_13_XOHO">Model!$Q$172</definedName>
    <definedName name="v_13_XP_B">Model!$AP$172</definedName>
    <definedName name="v_13_XP_U">Model!$AQ$172</definedName>
    <definedName name="v_13_XPHA">Model!$M$172</definedName>
    <definedName name="v_13_XPP">Model!$AN$172</definedName>
    <definedName name="v_13_XS">Model!$BD$172</definedName>
    <definedName name="v_13_XSOO">Model!$AA$172</definedName>
    <definedName name="v_13_XSTR">Model!$BW$172</definedName>
    <definedName name="v_13_XU">Model!$L$172</definedName>
    <definedName name="v_13_XVivi">Model!$BX$172</definedName>
    <definedName name="v_130_CB">Model!$H$289</definedName>
    <definedName name="v_130_CU">Model!$K$289</definedName>
    <definedName name="v_130_GCH4">Model!$CC$289</definedName>
    <definedName name="v_130_GCH4_atm">Model!$CL$289</definedName>
    <definedName name="v_130_GCO2">Model!$CB$289</definedName>
    <definedName name="v_130_GCO2_atm">Model!$CK$289</definedName>
    <definedName name="v_130_GH2">Model!$CD$289</definedName>
    <definedName name="v_130_GH2_atm">Model!$CM$289</definedName>
    <definedName name="v_130_GH2S">Model!$CJ$289</definedName>
    <definedName name="v_130_GH2S_atm">Model!$CS$289</definedName>
    <definedName name="v_130_GN2">Model!$CI$289</definedName>
    <definedName name="v_130_GN2_atm">Model!$CR$289</definedName>
    <definedName name="v_130_GN2O">Model!$CH$289</definedName>
    <definedName name="v_130_GN2O_atm">Model!$CQ$289</definedName>
    <definedName name="v_130_GNH3">Model!$CF$289</definedName>
    <definedName name="v_130_GNH3_atm">Model!$CO$289</definedName>
    <definedName name="v_130_GNO">Model!$CG$289</definedName>
    <definedName name="v_130_GNO_atm">Model!$CP$289</definedName>
    <definedName name="v_130_GO2">Model!$CE$289</definedName>
    <definedName name="v_130_GO2_atm">Model!$CN$289</definedName>
    <definedName name="v_130_H">Model!$BZ$289</definedName>
    <definedName name="v_130_SALPHA">Model!$CA$289</definedName>
    <definedName name="v_130_SAN">Model!$AX$289</definedName>
    <definedName name="v_130_SB">Model!$F$289</definedName>
    <definedName name="v_130_SCa">Model!$AY$289</definedName>
    <definedName name="v_130_SCAT">Model!$AW$289</definedName>
    <definedName name="v_130_SCH4">Model!$AS$289</definedName>
    <definedName name="v_130_SCO2">Model!$AU$289</definedName>
    <definedName name="v_130_SFe2">Model!$BE$289</definedName>
    <definedName name="v_130_SH2">Model!$AT$289</definedName>
    <definedName name="v_130_SH2S">Model!$BB$289</definedName>
    <definedName name="v_130_SK">Model!$BA$289</definedName>
    <definedName name="v_130_SMEOL">Model!$G$289</definedName>
    <definedName name="v_130_SMg">Model!$AZ$289</definedName>
    <definedName name="v_130_SMM_index">Model!$CT$289</definedName>
    <definedName name="v_130_SN_B">Model!$AJ$289</definedName>
    <definedName name="v_130_SN2">Model!$AI$289</definedName>
    <definedName name="v_130_SN2O">Model!$AH$289</definedName>
    <definedName name="v_130_SNH2OH">Model!$AC$289</definedName>
    <definedName name="v_130_SNHx">Model!$AB$289</definedName>
    <definedName name="v_130_SNO_AOB">Model!$AF$289</definedName>
    <definedName name="v_130_SNO_OHO">Model!$AG$289</definedName>
    <definedName name="v_130_SNO2">Model!$AE$289</definedName>
    <definedName name="v_130_SNO3">Model!$AD$289</definedName>
    <definedName name="v_130_SO2">Model!$AR$289</definedName>
    <definedName name="v_130_SP_B">Model!$AO$289</definedName>
    <definedName name="v_130_SPO4">Model!$AM$289</definedName>
    <definedName name="v_130_SSO4">Model!$BC$289</definedName>
    <definedName name="v_130_SU">Model!$J$289</definedName>
    <definedName name="v_130_SVFA">Model!$E$289</definedName>
    <definedName name="v_130_XACP">Model!$BU$289</definedName>
    <definedName name="v_130_XAMETO">Model!$W$289</definedName>
    <definedName name="v_130_XAMX">Model!$V$289</definedName>
    <definedName name="v_130_XAOB">Model!$T$289</definedName>
    <definedName name="v_130_XASRO">Model!$Y$289</definedName>
    <definedName name="v_130_XB">Model!$I$289</definedName>
    <definedName name="v_130_XBSH">Model!$BV$289</definedName>
    <definedName name="v_130_XCaCO3">Model!$BT$289</definedName>
    <definedName name="v_130_XCASTO">Model!$R$289</definedName>
    <definedName name="v_130_XE">Model!$O$289</definedName>
    <definedName name="v_130_XE_ana">Model!$P$289</definedName>
    <definedName name="v_130_XFeS">Model!$BY$289</definedName>
    <definedName name="v_130_XGLY">Model!$N$289</definedName>
    <definedName name="v_130_XHAO_H">Model!$BM$289</definedName>
    <definedName name="v_130_XHAO_H_P">Model!$BP$289</definedName>
    <definedName name="v_130_XHAO_H_P_old">Model!$BR$289</definedName>
    <definedName name="v_130_XHAO_L">Model!$BN$289</definedName>
    <definedName name="v_130_XHAO_L_P">Model!$BQ$289</definedName>
    <definedName name="v_130_XHAO_L_P_old">Model!$BS$289</definedName>
    <definedName name="v_130_XHAO_old">Model!$BO$289</definedName>
    <definedName name="v_130_XHFO_H">Model!$BF$289</definedName>
    <definedName name="v_130_XHFO_H_P">Model!$BI$289</definedName>
    <definedName name="v_130_XHFO_H_P_old">Model!$BK$289</definedName>
    <definedName name="v_130_XHFO_L">Model!$BG$289</definedName>
    <definedName name="v_130_XHFO_L_P">Model!$BJ$289</definedName>
    <definedName name="v_130_XHFO_L_P_old">Model!$BL$289</definedName>
    <definedName name="v_130_XHFO_old">Model!$BH$289</definedName>
    <definedName name="v_130_XHMETO">Model!$X$289</definedName>
    <definedName name="v_130_XHSRO">Model!$Z$289</definedName>
    <definedName name="v_130_XINORG">Model!$AV$289</definedName>
    <definedName name="v_130_XMEOLO">Model!$S$289</definedName>
    <definedName name="v_130_XMOB">Model!$CU$289</definedName>
    <definedName name="v_130_XN_B">Model!$AK$289</definedName>
    <definedName name="v_130_XN_U">Model!$AL$289</definedName>
    <definedName name="v_130_XNOB">Model!$U$289</definedName>
    <definedName name="v_130_XOHO">Model!$Q$289</definedName>
    <definedName name="v_130_XP_B">Model!$AP$289</definedName>
    <definedName name="v_130_XP_U">Model!$AQ$289</definedName>
    <definedName name="v_130_XPHA">Model!$M$289</definedName>
    <definedName name="v_130_XPP">Model!$AN$289</definedName>
    <definedName name="v_130_XS">Model!$BD$289</definedName>
    <definedName name="v_130_XSOO">Model!$AA$289</definedName>
    <definedName name="v_130_XSTR">Model!$BW$289</definedName>
    <definedName name="v_130_XU">Model!$L$289</definedName>
    <definedName name="v_130_XVivi">Model!$BX$289</definedName>
    <definedName name="v_131_CB">Model!$H$290</definedName>
    <definedName name="v_131_CU">Model!$K$290</definedName>
    <definedName name="v_131_GCH4">Model!$CC$290</definedName>
    <definedName name="v_131_GCH4_atm">Model!$CL$290</definedName>
    <definedName name="v_131_GCO2">Model!$CB$290</definedName>
    <definedName name="v_131_GCO2_atm">Model!$CK$290</definedName>
    <definedName name="v_131_GH2">Model!$CD$290</definedName>
    <definedName name="v_131_GH2_atm">Model!$CM$290</definedName>
    <definedName name="v_131_GH2S">Model!$CJ$290</definedName>
    <definedName name="v_131_GH2S_atm">Model!$CS$290</definedName>
    <definedName name="v_131_GN2">Model!$CI$290</definedName>
    <definedName name="v_131_GN2_atm">Model!$CR$290</definedName>
    <definedName name="v_131_GN2O">Model!$CH$290</definedName>
    <definedName name="v_131_GN2O_atm">Model!$CQ$290</definedName>
    <definedName name="v_131_GNH3">Model!$CF$290</definedName>
    <definedName name="v_131_GNH3_atm">Model!$CO$290</definedName>
    <definedName name="v_131_GNO">Model!$CG$290</definedName>
    <definedName name="v_131_GNO_atm">Model!$CP$290</definedName>
    <definedName name="v_131_GO2">Model!$CE$290</definedName>
    <definedName name="v_131_GO2_atm">Model!$CN$290</definedName>
    <definedName name="v_131_H">Model!$BZ$290</definedName>
    <definedName name="v_131_SALPHA">Model!$CA$290</definedName>
    <definedName name="v_131_SAN">Model!$AX$290</definedName>
    <definedName name="v_131_SB">Model!$F$290</definedName>
    <definedName name="v_131_SCa">Model!$AY$290</definedName>
    <definedName name="v_131_SCAT">Model!$AW$290</definedName>
    <definedName name="v_131_SCH4">Model!$AS$290</definedName>
    <definedName name="v_131_SCO2">Model!$AU$290</definedName>
    <definedName name="v_131_SFe2">Model!$BE$290</definedName>
    <definedName name="v_131_SH2">Model!$AT$290</definedName>
    <definedName name="v_131_SH2S">Model!$BB$290</definedName>
    <definedName name="v_131_SK">Model!$BA$290</definedName>
    <definedName name="v_131_SMEOL">Model!$G$290</definedName>
    <definedName name="v_131_SMg">Model!$AZ$290</definedName>
    <definedName name="v_131_SMM_index">Model!$CT$290</definedName>
    <definedName name="v_131_SN_B">Model!$AJ$290</definedName>
    <definedName name="v_131_SN2">Model!$AI$290</definedName>
    <definedName name="v_131_SN2O">Model!$AH$290</definedName>
    <definedName name="v_131_SNH2OH">Model!$AC$290</definedName>
    <definedName name="v_131_SNHx">Model!$AB$290</definedName>
    <definedName name="v_131_SNO_AOB">Model!$AF$290</definedName>
    <definedName name="v_131_SNO_OHO">Model!$AG$290</definedName>
    <definedName name="v_131_SNO2">Model!$AE$290</definedName>
    <definedName name="v_131_SNO3">Model!$AD$290</definedName>
    <definedName name="v_131_SO2">Model!$AR$290</definedName>
    <definedName name="v_131_SP_B">Model!$AO$290</definedName>
    <definedName name="v_131_SPO4">Model!$AM$290</definedName>
    <definedName name="v_131_SSO4">Model!$BC$290</definedName>
    <definedName name="v_131_SU">Model!$J$290</definedName>
    <definedName name="v_131_SVFA">Model!$E$290</definedName>
    <definedName name="v_131_XACP">Model!$BU$290</definedName>
    <definedName name="v_131_XAMETO">Model!$W$290</definedName>
    <definedName name="v_131_XAMX">Model!$V$290</definedName>
    <definedName name="v_131_XAOB">Model!$T$290</definedName>
    <definedName name="v_131_XASRO">Model!$Y$290</definedName>
    <definedName name="v_131_XB">Model!$I$290</definedName>
    <definedName name="v_131_XBSH">Model!$BV$290</definedName>
    <definedName name="v_131_XCaCO3">Model!$BT$290</definedName>
    <definedName name="v_131_XCASTO">Model!$R$290</definedName>
    <definedName name="v_131_XE">Model!$O$290</definedName>
    <definedName name="v_131_XE_ana">Model!$P$290</definedName>
    <definedName name="v_131_XFeS">Model!$BY$290</definedName>
    <definedName name="v_131_XGLY">Model!$N$290</definedName>
    <definedName name="v_131_XHAO_H">Model!$BM$290</definedName>
    <definedName name="v_131_XHAO_H_P">Model!$BP$290</definedName>
    <definedName name="v_131_XHAO_H_P_old">Model!$BR$290</definedName>
    <definedName name="v_131_XHAO_L">Model!$BN$290</definedName>
    <definedName name="v_131_XHAO_L_P">Model!$BQ$290</definedName>
    <definedName name="v_131_XHAO_L_P_old">Model!$BS$290</definedName>
    <definedName name="v_131_XHAO_old">Model!$BO$290</definedName>
    <definedName name="v_131_XHFO_H">Model!$BF$290</definedName>
    <definedName name="v_131_XHFO_H_P">Model!$BI$290</definedName>
    <definedName name="v_131_XHFO_H_P_old">Model!$BK$290</definedName>
    <definedName name="v_131_XHFO_L">Model!$BG$290</definedName>
    <definedName name="v_131_XHFO_L_P">Model!$BJ$290</definedName>
    <definedName name="v_131_XHFO_L_P_old">Model!$BL$290</definedName>
    <definedName name="v_131_XHFO_old">Model!$BH$290</definedName>
    <definedName name="v_131_XHMETO">Model!$X$290</definedName>
    <definedName name="v_131_XHSRO">Model!$Z$290</definedName>
    <definedName name="v_131_XINORG">Model!$AV$290</definedName>
    <definedName name="v_131_XMEOLO">Model!$S$290</definedName>
    <definedName name="v_131_XMOB">Model!$CU$290</definedName>
    <definedName name="v_131_XN_B">Model!$AK$290</definedName>
    <definedName name="v_131_XN_U">Model!$AL$290</definedName>
    <definedName name="v_131_XNOB">Model!$U$290</definedName>
    <definedName name="v_131_XOHO">Model!$Q$290</definedName>
    <definedName name="v_131_XP_B">Model!$AP$290</definedName>
    <definedName name="v_131_XP_U">Model!$AQ$290</definedName>
    <definedName name="v_131_XPHA">Model!$M$290</definedName>
    <definedName name="v_131_XPP">Model!$AN$290</definedName>
    <definedName name="v_131_XS">Model!$BD$290</definedName>
    <definedName name="v_131_XSOO">Model!$AA$290</definedName>
    <definedName name="v_131_XSTR">Model!$BW$290</definedName>
    <definedName name="v_131_XU">Model!$L$290</definedName>
    <definedName name="v_131_XVivi">Model!$BX$290</definedName>
    <definedName name="v_132_CB">Model!$H$291</definedName>
    <definedName name="v_132_CU">Model!$K$291</definedName>
    <definedName name="v_132_GCH4">Model!$CC$291</definedName>
    <definedName name="v_132_GCH4_atm">Model!$CL$291</definedName>
    <definedName name="v_132_GCO2">Model!$CB$291</definedName>
    <definedName name="v_132_GCO2_atm">Model!$CK$291</definedName>
    <definedName name="v_132_GH2">Model!$CD$291</definedName>
    <definedName name="v_132_GH2_atm">Model!$CM$291</definedName>
    <definedName name="v_132_GH2S">Model!$CJ$291</definedName>
    <definedName name="v_132_GH2S_atm">Model!$CS$291</definedName>
    <definedName name="v_132_GN2">Model!$CI$291</definedName>
    <definedName name="v_132_GN2_atm">Model!$CR$291</definedName>
    <definedName name="v_132_GN2O">Model!$CH$291</definedName>
    <definedName name="v_132_GN2O_atm">Model!$CQ$291</definedName>
    <definedName name="v_132_GNH3">Model!$CF$291</definedName>
    <definedName name="v_132_GNH3_atm">Model!$CO$291</definedName>
    <definedName name="v_132_GNO">Model!$CG$291</definedName>
    <definedName name="v_132_GNO_atm">Model!$CP$291</definedName>
    <definedName name="v_132_GO2">Model!$CE$291</definedName>
    <definedName name="v_132_GO2_atm">Model!$CN$291</definedName>
    <definedName name="v_132_H">Model!$BZ$291</definedName>
    <definedName name="v_132_SALPHA">Model!$CA$291</definedName>
    <definedName name="v_132_SAN">Model!$AX$291</definedName>
    <definedName name="v_132_SB">Model!$F$291</definedName>
    <definedName name="v_132_SCa">Model!$AY$291</definedName>
    <definedName name="v_132_SCAT">Model!$AW$291</definedName>
    <definedName name="v_132_SCH4">Model!$AS$291</definedName>
    <definedName name="v_132_SCO2">Model!$AU$291</definedName>
    <definedName name="v_132_SFe2">Model!$BE$291</definedName>
    <definedName name="v_132_SH2">Model!$AT$291</definedName>
    <definedName name="v_132_SH2S">Model!$BB$291</definedName>
    <definedName name="v_132_SK">Model!$BA$291</definedName>
    <definedName name="v_132_SMEOL">Model!$G$291</definedName>
    <definedName name="v_132_SMg">Model!$AZ$291</definedName>
    <definedName name="v_132_SMM_index">Model!$CT$291</definedName>
    <definedName name="v_132_SN_B">Model!$AJ$291</definedName>
    <definedName name="v_132_SN2">Model!$AI$291</definedName>
    <definedName name="v_132_SN2O">Model!$AH$291</definedName>
    <definedName name="v_132_SNH2OH">Model!$AC$291</definedName>
    <definedName name="v_132_SNHx">Model!$AB$291</definedName>
    <definedName name="v_132_SNO_AOB">Model!$AF$291</definedName>
    <definedName name="v_132_SNO_OHO">Model!$AG$291</definedName>
    <definedName name="v_132_SNO2">Model!$AE$291</definedName>
    <definedName name="v_132_SNO3">Model!$AD$291</definedName>
    <definedName name="v_132_SO2">Model!$AR$291</definedName>
    <definedName name="v_132_SP_B">Model!$AO$291</definedName>
    <definedName name="v_132_SPO4">Model!$AM$291</definedName>
    <definedName name="v_132_SSO4">Model!$BC$291</definedName>
    <definedName name="v_132_SU">Model!$J$291</definedName>
    <definedName name="v_132_SVFA">Model!$E$291</definedName>
    <definedName name="v_132_XACP">Model!$BU$291</definedName>
    <definedName name="v_132_XAMETO">Model!$W$291</definedName>
    <definedName name="v_132_XAMX">Model!$V$291</definedName>
    <definedName name="v_132_XAOB">Model!$T$291</definedName>
    <definedName name="v_132_XASRO">Model!$Y$291</definedName>
    <definedName name="v_132_XB">Model!$I$291</definedName>
    <definedName name="v_132_XBSH">Model!$BV$291</definedName>
    <definedName name="v_132_XCaCO3">Model!$BT$291</definedName>
    <definedName name="v_132_XCASTO">Model!$R$291</definedName>
    <definedName name="v_132_XE">Model!$O$291</definedName>
    <definedName name="v_132_XE_ana">Model!$P$291</definedName>
    <definedName name="v_132_XFeS">Model!$BY$291</definedName>
    <definedName name="v_132_XGLY">Model!$N$291</definedName>
    <definedName name="v_132_XHAO_H">Model!$BM$291</definedName>
    <definedName name="v_132_XHAO_H_P">Model!$BP$291</definedName>
    <definedName name="v_132_XHAO_H_P_old">Model!$BR$291</definedName>
    <definedName name="v_132_XHAO_L">Model!$BN$291</definedName>
    <definedName name="v_132_XHAO_L_P">Model!$BQ$291</definedName>
    <definedName name="v_132_XHAO_L_P_old">Model!$BS$291</definedName>
    <definedName name="v_132_XHAO_old">Model!$BO$291</definedName>
    <definedName name="v_132_XHFO_H">Model!$BF$291</definedName>
    <definedName name="v_132_XHFO_H_P">Model!$BI$291</definedName>
    <definedName name="v_132_XHFO_H_P_old">Model!$BK$291</definedName>
    <definedName name="v_132_XHFO_L">Model!$BG$291</definedName>
    <definedName name="v_132_XHFO_L_P">Model!$BJ$291</definedName>
    <definedName name="v_132_XHFO_L_P_old">Model!$BL$291</definedName>
    <definedName name="v_132_XHFO_old">Model!$BH$291</definedName>
    <definedName name="v_132_XHMETO">Model!$X$291</definedName>
    <definedName name="v_132_XHSRO">Model!$Z$291</definedName>
    <definedName name="v_132_XINORG">Model!$AV$291</definedName>
    <definedName name="v_132_XMEOLO">Model!$S$291</definedName>
    <definedName name="v_132_XMOB">Model!$CU$291</definedName>
    <definedName name="v_132_XN_B">Model!$AK$291</definedName>
    <definedName name="v_132_XN_U">Model!$AL$291</definedName>
    <definedName name="v_132_XNOB">Model!$U$291</definedName>
    <definedName name="v_132_XOHO">Model!$Q$291</definedName>
    <definedName name="v_132_XP_B">Model!$AP$291</definedName>
    <definedName name="v_132_XP_U">Model!$AQ$291</definedName>
    <definedName name="v_132_XPHA">Model!$M$291</definedName>
    <definedName name="v_132_XPP">Model!$AN$291</definedName>
    <definedName name="v_132_XS">Model!$BD$291</definedName>
    <definedName name="v_132_XSOO">Model!$AA$291</definedName>
    <definedName name="v_132_XSTR">Model!$BW$291</definedName>
    <definedName name="v_132_XU">Model!$L$291</definedName>
    <definedName name="v_132_XVivi">Model!$BX$291</definedName>
    <definedName name="v_133_CB">Model!$H$292</definedName>
    <definedName name="v_133_CU">Model!$K$292</definedName>
    <definedName name="v_133_GCH4">Model!$CC$292</definedName>
    <definedName name="v_133_GCH4_atm">Model!$CL$292</definedName>
    <definedName name="v_133_GCO2">Model!$CB$292</definedName>
    <definedName name="v_133_GCO2_atm">Model!$CK$292</definedName>
    <definedName name="v_133_GH2">Model!$CD$292</definedName>
    <definedName name="v_133_GH2_atm">Model!$CM$292</definedName>
    <definedName name="v_133_GH2S">Model!$CJ$292</definedName>
    <definedName name="v_133_GH2S_atm">Model!$CS$292</definedName>
    <definedName name="v_133_GN2">Model!$CI$292</definedName>
    <definedName name="v_133_GN2_atm">Model!$CR$292</definedName>
    <definedName name="v_133_GN2O">Model!$CH$292</definedName>
    <definedName name="v_133_GN2O_atm">Model!$CQ$292</definedName>
    <definedName name="v_133_GNH3">Model!$CF$292</definedName>
    <definedName name="v_133_GNH3_atm">Model!$CO$292</definedName>
    <definedName name="v_133_GNO">Model!$CG$292</definedName>
    <definedName name="v_133_GNO_atm">Model!$CP$292</definedName>
    <definedName name="v_133_GO2">Model!$CE$292</definedName>
    <definedName name="v_133_GO2_atm">Model!$CN$292</definedName>
    <definedName name="v_133_H">Model!$BZ$292</definedName>
    <definedName name="v_133_SALPHA">Model!$CA$292</definedName>
    <definedName name="v_133_SAN">Model!$AX$292</definedName>
    <definedName name="v_133_SB">Model!$F$292</definedName>
    <definedName name="v_133_SCa">Model!$AY$292</definedName>
    <definedName name="v_133_SCAT">Model!$AW$292</definedName>
    <definedName name="v_133_SCH4">Model!$AS$292</definedName>
    <definedName name="v_133_SCO2">Model!$AU$292</definedName>
    <definedName name="v_133_SFe2">Model!$BE$292</definedName>
    <definedName name="v_133_SH2">Model!$AT$292</definedName>
    <definedName name="v_133_SH2S">Model!$BB$292</definedName>
    <definedName name="v_133_SK">Model!$BA$292</definedName>
    <definedName name="v_133_SMEOL">Model!$G$292</definedName>
    <definedName name="v_133_SMg">Model!$AZ$292</definedName>
    <definedName name="v_133_SMM_index">Model!$CT$292</definedName>
    <definedName name="v_133_SN_B">Model!$AJ$292</definedName>
    <definedName name="v_133_SN2">Model!$AI$292</definedName>
    <definedName name="v_133_SN2O">Model!$AH$292</definedName>
    <definedName name="v_133_SNH2OH">Model!$AC$292</definedName>
    <definedName name="v_133_SNHx">Model!$AB$292</definedName>
    <definedName name="v_133_SNO_AOB">Model!$AF$292</definedName>
    <definedName name="v_133_SNO_OHO">Model!$AG$292</definedName>
    <definedName name="v_133_SNO2">Model!$AE$292</definedName>
    <definedName name="v_133_SNO3">Model!$AD$292</definedName>
    <definedName name="v_133_SO2">Model!$AR$292</definedName>
    <definedName name="v_133_SP_B">Model!$AO$292</definedName>
    <definedName name="v_133_SPO4">Model!$AM$292</definedName>
    <definedName name="v_133_SSO4">Model!$BC$292</definedName>
    <definedName name="v_133_SU">Model!$J$292</definedName>
    <definedName name="v_133_SVFA">Model!$E$292</definedName>
    <definedName name="v_133_XACP">Model!$BU$292</definedName>
    <definedName name="v_133_XAMETO">Model!$W$292</definedName>
    <definedName name="v_133_XAMX">Model!$V$292</definedName>
    <definedName name="v_133_XAOB">Model!$T$292</definedName>
    <definedName name="v_133_XASRO">Model!$Y$292</definedName>
    <definedName name="v_133_XB">Model!$I$292</definedName>
    <definedName name="v_133_XBSH">Model!$BV$292</definedName>
    <definedName name="v_133_XCaCO3">Model!$BT$292</definedName>
    <definedName name="v_133_XCASTO">Model!$R$292</definedName>
    <definedName name="v_133_XE">Model!$O$292</definedName>
    <definedName name="v_133_XE_ana">Model!$P$292</definedName>
    <definedName name="v_133_XFeS">Model!$BY$292</definedName>
    <definedName name="v_133_XGLY">Model!$N$292</definedName>
    <definedName name="v_133_XHAO_H">Model!$BM$292</definedName>
    <definedName name="v_133_XHAO_H_P">Model!$BP$292</definedName>
    <definedName name="v_133_XHAO_H_P_old">Model!$BR$292</definedName>
    <definedName name="v_133_XHAO_L">Model!$BN$292</definedName>
    <definedName name="v_133_XHAO_L_P">Model!$BQ$292</definedName>
    <definedName name="v_133_XHAO_L_P_old">Model!$BS$292</definedName>
    <definedName name="v_133_XHAO_old">Model!$BO$292</definedName>
    <definedName name="v_133_XHFO_H">Model!$BF$292</definedName>
    <definedName name="v_133_XHFO_H_P">Model!$BI$292</definedName>
    <definedName name="v_133_XHFO_H_P_old">Model!$BK$292</definedName>
    <definedName name="v_133_XHFO_L">Model!$BG$292</definedName>
    <definedName name="v_133_XHFO_L_P">Model!$BJ$292</definedName>
    <definedName name="v_133_XHFO_L_P_old">Model!$BL$292</definedName>
    <definedName name="v_133_XHFO_old">Model!$BH$292</definedName>
    <definedName name="v_133_XHMETO">Model!$X$292</definedName>
    <definedName name="v_133_XHSRO">Model!$Z$292</definedName>
    <definedName name="v_133_XINORG">Model!$AV$292</definedName>
    <definedName name="v_133_XMEOLO">Model!$S$292</definedName>
    <definedName name="v_133_XMOB">Model!$CU$292</definedName>
    <definedName name="v_133_XN_B">Model!$AK$292</definedName>
    <definedName name="v_133_XN_U">Model!$AL$292</definedName>
    <definedName name="v_133_XNOB">Model!$U$292</definedName>
    <definedName name="v_133_XOHO">Model!$Q$292</definedName>
    <definedName name="v_133_XP_B">Model!$AP$292</definedName>
    <definedName name="v_133_XP_U">Model!$AQ$292</definedName>
    <definedName name="v_133_XPHA">Model!$M$292</definedName>
    <definedName name="v_133_XPP">Model!$AN$292</definedName>
    <definedName name="v_133_XS">Model!$BD$292</definedName>
    <definedName name="v_133_XSOO">Model!$AA$292</definedName>
    <definedName name="v_133_XSTR">Model!$BW$292</definedName>
    <definedName name="v_133_XU">Model!$L$292</definedName>
    <definedName name="v_133_XVivi">Model!$BX$292</definedName>
    <definedName name="v_134_CB">Model!$H$293</definedName>
    <definedName name="v_134_CU">Model!$K$293</definedName>
    <definedName name="v_134_GCH4">Model!$CC$293</definedName>
    <definedName name="v_134_GCH4_atm">Model!$CL$293</definedName>
    <definedName name="v_134_GCO2">Model!$CB$293</definedName>
    <definedName name="v_134_GCO2_atm">Model!$CK$293</definedName>
    <definedName name="v_134_GH2">Model!$CD$293</definedName>
    <definedName name="v_134_GH2_atm">Model!$CM$293</definedName>
    <definedName name="v_134_GH2S">Model!$CJ$293</definedName>
    <definedName name="v_134_GH2S_atm">Model!$CS$293</definedName>
    <definedName name="v_134_GN2">Model!$CI$293</definedName>
    <definedName name="v_134_GN2_atm">Model!$CR$293</definedName>
    <definedName name="v_134_GN2O">Model!$CH$293</definedName>
    <definedName name="v_134_GN2O_atm">Model!$CQ$293</definedName>
    <definedName name="v_134_GNH3">Model!$CF$293</definedName>
    <definedName name="v_134_GNH3_atm">Model!$CO$293</definedName>
    <definedName name="v_134_GNO">Model!$CG$293</definedName>
    <definedName name="v_134_GNO_atm">Model!$CP$293</definedName>
    <definedName name="v_134_GO2">Model!$CE$293</definedName>
    <definedName name="v_134_GO2_atm">Model!$CN$293</definedName>
    <definedName name="v_134_H">Model!$BZ$293</definedName>
    <definedName name="v_134_SALPHA">Model!$CA$293</definedName>
    <definedName name="v_134_SAN">Model!$AX$293</definedName>
    <definedName name="v_134_SB">Model!$F$293</definedName>
    <definedName name="v_134_SCa">Model!$AY$293</definedName>
    <definedName name="v_134_SCAT">Model!$AW$293</definedName>
    <definedName name="v_134_SCH4">Model!$AS$293</definedName>
    <definedName name="v_134_SCO2">Model!$AU$293</definedName>
    <definedName name="v_134_SFe2">Model!$BE$293</definedName>
    <definedName name="v_134_SH2">Model!$AT$293</definedName>
    <definedName name="v_134_SH2S">Model!$BB$293</definedName>
    <definedName name="v_134_SK">Model!$BA$293</definedName>
    <definedName name="v_134_SMEOL">Model!$G$293</definedName>
    <definedName name="v_134_SMg">Model!$AZ$293</definedName>
    <definedName name="v_134_SMM_index">Model!$CT$293</definedName>
    <definedName name="v_134_SN_B">Model!$AJ$293</definedName>
    <definedName name="v_134_SN2">Model!$AI$293</definedName>
    <definedName name="v_134_SN2O">Model!$AH$293</definedName>
    <definedName name="v_134_SNH2OH">Model!$AC$293</definedName>
    <definedName name="v_134_SNHx">Model!$AB$293</definedName>
    <definedName name="v_134_SNO_AOB">Model!$AF$293</definedName>
    <definedName name="v_134_SNO_OHO">Model!$AG$293</definedName>
    <definedName name="v_134_SNO2">Model!$AE$293</definedName>
    <definedName name="v_134_SNO3">Model!$AD$293</definedName>
    <definedName name="v_134_SO2">Model!$AR$293</definedName>
    <definedName name="v_134_SP_B">Model!$AO$293</definedName>
    <definedName name="v_134_SPO4">Model!$AM$293</definedName>
    <definedName name="v_134_SSO4">Model!$BC$293</definedName>
    <definedName name="v_134_SU">Model!$J$293</definedName>
    <definedName name="v_134_SVFA">Model!$E$293</definedName>
    <definedName name="v_134_XACP">Model!$BU$293</definedName>
    <definedName name="v_134_XAMETO">Model!$W$293</definedName>
    <definedName name="v_134_XAMX">Model!$V$293</definedName>
    <definedName name="v_134_XAOB">Model!$T$293</definedName>
    <definedName name="v_134_XASRO">Model!$Y$293</definedName>
    <definedName name="v_134_XB">Model!$I$293</definedName>
    <definedName name="v_134_XBSH">Model!$BV$293</definedName>
    <definedName name="v_134_XCaCO3">Model!$BT$293</definedName>
    <definedName name="v_134_XCASTO">Model!$R$293</definedName>
    <definedName name="v_134_XE">Model!$O$293</definedName>
    <definedName name="v_134_XE_ana">Model!$P$293</definedName>
    <definedName name="v_134_XFeS">Model!$BY$293</definedName>
    <definedName name="v_134_XGLY">Model!$N$293</definedName>
    <definedName name="v_134_XHAO_H">Model!$BM$293</definedName>
    <definedName name="v_134_XHAO_H_P">Model!$BP$293</definedName>
    <definedName name="v_134_XHAO_H_P_old">Model!$BR$293</definedName>
    <definedName name="v_134_XHAO_L">Model!$BN$293</definedName>
    <definedName name="v_134_XHAO_L_P">Model!$BQ$293</definedName>
    <definedName name="v_134_XHAO_L_P_old">Model!$BS$293</definedName>
    <definedName name="v_134_XHAO_old">Model!$BO$293</definedName>
    <definedName name="v_134_XHFO_H">Model!$BF$293</definedName>
    <definedName name="v_134_XHFO_H_P">Model!$BI$293</definedName>
    <definedName name="v_134_XHFO_H_P_old">Model!$BK$293</definedName>
    <definedName name="v_134_XHFO_L">Model!$BG$293</definedName>
    <definedName name="v_134_XHFO_L_P">Model!$BJ$293</definedName>
    <definedName name="v_134_XHFO_L_P_old">Model!$BL$293</definedName>
    <definedName name="v_134_XHFO_old">Model!$BH$293</definedName>
    <definedName name="v_134_XHMETO">Model!$X$293</definedName>
    <definedName name="v_134_XHSRO">Model!$Z$293</definedName>
    <definedName name="v_134_XINORG">Model!$AV$293</definedName>
    <definedName name="v_134_XMEOLO">Model!$S$293</definedName>
    <definedName name="v_134_XMOB">Model!$CU$293</definedName>
    <definedName name="v_134_XN_B">Model!$AK$293</definedName>
    <definedName name="v_134_XN_U">Model!$AL$293</definedName>
    <definedName name="v_134_XNOB">Model!$U$293</definedName>
    <definedName name="v_134_XOHO">Model!$Q$293</definedName>
    <definedName name="v_134_XP_B">Model!$AP$293</definedName>
    <definedName name="v_134_XP_U">Model!$AQ$293</definedName>
    <definedName name="v_134_XPHA">Model!$M$293</definedName>
    <definedName name="v_134_XPP">Model!$AN$293</definedName>
    <definedName name="v_134_XS">Model!$BD$293</definedName>
    <definedName name="v_134_XSOO">Model!$AA$293</definedName>
    <definedName name="v_134_XSTR">Model!$BW$293</definedName>
    <definedName name="v_134_XU">Model!$L$293</definedName>
    <definedName name="v_134_XVivi">Model!$BX$293</definedName>
    <definedName name="v_135_CB">Model!$H$294</definedName>
    <definedName name="v_135_CU">Model!$K$294</definedName>
    <definedName name="v_135_GCH4">Model!$CC$294</definedName>
    <definedName name="v_135_GCH4_atm">Model!$CL$294</definedName>
    <definedName name="v_135_GCO2">Model!$CB$294</definedName>
    <definedName name="v_135_GCO2_atm">Model!$CK$294</definedName>
    <definedName name="v_135_GH2">Model!$CD$294</definedName>
    <definedName name="v_135_GH2_atm">Model!$CM$294</definedName>
    <definedName name="v_135_GH2S">Model!$CJ$294</definedName>
    <definedName name="v_135_GH2S_atm">Model!$CS$294</definedName>
    <definedName name="v_135_GN2">Model!$CI$294</definedName>
    <definedName name="v_135_GN2_atm">Model!$CR$294</definedName>
    <definedName name="v_135_GN2O">Model!$CH$294</definedName>
    <definedName name="v_135_GN2O_atm">Model!$CQ$294</definedName>
    <definedName name="v_135_GNH3">Model!$CF$294</definedName>
    <definedName name="v_135_GNH3_atm">Model!$CO$294</definedName>
    <definedName name="v_135_GNO">Model!$CG$294</definedName>
    <definedName name="v_135_GNO_atm">Model!$CP$294</definedName>
    <definedName name="v_135_GO2">Model!$CE$294</definedName>
    <definedName name="v_135_GO2_atm">Model!$CN$294</definedName>
    <definedName name="v_135_H">Model!$BZ$294</definedName>
    <definedName name="v_135_SALPHA">Model!$CA$294</definedName>
    <definedName name="v_135_SAN">Model!$AX$294</definedName>
    <definedName name="v_135_SB">Model!$F$294</definedName>
    <definedName name="v_135_SCa">Model!$AY$294</definedName>
    <definedName name="v_135_SCAT">Model!$AW$294</definedName>
    <definedName name="v_135_SCH4">Model!$AS$294</definedName>
    <definedName name="v_135_SCO2">Model!$AU$294</definedName>
    <definedName name="v_135_SFe2">Model!$BE$294</definedName>
    <definedName name="v_135_SH2">Model!$AT$294</definedName>
    <definedName name="v_135_SH2S">Model!$BB$294</definedName>
    <definedName name="v_135_SK">Model!$BA$294</definedName>
    <definedName name="v_135_SMEOL">Model!$G$294</definedName>
    <definedName name="v_135_SMg">Model!$AZ$294</definedName>
    <definedName name="v_135_SMM_index">Model!$CT$294</definedName>
    <definedName name="v_135_SN_B">Model!$AJ$294</definedName>
    <definedName name="v_135_SN2">Model!$AI$294</definedName>
    <definedName name="v_135_SN2O">Model!$AH$294</definedName>
    <definedName name="v_135_SNH2OH">Model!$AC$294</definedName>
    <definedName name="v_135_SNHx">Model!$AB$294</definedName>
    <definedName name="v_135_SNO_AOB">Model!$AF$294</definedName>
    <definedName name="v_135_SNO_OHO">Model!$AG$294</definedName>
    <definedName name="v_135_SNO2">Model!$AE$294</definedName>
    <definedName name="v_135_SNO3">Model!$AD$294</definedName>
    <definedName name="v_135_SO2">Model!$AR$294</definedName>
    <definedName name="v_135_SP_B">Model!$AO$294</definedName>
    <definedName name="v_135_SPO4">Model!$AM$294</definedName>
    <definedName name="v_135_SSO4">Model!$BC$294</definedName>
    <definedName name="v_135_SU">Model!$J$294</definedName>
    <definedName name="v_135_SVFA">Model!$E$294</definedName>
    <definedName name="v_135_XACP">Model!$BU$294</definedName>
    <definedName name="v_135_XAMETO">Model!$W$294</definedName>
    <definedName name="v_135_XAMX">Model!$V$294</definedName>
    <definedName name="v_135_XAOB">Model!$T$294</definedName>
    <definedName name="v_135_XASRO">Model!$Y$294</definedName>
    <definedName name="v_135_XB">Model!$I$294</definedName>
    <definedName name="v_135_XBSH">Model!$BV$294</definedName>
    <definedName name="v_135_XCaCO3">Model!$BT$294</definedName>
    <definedName name="v_135_XCASTO">Model!$R$294</definedName>
    <definedName name="v_135_XE">Model!$O$294</definedName>
    <definedName name="v_135_XE_ana">Model!$P$294</definedName>
    <definedName name="v_135_XFeS">Model!$BY$294</definedName>
    <definedName name="v_135_XGLY">Model!$N$294</definedName>
    <definedName name="v_135_XHAO_H">Model!$BM$294</definedName>
    <definedName name="v_135_XHAO_H_P">Model!$BP$294</definedName>
    <definedName name="v_135_XHAO_H_P_old">Model!$BR$294</definedName>
    <definedName name="v_135_XHAO_L">Model!$BN$294</definedName>
    <definedName name="v_135_XHAO_L_P">Model!$BQ$294</definedName>
    <definedName name="v_135_XHAO_L_P_old">Model!$BS$294</definedName>
    <definedName name="v_135_XHAO_old">Model!$BO$294</definedName>
    <definedName name="v_135_XHFO_H">Model!$BF$294</definedName>
    <definedName name="v_135_XHFO_H_P">Model!$BI$294</definedName>
    <definedName name="v_135_XHFO_H_P_old">Model!$BK$294</definedName>
    <definedName name="v_135_XHFO_L">Model!$BG$294</definedName>
    <definedName name="v_135_XHFO_L_P">Model!$BJ$294</definedName>
    <definedName name="v_135_XHFO_L_P_old">Model!$BL$294</definedName>
    <definedName name="v_135_XHFO_old">Model!$BH$294</definedName>
    <definedName name="v_135_XHMETO">Model!$X$294</definedName>
    <definedName name="v_135_XHSRO">Model!$Z$294</definedName>
    <definedName name="v_135_XINORG">Model!$AV$294</definedName>
    <definedName name="v_135_XMEOLO">Model!$S$294</definedName>
    <definedName name="v_135_XMOB">Model!$CU$294</definedName>
    <definedName name="v_135_XN_B">Model!$AK$294</definedName>
    <definedName name="v_135_XN_U">Model!$AL$294</definedName>
    <definedName name="v_135_XNOB">Model!$U$294</definedName>
    <definedName name="v_135_XOHO">Model!$Q$294</definedName>
    <definedName name="v_135_XP_B">Model!$AP$294</definedName>
    <definedName name="v_135_XP_U">Model!$AQ$294</definedName>
    <definedName name="v_135_XPHA">Model!$M$294</definedName>
    <definedName name="v_135_XPP">Model!$AN$294</definedName>
    <definedName name="v_135_XS">Model!$BD$294</definedName>
    <definedName name="v_135_XSOO">Model!$AA$294</definedName>
    <definedName name="v_135_XSTR">Model!$BW$294</definedName>
    <definedName name="v_135_XU">Model!$L$294</definedName>
    <definedName name="v_135_XVivi">Model!$BX$294</definedName>
    <definedName name="v_136_CB">Model!$H$295</definedName>
    <definedName name="v_136_CU">Model!$K$295</definedName>
    <definedName name="v_136_GCH4">Model!$CC$295</definedName>
    <definedName name="v_136_GCH4_atm">Model!$CL$295</definedName>
    <definedName name="v_136_GCO2">Model!$CB$295</definedName>
    <definedName name="v_136_GCO2_atm">Model!$CK$295</definedName>
    <definedName name="v_136_GH2">Model!$CD$295</definedName>
    <definedName name="v_136_GH2_atm">Model!$CM$295</definedName>
    <definedName name="v_136_GH2S">Model!$CJ$295</definedName>
    <definedName name="v_136_GH2S_atm">Model!$CS$295</definedName>
    <definedName name="v_136_GN2">Model!$CI$295</definedName>
    <definedName name="v_136_GN2_atm">Model!$CR$295</definedName>
    <definedName name="v_136_GN2O">Model!$CH$295</definedName>
    <definedName name="v_136_GN2O_atm">Model!$CQ$295</definedName>
    <definedName name="v_136_GNH3">Model!$CF$295</definedName>
    <definedName name="v_136_GNH3_atm">Model!$CO$295</definedName>
    <definedName name="v_136_GNO">Model!$CG$295</definedName>
    <definedName name="v_136_GNO_atm">Model!$CP$295</definedName>
    <definedName name="v_136_GO2">Model!$CE$295</definedName>
    <definedName name="v_136_GO2_atm">Model!$CN$295</definedName>
    <definedName name="v_136_H">Model!$BZ$295</definedName>
    <definedName name="v_136_SALPHA">Model!$CA$295</definedName>
    <definedName name="v_136_SAN">Model!$AX$295</definedName>
    <definedName name="v_136_SB">Model!$F$295</definedName>
    <definedName name="v_136_SCa">Model!$AY$295</definedName>
    <definedName name="v_136_SCAT">Model!$AW$295</definedName>
    <definedName name="v_136_SCH4">Model!$AS$295</definedName>
    <definedName name="v_136_SCO2">Model!$AU$295</definedName>
    <definedName name="v_136_SFe2">Model!$BE$295</definedName>
    <definedName name="v_136_SH2">Model!$AT$295</definedName>
    <definedName name="v_136_SH2S">Model!$BB$295</definedName>
    <definedName name="v_136_SK">Model!$BA$295</definedName>
    <definedName name="v_136_SMEOL">Model!$G$295</definedName>
    <definedName name="v_136_SMg">Model!$AZ$295</definedName>
    <definedName name="v_136_SMM_index">Model!$CT$295</definedName>
    <definedName name="v_136_SN_B">Model!$AJ$295</definedName>
    <definedName name="v_136_SN2">Model!$AI$295</definedName>
    <definedName name="v_136_SN2O">Model!$AH$295</definedName>
    <definedName name="v_136_SNH2OH">Model!$AC$295</definedName>
    <definedName name="v_136_SNHx">Model!$AB$295</definedName>
    <definedName name="v_136_SNO_AOB">Model!$AF$295</definedName>
    <definedName name="v_136_SNO_OHO">Model!$AG$295</definedName>
    <definedName name="v_136_SNO2">Model!$AE$295</definedName>
    <definedName name="v_136_SNO3">Model!$AD$295</definedName>
    <definedName name="v_136_SO2">Model!$AR$295</definedName>
    <definedName name="v_136_SP_B">Model!$AO$295</definedName>
    <definedName name="v_136_SPO4">Model!$AM$295</definedName>
    <definedName name="v_136_SSO4">Model!$BC$295</definedName>
    <definedName name="v_136_SU">Model!$J$295</definedName>
    <definedName name="v_136_SVFA">Model!$E$295</definedName>
    <definedName name="v_136_XACP">Model!$BU$295</definedName>
    <definedName name="v_136_XAMETO">Model!$W$295</definedName>
    <definedName name="v_136_XAMX">Model!$V$295</definedName>
    <definedName name="v_136_XAOB">Model!$T$295</definedName>
    <definedName name="v_136_XASRO">Model!$Y$295</definedName>
    <definedName name="v_136_XB">Model!$I$295</definedName>
    <definedName name="v_136_XBSH">Model!$BV$295</definedName>
    <definedName name="v_136_XCaCO3">Model!$BT$295</definedName>
    <definedName name="v_136_XCASTO">Model!$R$295</definedName>
    <definedName name="v_136_XE">Model!$O$295</definedName>
    <definedName name="v_136_XE_ana">Model!$P$295</definedName>
    <definedName name="v_136_XFeS">Model!$BY$295</definedName>
    <definedName name="v_136_XGLY">Model!$N$295</definedName>
    <definedName name="v_136_XHAO_H">Model!$BM$295</definedName>
    <definedName name="v_136_XHAO_H_P">Model!$BP$295</definedName>
    <definedName name="v_136_XHAO_H_P_old">Model!$BR$295</definedName>
    <definedName name="v_136_XHAO_L">Model!$BN$295</definedName>
    <definedName name="v_136_XHAO_L_P">Model!$BQ$295</definedName>
    <definedName name="v_136_XHAO_L_P_old">Model!$BS$295</definedName>
    <definedName name="v_136_XHAO_old">Model!$BO$295</definedName>
    <definedName name="v_136_XHFO_H">Model!$BF$295</definedName>
    <definedName name="v_136_XHFO_H_P">Model!$BI$295</definedName>
    <definedName name="v_136_XHFO_H_P_old">Model!$BK$295</definedName>
    <definedName name="v_136_XHFO_L">Model!$BG$295</definedName>
    <definedName name="v_136_XHFO_L_P">Model!$BJ$295</definedName>
    <definedName name="v_136_XHFO_L_P_old">Model!$BL$295</definedName>
    <definedName name="v_136_XHFO_old">Model!$BH$295</definedName>
    <definedName name="v_136_XHMETO">Model!$X$295</definedName>
    <definedName name="v_136_XHSRO">Model!$Z$295</definedName>
    <definedName name="v_136_XINORG">Model!$AV$295</definedName>
    <definedName name="v_136_XMEOLO">Model!$S$295</definedName>
    <definedName name="v_136_XMOB">Model!$CU$295</definedName>
    <definedName name="v_136_XN_B">Model!$AK$295</definedName>
    <definedName name="v_136_XN_U">Model!$AL$295</definedName>
    <definedName name="v_136_XNOB">Model!$U$295</definedName>
    <definedName name="v_136_XOHO">Model!$Q$295</definedName>
    <definedName name="v_136_XP_B">Model!$AP$295</definedName>
    <definedName name="v_136_XP_U">Model!$AQ$295</definedName>
    <definedName name="v_136_XPHA">Model!$M$295</definedName>
    <definedName name="v_136_XPP">Model!$AN$295</definedName>
    <definedName name="v_136_XS">Model!$BD$295</definedName>
    <definedName name="v_136_XSOO">Model!$AA$295</definedName>
    <definedName name="v_136_XSTR">Model!$BW$295</definedName>
    <definedName name="v_136_XU">Model!$L$295</definedName>
    <definedName name="v_136_XVivi">Model!$BX$295</definedName>
    <definedName name="v_14_CB">Model!$H$173</definedName>
    <definedName name="v_14_CU">Model!$K$173</definedName>
    <definedName name="v_14_GCH4">Model!$CC$173</definedName>
    <definedName name="v_14_GCH4_atm">Model!$CL$173</definedName>
    <definedName name="v_14_GCO2">Model!$CB$173</definedName>
    <definedName name="v_14_GCO2_atm">Model!$CK$173</definedName>
    <definedName name="v_14_GH2">Model!$CD$173</definedName>
    <definedName name="v_14_GH2_atm">Model!$CM$173</definedName>
    <definedName name="v_14_GH2S">Model!$CJ$173</definedName>
    <definedName name="v_14_GH2S_atm">Model!$CS$173</definedName>
    <definedName name="v_14_GN2">Model!$CI$173</definedName>
    <definedName name="v_14_GN2_atm">Model!$CR$173</definedName>
    <definedName name="v_14_GN2O">Model!$CH$173</definedName>
    <definedName name="v_14_GN2O_atm">Model!$CQ$173</definedName>
    <definedName name="v_14_GNH3">Model!$CF$173</definedName>
    <definedName name="v_14_GNH3_atm">Model!$CO$173</definedName>
    <definedName name="v_14_GNO">Model!$CG$173</definedName>
    <definedName name="v_14_GNO_atm">Model!$CP$173</definedName>
    <definedName name="v_14_GO2">Model!$CE$173</definedName>
    <definedName name="v_14_GO2_atm">Model!$CN$173</definedName>
    <definedName name="v_14_H">Model!$BZ$173</definedName>
    <definedName name="v_14_SALPHA">Model!$CA$173</definedName>
    <definedName name="v_14_SAN">Model!$AX$173</definedName>
    <definedName name="v_14_SB">Model!$F$173</definedName>
    <definedName name="v_14_SCa">Model!$AY$173</definedName>
    <definedName name="v_14_SCAT">Model!$AW$173</definedName>
    <definedName name="v_14_SCH4">Model!$AS$173</definedName>
    <definedName name="v_14_SCO2">Model!$AU$173</definedName>
    <definedName name="v_14_SFe2">Model!$BE$173</definedName>
    <definedName name="v_14_SH2">Model!$AT$173</definedName>
    <definedName name="v_14_SH2S">Model!$BB$173</definedName>
    <definedName name="v_14_SK">Model!$BA$173</definedName>
    <definedName name="v_14_SMEOL">Model!$G$173</definedName>
    <definedName name="v_14_SMg">Model!$AZ$173</definedName>
    <definedName name="v_14_SMM_index">Model!$CT$173</definedName>
    <definedName name="v_14_SN_B">Model!$AJ$173</definedName>
    <definedName name="v_14_SN2">Model!$AI$173</definedName>
    <definedName name="v_14_SN2O">Model!$AH$173</definedName>
    <definedName name="v_14_SNH2OH">Model!$AC$173</definedName>
    <definedName name="v_14_SNHx">Model!$AB$173</definedName>
    <definedName name="v_14_SNO_AOB">Model!$AF$173</definedName>
    <definedName name="v_14_SNO_OHO">Model!$AG$173</definedName>
    <definedName name="v_14_SNO2">Model!$AE$173</definedName>
    <definedName name="v_14_SNO3">Model!$AD$173</definedName>
    <definedName name="v_14_SO2">Model!$AR$173</definedName>
    <definedName name="v_14_SP_B">Model!$AO$173</definedName>
    <definedName name="v_14_SPO4">Model!$AM$173</definedName>
    <definedName name="v_14_SSO4">Model!$BC$173</definedName>
    <definedName name="v_14_SU">Model!$J$173</definedName>
    <definedName name="v_14_SVFA">Model!$E$173</definedName>
    <definedName name="v_14_XACP">Model!$BU$173</definedName>
    <definedName name="v_14_XAMETO">Model!$W$173</definedName>
    <definedName name="v_14_XAMX">Model!$V$173</definedName>
    <definedName name="v_14_XAOB">Model!$T$173</definedName>
    <definedName name="v_14_XASRO">Model!$Y$173</definedName>
    <definedName name="v_14_XB">Model!$I$173</definedName>
    <definedName name="v_14_XBSH">Model!$BV$173</definedName>
    <definedName name="v_14_XCaCO3">Model!$BT$173</definedName>
    <definedName name="v_14_XCASTO">Model!$R$173</definedName>
    <definedName name="v_14_XE">Model!$O$173</definedName>
    <definedName name="v_14_XE_ana">Model!$P$173</definedName>
    <definedName name="v_14_XFeS">Model!$BY$173</definedName>
    <definedName name="v_14_XGLY">Model!$N$173</definedName>
    <definedName name="v_14_XHAO_H">Model!$BM$173</definedName>
    <definedName name="v_14_XHAO_H_P">Model!$BP$173</definedName>
    <definedName name="v_14_XHAO_H_P_old">Model!$BR$173</definedName>
    <definedName name="v_14_XHAO_L">Model!$BN$173</definedName>
    <definedName name="v_14_XHAO_L_P">Model!$BQ$173</definedName>
    <definedName name="v_14_XHAO_L_P_old">Model!$BS$173</definedName>
    <definedName name="v_14_XHAO_old">Model!$BO$173</definedName>
    <definedName name="v_14_XHFO_H">Model!$BF$173</definedName>
    <definedName name="v_14_XHFO_H_P">Model!$BI$173</definedName>
    <definedName name="v_14_XHFO_H_P_old">Model!$BK$173</definedName>
    <definedName name="v_14_XHFO_L">Model!$BG$173</definedName>
    <definedName name="v_14_XHFO_L_P">Model!$BJ$173</definedName>
    <definedName name="v_14_XHFO_L_P_old">Model!$BL$173</definedName>
    <definedName name="v_14_XHFO_old">Model!$BH$173</definedName>
    <definedName name="v_14_XHMETO">Model!$X$173</definedName>
    <definedName name="v_14_XHSRO">Model!$Z$173</definedName>
    <definedName name="v_14_XINORG">Model!$AV$173</definedName>
    <definedName name="v_14_XMEOLO">Model!$S$173</definedName>
    <definedName name="v_14_XMOB">Model!$CU$173</definedName>
    <definedName name="v_14_XN_B">Model!$AK$173</definedName>
    <definedName name="v_14_XN_U">Model!$AL$173</definedName>
    <definedName name="v_14_XNOB">Model!$U$173</definedName>
    <definedName name="v_14_XOHO">Model!$Q$173</definedName>
    <definedName name="v_14_XP_B">Model!$AP$173</definedName>
    <definedName name="v_14_XP_U">Model!$AQ$173</definedName>
    <definedName name="v_14_XPHA">Model!$M$173</definedName>
    <definedName name="v_14_XPP">Model!$AN$173</definedName>
    <definedName name="v_14_XS">Model!$BD$173</definedName>
    <definedName name="v_14_XSOO">Model!$AA$173</definedName>
    <definedName name="v_14_XSTR">Model!$BW$173</definedName>
    <definedName name="v_14_XU">Model!$L$173</definedName>
    <definedName name="v_14_XVivi">Model!$BX$173</definedName>
    <definedName name="v_15_CB">Model!$H$174</definedName>
    <definedName name="v_15_CU">Model!$K$174</definedName>
    <definedName name="v_15_GCH4">Model!$CC$174</definedName>
    <definedName name="v_15_GCH4_atm">Model!$CL$174</definedName>
    <definedName name="v_15_GCO2">Model!$CB$174</definedName>
    <definedName name="v_15_GCO2_atm">Model!$CK$174</definedName>
    <definedName name="v_15_GH2">Model!$CD$174</definedName>
    <definedName name="v_15_GH2_atm">Model!$CM$174</definedName>
    <definedName name="v_15_GH2S">Model!$CJ$174</definedName>
    <definedName name="v_15_GH2S_atm">Model!$CS$174</definedName>
    <definedName name="v_15_GN2">Model!$CI$174</definedName>
    <definedName name="v_15_GN2_atm">Model!$CR$174</definedName>
    <definedName name="v_15_GN2O">Model!$CH$174</definedName>
    <definedName name="v_15_GN2O_atm">Model!$CQ$174</definedName>
    <definedName name="v_15_GNH3">Model!$CF$174</definedName>
    <definedName name="v_15_GNH3_atm">Model!$CO$174</definedName>
    <definedName name="v_15_GNO">Model!$CG$174</definedName>
    <definedName name="v_15_GNO_atm">Model!$CP$174</definedName>
    <definedName name="v_15_GO2">Model!$CE$174</definedName>
    <definedName name="v_15_GO2_atm">Model!$CN$174</definedName>
    <definedName name="v_15_H">Model!$BZ$174</definedName>
    <definedName name="v_15_SALPHA">Model!$CA$174</definedName>
    <definedName name="v_15_SAN">Model!$AX$174</definedName>
    <definedName name="v_15_SB">Model!$F$174</definedName>
    <definedName name="v_15_SCa">Model!$AY$174</definedName>
    <definedName name="v_15_SCAT">Model!$AW$174</definedName>
    <definedName name="v_15_SCH4">Model!$AS$174</definedName>
    <definedName name="v_15_SCO2">Model!$AU$174</definedName>
    <definedName name="v_15_SFe2">Model!$BE$174</definedName>
    <definedName name="v_15_SH2">Model!$AT$174</definedName>
    <definedName name="v_15_SH2S">Model!$BB$174</definedName>
    <definedName name="v_15_SK">Model!$BA$174</definedName>
    <definedName name="v_15_SMEOL">Model!$G$174</definedName>
    <definedName name="v_15_SMg">Model!$AZ$174</definedName>
    <definedName name="v_15_SMM_index">Model!$CT$174</definedName>
    <definedName name="v_15_SN_B">Model!$AJ$174</definedName>
    <definedName name="v_15_SN2">Model!$AI$174</definedName>
    <definedName name="v_15_SN2O">Model!$AH$174</definedName>
    <definedName name="v_15_SNH2OH">Model!$AC$174</definedName>
    <definedName name="v_15_SNHx">Model!$AB$174</definedName>
    <definedName name="v_15_SNO_AOB">Model!$AF$174</definedName>
    <definedName name="v_15_SNO_OHO">Model!$AG$174</definedName>
    <definedName name="v_15_SNO2">Model!$AE$174</definedName>
    <definedName name="v_15_SNO3">Model!$AD$174</definedName>
    <definedName name="v_15_SO2">Model!$AR$174</definedName>
    <definedName name="v_15_SP_B">Model!$AO$174</definedName>
    <definedName name="v_15_SPO4">Model!$AM$174</definedName>
    <definedName name="v_15_SSO4">Model!$BC$174</definedName>
    <definedName name="v_15_SU">Model!$J$174</definedName>
    <definedName name="v_15_SVFA">Model!$E$174</definedName>
    <definedName name="v_15_XACP">Model!$BU$174</definedName>
    <definedName name="v_15_XAMETO">Model!$W$174</definedName>
    <definedName name="v_15_XAMX">Model!$V$174</definedName>
    <definedName name="v_15_XAOB">Model!$T$174</definedName>
    <definedName name="v_15_XASRO">Model!$Y$174</definedName>
    <definedName name="v_15_XB">Model!$I$174</definedName>
    <definedName name="v_15_XBSH">Model!$BV$174</definedName>
    <definedName name="v_15_XCaCO3">Model!$BT$174</definedName>
    <definedName name="v_15_XCASTO">Model!$R$174</definedName>
    <definedName name="v_15_XE">Model!$O$174</definedName>
    <definedName name="v_15_XE_ana">Model!$P$174</definedName>
    <definedName name="v_15_XFeS">Model!$BY$174</definedName>
    <definedName name="v_15_XGLY">Model!$N$174</definedName>
    <definedName name="v_15_XHAO_H">Model!$BM$174</definedName>
    <definedName name="v_15_XHAO_H_P">Model!$BP$174</definedName>
    <definedName name="v_15_XHAO_H_P_old">Model!$BR$174</definedName>
    <definedName name="v_15_XHAO_L">Model!$BN$174</definedName>
    <definedName name="v_15_XHAO_L_P">Model!$BQ$174</definedName>
    <definedName name="v_15_XHAO_L_P_old">Model!$BS$174</definedName>
    <definedName name="v_15_XHAO_old">Model!$BO$174</definedName>
    <definedName name="v_15_XHFO_H">Model!$BF$174</definedName>
    <definedName name="v_15_XHFO_H_P">Model!$BI$174</definedName>
    <definedName name="v_15_XHFO_H_P_old">Model!$BK$174</definedName>
    <definedName name="v_15_XHFO_L">Model!$BG$174</definedName>
    <definedName name="v_15_XHFO_L_P">Model!$BJ$174</definedName>
    <definedName name="v_15_XHFO_L_P_old">Model!$BL$174</definedName>
    <definedName name="v_15_XHFO_old">Model!$BH$174</definedName>
    <definedName name="v_15_XHMETO">Model!$X$174</definedName>
    <definedName name="v_15_XHSRO">Model!$Z$174</definedName>
    <definedName name="v_15_XINORG">Model!$AV$174</definedName>
    <definedName name="v_15_XMEOLO">Model!$S$174</definedName>
    <definedName name="v_15_XMOB">Model!$CU$174</definedName>
    <definedName name="v_15_XN_B">Model!$AK$174</definedName>
    <definedName name="v_15_XN_U">Model!$AL$174</definedName>
    <definedName name="v_15_XNOB">Model!$U$174</definedName>
    <definedName name="v_15_XOHO">Model!$Q$174</definedName>
    <definedName name="v_15_XP_B">Model!$AP$174</definedName>
    <definedName name="v_15_XP_U">Model!$AQ$174</definedName>
    <definedName name="v_15_XPHA">Model!$M$174</definedName>
    <definedName name="v_15_XPP">Model!$AN$174</definedName>
    <definedName name="v_15_XS">Model!$BD$174</definedName>
    <definedName name="v_15_XSOO">Model!$AA$174</definedName>
    <definedName name="v_15_XSTR">Model!$BW$174</definedName>
    <definedName name="v_15_XU">Model!$L$174</definedName>
    <definedName name="v_15_XVivi">Model!$BX$174</definedName>
    <definedName name="v_16_CB">Model!$H$175</definedName>
    <definedName name="v_16_CU">Model!$K$175</definedName>
    <definedName name="v_16_GCH4">Model!$CC$175</definedName>
    <definedName name="v_16_GCH4_atm">Model!$CL$175</definedName>
    <definedName name="v_16_GCO2">Model!$CB$175</definedName>
    <definedName name="v_16_GCO2_atm">Model!$CK$175</definedName>
    <definedName name="v_16_GH2">Model!$CD$175</definedName>
    <definedName name="v_16_GH2_atm">Model!$CM$175</definedName>
    <definedName name="v_16_GH2S">Model!$CJ$175</definedName>
    <definedName name="v_16_GH2S_atm">Model!$CS$175</definedName>
    <definedName name="v_16_GN2">Model!$CI$175</definedName>
    <definedName name="v_16_GN2_atm">Model!$CR$175</definedName>
    <definedName name="v_16_GN2O">Model!$CH$175</definedName>
    <definedName name="v_16_GN2O_atm">Model!$CQ$175</definedName>
    <definedName name="v_16_GNH3">Model!$CF$175</definedName>
    <definedName name="v_16_GNH3_atm">Model!$CO$175</definedName>
    <definedName name="v_16_GNO">Model!$CG$175</definedName>
    <definedName name="v_16_GNO_atm">Model!$CP$175</definedName>
    <definedName name="v_16_GO2">Model!$CE$175</definedName>
    <definedName name="v_16_GO2_atm">Model!$CN$175</definedName>
    <definedName name="v_16_H">Model!$BZ$175</definedName>
    <definedName name="v_16_SALPHA">Model!$CA$175</definedName>
    <definedName name="v_16_SAN">Model!$AX$175</definedName>
    <definedName name="v_16_SB">Model!$F$175</definedName>
    <definedName name="v_16_SCa">Model!$AY$175</definedName>
    <definedName name="v_16_SCAT">Model!$AW$175</definedName>
    <definedName name="v_16_SCH4">Model!$AS$175</definedName>
    <definedName name="v_16_SCO2">Model!$AU$175</definedName>
    <definedName name="v_16_SFe2">Model!$BE$175</definedName>
    <definedName name="v_16_SH2">Model!$AT$175</definedName>
    <definedName name="v_16_SH2S">Model!$BB$175</definedName>
    <definedName name="v_16_SK">Model!$BA$175</definedName>
    <definedName name="v_16_SMEOL">Model!$G$175</definedName>
    <definedName name="v_16_SMg">Model!$AZ$175</definedName>
    <definedName name="v_16_SMM_index">Model!$CT$175</definedName>
    <definedName name="v_16_SN_B">Model!$AJ$175</definedName>
    <definedName name="v_16_SN2">Model!$AI$175</definedName>
    <definedName name="v_16_SN2O">Model!$AH$175</definedName>
    <definedName name="v_16_SNH2OH">Model!$AC$175</definedName>
    <definedName name="v_16_SNHx">Model!$AB$175</definedName>
    <definedName name="v_16_SNO_AOB">Model!$AF$175</definedName>
    <definedName name="v_16_SNO_OHO">Model!$AG$175</definedName>
    <definedName name="v_16_SNO2">Model!$AE$175</definedName>
    <definedName name="v_16_SNO3">Model!$AD$175</definedName>
    <definedName name="v_16_SO2">Model!$AR$175</definedName>
    <definedName name="v_16_SP_B">Model!$AO$175</definedName>
    <definedName name="v_16_SPO4">Model!$AM$175</definedName>
    <definedName name="v_16_SSO4">Model!$BC$175</definedName>
    <definedName name="v_16_SU">Model!$J$175</definedName>
    <definedName name="v_16_SVFA">Model!$E$175</definedName>
    <definedName name="v_16_XACP">Model!$BU$175</definedName>
    <definedName name="v_16_XAMETO">Model!$W$175</definedName>
    <definedName name="v_16_XAMX">Model!$V$175</definedName>
    <definedName name="v_16_XAOB">Model!$T$175</definedName>
    <definedName name="v_16_XASRO">Model!$Y$175</definedName>
    <definedName name="v_16_XB">Model!$I$175</definedName>
    <definedName name="v_16_XBSH">Model!$BV$175</definedName>
    <definedName name="v_16_XCaCO3">Model!$BT$175</definedName>
    <definedName name="v_16_XCASTO">Model!$R$175</definedName>
    <definedName name="v_16_XE">Model!$O$175</definedName>
    <definedName name="v_16_XE_ana">Model!$P$175</definedName>
    <definedName name="v_16_XFeS">Model!$BY$175</definedName>
    <definedName name="v_16_XGLY">Model!$N$175</definedName>
    <definedName name="v_16_XHAO_H">Model!$BM$175</definedName>
    <definedName name="v_16_XHAO_H_P">Model!$BP$175</definedName>
    <definedName name="v_16_XHAO_H_P_old">Model!$BR$175</definedName>
    <definedName name="v_16_XHAO_L">Model!$BN$175</definedName>
    <definedName name="v_16_XHAO_L_P">Model!$BQ$175</definedName>
    <definedName name="v_16_XHAO_L_P_old">Model!$BS$175</definedName>
    <definedName name="v_16_XHAO_old">Model!$BO$175</definedName>
    <definedName name="v_16_XHFO_H">Model!$BF$175</definedName>
    <definedName name="v_16_XHFO_H_P">Model!$BI$175</definedName>
    <definedName name="v_16_XHFO_H_P_old">Model!$BK$175</definedName>
    <definedName name="v_16_XHFO_L">Model!$BG$175</definedName>
    <definedName name="v_16_XHFO_L_P">Model!$BJ$175</definedName>
    <definedName name="v_16_XHFO_L_P_old">Model!$BL$175</definedName>
    <definedName name="v_16_XHFO_old">Model!$BH$175</definedName>
    <definedName name="v_16_XHMETO">Model!$X$175</definedName>
    <definedName name="v_16_XHSRO">Model!$Z$175</definedName>
    <definedName name="v_16_XINORG">Model!$AV$175</definedName>
    <definedName name="v_16_XMEOLO">Model!$S$175</definedName>
    <definedName name="v_16_XMOB">Model!$CU$175</definedName>
    <definedName name="v_16_XN_B">Model!$AK$175</definedName>
    <definedName name="v_16_XN_U">Model!$AL$175</definedName>
    <definedName name="v_16_XNOB">Model!$U$175</definedName>
    <definedName name="v_16_XOHO">Model!$Q$175</definedName>
    <definedName name="v_16_XP_B">Model!$AP$175</definedName>
    <definedName name="v_16_XP_U">Model!$AQ$175</definedName>
    <definedName name="v_16_XPHA">Model!$M$175</definedName>
    <definedName name="v_16_XPP">Model!$AN$175</definedName>
    <definedName name="v_16_XS">Model!$BD$175</definedName>
    <definedName name="v_16_XSOO">Model!$AA$175</definedName>
    <definedName name="v_16_XSTR">Model!$BW$175</definedName>
    <definedName name="v_16_XU">Model!$L$175</definedName>
    <definedName name="v_16_XVivi">Model!$BX$175</definedName>
    <definedName name="v_17_CB">Model!$H$176</definedName>
    <definedName name="v_17_CU">Model!$K$176</definedName>
    <definedName name="v_17_GCH4">Model!$CC$176</definedName>
    <definedName name="v_17_GCH4_atm">Model!$CL$176</definedName>
    <definedName name="v_17_GCO2">Model!$CB$176</definedName>
    <definedName name="v_17_GCO2_atm">Model!$CK$176</definedName>
    <definedName name="v_17_GH2">Model!$CD$176</definedName>
    <definedName name="v_17_GH2_atm">Model!$CM$176</definedName>
    <definedName name="v_17_GH2S">Model!$CJ$176</definedName>
    <definedName name="v_17_GH2S_atm">Model!$CS$176</definedName>
    <definedName name="v_17_GN2">Model!$CI$176</definedName>
    <definedName name="v_17_GN2_atm">Model!$CR$176</definedName>
    <definedName name="v_17_GN2O">Model!$CH$176</definedName>
    <definedName name="v_17_GN2O_atm">Model!$CQ$176</definedName>
    <definedName name="v_17_GNH3">Model!$CF$176</definedName>
    <definedName name="v_17_GNH3_atm">Model!$CO$176</definedName>
    <definedName name="v_17_GNO">Model!$CG$176</definedName>
    <definedName name="v_17_GNO_atm">Model!$CP$176</definedName>
    <definedName name="v_17_GO2">Model!$CE$176</definedName>
    <definedName name="v_17_GO2_atm">Model!$CN$176</definedName>
    <definedName name="v_17_H">Model!$BZ$176</definedName>
    <definedName name="v_17_SALPHA">Model!$CA$176</definedName>
    <definedName name="v_17_SAN">Model!$AX$176</definedName>
    <definedName name="v_17_SB">Model!$F$176</definedName>
    <definedName name="v_17_SCa">Model!$AY$176</definedName>
    <definedName name="v_17_SCAT">Model!$AW$176</definedName>
    <definedName name="v_17_SCH4">Model!$AS$176</definedName>
    <definedName name="v_17_SCO2">Model!$AU$176</definedName>
    <definedName name="v_17_SFe2">Model!$BE$176</definedName>
    <definedName name="v_17_SH2">Model!$AT$176</definedName>
    <definedName name="v_17_SH2S">Model!$BB$176</definedName>
    <definedName name="v_17_SK">Model!$BA$176</definedName>
    <definedName name="v_17_SMEOL">Model!$G$176</definedName>
    <definedName name="v_17_SMg">Model!$AZ$176</definedName>
    <definedName name="v_17_SMM_index">Model!$CT$176</definedName>
    <definedName name="v_17_SN_B">Model!$AJ$176</definedName>
    <definedName name="v_17_SN2">Model!$AI$176</definedName>
    <definedName name="v_17_SN2O">Model!$AH$176</definedName>
    <definedName name="v_17_SNH2OH">Model!$AC$176</definedName>
    <definedName name="v_17_SNHx">Model!$AB$176</definedName>
    <definedName name="v_17_SNO_AOB">Model!$AF$176</definedName>
    <definedName name="v_17_SNO_OHO">Model!$AG$176</definedName>
    <definedName name="v_17_SNO2">Model!$AE$176</definedName>
    <definedName name="v_17_SNO3">Model!$AD$176</definedName>
    <definedName name="v_17_SO2">Model!$AR$176</definedName>
    <definedName name="v_17_SP_B">Model!$AO$176</definedName>
    <definedName name="v_17_SPO4">Model!$AM$176</definedName>
    <definedName name="v_17_SSO4">Model!$BC$176</definedName>
    <definedName name="v_17_SU">Model!$J$176</definedName>
    <definedName name="v_17_SVFA">Model!$E$176</definedName>
    <definedName name="v_17_XACP">Model!$BU$176</definedName>
    <definedName name="v_17_XAMETO">Model!$W$176</definedName>
    <definedName name="v_17_XAMX">Model!$V$176</definedName>
    <definedName name="v_17_XAOB">Model!$T$176</definedName>
    <definedName name="v_17_XASRO">Model!$Y$176</definedName>
    <definedName name="v_17_XB">Model!$I$176</definedName>
    <definedName name="v_17_XBSH">Model!$BV$176</definedName>
    <definedName name="v_17_XCaCO3">Model!$BT$176</definedName>
    <definedName name="v_17_XCASTO">Model!$R$176</definedName>
    <definedName name="v_17_XE">Model!$O$176</definedName>
    <definedName name="v_17_XE_ana">Model!$P$176</definedName>
    <definedName name="v_17_XFeS">Model!$BY$176</definedName>
    <definedName name="v_17_XGLY">Model!$N$176</definedName>
    <definedName name="v_17_XHAO_H">Model!$BM$176</definedName>
    <definedName name="v_17_XHAO_H_P">Model!$BP$176</definedName>
    <definedName name="v_17_XHAO_H_P_old">Model!$BR$176</definedName>
    <definedName name="v_17_XHAO_L">Model!$BN$176</definedName>
    <definedName name="v_17_XHAO_L_P">Model!$BQ$176</definedName>
    <definedName name="v_17_XHAO_L_P_old">Model!$BS$176</definedName>
    <definedName name="v_17_XHAO_old">Model!$BO$176</definedName>
    <definedName name="v_17_XHFO_H">Model!$BF$176</definedName>
    <definedName name="v_17_XHFO_H_P">Model!$BI$176</definedName>
    <definedName name="v_17_XHFO_H_P_old">Model!$BK$176</definedName>
    <definedName name="v_17_XHFO_L">Model!$BG$176</definedName>
    <definedName name="v_17_XHFO_L_P">Model!$BJ$176</definedName>
    <definedName name="v_17_XHFO_L_P_old">Model!$BL$176</definedName>
    <definedName name="v_17_XHFO_old">Model!$BH$176</definedName>
    <definedName name="v_17_XHMETO">Model!$X$176</definedName>
    <definedName name="v_17_XHSRO">Model!$Z$176</definedName>
    <definedName name="v_17_XINORG">Model!$AV$176</definedName>
    <definedName name="v_17_XMEOLO">Model!$S$176</definedName>
    <definedName name="v_17_XMOB">Model!$CU$176</definedName>
    <definedName name="v_17_XN_B">Model!$AK$176</definedName>
    <definedName name="v_17_XN_U">Model!$AL$176</definedName>
    <definedName name="v_17_XNOB">Model!$U$176</definedName>
    <definedName name="v_17_XOHO">Model!$Q$176</definedName>
    <definedName name="v_17_XP_B">Model!$AP$176</definedName>
    <definedName name="v_17_XP_U">Model!$AQ$176</definedName>
    <definedName name="v_17_XPHA">Model!$M$176</definedName>
    <definedName name="v_17_XPP">Model!$AN$176</definedName>
    <definedName name="v_17_XS">Model!$BD$176</definedName>
    <definedName name="v_17_XSOO">Model!$AA$176</definedName>
    <definedName name="v_17_XSTR">Model!$BW$176</definedName>
    <definedName name="v_17_XU">Model!$L$176</definedName>
    <definedName name="v_17_XVivi">Model!$BX$176</definedName>
    <definedName name="v_18_CB">Model!$H$177</definedName>
    <definedName name="v_18_CU">Model!$K$177</definedName>
    <definedName name="v_18_GCH4">Model!$CC$177</definedName>
    <definedName name="v_18_GCH4_atm">Model!$CL$177</definedName>
    <definedName name="v_18_GCO2">Model!$CB$177</definedName>
    <definedName name="v_18_GCO2_atm">Model!$CK$177</definedName>
    <definedName name="v_18_GH2">Model!$CD$177</definedName>
    <definedName name="v_18_GH2_atm">Model!$CM$177</definedName>
    <definedName name="v_18_GH2S">Model!$CJ$177</definedName>
    <definedName name="v_18_GH2S_atm">Model!$CS$177</definedName>
    <definedName name="v_18_GN2">Model!$CI$177</definedName>
    <definedName name="v_18_GN2_atm">Model!$CR$177</definedName>
    <definedName name="v_18_GN2O">Model!$CH$177</definedName>
    <definedName name="v_18_GN2O_atm">Model!$CQ$177</definedName>
    <definedName name="v_18_GNH3">Model!$CF$177</definedName>
    <definedName name="v_18_GNH3_atm">Model!$CO$177</definedName>
    <definedName name="v_18_GNO">Model!$CG$177</definedName>
    <definedName name="v_18_GNO_atm">Model!$CP$177</definedName>
    <definedName name="v_18_GO2">Model!$CE$177</definedName>
    <definedName name="v_18_GO2_atm">Model!$CN$177</definedName>
    <definedName name="v_18_H">Model!$BZ$177</definedName>
    <definedName name="v_18_SALPHA">Model!$CA$177</definedName>
    <definedName name="v_18_SAN">Model!$AX$177</definedName>
    <definedName name="v_18_SB">Model!$F$177</definedName>
    <definedName name="v_18_SCa">Model!$AY$177</definedName>
    <definedName name="v_18_SCAT">Model!$AW$177</definedName>
    <definedName name="v_18_SCH4">Model!$AS$177</definedName>
    <definedName name="v_18_SCO2">Model!$AU$177</definedName>
    <definedName name="v_18_SFe2">Model!$BE$177</definedName>
    <definedName name="v_18_SH2">Model!$AT$177</definedName>
    <definedName name="v_18_SH2S">Model!$BB$177</definedName>
    <definedName name="v_18_SK">Model!$BA$177</definedName>
    <definedName name="v_18_SMEOL">Model!$G$177</definedName>
    <definedName name="v_18_SMg">Model!$AZ$177</definedName>
    <definedName name="v_18_SMM_index">Model!$CT$177</definedName>
    <definedName name="v_18_SN_B">Model!$AJ$177</definedName>
    <definedName name="v_18_SN2">Model!$AI$177</definedName>
    <definedName name="v_18_SN2O">Model!$AH$177</definedName>
    <definedName name="v_18_SNH2OH">Model!$AC$177</definedName>
    <definedName name="v_18_SNHx">Model!$AB$177</definedName>
    <definedName name="v_18_SNO_AOB">Model!$AF$177</definedName>
    <definedName name="v_18_SNO_OHO">Model!$AG$177</definedName>
    <definedName name="v_18_SNO2">Model!$AE$177</definedName>
    <definedName name="v_18_SNO3">Model!$AD$177</definedName>
    <definedName name="v_18_SO2">Model!$AR$177</definedName>
    <definedName name="v_18_SP_B">Model!$AO$177</definedName>
    <definedName name="v_18_SPO4">Model!$AM$177</definedName>
    <definedName name="v_18_SSO4">Model!$BC$177</definedName>
    <definedName name="v_18_SU">Model!$J$177</definedName>
    <definedName name="v_18_SVFA">Model!$E$177</definedName>
    <definedName name="v_18_XACP">Model!$BU$177</definedName>
    <definedName name="v_18_XAMETO">Model!$W$177</definedName>
    <definedName name="v_18_XAMX">Model!$V$177</definedName>
    <definedName name="v_18_XAOB">Model!$T$177</definedName>
    <definedName name="v_18_XASRO">Model!$Y$177</definedName>
    <definedName name="v_18_XB">Model!$I$177</definedName>
    <definedName name="v_18_XBSH">Model!$BV$177</definedName>
    <definedName name="v_18_XCaCO3">Model!$BT$177</definedName>
    <definedName name="v_18_XCASTO">Model!$R$177</definedName>
    <definedName name="v_18_XE">Model!$O$177</definedName>
    <definedName name="v_18_XE_ana">Model!$P$177</definedName>
    <definedName name="v_18_XFeS">Model!$BY$177</definedName>
    <definedName name="v_18_XGLY">Model!$N$177</definedName>
    <definedName name="v_18_XHAO_H">Model!$BM$177</definedName>
    <definedName name="v_18_XHAO_H_P">Model!$BP$177</definedName>
    <definedName name="v_18_XHAO_H_P_old">Model!$BR$177</definedName>
    <definedName name="v_18_XHAO_L">Model!$BN$177</definedName>
    <definedName name="v_18_XHAO_L_P">Model!$BQ$177</definedName>
    <definedName name="v_18_XHAO_L_P_old">Model!$BS$177</definedName>
    <definedName name="v_18_XHAO_old">Model!$BO$177</definedName>
    <definedName name="v_18_XHFO_H">Model!$BF$177</definedName>
    <definedName name="v_18_XHFO_H_P">Model!$BI$177</definedName>
    <definedName name="v_18_XHFO_H_P_old">Model!$BK$177</definedName>
    <definedName name="v_18_XHFO_L">Model!$BG$177</definedName>
    <definedName name="v_18_XHFO_L_P">Model!$BJ$177</definedName>
    <definedName name="v_18_XHFO_L_P_old">Model!$BL$177</definedName>
    <definedName name="v_18_XHFO_old">Model!$BH$177</definedName>
    <definedName name="v_18_XHMETO">Model!$X$177</definedName>
    <definedName name="v_18_XHSRO">Model!$Z$177</definedName>
    <definedName name="v_18_XINORG">Model!$AV$177</definedName>
    <definedName name="v_18_XMEOLO">Model!$S$177</definedName>
    <definedName name="v_18_XMOB">Model!$CU$177</definedName>
    <definedName name="v_18_XN_B">Model!$AK$177</definedName>
    <definedName name="v_18_XN_U">Model!$AL$177</definedName>
    <definedName name="v_18_XNOB">Model!$U$177</definedName>
    <definedName name="v_18_XOHO">Model!$Q$177</definedName>
    <definedName name="v_18_XP_B">Model!$AP$177</definedName>
    <definedName name="v_18_XP_U">Model!$AQ$177</definedName>
    <definedName name="v_18_XPHA">Model!$M$177</definedName>
    <definedName name="v_18_XPP">Model!$AN$177</definedName>
    <definedName name="v_18_XS">Model!$BD$177</definedName>
    <definedName name="v_18_XSOO">Model!$AA$177</definedName>
    <definedName name="v_18_XSTR">Model!$BW$177</definedName>
    <definedName name="v_18_XU">Model!$L$177</definedName>
    <definedName name="v_18_XVivi">Model!$BX$177</definedName>
    <definedName name="v_19_CB">Model!$H$178</definedName>
    <definedName name="v_19_CU">Model!$K$178</definedName>
    <definedName name="v_19_GCH4">Model!$CC$178</definedName>
    <definedName name="v_19_GCH4_atm">Model!$CL$178</definedName>
    <definedName name="v_19_GCO2">Model!$CB$178</definedName>
    <definedName name="v_19_GCO2_atm">Model!$CK$178</definedName>
    <definedName name="v_19_GH2">Model!$CD$178</definedName>
    <definedName name="v_19_GH2_atm">Model!$CM$178</definedName>
    <definedName name="v_19_GH2S">Model!$CJ$178</definedName>
    <definedName name="v_19_GH2S_atm">Model!$CS$178</definedName>
    <definedName name="v_19_GN2">Model!$CI$178</definedName>
    <definedName name="v_19_GN2_atm">Model!$CR$178</definedName>
    <definedName name="v_19_GN2O">Model!$CH$178</definedName>
    <definedName name="v_19_GN2O_atm">Model!$CQ$178</definedName>
    <definedName name="v_19_GNH3">Model!$CF$178</definedName>
    <definedName name="v_19_GNH3_atm">Model!$CO$178</definedName>
    <definedName name="v_19_GNO">Model!$CG$178</definedName>
    <definedName name="v_19_GNO_atm">Model!$CP$178</definedName>
    <definedName name="v_19_GO2">Model!$CE$178</definedName>
    <definedName name="v_19_GO2_atm">Model!$CN$178</definedName>
    <definedName name="v_19_H">Model!$BZ$178</definedName>
    <definedName name="v_19_SALPHA">Model!$CA$178</definedName>
    <definedName name="v_19_SAN">Model!$AX$178</definedName>
    <definedName name="v_19_SB">Model!$F$178</definedName>
    <definedName name="v_19_SCa">Model!$AY$178</definedName>
    <definedName name="v_19_SCAT">Model!$AW$178</definedName>
    <definedName name="v_19_SCH4">Model!$AS$178</definedName>
    <definedName name="v_19_SCO2">Model!$AU$178</definedName>
    <definedName name="v_19_SFe2">Model!$BE$178</definedName>
    <definedName name="v_19_SH2">Model!$AT$178</definedName>
    <definedName name="v_19_SH2S">Model!$BB$178</definedName>
    <definedName name="v_19_SK">Model!$BA$178</definedName>
    <definedName name="v_19_SMEOL">Model!$G$178</definedName>
    <definedName name="v_19_SMg">Model!$AZ$178</definedName>
    <definedName name="v_19_SMM_index">Model!$CT$178</definedName>
    <definedName name="v_19_SN_B">Model!$AJ$178</definedName>
    <definedName name="v_19_SN2">Model!$AI$178</definedName>
    <definedName name="v_19_SN2O">Model!$AH$178</definedName>
    <definedName name="v_19_SNH2OH">Model!$AC$178</definedName>
    <definedName name="v_19_SNHx">Model!$AB$178</definedName>
    <definedName name="v_19_SNO_AOB">Model!$AF$178</definedName>
    <definedName name="v_19_SNO_OHO">Model!$AG$178</definedName>
    <definedName name="v_19_SNO2">Model!$AE$178</definedName>
    <definedName name="v_19_SNO3">Model!$AD$178</definedName>
    <definedName name="v_19_SO2">Model!$AR$178</definedName>
    <definedName name="v_19_SP_B">Model!$AO$178</definedName>
    <definedName name="v_19_SPO4">Model!$AM$178</definedName>
    <definedName name="v_19_SSO4">Model!$BC$178</definedName>
    <definedName name="v_19_SU">Model!$J$178</definedName>
    <definedName name="v_19_SVFA">Model!$E$178</definedName>
    <definedName name="v_19_XACP">Model!$BU$178</definedName>
    <definedName name="v_19_XAMETO">Model!$W$178</definedName>
    <definedName name="v_19_XAMX">Model!$V$178</definedName>
    <definedName name="v_19_XAOB">Model!$T$178</definedName>
    <definedName name="v_19_XASRO">Model!$Y$178</definedName>
    <definedName name="v_19_XB">Model!$I$178</definedName>
    <definedName name="v_19_XBSH">Model!$BV$178</definedName>
    <definedName name="v_19_XCaCO3">Model!$BT$178</definedName>
    <definedName name="v_19_XCASTO">Model!$R$178</definedName>
    <definedName name="v_19_XE">Model!$O$178</definedName>
    <definedName name="v_19_XE_ana">Model!$P$178</definedName>
    <definedName name="v_19_XFeS">Model!$BY$178</definedName>
    <definedName name="v_19_XGLY">Model!$N$178</definedName>
    <definedName name="v_19_XHAO_H">Model!$BM$178</definedName>
    <definedName name="v_19_XHAO_H_P">Model!$BP$178</definedName>
    <definedName name="v_19_XHAO_H_P_old">Model!$BR$178</definedName>
    <definedName name="v_19_XHAO_L">Model!$BN$178</definedName>
    <definedName name="v_19_XHAO_L_P">Model!$BQ$178</definedName>
    <definedName name="v_19_XHAO_L_P_old">Model!$BS$178</definedName>
    <definedName name="v_19_XHAO_old">Model!$BO$178</definedName>
    <definedName name="v_19_XHFO_H">Model!$BF$178</definedName>
    <definedName name="v_19_XHFO_H_P">Model!$BI$178</definedName>
    <definedName name="v_19_XHFO_H_P_old">Model!$BK$178</definedName>
    <definedName name="v_19_XHFO_L">Model!$BG$178</definedName>
    <definedName name="v_19_XHFO_L_P">Model!$BJ$178</definedName>
    <definedName name="v_19_XHFO_L_P_old">Model!$BL$178</definedName>
    <definedName name="v_19_XHFO_old">Model!$BH$178</definedName>
    <definedName name="v_19_XHMETO">Model!$X$178</definedName>
    <definedName name="v_19_XHSRO">Model!$Z$178</definedName>
    <definedName name="v_19_XINORG">Model!$AV$178</definedName>
    <definedName name="v_19_XMEOLO">Model!$S$178</definedName>
    <definedName name="v_19_XMOB">Model!$CU$178</definedName>
    <definedName name="v_19_XN_B">Model!$AK$178</definedName>
    <definedName name="v_19_XN_U">Model!$AL$178</definedName>
    <definedName name="v_19_XNOB">Model!$U$178</definedName>
    <definedName name="v_19_XOHO">Model!$Q$178</definedName>
    <definedName name="v_19_XP_B">Model!$AP$178</definedName>
    <definedName name="v_19_XP_U">Model!$AQ$178</definedName>
    <definedName name="v_19_XPHA">Model!$M$178</definedName>
    <definedName name="v_19_XPP">Model!$AN$178</definedName>
    <definedName name="v_19_XS">Model!$BD$178</definedName>
    <definedName name="v_19_XSOO">Model!$AA$178</definedName>
    <definedName name="v_19_XSTR">Model!$BW$178</definedName>
    <definedName name="v_19_XU">Model!$L$178</definedName>
    <definedName name="v_19_XVivi">Model!$BX$178</definedName>
    <definedName name="v_2_CB">Model!$H$161</definedName>
    <definedName name="v_2_CU">Model!$K$161</definedName>
    <definedName name="v_2_GCH4">Model!$CC$161</definedName>
    <definedName name="v_2_GCH4_atm">Model!$CL$161</definedName>
    <definedName name="v_2_GCO2">Model!$CB$161</definedName>
    <definedName name="v_2_GCO2_atm">Model!$CK$161</definedName>
    <definedName name="v_2_GH2">Model!$CD$161</definedName>
    <definedName name="v_2_GH2_atm">Model!$CM$161</definedName>
    <definedName name="v_2_GH2S">Model!$CJ$161</definedName>
    <definedName name="v_2_GH2S_atm">Model!$CS$161</definedName>
    <definedName name="v_2_GN2">Model!$CI$161</definedName>
    <definedName name="v_2_GN2_atm">Model!$CR$161</definedName>
    <definedName name="v_2_GN2O">Model!$CH$161</definedName>
    <definedName name="v_2_GN2O_atm">Model!$CQ$161</definedName>
    <definedName name="v_2_GNH3">Model!$CF$161</definedName>
    <definedName name="v_2_GNH3_atm">Model!$CO$161</definedName>
    <definedName name="v_2_GNO">Model!$CG$161</definedName>
    <definedName name="v_2_GNO_atm">Model!$CP$161</definedName>
    <definedName name="v_2_GO2">Model!$CE$161</definedName>
    <definedName name="v_2_GO2_atm">Model!$CN$161</definedName>
    <definedName name="v_2_H">Model!$BZ$161</definedName>
    <definedName name="v_2_SALPHA">Model!$CA$161</definedName>
    <definedName name="v_2_SAN">Model!$AX$161</definedName>
    <definedName name="v_2_SB">Model!$F$161</definedName>
    <definedName name="v_2_SCa">Model!$AY$161</definedName>
    <definedName name="v_2_SCAT">Model!$AW$161</definedName>
    <definedName name="v_2_SCH4">Model!$AS$161</definedName>
    <definedName name="v_2_SCO2">Model!$AU$161</definedName>
    <definedName name="v_2_SFe2">Model!$BE$161</definedName>
    <definedName name="v_2_SH2">Model!$AT$161</definedName>
    <definedName name="v_2_SH2S">Model!$BB$161</definedName>
    <definedName name="v_2_SK">Model!$BA$161</definedName>
    <definedName name="v_2_SMEOL">Model!$G$161</definedName>
    <definedName name="v_2_SMg">Model!$AZ$161</definedName>
    <definedName name="v_2_SMM_index">Model!$CT$161</definedName>
    <definedName name="v_2_SN_B">Model!$AJ$161</definedName>
    <definedName name="v_2_SN2">Model!$AI$161</definedName>
    <definedName name="v_2_SN2O">Model!$AH$161</definedName>
    <definedName name="v_2_SNH2OH">Model!$AC$161</definedName>
    <definedName name="v_2_SNHx">Model!$AB$161</definedName>
    <definedName name="v_2_SNO_AOB">Model!$AF$161</definedName>
    <definedName name="v_2_SNO_OHO">Model!$AG$161</definedName>
    <definedName name="v_2_SNO2">Model!$AE$161</definedName>
    <definedName name="v_2_SNO3">Model!$AD$161</definedName>
    <definedName name="v_2_SO2">Model!$AR$161</definedName>
    <definedName name="v_2_SP_B">Model!$AO$161</definedName>
    <definedName name="v_2_SPO4">Model!$AM$161</definedName>
    <definedName name="v_2_SSO4">Model!$BC$161</definedName>
    <definedName name="v_2_SU">Model!$J$161</definedName>
    <definedName name="v_2_SVFA">Model!$E$161</definedName>
    <definedName name="v_2_XACP">Model!$BU$161</definedName>
    <definedName name="v_2_XAMETO">Model!$W$161</definedName>
    <definedName name="v_2_XAMX">Model!$V$161</definedName>
    <definedName name="v_2_XAOB">Model!$T$161</definedName>
    <definedName name="v_2_XASRO">Model!$Y$161</definedName>
    <definedName name="v_2_XB">Model!$I$161</definedName>
    <definedName name="v_2_XBSH">Model!$BV$161</definedName>
    <definedName name="v_2_XCaCO3">Model!$BT$161</definedName>
    <definedName name="v_2_XCASTO">Model!$R$161</definedName>
    <definedName name="v_2_XE">Model!$O$161</definedName>
    <definedName name="v_2_XE_ana">Model!$P$161</definedName>
    <definedName name="v_2_XFeS">Model!$BY$161</definedName>
    <definedName name="v_2_XGLY">Model!$N$161</definedName>
    <definedName name="v_2_XHAO_H">Model!$BM$161</definedName>
    <definedName name="v_2_XHAO_H_P">Model!$BP$161</definedName>
    <definedName name="v_2_XHAO_H_P_old">Model!$BR$161</definedName>
    <definedName name="v_2_XHAO_L">Model!$BN$161</definedName>
    <definedName name="v_2_XHAO_L_P">Model!$BQ$161</definedName>
    <definedName name="v_2_XHAO_L_P_old">Model!$BS$161</definedName>
    <definedName name="v_2_XHAO_old">Model!$BO$161</definedName>
    <definedName name="v_2_XHFO_H">Model!$BF$161</definedName>
    <definedName name="v_2_XHFO_H_P">Model!$BI$161</definedName>
    <definedName name="v_2_XHFO_H_P_old">Model!$BK$161</definedName>
    <definedName name="v_2_XHFO_L">Model!$BG$161</definedName>
    <definedName name="v_2_XHFO_L_P">Model!$BJ$161</definedName>
    <definedName name="v_2_XHFO_L_P_old">Model!$BL$161</definedName>
    <definedName name="v_2_XHFO_old">Model!$BH$161</definedName>
    <definedName name="v_2_XHMETO">Model!$X$161</definedName>
    <definedName name="v_2_XHSRO">Model!$Z$161</definedName>
    <definedName name="v_2_XINORG">Model!$AV$161</definedName>
    <definedName name="v_2_XMEOLO">Model!$S$161</definedName>
    <definedName name="v_2_XMOB">Model!$CU$161</definedName>
    <definedName name="v_2_XN_B">Model!$AK$161</definedName>
    <definedName name="v_2_XN_U">Model!$AL$161</definedName>
    <definedName name="v_2_XNOB">Model!$U$161</definedName>
    <definedName name="v_2_XOHO">Model!$Q$161</definedName>
    <definedName name="v_2_XP_B">Model!$AP$161</definedName>
    <definedName name="v_2_XP_U">Model!$AQ$161</definedName>
    <definedName name="v_2_XPHA">Model!$M$161</definedName>
    <definedName name="v_2_XPP">Model!$AN$161</definedName>
    <definedName name="v_2_XS">Model!$BD$161</definedName>
    <definedName name="v_2_XSOO">Model!$AA$161</definedName>
    <definedName name="v_2_XSTR">Model!$BW$161</definedName>
    <definedName name="v_2_XU">Model!$L$161</definedName>
    <definedName name="v_2_XVivi">Model!$BX$161</definedName>
    <definedName name="v_20_CB">Model!$H$179</definedName>
    <definedName name="v_20_CU">Model!$K$179</definedName>
    <definedName name="v_20_GCH4">Model!$CC$179</definedName>
    <definedName name="v_20_GCH4_atm">Model!$CL$179</definedName>
    <definedName name="v_20_GCO2">Model!$CB$179</definedName>
    <definedName name="v_20_GCO2_atm">Model!$CK$179</definedName>
    <definedName name="v_20_GH2">Model!$CD$179</definedName>
    <definedName name="v_20_GH2_atm">Model!$CM$179</definedName>
    <definedName name="v_20_GH2S">Model!$CJ$179</definedName>
    <definedName name="v_20_GH2S_atm">Model!$CS$179</definedName>
    <definedName name="v_20_GN2">Model!$CI$179</definedName>
    <definedName name="v_20_GN2_atm">Model!$CR$179</definedName>
    <definedName name="v_20_GN2O">Model!$CH$179</definedName>
    <definedName name="v_20_GN2O_atm">Model!$CQ$179</definedName>
    <definedName name="v_20_GNH3">Model!$CF$179</definedName>
    <definedName name="v_20_GNH3_atm">Model!$CO$179</definedName>
    <definedName name="v_20_GNO">Model!$CG$179</definedName>
    <definedName name="v_20_GNO_atm">Model!$CP$179</definedName>
    <definedName name="v_20_GO2">Model!$CE$179</definedName>
    <definedName name="v_20_GO2_atm">Model!$CN$179</definedName>
    <definedName name="v_20_H">Model!$BZ$179</definedName>
    <definedName name="v_20_SALPHA">Model!$CA$179</definedName>
    <definedName name="v_20_SAN">Model!$AX$179</definedName>
    <definedName name="v_20_SB">Model!$F$179</definedName>
    <definedName name="v_20_SCa">Model!$AY$179</definedName>
    <definedName name="v_20_SCAT">Model!$AW$179</definedName>
    <definedName name="v_20_SCH4">Model!$AS$179</definedName>
    <definedName name="v_20_SCO2">Model!$AU$179</definedName>
    <definedName name="v_20_SFe2">Model!$BE$179</definedName>
    <definedName name="v_20_SH2">Model!$AT$179</definedName>
    <definedName name="v_20_SH2S">Model!$BB$179</definedName>
    <definedName name="v_20_SK">Model!$BA$179</definedName>
    <definedName name="v_20_SMEOL">Model!$G$179</definedName>
    <definedName name="v_20_SMg">Model!$AZ$179</definedName>
    <definedName name="v_20_SMM_index">Model!$CT$179</definedName>
    <definedName name="v_20_SN_B">Model!$AJ$179</definedName>
    <definedName name="v_20_SN2">Model!$AI$179</definedName>
    <definedName name="v_20_SN2O">Model!$AH$179</definedName>
    <definedName name="v_20_SNH2OH">Model!$AC$179</definedName>
    <definedName name="v_20_SNHx">Model!$AB$179</definedName>
    <definedName name="v_20_SNO_AOB">Model!$AF$179</definedName>
    <definedName name="v_20_SNO_OHO">Model!$AG$179</definedName>
    <definedName name="v_20_SNO2">Model!$AE$179</definedName>
    <definedName name="v_20_SNO3">Model!$AD$179</definedName>
    <definedName name="v_20_SO2">Model!$AR$179</definedName>
    <definedName name="v_20_SP_B">Model!$AO$179</definedName>
    <definedName name="v_20_SPO4">Model!$AM$179</definedName>
    <definedName name="v_20_SSO4">Model!$BC$179</definedName>
    <definedName name="v_20_SU">Model!$J$179</definedName>
    <definedName name="v_20_SVFA">Model!$E$179</definedName>
    <definedName name="v_20_XACP">Model!$BU$179</definedName>
    <definedName name="v_20_XAMETO">Model!$W$179</definedName>
    <definedName name="v_20_XAMX">Model!$V$179</definedName>
    <definedName name="v_20_XAOB">Model!$T$179</definedName>
    <definedName name="v_20_XASRO">Model!$Y$179</definedName>
    <definedName name="v_20_XB">Model!$I$179</definedName>
    <definedName name="v_20_XBSH">Model!$BV$179</definedName>
    <definedName name="v_20_XCaCO3">Model!$BT$179</definedName>
    <definedName name="v_20_XCASTO">Model!$R$179</definedName>
    <definedName name="v_20_XE">Model!$O$179</definedName>
    <definedName name="v_20_XE_ana">Model!$P$179</definedName>
    <definedName name="v_20_XFeS">Model!$BY$179</definedName>
    <definedName name="v_20_XGLY">Model!$N$179</definedName>
    <definedName name="v_20_XHAO_H">Model!$BM$179</definedName>
    <definedName name="v_20_XHAO_H_P">Model!$BP$179</definedName>
    <definedName name="v_20_XHAO_H_P_old">Model!$BR$179</definedName>
    <definedName name="v_20_XHAO_L">Model!$BN$179</definedName>
    <definedName name="v_20_XHAO_L_P">Model!$BQ$179</definedName>
    <definedName name="v_20_XHAO_L_P_old">Model!$BS$179</definedName>
    <definedName name="v_20_XHAO_old">Model!$BO$179</definedName>
    <definedName name="v_20_XHFO_H">Model!$BF$179</definedName>
    <definedName name="v_20_XHFO_H_P">Model!$BI$179</definedName>
    <definedName name="v_20_XHFO_H_P_old">Model!$BK$179</definedName>
    <definedName name="v_20_XHFO_L">Model!$BG$179</definedName>
    <definedName name="v_20_XHFO_L_P">Model!$BJ$179</definedName>
    <definedName name="v_20_XHFO_L_P_old">Model!$BL$179</definedName>
    <definedName name="v_20_XHFO_old">Model!$BH$179</definedName>
    <definedName name="v_20_XHMETO">Model!$X$179</definedName>
    <definedName name="v_20_XHSRO">Model!$Z$179</definedName>
    <definedName name="v_20_XINORG">Model!$AV$179</definedName>
    <definedName name="v_20_XMEOLO">Model!$S$179</definedName>
    <definedName name="v_20_XMOB">Model!$CU$179</definedName>
    <definedName name="v_20_XN_B">Model!$AK$179</definedName>
    <definedName name="v_20_XN_U">Model!$AL$179</definedName>
    <definedName name="v_20_XNOB">Model!$U$179</definedName>
    <definedName name="v_20_XOHO">Model!$Q$179</definedName>
    <definedName name="v_20_XP_B">Model!$AP$179</definedName>
    <definedName name="v_20_XP_U">Model!$AQ$179</definedName>
    <definedName name="v_20_XPHA">Model!$M$179</definedName>
    <definedName name="v_20_XPP">Model!$AN$179</definedName>
    <definedName name="v_20_XS">Model!$BD$179</definedName>
    <definedName name="v_20_XSOO">Model!$AA$179</definedName>
    <definedName name="v_20_XSTR">Model!$BW$179</definedName>
    <definedName name="v_20_XU">Model!$L$179</definedName>
    <definedName name="v_20_XVivi">Model!$BX$179</definedName>
    <definedName name="v_21_CB">Model!$H$180</definedName>
    <definedName name="v_21_CU">Model!$K$180</definedName>
    <definedName name="v_21_GCH4">Model!$CC$180</definedName>
    <definedName name="v_21_GCH4_atm">Model!$CL$180</definedName>
    <definedName name="v_21_GCO2">Model!$CB$180</definedName>
    <definedName name="v_21_GCO2_atm">Model!$CK$180</definedName>
    <definedName name="v_21_GH2">Model!$CD$180</definedName>
    <definedName name="v_21_GH2_atm">Model!$CM$180</definedName>
    <definedName name="v_21_GH2S">Model!$CJ$180</definedName>
    <definedName name="v_21_GH2S_atm">Model!$CS$180</definedName>
    <definedName name="v_21_GN2">Model!$CI$180</definedName>
    <definedName name="v_21_GN2_atm">Model!$CR$180</definedName>
    <definedName name="v_21_GN2O">Model!$CH$180</definedName>
    <definedName name="v_21_GN2O_atm">Model!$CQ$180</definedName>
    <definedName name="v_21_GNH3">Model!$CF$180</definedName>
    <definedName name="v_21_GNH3_atm">Model!$CO$180</definedName>
    <definedName name="v_21_GNO">Model!$CG$180</definedName>
    <definedName name="v_21_GNO_atm">Model!$CP$180</definedName>
    <definedName name="v_21_GO2">Model!$CE$180</definedName>
    <definedName name="v_21_GO2_atm">Model!$CN$180</definedName>
    <definedName name="v_21_H">Model!$BZ$180</definedName>
    <definedName name="v_21_SALPHA">Model!$CA$180</definedName>
    <definedName name="v_21_SAN">Model!$AX$180</definedName>
    <definedName name="v_21_SB">Model!$F$180</definedName>
    <definedName name="v_21_SCa">Model!$AY$180</definedName>
    <definedName name="v_21_SCAT">Model!$AW$180</definedName>
    <definedName name="v_21_SCH4">Model!$AS$180</definedName>
    <definedName name="v_21_SCO2">Model!$AU$180</definedName>
    <definedName name="v_21_SFe2">Model!$BE$180</definedName>
    <definedName name="v_21_SH2">Model!$AT$180</definedName>
    <definedName name="v_21_SH2S">Model!$BB$180</definedName>
    <definedName name="v_21_SK">Model!$BA$180</definedName>
    <definedName name="v_21_SMEOL">Model!$G$180</definedName>
    <definedName name="v_21_SMg">Model!$AZ$180</definedName>
    <definedName name="v_21_SMM_index">Model!$CT$180</definedName>
    <definedName name="v_21_SN_B">Model!$AJ$180</definedName>
    <definedName name="v_21_SN2">Model!$AI$180</definedName>
    <definedName name="v_21_SN2O">Model!$AH$180</definedName>
    <definedName name="v_21_SNH2OH">Model!$AC$180</definedName>
    <definedName name="v_21_SNHx">Model!$AB$180</definedName>
    <definedName name="v_21_SNO_AOB">Model!$AF$180</definedName>
    <definedName name="v_21_SNO_OHO">Model!$AG$180</definedName>
    <definedName name="v_21_SNO2">Model!$AE$180</definedName>
    <definedName name="v_21_SNO3">Model!$AD$180</definedName>
    <definedName name="v_21_SO2">Model!$AR$180</definedName>
    <definedName name="v_21_SP_B">Model!$AO$180</definedName>
    <definedName name="v_21_SPO4">Model!$AM$180</definedName>
    <definedName name="v_21_SSO4">Model!$BC$180</definedName>
    <definedName name="v_21_SU">Model!$J$180</definedName>
    <definedName name="v_21_SVFA">Model!$E$180</definedName>
    <definedName name="v_21_XACP">Model!$BU$180</definedName>
    <definedName name="v_21_XAMETO">Model!$W$180</definedName>
    <definedName name="v_21_XAMX">Model!$V$180</definedName>
    <definedName name="v_21_XAOB">Model!$T$180</definedName>
    <definedName name="v_21_XASRO">Model!$Y$180</definedName>
    <definedName name="v_21_XB">Model!$I$180</definedName>
    <definedName name="v_21_XBSH">Model!$BV$180</definedName>
    <definedName name="v_21_XCaCO3">Model!$BT$180</definedName>
    <definedName name="v_21_XCASTO">Model!$R$180</definedName>
    <definedName name="v_21_XE">Model!$O$180</definedName>
    <definedName name="v_21_XE_ana">Model!$P$180</definedName>
    <definedName name="v_21_XFeS">Model!$BY$180</definedName>
    <definedName name="v_21_XGLY">Model!$N$180</definedName>
    <definedName name="v_21_XHAO_H">Model!$BM$180</definedName>
    <definedName name="v_21_XHAO_H_P">Model!$BP$180</definedName>
    <definedName name="v_21_XHAO_H_P_old">Model!$BR$180</definedName>
    <definedName name="v_21_XHAO_L">Model!$BN$180</definedName>
    <definedName name="v_21_XHAO_L_P">Model!$BQ$180</definedName>
    <definedName name="v_21_XHAO_L_P_old">Model!$BS$180</definedName>
    <definedName name="v_21_XHAO_old">Model!$BO$180</definedName>
    <definedName name="v_21_XHFO_H">Model!$BF$180</definedName>
    <definedName name="v_21_XHFO_H_P">Model!$BI$180</definedName>
    <definedName name="v_21_XHFO_H_P_old">Model!$BK$180</definedName>
    <definedName name="v_21_XHFO_L">Model!$BG$180</definedName>
    <definedName name="v_21_XHFO_L_P">Model!$BJ$180</definedName>
    <definedName name="v_21_XHFO_L_P_old">Model!$BL$180</definedName>
    <definedName name="v_21_XHFO_old">Model!$BH$180</definedName>
    <definedName name="v_21_XHMETO">Model!$X$180</definedName>
    <definedName name="v_21_XHSRO">Model!$Z$180</definedName>
    <definedName name="v_21_XINORG">Model!$AV$180</definedName>
    <definedName name="v_21_XMEOLO">Model!$S$180</definedName>
    <definedName name="v_21_XMOB">Model!$CU$180</definedName>
    <definedName name="v_21_XN_B">Model!$AK$180</definedName>
    <definedName name="v_21_XN_U">Model!$AL$180</definedName>
    <definedName name="v_21_XNOB">Model!$U$180</definedName>
    <definedName name="v_21_XOHO">Model!$Q$180</definedName>
    <definedName name="v_21_XP_B">Model!$AP$180</definedName>
    <definedName name="v_21_XP_U">Model!$AQ$180</definedName>
    <definedName name="v_21_XPHA">Model!$M$180</definedName>
    <definedName name="v_21_XPP">Model!$AN$180</definedName>
    <definedName name="v_21_XS">Model!$BD$180</definedName>
    <definedName name="v_21_XSOO">Model!$AA$180</definedName>
    <definedName name="v_21_XSTR">Model!$BW$180</definedName>
    <definedName name="v_21_XU">Model!$L$180</definedName>
    <definedName name="v_21_XVivi">Model!$BX$180</definedName>
    <definedName name="v_22_CB">Model!$H$181</definedName>
    <definedName name="v_22_CU">Model!$K$181</definedName>
    <definedName name="v_22_GCH4">Model!$CC$181</definedName>
    <definedName name="v_22_GCH4_atm">Model!$CL$181</definedName>
    <definedName name="v_22_GCO2">Model!$CB$181</definedName>
    <definedName name="v_22_GCO2_atm">Model!$CK$181</definedName>
    <definedName name="v_22_GH2">Model!$CD$181</definedName>
    <definedName name="v_22_GH2_atm">Model!$CM$181</definedName>
    <definedName name="v_22_GH2S">Model!$CJ$181</definedName>
    <definedName name="v_22_GH2S_atm">Model!$CS$181</definedName>
    <definedName name="v_22_GN2">Model!$CI$181</definedName>
    <definedName name="v_22_GN2_atm">Model!$CR$181</definedName>
    <definedName name="v_22_GN2O">Model!$CH$181</definedName>
    <definedName name="v_22_GN2O_atm">Model!$CQ$181</definedName>
    <definedName name="v_22_GNH3">Model!$CF$181</definedName>
    <definedName name="v_22_GNH3_atm">Model!$CO$181</definedName>
    <definedName name="v_22_GNO">Model!$CG$181</definedName>
    <definedName name="v_22_GNO_atm">Model!$CP$181</definedName>
    <definedName name="v_22_GO2">Model!$CE$181</definedName>
    <definedName name="v_22_GO2_atm">Model!$CN$181</definedName>
    <definedName name="v_22_H">Model!$BZ$181</definedName>
    <definedName name="v_22_SALPHA">Model!$CA$181</definedName>
    <definedName name="v_22_SAN">Model!$AX$181</definedName>
    <definedName name="v_22_SB">Model!$F$181</definedName>
    <definedName name="v_22_SCa">Model!$AY$181</definedName>
    <definedName name="v_22_SCAT">Model!$AW$181</definedName>
    <definedName name="v_22_SCH4">Model!$AS$181</definedName>
    <definedName name="v_22_SCO2">Model!$AU$181</definedName>
    <definedName name="v_22_SFe2">Model!$BE$181</definedName>
    <definedName name="v_22_SH2">Model!$AT$181</definedName>
    <definedName name="v_22_SH2S">Model!$BB$181</definedName>
    <definedName name="v_22_SK">Model!$BA$181</definedName>
    <definedName name="v_22_SMEOL">Model!$G$181</definedName>
    <definedName name="v_22_SMg">Model!$AZ$181</definedName>
    <definedName name="v_22_SMM_index">Model!$CT$181</definedName>
    <definedName name="v_22_SN_B">Model!$AJ$181</definedName>
    <definedName name="v_22_SN2">Model!$AI$181</definedName>
    <definedName name="v_22_SN2O">Model!$AH$181</definedName>
    <definedName name="v_22_SNH2OH">Model!$AC$181</definedName>
    <definedName name="v_22_SNHx">Model!$AB$181</definedName>
    <definedName name="v_22_SNO_AOB">Model!$AF$181</definedName>
    <definedName name="v_22_SNO_OHO">Model!$AG$181</definedName>
    <definedName name="v_22_SNO2">Model!$AE$181</definedName>
    <definedName name="v_22_SNO3">Model!$AD$181</definedName>
    <definedName name="v_22_SO2">Model!$AR$181</definedName>
    <definedName name="v_22_SP_B">Model!$AO$181</definedName>
    <definedName name="v_22_SPO4">Model!$AM$181</definedName>
    <definedName name="v_22_SSO4">Model!$BC$181</definedName>
    <definedName name="v_22_SU">Model!$J$181</definedName>
    <definedName name="v_22_SVFA">Model!$E$181</definedName>
    <definedName name="v_22_XACP">Model!$BU$181</definedName>
    <definedName name="v_22_XAMETO">Model!$W$181</definedName>
    <definedName name="v_22_XAMX">Model!$V$181</definedName>
    <definedName name="v_22_XAOB">Model!$T$181</definedName>
    <definedName name="v_22_XASRO">Model!$Y$181</definedName>
    <definedName name="v_22_XB">Model!$I$181</definedName>
    <definedName name="v_22_XBSH">Model!$BV$181</definedName>
    <definedName name="v_22_XCaCO3">Model!$BT$181</definedName>
    <definedName name="v_22_XCASTO">Model!$R$181</definedName>
    <definedName name="v_22_XE">Model!$O$181</definedName>
    <definedName name="v_22_XE_ana">Model!$P$181</definedName>
    <definedName name="v_22_XFeS">Model!$BY$181</definedName>
    <definedName name="v_22_XGLY">Model!$N$181</definedName>
    <definedName name="v_22_XHAO_H">Model!$BM$181</definedName>
    <definedName name="v_22_XHAO_H_P">Model!$BP$181</definedName>
    <definedName name="v_22_XHAO_H_P_old">Model!$BR$181</definedName>
    <definedName name="v_22_XHAO_L">Model!$BN$181</definedName>
    <definedName name="v_22_XHAO_L_P">Model!$BQ$181</definedName>
    <definedName name="v_22_XHAO_L_P_old">Model!$BS$181</definedName>
    <definedName name="v_22_XHAO_old">Model!$BO$181</definedName>
    <definedName name="v_22_XHFO_H">Model!$BF$181</definedName>
    <definedName name="v_22_XHFO_H_P">Model!$BI$181</definedName>
    <definedName name="v_22_XHFO_H_P_old">Model!$BK$181</definedName>
    <definedName name="v_22_XHFO_L">Model!$BG$181</definedName>
    <definedName name="v_22_XHFO_L_P">Model!$BJ$181</definedName>
    <definedName name="v_22_XHFO_L_P_old">Model!$BL$181</definedName>
    <definedName name="v_22_XHFO_old">Model!$BH$181</definedName>
    <definedName name="v_22_XHMETO">Model!$X$181</definedName>
    <definedName name="v_22_XHSRO">Model!$Z$181</definedName>
    <definedName name="v_22_XINORG">Model!$AV$181</definedName>
    <definedName name="v_22_XMEOLO">Model!$S$181</definedName>
    <definedName name="v_22_XMOB">Model!$CU$181</definedName>
    <definedName name="v_22_XN_B">Model!$AK$181</definedName>
    <definedName name="v_22_XN_U">Model!$AL$181</definedName>
    <definedName name="v_22_XNOB">Model!$U$181</definedName>
    <definedName name="v_22_XOHO">Model!$Q$181</definedName>
    <definedName name="v_22_XP_B">Model!$AP$181</definedName>
    <definedName name="v_22_XP_U">Model!$AQ$181</definedName>
    <definedName name="v_22_XPHA">Model!$M$181</definedName>
    <definedName name="v_22_XPP">Model!$AN$181</definedName>
    <definedName name="v_22_XS">Model!$BD$181</definedName>
    <definedName name="v_22_XSOO">Model!$AA$181</definedName>
    <definedName name="v_22_XSTR">Model!$BW$181</definedName>
    <definedName name="v_22_XU">Model!$L$181</definedName>
    <definedName name="v_22_XVivi">Model!$BX$181</definedName>
    <definedName name="v_23_CB">Model!$H$182</definedName>
    <definedName name="v_23_CU">Model!$K$182</definedName>
    <definedName name="v_23_GCH4">Model!$CC$182</definedName>
    <definedName name="v_23_GCH4_atm">Model!$CL$182</definedName>
    <definedName name="v_23_GCO2">Model!$CB$182</definedName>
    <definedName name="v_23_GCO2_atm">Model!$CK$182</definedName>
    <definedName name="v_23_GH2">Model!$CD$182</definedName>
    <definedName name="v_23_GH2_atm">Model!$CM$182</definedName>
    <definedName name="v_23_GH2S">Model!$CJ$182</definedName>
    <definedName name="v_23_GH2S_atm">Model!$CS$182</definedName>
    <definedName name="v_23_GN2">Model!$CI$182</definedName>
    <definedName name="v_23_GN2_atm">Model!$CR$182</definedName>
    <definedName name="v_23_GN2O">Model!$CH$182</definedName>
    <definedName name="v_23_GN2O_atm">Model!$CQ$182</definedName>
    <definedName name="v_23_GNH3">Model!$CF$182</definedName>
    <definedName name="v_23_GNH3_atm">Model!$CO$182</definedName>
    <definedName name="v_23_GNO">Model!$CG$182</definedName>
    <definedName name="v_23_GNO_atm">Model!$CP$182</definedName>
    <definedName name="v_23_GO2">Model!$CE$182</definedName>
    <definedName name="v_23_GO2_atm">Model!$CN$182</definedName>
    <definedName name="v_23_H">Model!$BZ$182</definedName>
    <definedName name="v_23_SALPHA">Model!$CA$182</definedName>
    <definedName name="v_23_SAN">Model!$AX$182</definedName>
    <definedName name="v_23_SB">Model!$F$182</definedName>
    <definedName name="v_23_SCa">Model!$AY$182</definedName>
    <definedName name="v_23_SCAT">Model!$AW$182</definedName>
    <definedName name="v_23_SCH4">Model!$AS$182</definedName>
    <definedName name="v_23_SCO2">Model!$AU$182</definedName>
    <definedName name="v_23_SFe2">Model!$BE$182</definedName>
    <definedName name="v_23_SH2">Model!$AT$182</definedName>
    <definedName name="v_23_SH2S">Model!$BB$182</definedName>
    <definedName name="v_23_SK">Model!$BA$182</definedName>
    <definedName name="v_23_SMEOL">Model!$G$182</definedName>
    <definedName name="v_23_SMg">Model!$AZ$182</definedName>
    <definedName name="v_23_SMM_index">Model!$CT$182</definedName>
    <definedName name="v_23_SN_B">Model!$AJ$182</definedName>
    <definedName name="v_23_SN2">Model!$AI$182</definedName>
    <definedName name="v_23_SN2O">Model!$AH$182</definedName>
    <definedName name="v_23_SNH2OH">Model!$AC$182</definedName>
    <definedName name="v_23_SNHx">Model!$AB$182</definedName>
    <definedName name="v_23_SNO_AOB">Model!$AF$182</definedName>
    <definedName name="v_23_SNO_OHO">Model!$AG$182</definedName>
    <definedName name="v_23_SNO2">Model!$AE$182</definedName>
    <definedName name="v_23_SNO3">Model!$AD$182</definedName>
    <definedName name="v_23_SO2">Model!$AR$182</definedName>
    <definedName name="v_23_SP_B">Model!$AO$182</definedName>
    <definedName name="v_23_SPO4">Model!$AM$182</definedName>
    <definedName name="v_23_SSO4">Model!$BC$182</definedName>
    <definedName name="v_23_SU">Model!$J$182</definedName>
    <definedName name="v_23_SVFA">Model!$E$182</definedName>
    <definedName name="v_23_XACP">Model!$BU$182</definedName>
    <definedName name="v_23_XAMETO">Model!$W$182</definedName>
    <definedName name="v_23_XAMX">Model!$V$182</definedName>
    <definedName name="v_23_XAOB">Model!$T$182</definedName>
    <definedName name="v_23_XASRO">Model!$Y$182</definedName>
    <definedName name="v_23_XB">Model!$I$182</definedName>
    <definedName name="v_23_XBSH">Model!$BV$182</definedName>
    <definedName name="v_23_XCaCO3">Model!$BT$182</definedName>
    <definedName name="v_23_XCASTO">Model!$R$182</definedName>
    <definedName name="v_23_XE">Model!$O$182</definedName>
    <definedName name="v_23_XE_ana">Model!$P$182</definedName>
    <definedName name="v_23_XFeS">Model!$BY$182</definedName>
    <definedName name="v_23_XGLY">Model!$N$182</definedName>
    <definedName name="v_23_XHAO_H">Model!$BM$182</definedName>
    <definedName name="v_23_XHAO_H_P">Model!$BP$182</definedName>
    <definedName name="v_23_XHAO_H_P_old">Model!$BR$182</definedName>
    <definedName name="v_23_XHAO_L">Model!$BN$182</definedName>
    <definedName name="v_23_XHAO_L_P">Model!$BQ$182</definedName>
    <definedName name="v_23_XHAO_L_P_old">Model!$BS$182</definedName>
    <definedName name="v_23_XHAO_old">Model!$BO$182</definedName>
    <definedName name="v_23_XHFO_H">Model!$BF$182</definedName>
    <definedName name="v_23_XHFO_H_P">Model!$BI$182</definedName>
    <definedName name="v_23_XHFO_H_P_old">Model!$BK$182</definedName>
    <definedName name="v_23_XHFO_L">Model!$BG$182</definedName>
    <definedName name="v_23_XHFO_L_P">Model!$BJ$182</definedName>
    <definedName name="v_23_XHFO_L_P_old">Model!$BL$182</definedName>
    <definedName name="v_23_XHFO_old">Model!$BH$182</definedName>
    <definedName name="v_23_XHMETO">Model!$X$182</definedName>
    <definedName name="v_23_XHSRO">Model!$Z$182</definedName>
    <definedName name="v_23_XINORG">Model!$AV$182</definedName>
    <definedName name="v_23_XMEOLO">Model!$S$182</definedName>
    <definedName name="v_23_XMOB">Model!$CU$182</definedName>
    <definedName name="v_23_XN_B">Model!$AK$182</definedName>
    <definedName name="v_23_XN_U">Model!$AL$182</definedName>
    <definedName name="v_23_XNOB">Model!$U$182</definedName>
    <definedName name="v_23_XOHO">Model!$Q$182</definedName>
    <definedName name="v_23_XP_B">Model!$AP$182</definedName>
    <definedName name="v_23_XP_U">Model!$AQ$182</definedName>
    <definedName name="v_23_XPHA">Model!$M$182</definedName>
    <definedName name="v_23_XPP">Model!$AN$182</definedName>
    <definedName name="v_23_XS">Model!$BD$182</definedName>
    <definedName name="v_23_XSOO">Model!$AA$182</definedName>
    <definedName name="v_23_XSTR">Model!$BW$182</definedName>
    <definedName name="v_23_XU">Model!$L$182</definedName>
    <definedName name="v_23_XVivi">Model!$BX$182</definedName>
    <definedName name="v_24_CB">Model!$H$183</definedName>
    <definedName name="v_24_CU">Model!$K$183</definedName>
    <definedName name="v_24_GCH4">Model!$CC$183</definedName>
    <definedName name="v_24_GCH4_atm">Model!$CL$183</definedName>
    <definedName name="v_24_GCO2">Model!$CB$183</definedName>
    <definedName name="v_24_GCO2_atm">Model!$CK$183</definedName>
    <definedName name="v_24_GH2">Model!$CD$183</definedName>
    <definedName name="v_24_GH2_atm">Model!$CM$183</definedName>
    <definedName name="v_24_GH2S">Model!$CJ$183</definedName>
    <definedName name="v_24_GH2S_atm">Model!$CS$183</definedName>
    <definedName name="v_24_GN2">Model!$CI$183</definedName>
    <definedName name="v_24_GN2_atm">Model!$CR$183</definedName>
    <definedName name="v_24_GN2O">Model!$CH$183</definedName>
    <definedName name="v_24_GN2O_atm">Model!$CQ$183</definedName>
    <definedName name="v_24_GNH3">Model!$CF$183</definedName>
    <definedName name="v_24_GNH3_atm">Model!$CO$183</definedName>
    <definedName name="v_24_GNO">Model!$CG$183</definedName>
    <definedName name="v_24_GNO_atm">Model!$CP$183</definedName>
    <definedName name="v_24_GO2">Model!$CE$183</definedName>
    <definedName name="v_24_GO2_atm">Model!$CN$183</definedName>
    <definedName name="v_24_H">Model!$BZ$183</definedName>
    <definedName name="v_24_SALPHA">Model!$CA$183</definedName>
    <definedName name="v_24_SAN">Model!$AX$183</definedName>
    <definedName name="v_24_SB">Model!$F$183</definedName>
    <definedName name="v_24_SCa">Model!$AY$183</definedName>
    <definedName name="v_24_SCAT">Model!$AW$183</definedName>
    <definedName name="v_24_SCH4">Model!$AS$183</definedName>
    <definedName name="v_24_SCO2">Model!$AU$183</definedName>
    <definedName name="v_24_SFe2">Model!$BE$183</definedName>
    <definedName name="v_24_SH2">Model!$AT$183</definedName>
    <definedName name="v_24_SH2S">Model!$BB$183</definedName>
    <definedName name="v_24_SK">Model!$BA$183</definedName>
    <definedName name="v_24_SMEOL">Model!$G$183</definedName>
    <definedName name="v_24_SMg">Model!$AZ$183</definedName>
    <definedName name="v_24_SMM_index">Model!$CT$183</definedName>
    <definedName name="v_24_SN_B">Model!$AJ$183</definedName>
    <definedName name="v_24_SN2">Model!$AI$183</definedName>
    <definedName name="v_24_SN2O">Model!$AH$183</definedName>
    <definedName name="v_24_SNH2OH">Model!$AC$183</definedName>
    <definedName name="v_24_SNHx">Model!$AB$183</definedName>
    <definedName name="v_24_SNO_AOB">Model!$AF$183</definedName>
    <definedName name="v_24_SNO_OHO">Model!$AG$183</definedName>
    <definedName name="v_24_SNO2">Model!$AE$183</definedName>
    <definedName name="v_24_SNO3">Model!$AD$183</definedName>
    <definedName name="v_24_SO2">Model!$AR$183</definedName>
    <definedName name="v_24_SP_B">Model!$AO$183</definedName>
    <definedName name="v_24_SPO4">Model!$AM$183</definedName>
    <definedName name="v_24_SSO4">Model!$BC$183</definedName>
    <definedName name="v_24_SU">Model!$J$183</definedName>
    <definedName name="v_24_SVFA">Model!$E$183</definedName>
    <definedName name="v_24_XACP">Model!$BU$183</definedName>
    <definedName name="v_24_XAMETO">Model!$W$183</definedName>
    <definedName name="v_24_XAMX">Model!$V$183</definedName>
    <definedName name="v_24_XAOB">Model!$T$183</definedName>
    <definedName name="v_24_XASRO">Model!$Y$183</definedName>
    <definedName name="v_24_XB">Model!$I$183</definedName>
    <definedName name="v_24_XBSH">Model!$BV$183</definedName>
    <definedName name="v_24_XCaCO3">Model!$BT$183</definedName>
    <definedName name="v_24_XCASTO">Model!$R$183</definedName>
    <definedName name="v_24_XE">Model!$O$183</definedName>
    <definedName name="v_24_XE_ana">Model!$P$183</definedName>
    <definedName name="v_24_XFeS">Model!$BY$183</definedName>
    <definedName name="v_24_XGLY">Model!$N$183</definedName>
    <definedName name="v_24_XHAO_H">Model!$BM$183</definedName>
    <definedName name="v_24_XHAO_H_P">Model!$BP$183</definedName>
    <definedName name="v_24_XHAO_H_P_old">Model!$BR$183</definedName>
    <definedName name="v_24_XHAO_L">Model!$BN$183</definedName>
    <definedName name="v_24_XHAO_L_P">Model!$BQ$183</definedName>
    <definedName name="v_24_XHAO_L_P_old">Model!$BS$183</definedName>
    <definedName name="v_24_XHAO_old">Model!$BO$183</definedName>
    <definedName name="v_24_XHFO_H">Model!$BF$183</definedName>
    <definedName name="v_24_XHFO_H_P">Model!$BI$183</definedName>
    <definedName name="v_24_XHFO_H_P_old">Model!$BK$183</definedName>
    <definedName name="v_24_XHFO_L">Model!$BG$183</definedName>
    <definedName name="v_24_XHFO_L_P">Model!$BJ$183</definedName>
    <definedName name="v_24_XHFO_L_P_old">Model!$BL$183</definedName>
    <definedName name="v_24_XHFO_old">Model!$BH$183</definedName>
    <definedName name="v_24_XHMETO">Model!$X$183</definedName>
    <definedName name="v_24_XHSRO">Model!$Z$183</definedName>
    <definedName name="v_24_XINORG">Model!$AV$183</definedName>
    <definedName name="v_24_XMEOLO">Model!$S$183</definedName>
    <definedName name="v_24_XMOB">Model!$CU$183</definedName>
    <definedName name="v_24_XN_B">Model!$AK$183</definedName>
    <definedName name="v_24_XN_U">Model!$AL$183</definedName>
    <definedName name="v_24_XNOB">Model!$U$183</definedName>
    <definedName name="v_24_XOHO">Model!$Q$183</definedName>
    <definedName name="v_24_XP_B">Model!$AP$183</definedName>
    <definedName name="v_24_XP_U">Model!$AQ$183</definedName>
    <definedName name="v_24_XPHA">Model!$M$183</definedName>
    <definedName name="v_24_XPP">Model!$AN$183</definedName>
    <definedName name="v_24_XS">Model!$BD$183</definedName>
    <definedName name="v_24_XSOO">Model!$AA$183</definedName>
    <definedName name="v_24_XSTR">Model!$BW$183</definedName>
    <definedName name="v_24_XU">Model!$L$183</definedName>
    <definedName name="v_24_XVivi">Model!$BX$183</definedName>
    <definedName name="v_25_CB">Model!$H$184</definedName>
    <definedName name="v_25_CU">Model!$K$184</definedName>
    <definedName name="v_25_GCH4">Model!$CC$184</definedName>
    <definedName name="v_25_GCH4_atm">Model!$CL$184</definedName>
    <definedName name="v_25_GCO2">Model!$CB$184</definedName>
    <definedName name="v_25_GCO2_atm">Model!$CK$184</definedName>
    <definedName name="v_25_GH2">Model!$CD$184</definedName>
    <definedName name="v_25_GH2_atm">Model!$CM$184</definedName>
    <definedName name="v_25_GH2S">Model!$CJ$184</definedName>
    <definedName name="v_25_GH2S_atm">Model!$CS$184</definedName>
    <definedName name="v_25_GN2">Model!$CI$184</definedName>
    <definedName name="v_25_GN2_atm">Model!$CR$184</definedName>
    <definedName name="v_25_GN2O">Model!$CH$184</definedName>
    <definedName name="v_25_GN2O_atm">Model!$CQ$184</definedName>
    <definedName name="v_25_GNH3">Model!$CF$184</definedName>
    <definedName name="v_25_GNH3_atm">Model!$CO$184</definedName>
    <definedName name="v_25_GNO">Model!$CG$184</definedName>
    <definedName name="v_25_GNO_atm">Model!$CP$184</definedName>
    <definedName name="v_25_GO2">Model!$CE$184</definedName>
    <definedName name="v_25_GO2_atm">Model!$CN$184</definedName>
    <definedName name="v_25_H">Model!$BZ$184</definedName>
    <definedName name="v_25_SALPHA">Model!$CA$184</definedName>
    <definedName name="v_25_SAN">Model!$AX$184</definedName>
    <definedName name="v_25_SB">Model!$F$184</definedName>
    <definedName name="v_25_SCa">Model!$AY$184</definedName>
    <definedName name="v_25_SCAT">Model!$AW$184</definedName>
    <definedName name="v_25_SCH4">Model!$AS$184</definedName>
    <definedName name="v_25_SCO2">Model!$AU$184</definedName>
    <definedName name="v_25_SFe2">Model!$BE$184</definedName>
    <definedName name="v_25_SH2">Model!$AT$184</definedName>
    <definedName name="v_25_SH2S">Model!$BB$184</definedName>
    <definedName name="v_25_SK">Model!$BA$184</definedName>
    <definedName name="v_25_SMEOL">Model!$G$184</definedName>
    <definedName name="v_25_SMg">Model!$AZ$184</definedName>
    <definedName name="v_25_SMM_index">Model!$CT$184</definedName>
    <definedName name="v_25_SN_B">Model!$AJ$184</definedName>
    <definedName name="v_25_SN2">Model!$AI$184</definedName>
    <definedName name="v_25_SN2O">Model!$AH$184</definedName>
    <definedName name="v_25_SNH2OH">Model!$AC$184</definedName>
    <definedName name="v_25_SNHx">Model!$AB$184</definedName>
    <definedName name="v_25_SNO_AOB">Model!$AF$184</definedName>
    <definedName name="v_25_SNO_OHO">Model!$AG$184</definedName>
    <definedName name="v_25_SNO2">Model!$AE$184</definedName>
    <definedName name="v_25_SNO3">Model!$AD$184</definedName>
    <definedName name="v_25_SO2">Model!$AR$184</definedName>
    <definedName name="v_25_SP_B">Model!$AO$184</definedName>
    <definedName name="v_25_SPO4">Model!$AM$184</definedName>
    <definedName name="v_25_SSO4">Model!$BC$184</definedName>
    <definedName name="v_25_SU">Model!$J$184</definedName>
    <definedName name="v_25_SVFA">Model!$E$184</definedName>
    <definedName name="v_25_XACP">Model!$BU$184</definedName>
    <definedName name="v_25_XAMETO">Model!$W$184</definedName>
    <definedName name="v_25_XAMX">Model!$V$184</definedName>
    <definedName name="v_25_XAOB">Model!$T$184</definedName>
    <definedName name="v_25_XASRO">Model!$Y$184</definedName>
    <definedName name="v_25_XB">Model!$I$184</definedName>
    <definedName name="v_25_XBSH">Model!$BV$184</definedName>
    <definedName name="v_25_XCaCO3">Model!$BT$184</definedName>
    <definedName name="v_25_XCASTO">Model!$R$184</definedName>
    <definedName name="v_25_XE">Model!$O$184</definedName>
    <definedName name="v_25_XE_ana">Model!$P$184</definedName>
    <definedName name="v_25_XFeS">Model!$BY$184</definedName>
    <definedName name="v_25_XGLY">Model!$N$184</definedName>
    <definedName name="v_25_XHAO_H">Model!$BM$184</definedName>
    <definedName name="v_25_XHAO_H_P">Model!$BP$184</definedName>
    <definedName name="v_25_XHAO_H_P_old">Model!$BR$184</definedName>
    <definedName name="v_25_XHAO_L">Model!$BN$184</definedName>
    <definedName name="v_25_XHAO_L_P">Model!$BQ$184</definedName>
    <definedName name="v_25_XHAO_L_P_old">Model!$BS$184</definedName>
    <definedName name="v_25_XHAO_old">Model!$BO$184</definedName>
    <definedName name="v_25_XHFO_H">Model!$BF$184</definedName>
    <definedName name="v_25_XHFO_H_P">Model!$BI$184</definedName>
    <definedName name="v_25_XHFO_H_P_old">Model!$BK$184</definedName>
    <definedName name="v_25_XHFO_L">Model!$BG$184</definedName>
    <definedName name="v_25_XHFO_L_P">Model!$BJ$184</definedName>
    <definedName name="v_25_XHFO_L_P_old">Model!$BL$184</definedName>
    <definedName name="v_25_XHFO_old">Model!$BH$184</definedName>
    <definedName name="v_25_XHMETO">Model!$X$184</definedName>
    <definedName name="v_25_XHSRO">Model!$Z$184</definedName>
    <definedName name="v_25_XINORG">Model!$AV$184</definedName>
    <definedName name="v_25_XMEOLO">Model!$S$184</definedName>
    <definedName name="v_25_XMOB">Model!$CU$184</definedName>
    <definedName name="v_25_XN_B">Model!$AK$184</definedName>
    <definedName name="v_25_XN_U">Model!$AL$184</definedName>
    <definedName name="v_25_XNOB">Model!$U$184</definedName>
    <definedName name="v_25_XOHO">Model!$Q$184</definedName>
    <definedName name="v_25_XP_B">Model!$AP$184</definedName>
    <definedName name="v_25_XP_U">Model!$AQ$184</definedName>
    <definedName name="v_25_XPHA">Model!$M$184</definedName>
    <definedName name="v_25_XPP">Model!$AN$184</definedName>
    <definedName name="v_25_XS">Model!$BD$184</definedName>
    <definedName name="v_25_XSOO">Model!$AA$184</definedName>
    <definedName name="v_25_XSTR">Model!$BW$184</definedName>
    <definedName name="v_25_XU">Model!$L$184</definedName>
    <definedName name="v_25_XVivi">Model!$BX$184</definedName>
    <definedName name="v_26_CB">Model!$H$185</definedName>
    <definedName name="v_26_CU">Model!$K$185</definedName>
    <definedName name="v_26_GCH4">Model!$CC$185</definedName>
    <definedName name="v_26_GCH4_atm">Model!$CL$185</definedName>
    <definedName name="v_26_GCO2">Model!$CB$185</definedName>
    <definedName name="v_26_GCO2_atm">Model!$CK$185</definedName>
    <definedName name="v_26_GH2">Model!$CD$185</definedName>
    <definedName name="v_26_GH2_atm">Model!$CM$185</definedName>
    <definedName name="v_26_GH2S">Model!$CJ$185</definedName>
    <definedName name="v_26_GH2S_atm">Model!$CS$185</definedName>
    <definedName name="v_26_GN2">Model!$CI$185</definedName>
    <definedName name="v_26_GN2_atm">Model!$CR$185</definedName>
    <definedName name="v_26_GN2O">Model!$CH$185</definedName>
    <definedName name="v_26_GN2O_atm">Model!$CQ$185</definedName>
    <definedName name="v_26_GNH3">Model!$CF$185</definedName>
    <definedName name="v_26_GNH3_atm">Model!$CO$185</definedName>
    <definedName name="v_26_GNO">Model!$CG$185</definedName>
    <definedName name="v_26_GNO_atm">Model!$CP$185</definedName>
    <definedName name="v_26_GO2">Model!$CE$185</definedName>
    <definedName name="v_26_GO2_atm">Model!$CN$185</definedName>
    <definedName name="v_26_H">Model!$BZ$185</definedName>
    <definedName name="v_26_SALPHA">Model!$CA$185</definedName>
    <definedName name="v_26_SAN">Model!$AX$185</definedName>
    <definedName name="v_26_SB">Model!$F$185</definedName>
    <definedName name="v_26_SCa">Model!$AY$185</definedName>
    <definedName name="v_26_SCAT">Model!$AW$185</definedName>
    <definedName name="v_26_SCH4">Model!$AS$185</definedName>
    <definedName name="v_26_SCO2">Model!$AU$185</definedName>
    <definedName name="v_26_SFe2">Model!$BE$185</definedName>
    <definedName name="v_26_SH2">Model!$AT$185</definedName>
    <definedName name="v_26_SH2S">Model!$BB$185</definedName>
    <definedName name="v_26_SK">Model!$BA$185</definedName>
    <definedName name="v_26_SMEOL">Model!$G$185</definedName>
    <definedName name="v_26_SMg">Model!$AZ$185</definedName>
    <definedName name="v_26_SMM_index">Model!$CT$185</definedName>
    <definedName name="v_26_SN_B">Model!$AJ$185</definedName>
    <definedName name="v_26_SN2">Model!$AI$185</definedName>
    <definedName name="v_26_SN2O">Model!$AH$185</definedName>
    <definedName name="v_26_SNH2OH">Model!$AC$185</definedName>
    <definedName name="v_26_SNHx">Model!$AB$185</definedName>
    <definedName name="v_26_SNO_AOB">Model!$AF$185</definedName>
    <definedName name="v_26_SNO_OHO">Model!$AG$185</definedName>
    <definedName name="v_26_SNO2">Model!$AE$185</definedName>
    <definedName name="v_26_SNO3">Model!$AD$185</definedName>
    <definedName name="v_26_SO2">Model!$AR$185</definedName>
    <definedName name="v_26_SP_B">Model!$AO$185</definedName>
    <definedName name="v_26_SPO4">Model!$AM$185</definedName>
    <definedName name="v_26_SSO4">Model!$BC$185</definedName>
    <definedName name="v_26_SU">Model!$J$185</definedName>
    <definedName name="v_26_SVFA">Model!$E$185</definedName>
    <definedName name="v_26_XACP">Model!$BU$185</definedName>
    <definedName name="v_26_XAMETO">Model!$W$185</definedName>
    <definedName name="v_26_XAMX">Model!$V$185</definedName>
    <definedName name="v_26_XAOB">Model!$T$185</definedName>
    <definedName name="v_26_XASRO">Model!$Y$185</definedName>
    <definedName name="v_26_XB">Model!$I$185</definedName>
    <definedName name="v_26_XBSH">Model!$BV$185</definedName>
    <definedName name="v_26_XCaCO3">Model!$BT$185</definedName>
    <definedName name="v_26_XCASTO">Model!$R$185</definedName>
    <definedName name="v_26_XE">Model!$O$185</definedName>
    <definedName name="v_26_XE_ana">Model!$P$185</definedName>
    <definedName name="v_26_XFeS">Model!$BY$185</definedName>
    <definedName name="v_26_XGLY">Model!$N$185</definedName>
    <definedName name="v_26_XHAO_H">Model!$BM$185</definedName>
    <definedName name="v_26_XHAO_H_P">Model!$BP$185</definedName>
    <definedName name="v_26_XHAO_H_P_old">Model!$BR$185</definedName>
    <definedName name="v_26_XHAO_L">Model!$BN$185</definedName>
    <definedName name="v_26_XHAO_L_P">Model!$BQ$185</definedName>
    <definedName name="v_26_XHAO_L_P_old">Model!$BS$185</definedName>
    <definedName name="v_26_XHAO_old">Model!$BO$185</definedName>
    <definedName name="v_26_XHFO_H">Model!$BF$185</definedName>
    <definedName name="v_26_XHFO_H_P">Model!$BI$185</definedName>
    <definedName name="v_26_XHFO_H_P_old">Model!$BK$185</definedName>
    <definedName name="v_26_XHFO_L">Model!$BG$185</definedName>
    <definedName name="v_26_XHFO_L_P">Model!$BJ$185</definedName>
    <definedName name="v_26_XHFO_L_P_old">Model!$BL$185</definedName>
    <definedName name="v_26_XHFO_old">Model!$BH$185</definedName>
    <definedName name="v_26_XHMETO">Model!$X$185</definedName>
    <definedName name="v_26_XHSRO">Model!$Z$185</definedName>
    <definedName name="v_26_XINORG">Model!$AV$185</definedName>
    <definedName name="v_26_XMEOLO">Model!$S$185</definedName>
    <definedName name="v_26_XMOB">Model!$CU$185</definedName>
    <definedName name="v_26_XN_B">Model!$AK$185</definedName>
    <definedName name="v_26_XN_U">Model!$AL$185</definedName>
    <definedName name="v_26_XNOB">Model!$U$185</definedName>
    <definedName name="v_26_XOHO">Model!$Q$185</definedName>
    <definedName name="v_26_XP_B">Model!$AP$185</definedName>
    <definedName name="v_26_XP_U">Model!$AQ$185</definedName>
    <definedName name="v_26_XPHA">Model!$M$185</definedName>
    <definedName name="v_26_XPP">Model!$AN$185</definedName>
    <definedName name="v_26_XS">Model!$BD$185</definedName>
    <definedName name="v_26_XSOO">Model!$AA$185</definedName>
    <definedName name="v_26_XSTR">Model!$BW$185</definedName>
    <definedName name="v_26_XU">Model!$L$185</definedName>
    <definedName name="v_26_XVivi">Model!$BX$185</definedName>
    <definedName name="v_27_CB">Model!$H$186</definedName>
    <definedName name="v_27_CU">Model!$K$186</definedName>
    <definedName name="v_27_GCH4">Model!$CC$186</definedName>
    <definedName name="v_27_GCH4_atm">Model!$CL$186</definedName>
    <definedName name="v_27_GCO2">Model!$CB$186</definedName>
    <definedName name="v_27_GCO2_atm">Model!$CK$186</definedName>
    <definedName name="v_27_GH2">Model!$CD$186</definedName>
    <definedName name="v_27_GH2_atm">Model!$CM$186</definedName>
    <definedName name="v_27_GH2S">Model!$CJ$186</definedName>
    <definedName name="v_27_GH2S_atm">Model!$CS$186</definedName>
    <definedName name="v_27_GN2">Model!$CI$186</definedName>
    <definedName name="v_27_GN2_atm">Model!$CR$186</definedName>
    <definedName name="v_27_GN2O">Model!$CH$186</definedName>
    <definedName name="v_27_GN2O_atm">Model!$CQ$186</definedName>
    <definedName name="v_27_GNH3">Model!$CF$186</definedName>
    <definedName name="v_27_GNH3_atm">Model!$CO$186</definedName>
    <definedName name="v_27_GNO">Model!$CG$186</definedName>
    <definedName name="v_27_GNO_atm">Model!$CP$186</definedName>
    <definedName name="v_27_GO2">Model!$CE$186</definedName>
    <definedName name="v_27_GO2_atm">Model!$CN$186</definedName>
    <definedName name="v_27_H">Model!$BZ$186</definedName>
    <definedName name="v_27_SALPHA">Model!$CA$186</definedName>
    <definedName name="v_27_SAN">Model!$AX$186</definedName>
    <definedName name="v_27_SB">Model!$F$186</definedName>
    <definedName name="v_27_SCa">Model!$AY$186</definedName>
    <definedName name="v_27_SCAT">Model!$AW$186</definedName>
    <definedName name="v_27_SCH4">Model!$AS$186</definedName>
    <definedName name="v_27_SCO2">Model!$AU$186</definedName>
    <definedName name="v_27_SFe2">Model!$BE$186</definedName>
    <definedName name="v_27_SH2">Model!$AT$186</definedName>
    <definedName name="v_27_SH2S">Model!$BB$186</definedName>
    <definedName name="v_27_SK">Model!$BA$186</definedName>
    <definedName name="v_27_SMEOL">Model!$G$186</definedName>
    <definedName name="v_27_SMg">Model!$AZ$186</definedName>
    <definedName name="v_27_SMM_index">Model!$CT$186</definedName>
    <definedName name="v_27_SN_B">Model!$AJ$186</definedName>
    <definedName name="v_27_SN2">Model!$AI$186</definedName>
    <definedName name="v_27_SN2O">Model!$AH$186</definedName>
    <definedName name="v_27_SNH2OH">Model!$AC$186</definedName>
    <definedName name="v_27_SNHx">Model!$AB$186</definedName>
    <definedName name="v_27_SNO_AOB">Model!$AF$186</definedName>
    <definedName name="v_27_SNO_OHO">Model!$AG$186</definedName>
    <definedName name="v_27_SNO2">Model!$AE$186</definedName>
    <definedName name="v_27_SNO3">Model!$AD$186</definedName>
    <definedName name="v_27_SO2">Model!$AR$186</definedName>
    <definedName name="v_27_SP_B">Model!$AO$186</definedName>
    <definedName name="v_27_SPO4">Model!$AM$186</definedName>
    <definedName name="v_27_SSO4">Model!$BC$186</definedName>
    <definedName name="v_27_SU">Model!$J$186</definedName>
    <definedName name="v_27_SVFA">Model!$E$186</definedName>
    <definedName name="v_27_XACP">Model!$BU$186</definedName>
    <definedName name="v_27_XAMETO">Model!$W$186</definedName>
    <definedName name="v_27_XAMX">Model!$V$186</definedName>
    <definedName name="v_27_XAOB">Model!$T$186</definedName>
    <definedName name="v_27_XASRO">Model!$Y$186</definedName>
    <definedName name="v_27_XB">Model!$I$186</definedName>
    <definedName name="v_27_XBSH">Model!$BV$186</definedName>
    <definedName name="v_27_XCaCO3">Model!$BT$186</definedName>
    <definedName name="v_27_XCASTO">Model!$R$186</definedName>
    <definedName name="v_27_XE">Model!$O$186</definedName>
    <definedName name="v_27_XE_ana">Model!$P$186</definedName>
    <definedName name="v_27_XFeS">Model!$BY$186</definedName>
    <definedName name="v_27_XGLY">Model!$N$186</definedName>
    <definedName name="v_27_XHAO_H">Model!$BM$186</definedName>
    <definedName name="v_27_XHAO_H_P">Model!$BP$186</definedName>
    <definedName name="v_27_XHAO_H_P_old">Model!$BR$186</definedName>
    <definedName name="v_27_XHAO_L">Model!$BN$186</definedName>
    <definedName name="v_27_XHAO_L_P">Model!$BQ$186</definedName>
    <definedName name="v_27_XHAO_L_P_old">Model!$BS$186</definedName>
    <definedName name="v_27_XHAO_old">Model!$BO$186</definedName>
    <definedName name="v_27_XHFO_H">Model!$BF$186</definedName>
    <definedName name="v_27_XHFO_H_P">Model!$BI$186</definedName>
    <definedName name="v_27_XHFO_H_P_old">Model!$BK$186</definedName>
    <definedName name="v_27_XHFO_L">Model!$BG$186</definedName>
    <definedName name="v_27_XHFO_L_P">Model!$BJ$186</definedName>
    <definedName name="v_27_XHFO_L_P_old">Model!$BL$186</definedName>
    <definedName name="v_27_XHFO_old">Model!$BH$186</definedName>
    <definedName name="v_27_XHMETO">Model!$X$186</definedName>
    <definedName name="v_27_XHSRO">Model!$Z$186</definedName>
    <definedName name="v_27_XINORG">Model!$AV$186</definedName>
    <definedName name="v_27_XMEOLO">Model!$S$186</definedName>
    <definedName name="v_27_XMOB">Model!$CU$186</definedName>
    <definedName name="v_27_XN_B">Model!$AK$186</definedName>
    <definedName name="v_27_XN_U">Model!$AL$186</definedName>
    <definedName name="v_27_XNOB">Model!$U$186</definedName>
    <definedName name="v_27_XOHO">Model!$Q$186</definedName>
    <definedName name="v_27_XP_B">Model!$AP$186</definedName>
    <definedName name="v_27_XP_U">Model!$AQ$186</definedName>
    <definedName name="v_27_XPHA">Model!$M$186</definedName>
    <definedName name="v_27_XPP">Model!$AN$186</definedName>
    <definedName name="v_27_XS">Model!$BD$186</definedName>
    <definedName name="v_27_XSOO">Model!$AA$186</definedName>
    <definedName name="v_27_XSTR">Model!$BW$186</definedName>
    <definedName name="v_27_XU">Model!$L$186</definedName>
    <definedName name="v_27_XVivi">Model!$BX$186</definedName>
    <definedName name="v_28_CB">Model!$H$187</definedName>
    <definedName name="v_28_CU">Model!$K$187</definedName>
    <definedName name="v_28_GCH4">Model!$CC$187</definedName>
    <definedName name="v_28_GCH4_atm">Model!$CL$187</definedName>
    <definedName name="v_28_GCO2">Model!$CB$187</definedName>
    <definedName name="v_28_GCO2_atm">Model!$CK$187</definedName>
    <definedName name="v_28_GH2">Model!$CD$187</definedName>
    <definedName name="v_28_GH2_atm">Model!$CM$187</definedName>
    <definedName name="v_28_GH2S">Model!$CJ$187</definedName>
    <definedName name="v_28_GH2S_atm">Model!$CS$187</definedName>
    <definedName name="v_28_GN2">Model!$CI$187</definedName>
    <definedName name="v_28_GN2_atm">Model!$CR$187</definedName>
    <definedName name="v_28_GN2O">Model!$CH$187</definedName>
    <definedName name="v_28_GN2O_atm">Model!$CQ$187</definedName>
    <definedName name="v_28_GNH3">Model!$CF$187</definedName>
    <definedName name="v_28_GNH3_atm">Model!$CO$187</definedName>
    <definedName name="v_28_GNO">Model!$CG$187</definedName>
    <definedName name="v_28_GNO_atm">Model!$CP$187</definedName>
    <definedName name="v_28_GO2">Model!$CE$187</definedName>
    <definedName name="v_28_GO2_atm">Model!$CN$187</definedName>
    <definedName name="v_28_H">Model!$BZ$187</definedName>
    <definedName name="v_28_SALPHA">Model!$CA$187</definedName>
    <definedName name="v_28_SAN">Model!$AX$187</definedName>
    <definedName name="v_28_SB">Model!$F$187</definedName>
    <definedName name="v_28_SCa">Model!$AY$187</definedName>
    <definedName name="v_28_SCAT">Model!$AW$187</definedName>
    <definedName name="v_28_SCH4">Model!$AS$187</definedName>
    <definedName name="v_28_SCO2">Model!$AU$187</definedName>
    <definedName name="v_28_SFe2">Model!$BE$187</definedName>
    <definedName name="v_28_SH2">Model!$AT$187</definedName>
    <definedName name="v_28_SH2S">Model!$BB$187</definedName>
    <definedName name="v_28_SK">Model!$BA$187</definedName>
    <definedName name="v_28_SMEOL">Model!$G$187</definedName>
    <definedName name="v_28_SMg">Model!$AZ$187</definedName>
    <definedName name="v_28_SMM_index">Model!$CT$187</definedName>
    <definedName name="v_28_SN_B">Model!$AJ$187</definedName>
    <definedName name="v_28_SN2">Model!$AI$187</definedName>
    <definedName name="v_28_SN2O">Model!$AH$187</definedName>
    <definedName name="v_28_SNH2OH">Model!$AC$187</definedName>
    <definedName name="v_28_SNHx">Model!$AB$187</definedName>
    <definedName name="v_28_SNO_AOB">Model!$AF$187</definedName>
    <definedName name="v_28_SNO_OHO">Model!$AG$187</definedName>
    <definedName name="v_28_SNO2">Model!$AE$187</definedName>
    <definedName name="v_28_SNO3">Model!$AD$187</definedName>
    <definedName name="v_28_SO2">Model!$AR$187</definedName>
    <definedName name="v_28_SP_B">Model!$AO$187</definedName>
    <definedName name="v_28_SPO4">Model!$AM$187</definedName>
    <definedName name="v_28_SSO4">Model!$BC$187</definedName>
    <definedName name="v_28_SU">Model!$J$187</definedName>
    <definedName name="v_28_SVFA">Model!$E$187</definedName>
    <definedName name="v_28_XACP">Model!$BU$187</definedName>
    <definedName name="v_28_XAMETO">Model!$W$187</definedName>
    <definedName name="v_28_XAMX">Model!$V$187</definedName>
    <definedName name="v_28_XAOB">Model!$T$187</definedName>
    <definedName name="v_28_XASRO">Model!$Y$187</definedName>
    <definedName name="v_28_XB">Model!$I$187</definedName>
    <definedName name="v_28_XBSH">Model!$BV$187</definedName>
    <definedName name="v_28_XCaCO3">Model!$BT$187</definedName>
    <definedName name="v_28_XCASTO">Model!$R$187</definedName>
    <definedName name="v_28_XE">Model!$O$187</definedName>
    <definedName name="v_28_XE_ana">Model!$P$187</definedName>
    <definedName name="v_28_XFeS">Model!$BY$187</definedName>
    <definedName name="v_28_XGLY">Model!$N$187</definedName>
    <definedName name="v_28_XHAO_H">Model!$BM$187</definedName>
    <definedName name="v_28_XHAO_H_P">Model!$BP$187</definedName>
    <definedName name="v_28_XHAO_H_P_old">Model!$BR$187</definedName>
    <definedName name="v_28_XHAO_L">Model!$BN$187</definedName>
    <definedName name="v_28_XHAO_L_P">Model!$BQ$187</definedName>
    <definedName name="v_28_XHAO_L_P_old">Model!$BS$187</definedName>
    <definedName name="v_28_XHAO_old">Model!$BO$187</definedName>
    <definedName name="v_28_XHFO_H">Model!$BF$187</definedName>
    <definedName name="v_28_XHFO_H_P">Model!$BI$187</definedName>
    <definedName name="v_28_XHFO_H_P_old">Model!$BK$187</definedName>
    <definedName name="v_28_XHFO_L">Model!$BG$187</definedName>
    <definedName name="v_28_XHFO_L_P">Model!$BJ$187</definedName>
    <definedName name="v_28_XHFO_L_P_old">Model!$BL$187</definedName>
    <definedName name="v_28_XHFO_old">Model!$BH$187</definedName>
    <definedName name="v_28_XHMETO">Model!$X$187</definedName>
    <definedName name="v_28_XHSRO">Model!$Z$187</definedName>
    <definedName name="v_28_XINORG">Model!$AV$187</definedName>
    <definedName name="v_28_XMEOLO">Model!$S$187</definedName>
    <definedName name="v_28_XMOB">Model!$CU$187</definedName>
    <definedName name="v_28_XN_B">Model!$AK$187</definedName>
    <definedName name="v_28_XN_U">Model!$AL$187</definedName>
    <definedName name="v_28_XNOB">Model!$U$187</definedName>
    <definedName name="v_28_XOHO">Model!$Q$187</definedName>
    <definedName name="v_28_XP_B">Model!$AP$187</definedName>
    <definedName name="v_28_XP_U">Model!$AQ$187</definedName>
    <definedName name="v_28_XPHA">Model!$M$187</definedName>
    <definedName name="v_28_XPP">Model!$AN$187</definedName>
    <definedName name="v_28_XS">Model!$BD$187</definedName>
    <definedName name="v_28_XSOO">Model!$AA$187</definedName>
    <definedName name="v_28_XSTR">Model!$BW$187</definedName>
    <definedName name="v_28_XU">Model!$L$187</definedName>
    <definedName name="v_28_XVivi">Model!$BX$187</definedName>
    <definedName name="v_29_CB">Model!$H$188</definedName>
    <definedName name="v_29_CU">Model!$K$188</definedName>
    <definedName name="v_29_GCH4">Model!$CC$188</definedName>
    <definedName name="v_29_GCH4_atm">Model!$CL$188</definedName>
    <definedName name="v_29_GCO2">Model!$CB$188</definedName>
    <definedName name="v_29_GCO2_atm">Model!$CK$188</definedName>
    <definedName name="v_29_GH2">Model!$CD$188</definedName>
    <definedName name="v_29_GH2_atm">Model!$CM$188</definedName>
    <definedName name="v_29_GH2S">Model!$CJ$188</definedName>
    <definedName name="v_29_GH2S_atm">Model!$CS$188</definedName>
    <definedName name="v_29_GN2">Model!$CI$188</definedName>
    <definedName name="v_29_GN2_atm">Model!$CR$188</definedName>
    <definedName name="v_29_GN2O">Model!$CH$188</definedName>
    <definedName name="v_29_GN2O_atm">Model!$CQ$188</definedName>
    <definedName name="v_29_GNH3">Model!$CF$188</definedName>
    <definedName name="v_29_GNH3_atm">Model!$CO$188</definedName>
    <definedName name="v_29_GNO">Model!$CG$188</definedName>
    <definedName name="v_29_GNO_atm">Model!$CP$188</definedName>
    <definedName name="v_29_GO2">Model!$CE$188</definedName>
    <definedName name="v_29_GO2_atm">Model!$CN$188</definedName>
    <definedName name="v_29_H">Model!$BZ$188</definedName>
    <definedName name="v_29_SALPHA">Model!$CA$188</definedName>
    <definedName name="v_29_SAN">Model!$AX$188</definedName>
    <definedName name="v_29_SB">Model!$F$188</definedName>
    <definedName name="v_29_SCa">Model!$AY$188</definedName>
    <definedName name="v_29_SCAT">Model!$AW$188</definedName>
    <definedName name="v_29_SCH4">Model!$AS$188</definedName>
    <definedName name="v_29_SCO2">Model!$AU$188</definedName>
    <definedName name="v_29_SFe2">Model!$BE$188</definedName>
    <definedName name="v_29_SH2">Model!$AT$188</definedName>
    <definedName name="v_29_SH2S">Model!$BB$188</definedName>
    <definedName name="v_29_SK">Model!$BA$188</definedName>
    <definedName name="v_29_SMEOL">Model!$G$188</definedName>
    <definedName name="v_29_SMg">Model!$AZ$188</definedName>
    <definedName name="v_29_SMM_index">Model!$CT$188</definedName>
    <definedName name="v_29_SN_B">Model!$AJ$188</definedName>
    <definedName name="v_29_SN2">Model!$AI$188</definedName>
    <definedName name="v_29_SN2O">Model!$AH$188</definedName>
    <definedName name="v_29_SNH2OH">Model!$AC$188</definedName>
    <definedName name="v_29_SNHx">Model!$AB$188</definedName>
    <definedName name="v_29_SNO_AOB">Model!$AF$188</definedName>
    <definedName name="v_29_SNO_OHO">Model!$AG$188</definedName>
    <definedName name="v_29_SNO2">Model!$AE$188</definedName>
    <definedName name="v_29_SNO3">Model!$AD$188</definedName>
    <definedName name="v_29_SO2">Model!$AR$188</definedName>
    <definedName name="v_29_SP_B">Model!$AO$188</definedName>
    <definedName name="v_29_SPO4">Model!$AM$188</definedName>
    <definedName name="v_29_SSO4">Model!$BC$188</definedName>
    <definedName name="v_29_SU">Model!$J$188</definedName>
    <definedName name="v_29_SVFA">Model!$E$188</definedName>
    <definedName name="v_29_XACP">Model!$BU$188</definedName>
    <definedName name="v_29_XAMETO">Model!$W$188</definedName>
    <definedName name="v_29_XAMX">Model!$V$188</definedName>
    <definedName name="v_29_XAOB">Model!$T$188</definedName>
    <definedName name="v_29_XASRO">Model!$Y$188</definedName>
    <definedName name="v_29_XB">Model!$I$188</definedName>
    <definedName name="v_29_XBSH">Model!$BV$188</definedName>
    <definedName name="v_29_XCaCO3">Model!$BT$188</definedName>
    <definedName name="v_29_XCASTO">Model!$R$188</definedName>
    <definedName name="v_29_XE">Model!$O$188</definedName>
    <definedName name="v_29_XE_ana">Model!$P$188</definedName>
    <definedName name="v_29_XFeS">Model!$BY$188</definedName>
    <definedName name="v_29_XGLY">Model!$N$188</definedName>
    <definedName name="v_29_XHAO_H">Model!$BM$188</definedName>
    <definedName name="v_29_XHAO_H_P">Model!$BP$188</definedName>
    <definedName name="v_29_XHAO_H_P_old">Model!$BR$188</definedName>
    <definedName name="v_29_XHAO_L">Model!$BN$188</definedName>
    <definedName name="v_29_XHAO_L_P">Model!$BQ$188</definedName>
    <definedName name="v_29_XHAO_L_P_old">Model!$BS$188</definedName>
    <definedName name="v_29_XHAO_old">Model!$BO$188</definedName>
    <definedName name="v_29_XHFO_H">Model!$BF$188</definedName>
    <definedName name="v_29_XHFO_H_P">Model!$BI$188</definedName>
    <definedName name="v_29_XHFO_H_P_old">Model!$BK$188</definedName>
    <definedName name="v_29_XHFO_L">Model!$BG$188</definedName>
    <definedName name="v_29_XHFO_L_P">Model!$BJ$188</definedName>
    <definedName name="v_29_XHFO_L_P_old">Model!$BL$188</definedName>
    <definedName name="v_29_XHFO_old">Model!$BH$188</definedName>
    <definedName name="v_29_XHMETO">Model!$X$188</definedName>
    <definedName name="v_29_XHSRO">Model!$Z$188</definedName>
    <definedName name="v_29_XINORG">Model!$AV$188</definedName>
    <definedName name="v_29_XMEOLO">Model!$S$188</definedName>
    <definedName name="v_29_XMOB">Model!$CU$188</definedName>
    <definedName name="v_29_XN_B">Model!$AK$188</definedName>
    <definedName name="v_29_XN_U">Model!$AL$188</definedName>
    <definedName name="v_29_XNOB">Model!$U$188</definedName>
    <definedName name="v_29_XOHO">Model!$Q$188</definedName>
    <definedName name="v_29_XP_B">Model!$AP$188</definedName>
    <definedName name="v_29_XP_U">Model!$AQ$188</definedName>
    <definedName name="v_29_XPHA">Model!$M$188</definedName>
    <definedName name="v_29_XPP">Model!$AN$188</definedName>
    <definedName name="v_29_XS">Model!$BD$188</definedName>
    <definedName name="v_29_XSOO">Model!$AA$188</definedName>
    <definedName name="v_29_XSTR">Model!$BW$188</definedName>
    <definedName name="v_29_XU">Model!$L$188</definedName>
    <definedName name="v_29_XVivi">Model!$BX$188</definedName>
    <definedName name="v_3_CB">Model!$H$162</definedName>
    <definedName name="v_3_CU">Model!$K$162</definedName>
    <definedName name="v_3_GCH4">Model!$CC$162</definedName>
    <definedName name="v_3_GCH4_atm">Model!$CL$162</definedName>
    <definedName name="v_3_GCO2">Model!$CB$162</definedName>
    <definedName name="v_3_GCO2_atm">Model!$CK$162</definedName>
    <definedName name="v_3_GH2">Model!$CD$162</definedName>
    <definedName name="v_3_GH2_atm">Model!$CM$162</definedName>
    <definedName name="v_3_GH2S">Model!$CJ$162</definedName>
    <definedName name="v_3_GH2S_atm">Model!$CS$162</definedName>
    <definedName name="v_3_GN2">Model!$CI$162</definedName>
    <definedName name="v_3_GN2_atm">Model!$CR$162</definedName>
    <definedName name="v_3_GN2O">Model!$CH$162</definedName>
    <definedName name="v_3_GN2O_atm">Model!$CQ$162</definedName>
    <definedName name="v_3_GNH3">Model!$CF$162</definedName>
    <definedName name="v_3_GNH3_atm">Model!$CO$162</definedName>
    <definedName name="v_3_GNO">Model!$CG$162</definedName>
    <definedName name="v_3_GNO_atm">Model!$CP$162</definedName>
    <definedName name="v_3_GO2">Model!$CE$162</definedName>
    <definedName name="v_3_GO2_atm">Model!$CN$162</definedName>
    <definedName name="v_3_H">Model!$BZ$162</definedName>
    <definedName name="v_3_SALPHA">Model!$CA$162</definedName>
    <definedName name="v_3_SAN">Model!$AX$162</definedName>
    <definedName name="v_3_SB">Model!$F$162</definedName>
    <definedName name="v_3_SCa">Model!$AY$162</definedName>
    <definedName name="v_3_SCAT">Model!$AW$162</definedName>
    <definedName name="v_3_SCH4">Model!$AS$162</definedName>
    <definedName name="v_3_SCO2">Model!$AU$162</definedName>
    <definedName name="v_3_SFe2">Model!$BE$162</definedName>
    <definedName name="v_3_SH2">Model!$AT$162</definedName>
    <definedName name="v_3_SH2S">Model!$BB$162</definedName>
    <definedName name="v_3_SK">Model!$BA$162</definedName>
    <definedName name="v_3_SMEOL">Model!$G$162</definedName>
    <definedName name="v_3_SMg">Model!$AZ$162</definedName>
    <definedName name="v_3_SMM_index">Model!$CT$162</definedName>
    <definedName name="v_3_SN_B">Model!$AJ$162</definedName>
    <definedName name="v_3_SN2">Model!$AI$162</definedName>
    <definedName name="v_3_SN2O">Model!$AH$162</definedName>
    <definedName name="v_3_SNH2OH">Model!$AC$162</definedName>
    <definedName name="v_3_SNHx">Model!$AB$162</definedName>
    <definedName name="v_3_SNO_AOB">Model!$AF$162</definedName>
    <definedName name="v_3_SNO_OHO">Model!$AG$162</definedName>
    <definedName name="v_3_SNO2">Model!$AE$162</definedName>
    <definedName name="v_3_SNO3">Model!$AD$162</definedName>
    <definedName name="v_3_SO2">Model!$AR$162</definedName>
    <definedName name="v_3_SP_B">Model!$AO$162</definedName>
    <definedName name="v_3_SPO4">Model!$AM$162</definedName>
    <definedName name="v_3_SSO4">Model!$BC$162</definedName>
    <definedName name="v_3_SU">Model!$J$162</definedName>
    <definedName name="v_3_SVFA">Model!$E$162</definedName>
    <definedName name="v_3_XACP">Model!$BU$162</definedName>
    <definedName name="v_3_XAMETO">Model!$W$162</definedName>
    <definedName name="v_3_XAMX">Model!$V$162</definedName>
    <definedName name="v_3_XAOB">Model!$T$162</definedName>
    <definedName name="v_3_XASRO">Model!$Y$162</definedName>
    <definedName name="v_3_XB">Model!$I$162</definedName>
    <definedName name="v_3_XBSH">Model!$BV$162</definedName>
    <definedName name="v_3_XCaCO3">Model!$BT$162</definedName>
    <definedName name="v_3_XCASTO">Model!$R$162</definedName>
    <definedName name="v_3_XE">Model!$O$162</definedName>
    <definedName name="v_3_XE_ana">Model!$P$162</definedName>
    <definedName name="v_3_XFeS">Model!$BY$162</definedName>
    <definedName name="v_3_XGLY">Model!$N$162</definedName>
    <definedName name="v_3_XHAO_H">Model!$BM$162</definedName>
    <definedName name="v_3_XHAO_H_P">Model!$BP$162</definedName>
    <definedName name="v_3_XHAO_H_P_old">Model!$BR$162</definedName>
    <definedName name="v_3_XHAO_L">Model!$BN$162</definedName>
    <definedName name="v_3_XHAO_L_P">Model!$BQ$162</definedName>
    <definedName name="v_3_XHAO_L_P_old">Model!$BS$162</definedName>
    <definedName name="v_3_XHAO_old">Model!$BO$162</definedName>
    <definedName name="v_3_XHFO_H">Model!$BF$162</definedName>
    <definedName name="v_3_XHFO_H_P">Model!$BI$162</definedName>
    <definedName name="v_3_XHFO_H_P_old">Model!$BK$162</definedName>
    <definedName name="v_3_XHFO_L">Model!$BG$162</definedName>
    <definedName name="v_3_XHFO_L_P">Model!$BJ$162</definedName>
    <definedName name="v_3_XHFO_L_P_old">Model!$BL$162</definedName>
    <definedName name="v_3_XHFO_old">Model!$BH$162</definedName>
    <definedName name="v_3_XHMETO">Model!$X$162</definedName>
    <definedName name="v_3_XHSRO">Model!$Z$162</definedName>
    <definedName name="v_3_XINORG">Model!$AV$162</definedName>
    <definedName name="v_3_XMEOLO">Model!$S$162</definedName>
    <definedName name="v_3_XMOB">Model!$CU$162</definedName>
    <definedName name="v_3_XN_B">Model!$AK$162</definedName>
    <definedName name="v_3_XN_U">Model!$AL$162</definedName>
    <definedName name="v_3_XNOB">Model!$U$162</definedName>
    <definedName name="v_3_XOHO">Model!$Q$162</definedName>
    <definedName name="v_3_XP_B">Model!$AP$162</definedName>
    <definedName name="v_3_XP_U">Model!$AQ$162</definedName>
    <definedName name="v_3_XPHA">Model!$M$162</definedName>
    <definedName name="v_3_XPP">Model!$AN$162</definedName>
    <definedName name="v_3_XS">Model!$BD$162</definedName>
    <definedName name="v_3_XSOO">Model!$AA$162</definedName>
    <definedName name="v_3_XSTR">Model!$BW$162</definedName>
    <definedName name="v_3_XU">Model!$L$162</definedName>
    <definedName name="v_3_XVivi">Model!$BX$162</definedName>
    <definedName name="v_30_CB">Model!$H$189</definedName>
    <definedName name="v_30_CU">Model!$K$189</definedName>
    <definedName name="v_30_GCH4">Model!$CC$189</definedName>
    <definedName name="v_30_GCH4_atm">Model!$CL$189</definedName>
    <definedName name="v_30_GCO2">Model!$CB$189</definedName>
    <definedName name="v_30_GCO2_atm">Model!$CK$189</definedName>
    <definedName name="v_30_GH2">Model!$CD$189</definedName>
    <definedName name="v_30_GH2_atm">Model!$CM$189</definedName>
    <definedName name="v_30_GH2S">Model!$CJ$189</definedName>
    <definedName name="v_30_GH2S_atm">Model!$CS$189</definedName>
    <definedName name="v_30_GN2">Model!$CI$189</definedName>
    <definedName name="v_30_GN2_atm">Model!$CR$189</definedName>
    <definedName name="v_30_GN2O">Model!$CH$189</definedName>
    <definedName name="v_30_GN2O_atm">Model!$CQ$189</definedName>
    <definedName name="v_30_GNH3">Model!$CF$189</definedName>
    <definedName name="v_30_GNH3_atm">Model!$CO$189</definedName>
    <definedName name="v_30_GNO">Model!$CG$189</definedName>
    <definedName name="v_30_GNO_atm">Model!$CP$189</definedName>
    <definedName name="v_30_GO2">Model!$CE$189</definedName>
    <definedName name="v_30_GO2_atm">Model!$CN$189</definedName>
    <definedName name="v_30_H">Model!$BZ$189</definedName>
    <definedName name="v_30_SALPHA">Model!$CA$189</definedName>
    <definedName name="v_30_SAN">Model!$AX$189</definedName>
    <definedName name="v_30_SB">Model!$F$189</definedName>
    <definedName name="v_30_SCa">Model!$AY$189</definedName>
    <definedName name="v_30_SCAT">Model!$AW$189</definedName>
    <definedName name="v_30_SCH4">Model!$AS$189</definedName>
    <definedName name="v_30_SCO2">Model!$AU$189</definedName>
    <definedName name="v_30_SFe2">Model!$BE$189</definedName>
    <definedName name="v_30_SH2">Model!$AT$189</definedName>
    <definedName name="v_30_SH2S">Model!$BB$189</definedName>
    <definedName name="v_30_SK">Model!$BA$189</definedName>
    <definedName name="v_30_SMEOL">Model!$G$189</definedName>
    <definedName name="v_30_SMg">Model!$AZ$189</definedName>
    <definedName name="v_30_SMM_index">Model!$CT$189</definedName>
    <definedName name="v_30_SN_B">Model!$AJ$189</definedName>
    <definedName name="v_30_SN2">Model!$AI$189</definedName>
    <definedName name="v_30_SN2O">Model!$AH$189</definedName>
    <definedName name="v_30_SNH2OH">Model!$AC$189</definedName>
    <definedName name="v_30_SNHx">Model!$AB$189</definedName>
    <definedName name="v_30_SNO_AOB">Model!$AF$189</definedName>
    <definedName name="v_30_SNO_OHO">Model!$AG$189</definedName>
    <definedName name="v_30_SNO2">Model!$AE$189</definedName>
    <definedName name="v_30_SNO3">Model!$AD$189</definedName>
    <definedName name="v_30_SO2">Model!$AR$189</definedName>
    <definedName name="v_30_SP_B">Model!$AO$189</definedName>
    <definedName name="v_30_SPO4">Model!$AM$189</definedName>
    <definedName name="v_30_SSO4">Model!$BC$189</definedName>
    <definedName name="v_30_SU">Model!$J$189</definedName>
    <definedName name="v_30_SVFA">Model!$E$189</definedName>
    <definedName name="v_30_XACP">Model!$BU$189</definedName>
    <definedName name="v_30_XAMETO">Model!$W$189</definedName>
    <definedName name="v_30_XAMX">Model!$V$189</definedName>
    <definedName name="v_30_XAOB">Model!$T$189</definedName>
    <definedName name="v_30_XASRO">Model!$Y$189</definedName>
    <definedName name="v_30_XB">Model!$I$189</definedName>
    <definedName name="v_30_XBSH">Model!$BV$189</definedName>
    <definedName name="v_30_XCaCO3">Model!$BT$189</definedName>
    <definedName name="v_30_XCASTO">Model!$R$189</definedName>
    <definedName name="v_30_XE">Model!$O$189</definedName>
    <definedName name="v_30_XE_ana">Model!$P$189</definedName>
    <definedName name="v_30_XFeS">Model!$BY$189</definedName>
    <definedName name="v_30_XGLY">Model!$N$189</definedName>
    <definedName name="v_30_XHAO_H">Model!$BM$189</definedName>
    <definedName name="v_30_XHAO_H_P">Model!$BP$189</definedName>
    <definedName name="v_30_XHAO_H_P_old">Model!$BR$189</definedName>
    <definedName name="v_30_XHAO_L">Model!$BN$189</definedName>
    <definedName name="v_30_XHAO_L_P">Model!$BQ$189</definedName>
    <definedName name="v_30_XHAO_L_P_old">Model!$BS$189</definedName>
    <definedName name="v_30_XHAO_old">Model!$BO$189</definedName>
    <definedName name="v_30_XHFO_H">Model!$BF$189</definedName>
    <definedName name="v_30_XHFO_H_P">Model!$BI$189</definedName>
    <definedName name="v_30_XHFO_H_P_old">Model!$BK$189</definedName>
    <definedName name="v_30_XHFO_L">Model!$BG$189</definedName>
    <definedName name="v_30_XHFO_L_P">Model!$BJ$189</definedName>
    <definedName name="v_30_XHFO_L_P_old">Model!$BL$189</definedName>
    <definedName name="v_30_XHFO_old">Model!$BH$189</definedName>
    <definedName name="v_30_XHMETO">Model!$X$189</definedName>
    <definedName name="v_30_XHSRO">Model!$Z$189</definedName>
    <definedName name="v_30_XINORG">Model!$AV$189</definedName>
    <definedName name="v_30_XMEOLO">Model!$S$189</definedName>
    <definedName name="v_30_XMOB">Model!$CU$189</definedName>
    <definedName name="v_30_XN_B">Model!$AK$189</definedName>
    <definedName name="v_30_XN_U">Model!$AL$189</definedName>
    <definedName name="v_30_XNOB">Model!$U$189</definedName>
    <definedName name="v_30_XOHO">Model!$Q$189</definedName>
    <definedName name="v_30_XP_B">Model!$AP$189</definedName>
    <definedName name="v_30_XP_U">Model!$AQ$189</definedName>
    <definedName name="v_30_XPHA">Model!$M$189</definedName>
    <definedName name="v_30_XPP">Model!$AN$189</definedName>
    <definedName name="v_30_XS">Model!$BD$189</definedName>
    <definedName name="v_30_XSOO">Model!$AA$189</definedName>
    <definedName name="v_30_XSTR">Model!$BW$189</definedName>
    <definedName name="v_30_XU">Model!$L$189</definedName>
    <definedName name="v_30_XVivi">Model!$BX$189</definedName>
    <definedName name="v_31_CB">Model!$H$190</definedName>
    <definedName name="v_31_CU">Model!$K$190</definedName>
    <definedName name="v_31_GCH4">Model!$CC$190</definedName>
    <definedName name="v_31_GCH4_atm">Model!$CL$190</definedName>
    <definedName name="v_31_GCO2">Model!$CB$190</definedName>
    <definedName name="v_31_GCO2_atm">Model!$CK$190</definedName>
    <definedName name="v_31_GH2">Model!$CD$190</definedName>
    <definedName name="v_31_GH2_atm">Model!$CM$190</definedName>
    <definedName name="v_31_GH2S">Model!$CJ$190</definedName>
    <definedName name="v_31_GH2S_atm">Model!$CS$190</definedName>
    <definedName name="v_31_GN2">Model!$CI$190</definedName>
    <definedName name="v_31_GN2_atm">Model!$CR$190</definedName>
    <definedName name="v_31_GN2O">Model!$CH$190</definedName>
    <definedName name="v_31_GN2O_atm">Model!$CQ$190</definedName>
    <definedName name="v_31_GNH3">Model!$CF$190</definedName>
    <definedName name="v_31_GNH3_atm">Model!$CO$190</definedName>
    <definedName name="v_31_GNO">Model!$CG$190</definedName>
    <definedName name="v_31_GNO_atm">Model!$CP$190</definedName>
    <definedName name="v_31_GO2">Model!$CE$190</definedName>
    <definedName name="v_31_GO2_atm">Model!$CN$190</definedName>
    <definedName name="v_31_H">Model!$BZ$190</definedName>
    <definedName name="v_31_SALPHA">Model!$CA$190</definedName>
    <definedName name="v_31_SAN">Model!$AX$190</definedName>
    <definedName name="v_31_SB">Model!$F$190</definedName>
    <definedName name="v_31_SCa">Model!$AY$190</definedName>
    <definedName name="v_31_SCAT">Model!$AW$190</definedName>
    <definedName name="v_31_SCH4">Model!$AS$190</definedName>
    <definedName name="v_31_SCO2">Model!$AU$190</definedName>
    <definedName name="v_31_SFe2">Model!$BE$190</definedName>
    <definedName name="v_31_SH2">Model!$AT$190</definedName>
    <definedName name="v_31_SH2S">Model!$BB$190</definedName>
    <definedName name="v_31_SK">Model!$BA$190</definedName>
    <definedName name="v_31_SMEOL">Model!$G$190</definedName>
    <definedName name="v_31_SMg">Model!$AZ$190</definedName>
    <definedName name="v_31_SMM_index">Model!$CT$190</definedName>
    <definedName name="v_31_SN_B">Model!$AJ$190</definedName>
    <definedName name="v_31_SN2">Model!$AI$190</definedName>
    <definedName name="v_31_SN2O">Model!$AH$190</definedName>
    <definedName name="v_31_SNH2OH">Model!$AC$190</definedName>
    <definedName name="v_31_SNHx">Model!$AB$190</definedName>
    <definedName name="v_31_SNO_AOB">Model!$AF$190</definedName>
    <definedName name="v_31_SNO_OHO">Model!$AG$190</definedName>
    <definedName name="v_31_SNO2">Model!$AE$190</definedName>
    <definedName name="v_31_SNO3">Model!$AD$190</definedName>
    <definedName name="v_31_SO2">Model!$AR$190</definedName>
    <definedName name="v_31_SP_B">Model!$AO$190</definedName>
    <definedName name="v_31_SPO4">Model!$AM$190</definedName>
    <definedName name="v_31_SSO4">Model!$BC$190</definedName>
    <definedName name="v_31_SU">Model!$J$190</definedName>
    <definedName name="v_31_SVFA">Model!$E$190</definedName>
    <definedName name="v_31_XACP">Model!$BU$190</definedName>
    <definedName name="v_31_XAMETO">Model!$W$190</definedName>
    <definedName name="v_31_XAMX">Model!$V$190</definedName>
    <definedName name="v_31_XAOB">Model!$T$190</definedName>
    <definedName name="v_31_XASRO">Model!$Y$190</definedName>
    <definedName name="v_31_XB">Model!$I$190</definedName>
    <definedName name="v_31_XBSH">Model!$BV$190</definedName>
    <definedName name="v_31_XCaCO3">Model!$BT$190</definedName>
    <definedName name="v_31_XCASTO">Model!$R$190</definedName>
    <definedName name="v_31_XE">Model!$O$190</definedName>
    <definedName name="v_31_XE_ana">Model!$P$190</definedName>
    <definedName name="v_31_XFeS">Model!$BY$190</definedName>
    <definedName name="v_31_XGLY">Model!$N$190</definedName>
    <definedName name="v_31_XHAO_H">Model!$BM$190</definedName>
    <definedName name="v_31_XHAO_H_P">Model!$BP$190</definedName>
    <definedName name="v_31_XHAO_H_P_old">Model!$BR$190</definedName>
    <definedName name="v_31_XHAO_L">Model!$BN$190</definedName>
    <definedName name="v_31_XHAO_L_P">Model!$BQ$190</definedName>
    <definedName name="v_31_XHAO_L_P_old">Model!$BS$190</definedName>
    <definedName name="v_31_XHAO_old">Model!$BO$190</definedName>
    <definedName name="v_31_XHFO_H">Model!$BF$190</definedName>
    <definedName name="v_31_XHFO_H_P">Model!$BI$190</definedName>
    <definedName name="v_31_XHFO_H_P_old">Model!$BK$190</definedName>
    <definedName name="v_31_XHFO_L">Model!$BG$190</definedName>
    <definedName name="v_31_XHFO_L_P">Model!$BJ$190</definedName>
    <definedName name="v_31_XHFO_L_P_old">Model!$BL$190</definedName>
    <definedName name="v_31_XHFO_old">Model!$BH$190</definedName>
    <definedName name="v_31_XHMETO">Model!$X$190</definedName>
    <definedName name="v_31_XHSRO">Model!$Z$190</definedName>
    <definedName name="v_31_XINORG">Model!$AV$190</definedName>
    <definedName name="v_31_XMEOLO">Model!$S$190</definedName>
    <definedName name="v_31_XMOB">Model!$CU$190</definedName>
    <definedName name="v_31_XN_B">Model!$AK$190</definedName>
    <definedName name="v_31_XN_U">Model!$AL$190</definedName>
    <definedName name="v_31_XNOB">Model!$U$190</definedName>
    <definedName name="v_31_XOHO">Model!$Q$190</definedName>
    <definedName name="v_31_XP_B">Model!$AP$190</definedName>
    <definedName name="v_31_XP_U">Model!$AQ$190</definedName>
    <definedName name="v_31_XPHA">Model!$M$190</definedName>
    <definedName name="v_31_XPP">Model!$AN$190</definedName>
    <definedName name="v_31_XS">Model!$BD$190</definedName>
    <definedName name="v_31_XSOO">Model!$AA$190</definedName>
    <definedName name="v_31_XSTR">Model!$BW$190</definedName>
    <definedName name="v_31_XU">Model!$L$190</definedName>
    <definedName name="v_31_XVivi">Model!$BX$190</definedName>
    <definedName name="v_32_CB">Model!$H$191</definedName>
    <definedName name="v_32_CU">Model!$K$191</definedName>
    <definedName name="v_32_GCH4">Model!$CC$191</definedName>
    <definedName name="v_32_GCH4_atm">Model!$CL$191</definedName>
    <definedName name="v_32_GCO2">Model!$CB$191</definedName>
    <definedName name="v_32_GCO2_atm">Model!$CK$191</definedName>
    <definedName name="v_32_GH2">Model!$CD$191</definedName>
    <definedName name="v_32_GH2_atm">Model!$CM$191</definedName>
    <definedName name="v_32_GH2S">Model!$CJ$191</definedName>
    <definedName name="v_32_GH2S_atm">Model!$CS$191</definedName>
    <definedName name="v_32_GN2">Model!$CI$191</definedName>
    <definedName name="v_32_GN2_atm">Model!$CR$191</definedName>
    <definedName name="v_32_GN2O">Model!$CH$191</definedName>
    <definedName name="v_32_GN2O_atm">Model!$CQ$191</definedName>
    <definedName name="v_32_GNH3">Model!$CF$191</definedName>
    <definedName name="v_32_GNH3_atm">Model!$CO$191</definedName>
    <definedName name="v_32_GNO">Model!$CG$191</definedName>
    <definedName name="v_32_GNO_atm">Model!$CP$191</definedName>
    <definedName name="v_32_GO2">Model!$CE$191</definedName>
    <definedName name="v_32_GO2_atm">Model!$CN$191</definedName>
    <definedName name="v_32_H">Model!$BZ$191</definedName>
    <definedName name="v_32_SALPHA">Model!$CA$191</definedName>
    <definedName name="v_32_SAN">Model!$AX$191</definedName>
    <definedName name="v_32_SB">Model!$F$191</definedName>
    <definedName name="v_32_SCa">Model!$AY$191</definedName>
    <definedName name="v_32_SCAT">Model!$AW$191</definedName>
    <definedName name="v_32_SCH4">Model!$AS$191</definedName>
    <definedName name="v_32_SCO2">Model!$AU$191</definedName>
    <definedName name="v_32_SFe2">Model!$BE$191</definedName>
    <definedName name="v_32_SH2">Model!$AT$191</definedName>
    <definedName name="v_32_SH2S">Model!$BB$191</definedName>
    <definedName name="v_32_SK">Model!$BA$191</definedName>
    <definedName name="v_32_SMEOL">Model!$G$191</definedName>
    <definedName name="v_32_SMg">Model!$AZ$191</definedName>
    <definedName name="v_32_SMM_index">Model!$CT$191</definedName>
    <definedName name="v_32_SN_B">Model!$AJ$191</definedName>
    <definedName name="v_32_SN2">Model!$AI$191</definedName>
    <definedName name="v_32_SN2O">Model!$AH$191</definedName>
    <definedName name="v_32_SNH2OH">Model!$AC$191</definedName>
    <definedName name="v_32_SNHx">Model!$AB$191</definedName>
    <definedName name="v_32_SNO_AOB">Model!$AF$191</definedName>
    <definedName name="v_32_SNO_OHO">Model!$AG$191</definedName>
    <definedName name="v_32_SNO2">Model!$AE$191</definedName>
    <definedName name="v_32_SNO3">Model!$AD$191</definedName>
    <definedName name="v_32_SO2">Model!$AR$191</definedName>
    <definedName name="v_32_SP_B">Model!$AO$191</definedName>
    <definedName name="v_32_SPO4">Model!$AM$191</definedName>
    <definedName name="v_32_SSO4">Model!$BC$191</definedName>
    <definedName name="v_32_SU">Model!$J$191</definedName>
    <definedName name="v_32_SVFA">Model!$E$191</definedName>
    <definedName name="v_32_XACP">Model!$BU$191</definedName>
    <definedName name="v_32_XAMETO">Model!$W$191</definedName>
    <definedName name="v_32_XAMX">Model!$V$191</definedName>
    <definedName name="v_32_XAOB">Model!$T$191</definedName>
    <definedName name="v_32_XASRO">Model!$Y$191</definedName>
    <definedName name="v_32_XB">Model!$I$191</definedName>
    <definedName name="v_32_XBSH">Model!$BV$191</definedName>
    <definedName name="v_32_XCaCO3">Model!$BT$191</definedName>
    <definedName name="v_32_XCASTO">Model!$R$191</definedName>
    <definedName name="v_32_XE">Model!$O$191</definedName>
    <definedName name="v_32_XE_ana">Model!$P$191</definedName>
    <definedName name="v_32_XFeS">Model!$BY$191</definedName>
    <definedName name="v_32_XGLY">Model!$N$191</definedName>
    <definedName name="v_32_XHAO_H">Model!$BM$191</definedName>
    <definedName name="v_32_XHAO_H_P">Model!$BP$191</definedName>
    <definedName name="v_32_XHAO_H_P_old">Model!$BR$191</definedName>
    <definedName name="v_32_XHAO_L">Model!$BN$191</definedName>
    <definedName name="v_32_XHAO_L_P">Model!$BQ$191</definedName>
    <definedName name="v_32_XHAO_L_P_old">Model!$BS$191</definedName>
    <definedName name="v_32_XHAO_old">Model!$BO$191</definedName>
    <definedName name="v_32_XHFO_H">Model!$BF$191</definedName>
    <definedName name="v_32_XHFO_H_P">Model!$BI$191</definedName>
    <definedName name="v_32_XHFO_H_P_old">Model!$BK$191</definedName>
    <definedName name="v_32_XHFO_L">Model!$BG$191</definedName>
    <definedName name="v_32_XHFO_L_P">Model!$BJ$191</definedName>
    <definedName name="v_32_XHFO_L_P_old">Model!$BL$191</definedName>
    <definedName name="v_32_XHFO_old">Model!$BH$191</definedName>
    <definedName name="v_32_XHMETO">Model!$X$191</definedName>
    <definedName name="v_32_XHSRO">Model!$Z$191</definedName>
    <definedName name="v_32_XINORG">Model!$AV$191</definedName>
    <definedName name="v_32_XMEOLO">Model!$S$191</definedName>
    <definedName name="v_32_XMOB">Model!$CU$191</definedName>
    <definedName name="v_32_XN_B">Model!$AK$191</definedName>
    <definedName name="v_32_XN_U">Model!$AL$191</definedName>
    <definedName name="v_32_XNOB">Model!$U$191</definedName>
    <definedName name="v_32_XOHO">Model!$Q$191</definedName>
    <definedName name="v_32_XP_B">Model!$AP$191</definedName>
    <definedName name="v_32_XP_U">Model!$AQ$191</definedName>
    <definedName name="v_32_XPHA">Model!$M$191</definedName>
    <definedName name="v_32_XPP">Model!$AN$191</definedName>
    <definedName name="v_32_XS">Model!$BD$191</definedName>
    <definedName name="v_32_XSOO">Model!$AA$191</definedName>
    <definedName name="v_32_XSTR">Model!$BW$191</definedName>
    <definedName name="v_32_XU">Model!$L$191</definedName>
    <definedName name="v_32_XVivi">Model!$BX$191</definedName>
    <definedName name="v_33_CB">Model!$H$192</definedName>
    <definedName name="v_33_CU">Model!$K$192</definedName>
    <definedName name="v_33_GCH4">Model!$CC$192</definedName>
    <definedName name="v_33_GCH4_atm">Model!$CL$192</definedName>
    <definedName name="v_33_GCO2">Model!$CB$192</definedName>
    <definedName name="v_33_GCO2_atm">Model!$CK$192</definedName>
    <definedName name="v_33_GH2">Model!$CD$192</definedName>
    <definedName name="v_33_GH2_atm">Model!$CM$192</definedName>
    <definedName name="v_33_GH2S">Model!$CJ$192</definedName>
    <definedName name="v_33_GH2S_atm">Model!$CS$192</definedName>
    <definedName name="v_33_GN2">Model!$CI$192</definedName>
    <definedName name="v_33_GN2_atm">Model!$CR$192</definedName>
    <definedName name="v_33_GN2O">Model!$CH$192</definedName>
    <definedName name="v_33_GN2O_atm">Model!$CQ$192</definedName>
    <definedName name="v_33_GNH3">Model!$CF$192</definedName>
    <definedName name="v_33_GNH3_atm">Model!$CO$192</definedName>
    <definedName name="v_33_GNO">Model!$CG$192</definedName>
    <definedName name="v_33_GNO_atm">Model!$CP$192</definedName>
    <definedName name="v_33_GO2">Model!$CE$192</definedName>
    <definedName name="v_33_GO2_atm">Model!$CN$192</definedName>
    <definedName name="v_33_H">Model!$BZ$192</definedName>
    <definedName name="v_33_SALPHA">Model!$CA$192</definedName>
    <definedName name="v_33_SAN">Model!$AX$192</definedName>
    <definedName name="v_33_SB">Model!$F$192</definedName>
    <definedName name="v_33_SCa">Model!$AY$192</definedName>
    <definedName name="v_33_SCAT">Model!$AW$192</definedName>
    <definedName name="v_33_SCH4">Model!$AS$192</definedName>
    <definedName name="v_33_SCO2">Model!$AU$192</definedName>
    <definedName name="v_33_SFe2">Model!$BE$192</definedName>
    <definedName name="v_33_SH2">Model!$AT$192</definedName>
    <definedName name="v_33_SH2S">Model!$BB$192</definedName>
    <definedName name="v_33_SK">Model!$BA$192</definedName>
    <definedName name="v_33_SMEOL">Model!$G$192</definedName>
    <definedName name="v_33_SMg">Model!$AZ$192</definedName>
    <definedName name="v_33_SMM_index">Model!$CT$192</definedName>
    <definedName name="v_33_SN_B">Model!$AJ$192</definedName>
    <definedName name="v_33_SN2">Model!$AI$192</definedName>
    <definedName name="v_33_SN2O">Model!$AH$192</definedName>
    <definedName name="v_33_SNH2OH">Model!$AC$192</definedName>
    <definedName name="v_33_SNHx">Model!$AB$192</definedName>
    <definedName name="v_33_SNO_AOB">Model!$AF$192</definedName>
    <definedName name="v_33_SNO_OHO">Model!$AG$192</definedName>
    <definedName name="v_33_SNO2">Model!$AE$192</definedName>
    <definedName name="v_33_SNO3">Model!$AD$192</definedName>
    <definedName name="v_33_SO2">Model!$AR$192</definedName>
    <definedName name="v_33_SP_B">Model!$AO$192</definedName>
    <definedName name="v_33_SPO4">Model!$AM$192</definedName>
    <definedName name="v_33_SSO4">Model!$BC$192</definedName>
    <definedName name="v_33_SU">Model!$J$192</definedName>
    <definedName name="v_33_SVFA">Model!$E$192</definedName>
    <definedName name="v_33_XACP">Model!$BU$192</definedName>
    <definedName name="v_33_XAMETO">Model!$W$192</definedName>
    <definedName name="v_33_XAMX">Model!$V$192</definedName>
    <definedName name="v_33_XAOB">Model!$T$192</definedName>
    <definedName name="v_33_XASRO">Model!$Y$192</definedName>
    <definedName name="v_33_XB">Model!$I$192</definedName>
    <definedName name="v_33_XBSH">Model!$BV$192</definedName>
    <definedName name="v_33_XCaCO3">Model!$BT$192</definedName>
    <definedName name="v_33_XCASTO">Model!$R$192</definedName>
    <definedName name="v_33_XE">Model!$O$192</definedName>
    <definedName name="v_33_XE_ana">Model!$P$192</definedName>
    <definedName name="v_33_XFeS">Model!$BY$192</definedName>
    <definedName name="v_33_XGLY">Model!$N$192</definedName>
    <definedName name="v_33_XHAO_H">Model!$BM$192</definedName>
    <definedName name="v_33_XHAO_H_P">Model!$BP$192</definedName>
    <definedName name="v_33_XHAO_H_P_old">Model!$BR$192</definedName>
    <definedName name="v_33_XHAO_L">Model!$BN$192</definedName>
    <definedName name="v_33_XHAO_L_P">Model!$BQ$192</definedName>
    <definedName name="v_33_XHAO_L_P_old">Model!$BS$192</definedName>
    <definedName name="v_33_XHAO_old">Model!$BO$192</definedName>
    <definedName name="v_33_XHFO_H">Model!$BF$192</definedName>
    <definedName name="v_33_XHFO_H_P">Model!$BI$192</definedName>
    <definedName name="v_33_XHFO_H_P_old">Model!$BK$192</definedName>
    <definedName name="v_33_XHFO_L">Model!$BG$192</definedName>
    <definedName name="v_33_XHFO_L_P">Model!$BJ$192</definedName>
    <definedName name="v_33_XHFO_L_P_old">Model!$BL$192</definedName>
    <definedName name="v_33_XHFO_old">Model!$BH$192</definedName>
    <definedName name="v_33_XHMETO">Model!$X$192</definedName>
    <definedName name="v_33_XHSRO">Model!$Z$192</definedName>
    <definedName name="v_33_XINORG">Model!$AV$192</definedName>
    <definedName name="v_33_XMEOLO">Model!$S$192</definedName>
    <definedName name="v_33_XMOB">Model!$CU$192</definedName>
    <definedName name="v_33_XN_B">Model!$AK$192</definedName>
    <definedName name="v_33_XN_U">Model!$AL$192</definedName>
    <definedName name="v_33_XNOB">Model!$U$192</definedName>
    <definedName name="v_33_XOHO">Model!$Q$192</definedName>
    <definedName name="v_33_XP_B">Model!$AP$192</definedName>
    <definedName name="v_33_XP_U">Model!$AQ$192</definedName>
    <definedName name="v_33_XPHA">Model!$M$192</definedName>
    <definedName name="v_33_XPP">Model!$AN$192</definedName>
    <definedName name="v_33_XS">Model!$BD$192</definedName>
    <definedName name="v_33_XSOO">Model!$AA$192</definedName>
    <definedName name="v_33_XSTR">Model!$BW$192</definedName>
    <definedName name="v_33_XU">Model!$L$192</definedName>
    <definedName name="v_33_XVivi">Model!$BX$192</definedName>
    <definedName name="v_34_CB">Model!$H$193</definedName>
    <definedName name="v_34_CU">Model!$K$193</definedName>
    <definedName name="v_34_GCH4">Model!$CC$193</definedName>
    <definedName name="v_34_GCH4_atm">Model!$CL$193</definedName>
    <definedName name="v_34_GCO2">Model!$CB$193</definedName>
    <definedName name="v_34_GCO2_atm">Model!$CK$193</definedName>
    <definedName name="v_34_GH2">Model!$CD$193</definedName>
    <definedName name="v_34_GH2_atm">Model!$CM$193</definedName>
    <definedName name="v_34_GH2S">Model!$CJ$193</definedName>
    <definedName name="v_34_GH2S_atm">Model!$CS$193</definedName>
    <definedName name="v_34_GN2">Model!$CI$193</definedName>
    <definedName name="v_34_GN2_atm">Model!$CR$193</definedName>
    <definedName name="v_34_GN2O">Model!$CH$193</definedName>
    <definedName name="v_34_GN2O_atm">Model!$CQ$193</definedName>
    <definedName name="v_34_GNH3">Model!$CF$193</definedName>
    <definedName name="v_34_GNH3_atm">Model!$CO$193</definedName>
    <definedName name="v_34_GNO">Model!$CG$193</definedName>
    <definedName name="v_34_GNO_atm">Model!$CP$193</definedName>
    <definedName name="v_34_GO2">Model!$CE$193</definedName>
    <definedName name="v_34_GO2_atm">Model!$CN$193</definedName>
    <definedName name="v_34_H">Model!$BZ$193</definedName>
    <definedName name="v_34_SALPHA">Model!$CA$193</definedName>
    <definedName name="v_34_SAN">Model!$AX$193</definedName>
    <definedName name="v_34_SB">Model!$F$193</definedName>
    <definedName name="v_34_SCa">Model!$AY$193</definedName>
    <definedName name="v_34_SCAT">Model!$AW$193</definedName>
    <definedName name="v_34_SCH4">Model!$AS$193</definedName>
    <definedName name="v_34_SCO2">Model!$AU$193</definedName>
    <definedName name="v_34_SFe2">Model!$BE$193</definedName>
    <definedName name="v_34_SH2">Model!$AT$193</definedName>
    <definedName name="v_34_SH2S">Model!$BB$193</definedName>
    <definedName name="v_34_SK">Model!$BA$193</definedName>
    <definedName name="v_34_SMEOL">Model!$G$193</definedName>
    <definedName name="v_34_SMg">Model!$AZ$193</definedName>
    <definedName name="v_34_SMM_index">Model!$CT$193</definedName>
    <definedName name="v_34_SN_B">Model!$AJ$193</definedName>
    <definedName name="v_34_SN2">Model!$AI$193</definedName>
    <definedName name="v_34_SN2O">Model!$AH$193</definedName>
    <definedName name="v_34_SNH2OH">Model!$AC$193</definedName>
    <definedName name="v_34_SNHx">Model!$AB$193</definedName>
    <definedName name="v_34_SNO_AOB">Model!$AF$193</definedName>
    <definedName name="v_34_SNO_OHO">Model!$AG$193</definedName>
    <definedName name="v_34_SNO2">Model!$AE$193</definedName>
    <definedName name="v_34_SNO3">Model!$AD$193</definedName>
    <definedName name="v_34_SO2">Model!$AR$193</definedName>
    <definedName name="v_34_SP_B">Model!$AO$193</definedName>
    <definedName name="v_34_SPO4">Model!$AM$193</definedName>
    <definedName name="v_34_SSO4">Model!$BC$193</definedName>
    <definedName name="v_34_SU">Model!$J$193</definedName>
    <definedName name="v_34_SVFA">Model!$E$193</definedName>
    <definedName name="v_34_XACP">Model!$BU$193</definedName>
    <definedName name="v_34_XAMETO">Model!$W$193</definedName>
    <definedName name="v_34_XAMX">Model!$V$193</definedName>
    <definedName name="v_34_XAOB">Model!$T$193</definedName>
    <definedName name="v_34_XASRO">Model!$Y$193</definedName>
    <definedName name="v_34_XB">Model!$I$193</definedName>
    <definedName name="v_34_XBSH">Model!$BV$193</definedName>
    <definedName name="v_34_XCaCO3">Model!$BT$193</definedName>
    <definedName name="v_34_XCASTO">Model!$R$193</definedName>
    <definedName name="v_34_XE">Model!$O$193</definedName>
    <definedName name="v_34_XE_ana">Model!$P$193</definedName>
    <definedName name="v_34_XFeS">Model!$BY$193</definedName>
    <definedName name="v_34_XGLY">Model!$N$193</definedName>
    <definedName name="v_34_XHAO_H">Model!$BM$193</definedName>
    <definedName name="v_34_XHAO_H_P">Model!$BP$193</definedName>
    <definedName name="v_34_XHAO_H_P_old">Model!$BR$193</definedName>
    <definedName name="v_34_XHAO_L">Model!$BN$193</definedName>
    <definedName name="v_34_XHAO_L_P">Model!$BQ$193</definedName>
    <definedName name="v_34_XHAO_L_P_old">Model!$BS$193</definedName>
    <definedName name="v_34_XHAO_old">Model!$BO$193</definedName>
    <definedName name="v_34_XHFO_H">Model!$BF$193</definedName>
    <definedName name="v_34_XHFO_H_P">Model!$BI$193</definedName>
    <definedName name="v_34_XHFO_H_P_old">Model!$BK$193</definedName>
    <definedName name="v_34_XHFO_L">Model!$BG$193</definedName>
    <definedName name="v_34_XHFO_L_P">Model!$BJ$193</definedName>
    <definedName name="v_34_XHFO_L_P_old">Model!$BL$193</definedName>
    <definedName name="v_34_XHFO_old">Model!$BH$193</definedName>
    <definedName name="v_34_XHMETO">Model!$X$193</definedName>
    <definedName name="v_34_XHSRO">Model!$Z$193</definedName>
    <definedName name="v_34_XINORG">Model!$AV$193</definedName>
    <definedName name="v_34_XMEOLO">Model!$S$193</definedName>
    <definedName name="v_34_XMOB">Model!$CU$193</definedName>
    <definedName name="v_34_XN_B">Model!$AK$193</definedName>
    <definedName name="v_34_XN_U">Model!$AL$193</definedName>
    <definedName name="v_34_XNOB">Model!$U$193</definedName>
    <definedName name="v_34_XOHO">Model!$Q$193</definedName>
    <definedName name="v_34_XP_B">Model!$AP$193</definedName>
    <definedName name="v_34_XP_U">Model!$AQ$193</definedName>
    <definedName name="v_34_XPHA">Model!$M$193</definedName>
    <definedName name="v_34_XPP">Model!$AN$193</definedName>
    <definedName name="v_34_XS">Model!$BD$193</definedName>
    <definedName name="v_34_XSOO">Model!$AA$193</definedName>
    <definedName name="v_34_XSTR">Model!$BW$193</definedName>
    <definedName name="v_34_XU">Model!$L$193</definedName>
    <definedName name="v_34_XVivi">Model!$BX$193</definedName>
    <definedName name="v_35_CB">Model!$H$194</definedName>
    <definedName name="v_35_CU">Model!$K$194</definedName>
    <definedName name="v_35_GCH4">Model!$CC$194</definedName>
    <definedName name="v_35_GCH4_atm">Model!$CL$194</definedName>
    <definedName name="v_35_GCO2">Model!$CB$194</definedName>
    <definedName name="v_35_GCO2_atm">Model!$CK$194</definedName>
    <definedName name="v_35_GH2">Model!$CD$194</definedName>
    <definedName name="v_35_GH2_atm">Model!$CM$194</definedName>
    <definedName name="v_35_GH2S">Model!$CJ$194</definedName>
    <definedName name="v_35_GH2S_atm">Model!$CS$194</definedName>
    <definedName name="v_35_GN2">Model!$CI$194</definedName>
    <definedName name="v_35_GN2_atm">Model!$CR$194</definedName>
    <definedName name="v_35_GN2O">Model!$CH$194</definedName>
    <definedName name="v_35_GN2O_atm">Model!$CQ$194</definedName>
    <definedName name="v_35_GNH3">Model!$CF$194</definedName>
    <definedName name="v_35_GNH3_atm">Model!$CO$194</definedName>
    <definedName name="v_35_GNO">Model!$CG$194</definedName>
    <definedName name="v_35_GNO_atm">Model!$CP$194</definedName>
    <definedName name="v_35_GO2">Model!$CE$194</definedName>
    <definedName name="v_35_GO2_atm">Model!$CN$194</definedName>
    <definedName name="v_35_H">Model!$BZ$194</definedName>
    <definedName name="v_35_SALPHA">Model!$CA$194</definedName>
    <definedName name="v_35_SAN">Model!$AX$194</definedName>
    <definedName name="v_35_SB">Model!$F$194</definedName>
    <definedName name="v_35_SCa">Model!$AY$194</definedName>
    <definedName name="v_35_SCAT">Model!$AW$194</definedName>
    <definedName name="v_35_SCH4">Model!$AS$194</definedName>
    <definedName name="v_35_SCO2">Model!$AU$194</definedName>
    <definedName name="v_35_SFe2">Model!$BE$194</definedName>
    <definedName name="v_35_SH2">Model!$AT$194</definedName>
    <definedName name="v_35_SH2S">Model!$BB$194</definedName>
    <definedName name="v_35_SK">Model!$BA$194</definedName>
    <definedName name="v_35_SMEOL">Model!$G$194</definedName>
    <definedName name="v_35_SMg">Model!$AZ$194</definedName>
    <definedName name="v_35_SMM_index">Model!$CT$194</definedName>
    <definedName name="v_35_SN_B">Model!$AJ$194</definedName>
    <definedName name="v_35_SN2">Model!$AI$194</definedName>
    <definedName name="v_35_SN2O">Model!$AH$194</definedName>
    <definedName name="v_35_SNH2OH">Model!$AC$194</definedName>
    <definedName name="v_35_SNHx">Model!$AB$194</definedName>
    <definedName name="v_35_SNO_AOB">Model!$AF$194</definedName>
    <definedName name="v_35_SNO_OHO">Model!$AG$194</definedName>
    <definedName name="v_35_SNO2">Model!$AE$194</definedName>
    <definedName name="v_35_SNO3">Model!$AD$194</definedName>
    <definedName name="v_35_SO2">Model!$AR$194</definedName>
    <definedName name="v_35_SP_B">Model!$AO$194</definedName>
    <definedName name="v_35_SPO4">Model!$AM$194</definedName>
    <definedName name="v_35_SSO4">Model!$BC$194</definedName>
    <definedName name="v_35_SU">Model!$J$194</definedName>
    <definedName name="v_35_SVFA">Model!$E$194</definedName>
    <definedName name="v_35_XACP">Model!$BU$194</definedName>
    <definedName name="v_35_XAMETO">Model!$W$194</definedName>
    <definedName name="v_35_XAMX">Model!$V$194</definedName>
    <definedName name="v_35_XAOB">Model!$T$194</definedName>
    <definedName name="v_35_XASRO">Model!$Y$194</definedName>
    <definedName name="v_35_XB">Model!$I$194</definedName>
    <definedName name="v_35_XBSH">Model!$BV$194</definedName>
    <definedName name="v_35_XCaCO3">Model!$BT$194</definedName>
    <definedName name="v_35_XCASTO">Model!$R$194</definedName>
    <definedName name="v_35_XE">Model!$O$194</definedName>
    <definedName name="v_35_XE_ana">Model!$P$194</definedName>
    <definedName name="v_35_XFeS">Model!$BY$194</definedName>
    <definedName name="v_35_XGLY">Model!$N$194</definedName>
    <definedName name="v_35_XHAO_H">Model!$BM$194</definedName>
    <definedName name="v_35_XHAO_H_P">Model!$BP$194</definedName>
    <definedName name="v_35_XHAO_H_P_old">Model!$BR$194</definedName>
    <definedName name="v_35_XHAO_L">Model!$BN$194</definedName>
    <definedName name="v_35_XHAO_L_P">Model!$BQ$194</definedName>
    <definedName name="v_35_XHAO_L_P_old">Model!$BS$194</definedName>
    <definedName name="v_35_XHAO_old">Model!$BO$194</definedName>
    <definedName name="v_35_XHFO_H">Model!$BF$194</definedName>
    <definedName name="v_35_XHFO_H_P">Model!$BI$194</definedName>
    <definedName name="v_35_XHFO_H_P_old">Model!$BK$194</definedName>
    <definedName name="v_35_XHFO_L">Model!$BG$194</definedName>
    <definedName name="v_35_XHFO_L_P">Model!$BJ$194</definedName>
    <definedName name="v_35_XHFO_L_P_old">Model!$BL$194</definedName>
    <definedName name="v_35_XHFO_old">Model!$BH$194</definedName>
    <definedName name="v_35_XHMETO">Model!$X$194</definedName>
    <definedName name="v_35_XHSRO">Model!$Z$194</definedName>
    <definedName name="v_35_XINORG">Model!$AV$194</definedName>
    <definedName name="v_35_XMEOLO">Model!$S$194</definedName>
    <definedName name="v_35_XMOB">Model!$CU$194</definedName>
    <definedName name="v_35_XN_B">Model!$AK$194</definedName>
    <definedName name="v_35_XN_U">Model!$AL$194</definedName>
    <definedName name="v_35_XNOB">Model!$U$194</definedName>
    <definedName name="v_35_XOHO">Model!$Q$194</definedName>
    <definedName name="v_35_XP_B">Model!$AP$194</definedName>
    <definedName name="v_35_XP_U">Model!$AQ$194</definedName>
    <definedName name="v_35_XPHA">Model!$M$194</definedName>
    <definedName name="v_35_XPP">Model!$AN$194</definedName>
    <definedName name="v_35_XS">Model!$BD$194</definedName>
    <definedName name="v_35_XSOO">Model!$AA$194</definedName>
    <definedName name="v_35_XSTR">Model!$BW$194</definedName>
    <definedName name="v_35_XU">Model!$L$194</definedName>
    <definedName name="v_35_XVivi">Model!$BX$194</definedName>
    <definedName name="v_36_CB">Model!$H$195</definedName>
    <definedName name="v_36_CU">Model!$K$195</definedName>
    <definedName name="v_36_GCH4">Model!$CC$195</definedName>
    <definedName name="v_36_GCH4_atm">Model!$CL$195</definedName>
    <definedName name="v_36_GCO2">Model!$CB$195</definedName>
    <definedName name="v_36_GCO2_atm">Model!$CK$195</definedName>
    <definedName name="v_36_GH2">Model!$CD$195</definedName>
    <definedName name="v_36_GH2_atm">Model!$CM$195</definedName>
    <definedName name="v_36_GH2S">Model!$CJ$195</definedName>
    <definedName name="v_36_GH2S_atm">Model!$CS$195</definedName>
    <definedName name="v_36_GN2">Model!$CI$195</definedName>
    <definedName name="v_36_GN2_atm">Model!$CR$195</definedName>
    <definedName name="v_36_GN2O">Model!$CH$195</definedName>
    <definedName name="v_36_GN2O_atm">Model!$CQ$195</definedName>
    <definedName name="v_36_GNH3">Model!$CF$195</definedName>
    <definedName name="v_36_GNH3_atm">Model!$CO$195</definedName>
    <definedName name="v_36_GNO">Model!$CG$195</definedName>
    <definedName name="v_36_GNO_atm">Model!$CP$195</definedName>
    <definedName name="v_36_GO2">Model!$CE$195</definedName>
    <definedName name="v_36_GO2_atm">Model!$CN$195</definedName>
    <definedName name="v_36_H">Model!$BZ$195</definedName>
    <definedName name="v_36_SALPHA">Model!$CA$195</definedName>
    <definedName name="v_36_SAN">Model!$AX$195</definedName>
    <definedName name="v_36_SB">Model!$F$195</definedName>
    <definedName name="v_36_SCa">Model!$AY$195</definedName>
    <definedName name="v_36_SCAT">Model!$AW$195</definedName>
    <definedName name="v_36_SCH4">Model!$AS$195</definedName>
    <definedName name="v_36_SCO2">Model!$AU$195</definedName>
    <definedName name="v_36_SFe2">Model!$BE$195</definedName>
    <definedName name="v_36_SH2">Model!$AT$195</definedName>
    <definedName name="v_36_SH2S">Model!$BB$195</definedName>
    <definedName name="v_36_SK">Model!$BA$195</definedName>
    <definedName name="v_36_SMEOL">Model!$G$195</definedName>
    <definedName name="v_36_SMg">Model!$AZ$195</definedName>
    <definedName name="v_36_SMM_index">Model!$CT$195</definedName>
    <definedName name="v_36_SN_B">Model!$AJ$195</definedName>
    <definedName name="v_36_SN2">Model!$AI$195</definedName>
    <definedName name="v_36_SN2O">Model!$AH$195</definedName>
    <definedName name="v_36_SNH2OH">Model!$AC$195</definedName>
    <definedName name="v_36_SNHx">Model!$AB$195</definedName>
    <definedName name="v_36_SNO_AOB">Model!$AF$195</definedName>
    <definedName name="v_36_SNO_OHO">Model!$AG$195</definedName>
    <definedName name="v_36_SNO2">Model!$AE$195</definedName>
    <definedName name="v_36_SNO3">Model!$AD$195</definedName>
    <definedName name="v_36_SO2">Model!$AR$195</definedName>
    <definedName name="v_36_SP_B">Model!$AO$195</definedName>
    <definedName name="v_36_SPO4">Model!$AM$195</definedName>
    <definedName name="v_36_SSO4">Model!$BC$195</definedName>
    <definedName name="v_36_SU">Model!$J$195</definedName>
    <definedName name="v_36_SVFA">Model!$E$195</definedName>
    <definedName name="v_36_XACP">Model!$BU$195</definedName>
    <definedName name="v_36_XAMETO">Model!$W$195</definedName>
    <definedName name="v_36_XAMX">Model!$V$195</definedName>
    <definedName name="v_36_XAOB">Model!$T$195</definedName>
    <definedName name="v_36_XASRO">Model!$Y$195</definedName>
    <definedName name="v_36_XB">Model!$I$195</definedName>
    <definedName name="v_36_XBSH">Model!$BV$195</definedName>
    <definedName name="v_36_XCaCO3">Model!$BT$195</definedName>
    <definedName name="v_36_XCASTO">Model!$R$195</definedName>
    <definedName name="v_36_XE">Model!$O$195</definedName>
    <definedName name="v_36_XE_ana">Model!$P$195</definedName>
    <definedName name="v_36_XFeS">Model!$BY$195</definedName>
    <definedName name="v_36_XGLY">Model!$N$195</definedName>
    <definedName name="v_36_XHAO_H">Model!$BM$195</definedName>
    <definedName name="v_36_XHAO_H_P">Model!$BP$195</definedName>
    <definedName name="v_36_XHAO_H_P_old">Model!$BR$195</definedName>
    <definedName name="v_36_XHAO_L">Model!$BN$195</definedName>
    <definedName name="v_36_XHAO_L_P">Model!$BQ$195</definedName>
    <definedName name="v_36_XHAO_L_P_old">Model!$BS$195</definedName>
    <definedName name="v_36_XHAO_old">Model!$BO$195</definedName>
    <definedName name="v_36_XHFO_H">Model!$BF$195</definedName>
    <definedName name="v_36_XHFO_H_P">Model!$BI$195</definedName>
    <definedName name="v_36_XHFO_H_P_old">Model!$BK$195</definedName>
    <definedName name="v_36_XHFO_L">Model!$BG$195</definedName>
    <definedName name="v_36_XHFO_L_P">Model!$BJ$195</definedName>
    <definedName name="v_36_XHFO_L_P_old">Model!$BL$195</definedName>
    <definedName name="v_36_XHFO_old">Model!$BH$195</definedName>
    <definedName name="v_36_XHMETO">Model!$X$195</definedName>
    <definedName name="v_36_XHSRO">Model!$Z$195</definedName>
    <definedName name="v_36_XINORG">Model!$AV$195</definedName>
    <definedName name="v_36_XMEOLO">Model!$S$195</definedName>
    <definedName name="v_36_XMOB">Model!$CU$195</definedName>
    <definedName name="v_36_XN_B">Model!$AK$195</definedName>
    <definedName name="v_36_XN_U">Model!$AL$195</definedName>
    <definedName name="v_36_XNOB">Model!$U$195</definedName>
    <definedName name="v_36_XOHO">Model!$Q$195</definedName>
    <definedName name="v_36_XP_B">Model!$AP$195</definedName>
    <definedName name="v_36_XP_U">Model!$AQ$195</definedName>
    <definedName name="v_36_XPHA">Model!$M$195</definedName>
    <definedName name="v_36_XPP">Model!$AN$195</definedName>
    <definedName name="v_36_XS">Model!$BD$195</definedName>
    <definedName name="v_36_XSOO">Model!$AA$195</definedName>
    <definedName name="v_36_XSTR">Model!$BW$195</definedName>
    <definedName name="v_36_XU">Model!$L$195</definedName>
    <definedName name="v_36_XVivi">Model!$BX$195</definedName>
    <definedName name="v_37_CB">Model!$H$196</definedName>
    <definedName name="v_37_CU">Model!$K$196</definedName>
    <definedName name="v_37_GCH4">Model!$CC$196</definedName>
    <definedName name="v_37_GCH4_atm">Model!$CL$196</definedName>
    <definedName name="v_37_GCO2">Model!$CB$196</definedName>
    <definedName name="v_37_GCO2_atm">Model!$CK$196</definedName>
    <definedName name="v_37_GH2">Model!$CD$196</definedName>
    <definedName name="v_37_GH2_atm">Model!$CM$196</definedName>
    <definedName name="v_37_GH2S">Model!$CJ$196</definedName>
    <definedName name="v_37_GH2S_atm">Model!$CS$196</definedName>
    <definedName name="v_37_GN2">Model!$CI$196</definedName>
    <definedName name="v_37_GN2_atm">Model!$CR$196</definedName>
    <definedName name="v_37_GN2O">Model!$CH$196</definedName>
    <definedName name="v_37_GN2O_atm">Model!$CQ$196</definedName>
    <definedName name="v_37_GNH3">Model!$CF$196</definedName>
    <definedName name="v_37_GNH3_atm">Model!$CO$196</definedName>
    <definedName name="v_37_GNO">Model!$CG$196</definedName>
    <definedName name="v_37_GNO_atm">Model!$CP$196</definedName>
    <definedName name="v_37_GO2">Model!$CE$196</definedName>
    <definedName name="v_37_GO2_atm">Model!$CN$196</definedName>
    <definedName name="v_37_H">Model!$BZ$196</definedName>
    <definedName name="v_37_SALPHA">Model!$CA$196</definedName>
    <definedName name="v_37_SAN">Model!$AX$196</definedName>
    <definedName name="v_37_SB">Model!$F$196</definedName>
    <definedName name="v_37_SCa">Model!$AY$196</definedName>
    <definedName name="v_37_SCAT">Model!$AW$196</definedName>
    <definedName name="v_37_SCH4">Model!$AS$196</definedName>
    <definedName name="v_37_SCO2">Model!$AU$196</definedName>
    <definedName name="v_37_SFe2">Model!$BE$196</definedName>
    <definedName name="v_37_SH2">Model!$AT$196</definedName>
    <definedName name="v_37_SH2S">Model!$BB$196</definedName>
    <definedName name="v_37_SK">Model!$BA$196</definedName>
    <definedName name="v_37_SMEOL">Model!$G$196</definedName>
    <definedName name="v_37_SMg">Model!$AZ$196</definedName>
    <definedName name="v_37_SMM_index">Model!$CT$196</definedName>
    <definedName name="v_37_SN_B">Model!$AJ$196</definedName>
    <definedName name="v_37_SN2">Model!$AI$196</definedName>
    <definedName name="v_37_SN2O">Model!$AH$196</definedName>
    <definedName name="v_37_SNH2OH">Model!$AC$196</definedName>
    <definedName name="v_37_SNHx">Model!$AB$196</definedName>
    <definedName name="v_37_SNO_AOB">Model!$AF$196</definedName>
    <definedName name="v_37_SNO_OHO">Model!$AG$196</definedName>
    <definedName name="v_37_SNO2">Model!$AE$196</definedName>
    <definedName name="v_37_SNO3">Model!$AD$196</definedName>
    <definedName name="v_37_SO2">Model!$AR$196</definedName>
    <definedName name="v_37_SP_B">Model!$AO$196</definedName>
    <definedName name="v_37_SPO4">Model!$AM$196</definedName>
    <definedName name="v_37_SSO4">Model!$BC$196</definedName>
    <definedName name="v_37_SU">Model!$J$196</definedName>
    <definedName name="v_37_SVFA">Model!$E$196</definedName>
    <definedName name="v_37_XACP">Model!$BU$196</definedName>
    <definedName name="v_37_XAMETO">Model!$W$196</definedName>
    <definedName name="v_37_XAMX">Model!$V$196</definedName>
    <definedName name="v_37_XAOB">Model!$T$196</definedName>
    <definedName name="v_37_XASRO">Model!$Y$196</definedName>
    <definedName name="v_37_XB">Model!$I$196</definedName>
    <definedName name="v_37_XBSH">Model!$BV$196</definedName>
    <definedName name="v_37_XCaCO3">Model!$BT$196</definedName>
    <definedName name="v_37_XCASTO">Model!$R$196</definedName>
    <definedName name="v_37_XE">Model!$O$196</definedName>
    <definedName name="v_37_XE_ana">Model!$P$196</definedName>
    <definedName name="v_37_XFeS">Model!$BY$196</definedName>
    <definedName name="v_37_XGLY">Model!$N$196</definedName>
    <definedName name="v_37_XHAO_H">Model!$BM$196</definedName>
    <definedName name="v_37_XHAO_H_P">Model!$BP$196</definedName>
    <definedName name="v_37_XHAO_H_P_old">Model!$BR$196</definedName>
    <definedName name="v_37_XHAO_L">Model!$BN$196</definedName>
    <definedName name="v_37_XHAO_L_P">Model!$BQ$196</definedName>
    <definedName name="v_37_XHAO_L_P_old">Model!$BS$196</definedName>
    <definedName name="v_37_XHAO_old">Model!$BO$196</definedName>
    <definedName name="v_37_XHFO_H">Model!$BF$196</definedName>
    <definedName name="v_37_XHFO_H_P">Model!$BI$196</definedName>
    <definedName name="v_37_XHFO_H_P_old">Model!$BK$196</definedName>
    <definedName name="v_37_XHFO_L">Model!$BG$196</definedName>
    <definedName name="v_37_XHFO_L_P">Model!$BJ$196</definedName>
    <definedName name="v_37_XHFO_L_P_old">Model!$BL$196</definedName>
    <definedName name="v_37_XHFO_old">Model!$BH$196</definedName>
    <definedName name="v_37_XHMETO">Model!$X$196</definedName>
    <definedName name="v_37_XHSRO">Model!$Z$196</definedName>
    <definedName name="v_37_XINORG">Model!$AV$196</definedName>
    <definedName name="v_37_XMEOLO">Model!$S$196</definedName>
    <definedName name="v_37_XMOB">Model!$CU$196</definedName>
    <definedName name="v_37_XN_B">Model!$AK$196</definedName>
    <definedName name="v_37_XN_U">Model!$AL$196</definedName>
    <definedName name="v_37_XNOB">Model!$U$196</definedName>
    <definedName name="v_37_XOHO">Model!$Q$196</definedName>
    <definedName name="v_37_XP_B">Model!$AP$196</definedName>
    <definedName name="v_37_XP_U">Model!$AQ$196</definedName>
    <definedName name="v_37_XPHA">Model!$M$196</definedName>
    <definedName name="v_37_XPP">Model!$AN$196</definedName>
    <definedName name="v_37_XS">Model!$BD$196</definedName>
    <definedName name="v_37_XSOO">Model!$AA$196</definedName>
    <definedName name="v_37_XSTR">Model!$BW$196</definedName>
    <definedName name="v_37_XU">Model!$L$196</definedName>
    <definedName name="v_37_XVivi">Model!$BX$196</definedName>
    <definedName name="v_38_CB">Model!$H$197</definedName>
    <definedName name="v_38_CU">Model!$K$197</definedName>
    <definedName name="v_38_GCH4">Model!$CC$197</definedName>
    <definedName name="v_38_GCH4_atm">Model!$CL$197</definedName>
    <definedName name="v_38_GCO2">Model!$CB$197</definedName>
    <definedName name="v_38_GCO2_atm">Model!$CK$197</definedName>
    <definedName name="v_38_GH2">Model!$CD$197</definedName>
    <definedName name="v_38_GH2_atm">Model!$CM$197</definedName>
    <definedName name="v_38_GH2S">Model!$CJ$197</definedName>
    <definedName name="v_38_GH2S_atm">Model!$CS$197</definedName>
    <definedName name="v_38_GN2">Model!$CI$197</definedName>
    <definedName name="v_38_GN2_atm">Model!$CR$197</definedName>
    <definedName name="v_38_GN2O">Model!$CH$197</definedName>
    <definedName name="v_38_GN2O_atm">Model!$CQ$197</definedName>
    <definedName name="v_38_GNH3">Model!$CF$197</definedName>
    <definedName name="v_38_GNH3_atm">Model!$CO$197</definedName>
    <definedName name="v_38_GNO">Model!$CG$197</definedName>
    <definedName name="v_38_GNO_atm">Model!$CP$197</definedName>
    <definedName name="v_38_GO2">Model!$CE$197</definedName>
    <definedName name="v_38_GO2_atm">Model!$CN$197</definedName>
    <definedName name="v_38_H">Model!$BZ$197</definedName>
    <definedName name="v_38_SALPHA">Model!$CA$197</definedName>
    <definedName name="v_38_SAN">Model!$AX$197</definedName>
    <definedName name="v_38_SB">Model!$F$197</definedName>
    <definedName name="v_38_SCa">Model!$AY$197</definedName>
    <definedName name="v_38_SCAT">Model!$AW$197</definedName>
    <definedName name="v_38_SCH4">Model!$AS$197</definedName>
    <definedName name="v_38_SCO2">Model!$AU$197</definedName>
    <definedName name="v_38_SFe2">Model!$BE$197</definedName>
    <definedName name="v_38_SH2">Model!$AT$197</definedName>
    <definedName name="v_38_SH2S">Model!$BB$197</definedName>
    <definedName name="v_38_SK">Model!$BA$197</definedName>
    <definedName name="v_38_SMEOL">Model!$G$197</definedName>
    <definedName name="v_38_SMg">Model!$AZ$197</definedName>
    <definedName name="v_38_SMM_index">Model!$CT$197</definedName>
    <definedName name="v_38_SN_B">Model!$AJ$197</definedName>
    <definedName name="v_38_SN2">Model!$AI$197</definedName>
    <definedName name="v_38_SN2O">Model!$AH$197</definedName>
    <definedName name="v_38_SNH2OH">Model!$AC$197</definedName>
    <definedName name="v_38_SNHx">Model!$AB$197</definedName>
    <definedName name="v_38_SNO_AOB">Model!$AF$197</definedName>
    <definedName name="v_38_SNO_OHO">Model!$AG$197</definedName>
    <definedName name="v_38_SNO2">Model!$AE$197</definedName>
    <definedName name="v_38_SNO3">Model!$AD$197</definedName>
    <definedName name="v_38_SO2">Model!$AR$197</definedName>
    <definedName name="v_38_SP_B">Model!$AO$197</definedName>
    <definedName name="v_38_SPO4">Model!$AM$197</definedName>
    <definedName name="v_38_SSO4">Model!$BC$197</definedName>
    <definedName name="v_38_SU">Model!$J$197</definedName>
    <definedName name="v_38_SVFA">Model!$E$197</definedName>
    <definedName name="v_38_XACP">Model!$BU$197</definedName>
    <definedName name="v_38_XAMETO">Model!$W$197</definedName>
    <definedName name="v_38_XAMX">Model!$V$197</definedName>
    <definedName name="v_38_XAOB">Model!$T$197</definedName>
    <definedName name="v_38_XASRO">Model!$Y$197</definedName>
    <definedName name="v_38_XB">Model!$I$197</definedName>
    <definedName name="v_38_XBSH">Model!$BV$197</definedName>
    <definedName name="v_38_XCaCO3">Model!$BT$197</definedName>
    <definedName name="v_38_XCASTO">Model!$R$197</definedName>
    <definedName name="v_38_XE">Model!$O$197</definedName>
    <definedName name="v_38_XE_ana">Model!$P$197</definedName>
    <definedName name="v_38_XFeS">Model!$BY$197</definedName>
    <definedName name="v_38_XGLY">Model!$N$197</definedName>
    <definedName name="v_38_XHAO_H">Model!$BM$197</definedName>
    <definedName name="v_38_XHAO_H_P">Model!$BP$197</definedName>
    <definedName name="v_38_XHAO_H_P_old">Model!$BR$197</definedName>
    <definedName name="v_38_XHAO_L">Model!$BN$197</definedName>
    <definedName name="v_38_XHAO_L_P">Model!$BQ$197</definedName>
    <definedName name="v_38_XHAO_L_P_old">Model!$BS$197</definedName>
    <definedName name="v_38_XHAO_old">Model!$BO$197</definedName>
    <definedName name="v_38_XHFO_H">Model!$BF$197</definedName>
    <definedName name="v_38_XHFO_H_P">Model!$BI$197</definedName>
    <definedName name="v_38_XHFO_H_P_old">Model!$BK$197</definedName>
    <definedName name="v_38_XHFO_L">Model!$BG$197</definedName>
    <definedName name="v_38_XHFO_L_P">Model!$BJ$197</definedName>
    <definedName name="v_38_XHFO_L_P_old">Model!$BL$197</definedName>
    <definedName name="v_38_XHFO_old">Model!$BH$197</definedName>
    <definedName name="v_38_XHMETO">Model!$X$197</definedName>
    <definedName name="v_38_XHSRO">Model!$Z$197</definedName>
    <definedName name="v_38_XINORG">Model!$AV$197</definedName>
    <definedName name="v_38_XMEOLO">Model!$S$197</definedName>
    <definedName name="v_38_XMOB">Model!$CU$197</definedName>
    <definedName name="v_38_XN_B">Model!$AK$197</definedName>
    <definedName name="v_38_XN_U">Model!$AL$197</definedName>
    <definedName name="v_38_XNOB">Model!$U$197</definedName>
    <definedName name="v_38_XOHO">Model!$Q$197</definedName>
    <definedName name="v_38_XP_B">Model!$AP$197</definedName>
    <definedName name="v_38_XP_U">Model!$AQ$197</definedName>
    <definedName name="v_38_XPHA">Model!$M$197</definedName>
    <definedName name="v_38_XPP">Model!$AN$197</definedName>
    <definedName name="v_38_XS">Model!$BD$197</definedName>
    <definedName name="v_38_XSOO">Model!$AA$197</definedName>
    <definedName name="v_38_XSTR">Model!$BW$197</definedName>
    <definedName name="v_38_XU">Model!$L$197</definedName>
    <definedName name="v_38_XVivi">Model!$BX$197</definedName>
    <definedName name="v_39_CB">Model!$H$198</definedName>
    <definedName name="v_39_CU">Model!$K$198</definedName>
    <definedName name="v_39_GCH4">Model!$CC$198</definedName>
    <definedName name="v_39_GCH4_atm">Model!$CL$198</definedName>
    <definedName name="v_39_GCO2">Model!$CB$198</definedName>
    <definedName name="v_39_GCO2_atm">Model!$CK$198</definedName>
    <definedName name="v_39_GH2">Model!$CD$198</definedName>
    <definedName name="v_39_GH2_atm">Model!$CM$198</definedName>
    <definedName name="v_39_GH2S">Model!$CJ$198</definedName>
    <definedName name="v_39_GH2S_atm">Model!$CS$198</definedName>
    <definedName name="v_39_GN2">Model!$CI$198</definedName>
    <definedName name="v_39_GN2_atm">Model!$CR$198</definedName>
    <definedName name="v_39_GN2O">Model!$CH$198</definedName>
    <definedName name="v_39_GN2O_atm">Model!$CQ$198</definedName>
    <definedName name="v_39_GNH3">Model!$CF$198</definedName>
    <definedName name="v_39_GNH3_atm">Model!$CO$198</definedName>
    <definedName name="v_39_GNO">Model!$CG$198</definedName>
    <definedName name="v_39_GNO_atm">Model!$CP$198</definedName>
    <definedName name="v_39_GO2">Model!$CE$198</definedName>
    <definedName name="v_39_GO2_atm">Model!$CN$198</definedName>
    <definedName name="v_39_H">Model!$BZ$198</definedName>
    <definedName name="v_39_SALPHA">Model!$CA$198</definedName>
    <definedName name="v_39_SAN">Model!$AX$198</definedName>
    <definedName name="v_39_SB">Model!$F$198</definedName>
    <definedName name="v_39_SCa">Model!$AY$198</definedName>
    <definedName name="v_39_SCAT">Model!$AW$198</definedName>
    <definedName name="v_39_SCH4">Model!$AS$198</definedName>
    <definedName name="v_39_SCO2">Model!$AU$198</definedName>
    <definedName name="v_39_SFe2">Model!$BE$198</definedName>
    <definedName name="v_39_SH2">Model!$AT$198</definedName>
    <definedName name="v_39_SH2S">Model!$BB$198</definedName>
    <definedName name="v_39_SK">Model!$BA$198</definedName>
    <definedName name="v_39_SMEOL">Model!$G$198</definedName>
    <definedName name="v_39_SMg">Model!$AZ$198</definedName>
    <definedName name="v_39_SMM_index">Model!$CT$198</definedName>
    <definedName name="v_39_SN_B">Model!$AJ$198</definedName>
    <definedName name="v_39_SN2">Model!$AI$198</definedName>
    <definedName name="v_39_SN2O">Model!$AH$198</definedName>
    <definedName name="v_39_SNH2OH">Model!$AC$198</definedName>
    <definedName name="v_39_SNHx">Model!$AB$198</definedName>
    <definedName name="v_39_SNO_AOB">Model!$AF$198</definedName>
    <definedName name="v_39_SNO_OHO">Model!$AG$198</definedName>
    <definedName name="v_39_SNO2">Model!$AE$198</definedName>
    <definedName name="v_39_SNO3">Model!$AD$198</definedName>
    <definedName name="v_39_SO2">Model!$AR$198</definedName>
    <definedName name="v_39_SP_B">Model!$AO$198</definedName>
    <definedName name="v_39_SPO4">Model!$AM$198</definedName>
    <definedName name="v_39_SSO4">Model!$BC$198</definedName>
    <definedName name="v_39_SU">Model!$J$198</definedName>
    <definedName name="v_39_SVFA">Model!$E$198</definedName>
    <definedName name="v_39_XACP">Model!$BU$198</definedName>
    <definedName name="v_39_XAMETO">Model!$W$198</definedName>
    <definedName name="v_39_XAMX">Model!$V$198</definedName>
    <definedName name="v_39_XAOB">Model!$T$198</definedName>
    <definedName name="v_39_XASRO">Model!$Y$198</definedName>
    <definedName name="v_39_XB">Model!$I$198</definedName>
    <definedName name="v_39_XBSH">Model!$BV$198</definedName>
    <definedName name="v_39_XCaCO3">Model!$BT$198</definedName>
    <definedName name="v_39_XCASTO">Model!$R$198</definedName>
    <definedName name="v_39_XE">Model!$O$198</definedName>
    <definedName name="v_39_XE_ana">Model!$P$198</definedName>
    <definedName name="v_39_XFeS">Model!$BY$198</definedName>
    <definedName name="v_39_XGLY">Model!$N$198</definedName>
    <definedName name="v_39_XHAO_H">Model!$BM$198</definedName>
    <definedName name="v_39_XHAO_H_P">Model!$BP$198</definedName>
    <definedName name="v_39_XHAO_H_P_old">Model!$BR$198</definedName>
    <definedName name="v_39_XHAO_L">Model!$BN$198</definedName>
    <definedName name="v_39_XHAO_L_P">Model!$BQ$198</definedName>
    <definedName name="v_39_XHAO_L_P_old">Model!$BS$198</definedName>
    <definedName name="v_39_XHAO_old">Model!$BO$198</definedName>
    <definedName name="v_39_XHFO_H">Model!$BF$198</definedName>
    <definedName name="v_39_XHFO_H_P">Model!$BI$198</definedName>
    <definedName name="v_39_XHFO_H_P_old">Model!$BK$198</definedName>
    <definedName name="v_39_XHFO_L">Model!$BG$198</definedName>
    <definedName name="v_39_XHFO_L_P">Model!$BJ$198</definedName>
    <definedName name="v_39_XHFO_L_P_old">Model!$BL$198</definedName>
    <definedName name="v_39_XHFO_old">Model!$BH$198</definedName>
    <definedName name="v_39_XHMETO">Model!$X$198</definedName>
    <definedName name="v_39_XHSRO">Model!$Z$198</definedName>
    <definedName name="v_39_XINORG">Model!$AV$198</definedName>
    <definedName name="v_39_XMEOLO">Model!$S$198</definedName>
    <definedName name="v_39_XMOB">Model!$CU$198</definedName>
    <definedName name="v_39_XN_B">Model!$AK$198</definedName>
    <definedName name="v_39_XN_U">Model!$AL$198</definedName>
    <definedName name="v_39_XNOB">Model!$U$198</definedName>
    <definedName name="v_39_XOHO">Model!$Q$198</definedName>
    <definedName name="v_39_XP_B">Model!$AP$198</definedName>
    <definedName name="v_39_XP_U">Model!$AQ$198</definedName>
    <definedName name="v_39_XPHA">Model!$M$198</definedName>
    <definedName name="v_39_XPP">Model!$AN$198</definedName>
    <definedName name="v_39_XS">Model!$BD$198</definedName>
    <definedName name="v_39_XSOO">Model!$AA$198</definedName>
    <definedName name="v_39_XSTR">Model!$BW$198</definedName>
    <definedName name="v_39_XU">Model!$L$198</definedName>
    <definedName name="v_39_XVivi">Model!$BX$198</definedName>
    <definedName name="v_4_CB">Model!$H$163</definedName>
    <definedName name="v_4_CU">Model!$K$163</definedName>
    <definedName name="v_4_GCH4">Model!$CC$163</definedName>
    <definedName name="v_4_GCH4_atm">Model!$CL$163</definedName>
    <definedName name="v_4_GCO2">Model!$CB$163</definedName>
    <definedName name="v_4_GCO2_atm">Model!$CK$163</definedName>
    <definedName name="v_4_GH2">Model!$CD$163</definedName>
    <definedName name="v_4_GH2_atm">Model!$CM$163</definedName>
    <definedName name="v_4_GH2S">Model!$CJ$163</definedName>
    <definedName name="v_4_GH2S_atm">Model!$CS$163</definedName>
    <definedName name="v_4_GN2">Model!$CI$163</definedName>
    <definedName name="v_4_GN2_atm">Model!$CR$163</definedName>
    <definedName name="v_4_GN2O">Model!$CH$163</definedName>
    <definedName name="v_4_GN2O_atm">Model!$CQ$163</definedName>
    <definedName name="v_4_GNH3">Model!$CF$163</definedName>
    <definedName name="v_4_GNH3_atm">Model!$CO$163</definedName>
    <definedName name="v_4_GNO">Model!$CG$163</definedName>
    <definedName name="v_4_GNO_atm">Model!$CP$163</definedName>
    <definedName name="v_4_GO2">Model!$CE$163</definedName>
    <definedName name="v_4_GO2_atm">Model!$CN$163</definedName>
    <definedName name="v_4_H">Model!$BZ$163</definedName>
    <definedName name="v_4_SALPHA">Model!$CA$163</definedName>
    <definedName name="v_4_SAN">Model!$AX$163</definedName>
    <definedName name="v_4_SB">Model!$F$163</definedName>
    <definedName name="v_4_SCa">Model!$AY$163</definedName>
    <definedName name="v_4_SCAT">Model!$AW$163</definedName>
    <definedName name="v_4_SCH4">Model!$AS$163</definedName>
    <definedName name="v_4_SCO2">Model!$AU$163</definedName>
    <definedName name="v_4_SFe2">Model!$BE$163</definedName>
    <definedName name="v_4_SH2">Model!$AT$163</definedName>
    <definedName name="v_4_SH2S">Model!$BB$163</definedName>
    <definedName name="v_4_SK">Model!$BA$163</definedName>
    <definedName name="v_4_SMEOL">Model!$G$163</definedName>
    <definedName name="v_4_SMg">Model!$AZ$163</definedName>
    <definedName name="v_4_SMM_index">Model!$CT$163</definedName>
    <definedName name="v_4_SN_B">Model!$AJ$163</definedName>
    <definedName name="v_4_SN2">Model!$AI$163</definedName>
    <definedName name="v_4_SN2O">Model!$AH$163</definedName>
    <definedName name="v_4_SNH2OH">Model!$AC$163</definedName>
    <definedName name="v_4_SNHx">Model!$AB$163</definedName>
    <definedName name="v_4_SNO_AOB">Model!$AF$163</definedName>
    <definedName name="v_4_SNO_OHO">Model!$AG$163</definedName>
    <definedName name="v_4_SNO2">Model!$AE$163</definedName>
    <definedName name="v_4_SNO3">Model!$AD$163</definedName>
    <definedName name="v_4_SO2">Model!$AR$163</definedName>
    <definedName name="v_4_SP_B">Model!$AO$163</definedName>
    <definedName name="v_4_SPO4">Model!$AM$163</definedName>
    <definedName name="v_4_SSO4">Model!$BC$163</definedName>
    <definedName name="v_4_SU">Model!$J$163</definedName>
    <definedName name="v_4_SVFA">Model!$E$163</definedName>
    <definedName name="v_4_XACP">Model!$BU$163</definedName>
    <definedName name="v_4_XAMETO">Model!$W$163</definedName>
    <definedName name="v_4_XAMX">Model!$V$163</definedName>
    <definedName name="v_4_XAOB">Model!$T$163</definedName>
    <definedName name="v_4_XASRO">Model!$Y$163</definedName>
    <definedName name="v_4_XB">Model!$I$163</definedName>
    <definedName name="v_4_XBSH">Model!$BV$163</definedName>
    <definedName name="v_4_XCaCO3">Model!$BT$163</definedName>
    <definedName name="v_4_XCASTO">Model!$R$163</definedName>
    <definedName name="v_4_XE">Model!$O$163</definedName>
    <definedName name="v_4_XE_ana">Model!$P$163</definedName>
    <definedName name="v_4_XFeS">Model!$BY$163</definedName>
    <definedName name="v_4_XGLY">Model!$N$163</definedName>
    <definedName name="v_4_XHAO_H">Model!$BM$163</definedName>
    <definedName name="v_4_XHAO_H_P">Model!$BP$163</definedName>
    <definedName name="v_4_XHAO_H_P_old">Model!$BR$163</definedName>
    <definedName name="v_4_XHAO_L">Model!$BN$163</definedName>
    <definedName name="v_4_XHAO_L_P">Model!$BQ$163</definedName>
    <definedName name="v_4_XHAO_L_P_old">Model!$BS$163</definedName>
    <definedName name="v_4_XHAO_old">Model!$BO$163</definedName>
    <definedName name="v_4_XHFO_H">Model!$BF$163</definedName>
    <definedName name="v_4_XHFO_H_P">Model!$BI$163</definedName>
    <definedName name="v_4_XHFO_H_P_old">Model!$BK$163</definedName>
    <definedName name="v_4_XHFO_L">Model!$BG$163</definedName>
    <definedName name="v_4_XHFO_L_P">Model!$BJ$163</definedName>
    <definedName name="v_4_XHFO_L_P_old">Model!$BL$163</definedName>
    <definedName name="v_4_XHFO_old">Model!$BH$163</definedName>
    <definedName name="v_4_XHMETO">Model!$X$163</definedName>
    <definedName name="v_4_XHSRO">Model!$Z$163</definedName>
    <definedName name="v_4_XINORG">Model!$AV$163</definedName>
    <definedName name="v_4_XMEOLO">Model!$S$163</definedName>
    <definedName name="v_4_XMOB">Model!$CU$163</definedName>
    <definedName name="v_4_XN_B">Model!$AK$163</definedName>
    <definedName name="v_4_XN_U">Model!$AL$163</definedName>
    <definedName name="v_4_XNOB">Model!$U$163</definedName>
    <definedName name="v_4_XOHO">Model!$Q$163</definedName>
    <definedName name="v_4_XP_B">Model!$AP$163</definedName>
    <definedName name="v_4_XP_U">Model!$AQ$163</definedName>
    <definedName name="v_4_XPHA">Model!$M$163</definedName>
    <definedName name="v_4_XPP">Model!$AN$163</definedName>
    <definedName name="v_4_XS">Model!$BD$163</definedName>
    <definedName name="v_4_XSOO">Model!$AA$163</definedName>
    <definedName name="v_4_XSTR">Model!$BW$163</definedName>
    <definedName name="v_4_XU">Model!$L$163</definedName>
    <definedName name="v_4_XVivi">Model!$BX$163</definedName>
    <definedName name="v_40_CB">Model!$H$199</definedName>
    <definedName name="v_40_CU">Model!$K$199</definedName>
    <definedName name="v_40_GCH4">Model!$CC$199</definedName>
    <definedName name="v_40_GCH4_atm">Model!$CL$199</definedName>
    <definedName name="v_40_GCO2">Model!$CB$199</definedName>
    <definedName name="v_40_GCO2_atm">Model!$CK$199</definedName>
    <definedName name="v_40_GH2">Model!$CD$199</definedName>
    <definedName name="v_40_GH2_atm">Model!$CM$199</definedName>
    <definedName name="v_40_GH2S">Model!$CJ$199</definedName>
    <definedName name="v_40_GH2S_atm">Model!$CS$199</definedName>
    <definedName name="v_40_GN2">Model!$CI$199</definedName>
    <definedName name="v_40_GN2_atm">Model!$CR$199</definedName>
    <definedName name="v_40_GN2O">Model!$CH$199</definedName>
    <definedName name="v_40_GN2O_atm">Model!$CQ$199</definedName>
    <definedName name="v_40_GNH3">Model!$CF$199</definedName>
    <definedName name="v_40_GNH3_atm">Model!$CO$199</definedName>
    <definedName name="v_40_GNO">Model!$CG$199</definedName>
    <definedName name="v_40_GNO_atm">Model!$CP$199</definedName>
    <definedName name="v_40_GO2">Model!$CE$199</definedName>
    <definedName name="v_40_GO2_atm">Model!$CN$199</definedName>
    <definedName name="v_40_H">Model!$BZ$199</definedName>
    <definedName name="v_40_SALPHA">Model!$CA$199</definedName>
    <definedName name="v_40_SAN">Model!$AX$199</definedName>
    <definedName name="v_40_SB">Model!$F$199</definedName>
    <definedName name="v_40_SCa">Model!$AY$199</definedName>
    <definedName name="v_40_SCAT">Model!$AW$199</definedName>
    <definedName name="v_40_SCH4">Model!$AS$199</definedName>
    <definedName name="v_40_SCO2">Model!$AU$199</definedName>
    <definedName name="v_40_SFe2">Model!$BE$199</definedName>
    <definedName name="v_40_SH2">Model!$AT$199</definedName>
    <definedName name="v_40_SH2S">Model!$BB$199</definedName>
    <definedName name="v_40_SK">Model!$BA$199</definedName>
    <definedName name="v_40_SMEOL">Model!$G$199</definedName>
    <definedName name="v_40_SMg">Model!$AZ$199</definedName>
    <definedName name="v_40_SMM_index">Model!$CT$199</definedName>
    <definedName name="v_40_SN_B">Model!$AJ$199</definedName>
    <definedName name="v_40_SN2">Model!$AI$199</definedName>
    <definedName name="v_40_SN2O">Model!$AH$199</definedName>
    <definedName name="v_40_SNH2OH">Model!$AC$199</definedName>
    <definedName name="v_40_SNHx">Model!$AB$199</definedName>
    <definedName name="v_40_SNO_AOB">Model!$AF$199</definedName>
    <definedName name="v_40_SNO_OHO">Model!$AG$199</definedName>
    <definedName name="v_40_SNO2">Model!$AE$199</definedName>
    <definedName name="v_40_SNO3">Model!$AD$199</definedName>
    <definedName name="v_40_SO2">Model!$AR$199</definedName>
    <definedName name="v_40_SP_B">Model!$AO$199</definedName>
    <definedName name="v_40_SPO4">Model!$AM$199</definedName>
    <definedName name="v_40_SSO4">Model!$BC$199</definedName>
    <definedName name="v_40_SU">Model!$J$199</definedName>
    <definedName name="v_40_SVFA">Model!$E$199</definedName>
    <definedName name="v_40_XACP">Model!$BU$199</definedName>
    <definedName name="v_40_XAMETO">Model!$W$199</definedName>
    <definedName name="v_40_XAMX">Model!$V$199</definedName>
    <definedName name="v_40_XAOB">Model!$T$199</definedName>
    <definedName name="v_40_XASRO">Model!$Y$199</definedName>
    <definedName name="v_40_XB">Model!$I$199</definedName>
    <definedName name="v_40_XBSH">Model!$BV$199</definedName>
    <definedName name="v_40_XCaCO3">Model!$BT$199</definedName>
    <definedName name="v_40_XCASTO">Model!$R$199</definedName>
    <definedName name="v_40_XE">Model!$O$199</definedName>
    <definedName name="v_40_XE_ana">Model!$P$199</definedName>
    <definedName name="v_40_XFeS">Model!$BY$199</definedName>
    <definedName name="v_40_XGLY">Model!$N$199</definedName>
    <definedName name="v_40_XHAO_H">Model!$BM$199</definedName>
    <definedName name="v_40_XHAO_H_P">Model!$BP$199</definedName>
    <definedName name="v_40_XHAO_H_P_old">Model!$BR$199</definedName>
    <definedName name="v_40_XHAO_L">Model!$BN$199</definedName>
    <definedName name="v_40_XHAO_L_P">Model!$BQ$199</definedName>
    <definedName name="v_40_XHAO_L_P_old">Model!$BS$199</definedName>
    <definedName name="v_40_XHAO_old">Model!$BO$199</definedName>
    <definedName name="v_40_XHFO_H">Model!$BF$199</definedName>
    <definedName name="v_40_XHFO_H_P">Model!$BI$199</definedName>
    <definedName name="v_40_XHFO_H_P_old">Model!$BK$199</definedName>
    <definedName name="v_40_XHFO_L">Model!$BG$199</definedName>
    <definedName name="v_40_XHFO_L_P">Model!$BJ$199</definedName>
    <definedName name="v_40_XHFO_L_P_old">Model!$BL$199</definedName>
    <definedName name="v_40_XHFO_old">Model!$BH$199</definedName>
    <definedName name="v_40_XHMETO">Model!$X$199</definedName>
    <definedName name="v_40_XHSRO">Model!$Z$199</definedName>
    <definedName name="v_40_XINORG">Model!$AV$199</definedName>
    <definedName name="v_40_XMEOLO">Model!$S$199</definedName>
    <definedName name="v_40_XMOB">Model!$CU$199</definedName>
    <definedName name="v_40_XN_B">Model!$AK$199</definedName>
    <definedName name="v_40_XN_U">Model!$AL$199</definedName>
    <definedName name="v_40_XNOB">Model!$U$199</definedName>
    <definedName name="v_40_XOHO">Model!$Q$199</definedName>
    <definedName name="v_40_XP_B">Model!$AP$199</definedName>
    <definedName name="v_40_XP_U">Model!$AQ$199</definedName>
    <definedName name="v_40_XPHA">Model!$M$199</definedName>
    <definedName name="v_40_XPP">Model!$AN$199</definedName>
    <definedName name="v_40_XS">Model!$BD$199</definedName>
    <definedName name="v_40_XSOO">Model!$AA$199</definedName>
    <definedName name="v_40_XSTR">Model!$BW$199</definedName>
    <definedName name="v_40_XU">Model!$L$199</definedName>
    <definedName name="v_40_XVivi">Model!$BX$199</definedName>
    <definedName name="v_41_CB">Model!$H$200</definedName>
    <definedName name="v_41_CU">Model!$K$200</definedName>
    <definedName name="v_41_GCH4">Model!$CC$200</definedName>
    <definedName name="v_41_GCH4_atm">Model!$CL$200</definedName>
    <definedName name="v_41_GCO2">Model!$CB$200</definedName>
    <definedName name="v_41_GCO2_atm">Model!$CK$200</definedName>
    <definedName name="v_41_GH2">Model!$CD$200</definedName>
    <definedName name="v_41_GH2_atm">Model!$CM$200</definedName>
    <definedName name="v_41_GH2S">Model!$CJ$200</definedName>
    <definedName name="v_41_GH2S_atm">Model!$CS$200</definedName>
    <definedName name="v_41_GN2">Model!$CI$200</definedName>
    <definedName name="v_41_GN2_atm">Model!$CR$200</definedName>
    <definedName name="v_41_GN2O">Model!$CH$200</definedName>
    <definedName name="v_41_GN2O_atm">Model!$CQ$200</definedName>
    <definedName name="v_41_GNH3">Model!$CF$200</definedName>
    <definedName name="v_41_GNH3_atm">Model!$CO$200</definedName>
    <definedName name="v_41_GNO">Model!$CG$200</definedName>
    <definedName name="v_41_GNO_atm">Model!$CP$200</definedName>
    <definedName name="v_41_GO2">Model!$CE$200</definedName>
    <definedName name="v_41_GO2_atm">Model!$CN$200</definedName>
    <definedName name="v_41_H">Model!$BZ$200</definedName>
    <definedName name="v_41_SALPHA">Model!$CA$200</definedName>
    <definedName name="v_41_SAN">Model!$AX$200</definedName>
    <definedName name="v_41_SB">Model!$F$200</definedName>
    <definedName name="v_41_SCa">Model!$AY$200</definedName>
    <definedName name="v_41_SCAT">Model!$AW$200</definedName>
    <definedName name="v_41_SCH4">Model!$AS$200</definedName>
    <definedName name="v_41_SCO2">Model!$AU$200</definedName>
    <definedName name="v_41_SFe2">Model!$BE$200</definedName>
    <definedName name="v_41_SH2">Model!$AT$200</definedName>
    <definedName name="v_41_SH2S">Model!$BB$200</definedName>
    <definedName name="v_41_SK">Model!$BA$200</definedName>
    <definedName name="v_41_SMEOL">Model!$G$200</definedName>
    <definedName name="v_41_SMg">Model!$AZ$200</definedName>
    <definedName name="v_41_SMM_index">Model!$CT$200</definedName>
    <definedName name="v_41_SN_B">Model!$AJ$200</definedName>
    <definedName name="v_41_SN2">Model!$AI$200</definedName>
    <definedName name="v_41_SN2O">Model!$AH$200</definedName>
    <definedName name="v_41_SNH2OH">Model!$AC$200</definedName>
    <definedName name="v_41_SNHx">Model!$AB$200</definedName>
    <definedName name="v_41_SNO_AOB">Model!$AF$200</definedName>
    <definedName name="v_41_SNO_OHO">Model!$AG$200</definedName>
    <definedName name="v_41_SNO2">Model!$AE$200</definedName>
    <definedName name="v_41_SNO3">Model!$AD$200</definedName>
    <definedName name="v_41_SO2">Model!$AR$200</definedName>
    <definedName name="v_41_SP_B">Model!$AO$200</definedName>
    <definedName name="v_41_SPO4">Model!$AM$200</definedName>
    <definedName name="v_41_SSO4">Model!$BC$200</definedName>
    <definedName name="v_41_SU">Model!$J$200</definedName>
    <definedName name="v_41_SVFA">Model!$E$200</definedName>
    <definedName name="v_41_XACP">Model!$BU$200</definedName>
    <definedName name="v_41_XAMETO">Model!$W$200</definedName>
    <definedName name="v_41_XAMX">Model!$V$200</definedName>
    <definedName name="v_41_XAOB">Model!$T$200</definedName>
    <definedName name="v_41_XASRO">Model!$Y$200</definedName>
    <definedName name="v_41_XB">Model!$I$200</definedName>
    <definedName name="v_41_XBSH">Model!$BV$200</definedName>
    <definedName name="v_41_XCaCO3">Model!$BT$200</definedName>
    <definedName name="v_41_XCASTO">Model!$R$200</definedName>
    <definedName name="v_41_XE">Model!$O$200</definedName>
    <definedName name="v_41_XE_ana">Model!$P$200</definedName>
    <definedName name="v_41_XFeS">Model!$BY$200</definedName>
    <definedName name="v_41_XGLY">Model!$N$200</definedName>
    <definedName name="v_41_XHAO_H">Model!$BM$200</definedName>
    <definedName name="v_41_XHAO_H_P">Model!$BP$200</definedName>
    <definedName name="v_41_XHAO_H_P_old">Model!$BR$200</definedName>
    <definedName name="v_41_XHAO_L">Model!$BN$200</definedName>
    <definedName name="v_41_XHAO_L_P">Model!$BQ$200</definedName>
    <definedName name="v_41_XHAO_L_P_old">Model!$BS$200</definedName>
    <definedName name="v_41_XHAO_old">Model!$BO$200</definedName>
    <definedName name="v_41_XHFO_H">Model!$BF$200</definedName>
    <definedName name="v_41_XHFO_H_P">Model!$BI$200</definedName>
    <definedName name="v_41_XHFO_H_P_old">Model!$BK$200</definedName>
    <definedName name="v_41_XHFO_L">Model!$BG$200</definedName>
    <definedName name="v_41_XHFO_L_P">Model!$BJ$200</definedName>
    <definedName name="v_41_XHFO_L_P_old">Model!$BL$200</definedName>
    <definedName name="v_41_XHFO_old">Model!$BH$200</definedName>
    <definedName name="v_41_XHMETO">Model!$X$200</definedName>
    <definedName name="v_41_XHSRO">Model!$Z$200</definedName>
    <definedName name="v_41_XINORG">Model!$AV$200</definedName>
    <definedName name="v_41_XMEOLO">Model!$S$200</definedName>
    <definedName name="v_41_XMOB">Model!$CU$200</definedName>
    <definedName name="v_41_XN_B">Model!$AK$200</definedName>
    <definedName name="v_41_XN_U">Model!$AL$200</definedName>
    <definedName name="v_41_XNOB">Model!$U$200</definedName>
    <definedName name="v_41_XOHO">Model!$Q$200</definedName>
    <definedName name="v_41_XP_B">Model!$AP$200</definedName>
    <definedName name="v_41_XP_U">Model!$AQ$200</definedName>
    <definedName name="v_41_XPHA">Model!$M$200</definedName>
    <definedName name="v_41_XPP">Model!$AN$200</definedName>
    <definedName name="v_41_XS">Model!$BD$200</definedName>
    <definedName name="v_41_XSOO">Model!$AA$200</definedName>
    <definedName name="v_41_XSTR">Model!$BW$200</definedName>
    <definedName name="v_41_XU">Model!$L$200</definedName>
    <definedName name="v_41_XVivi">Model!$BX$200</definedName>
    <definedName name="v_42_CB">Model!$H$201</definedName>
    <definedName name="v_42_CU">Model!$K$201</definedName>
    <definedName name="v_42_GCH4">Model!$CC$201</definedName>
    <definedName name="v_42_GCH4_atm">Model!$CL$201</definedName>
    <definedName name="v_42_GCO2">Model!$CB$201</definedName>
    <definedName name="v_42_GCO2_atm">Model!$CK$201</definedName>
    <definedName name="v_42_GH2">Model!$CD$201</definedName>
    <definedName name="v_42_GH2_atm">Model!$CM$201</definedName>
    <definedName name="v_42_GH2S">Model!$CJ$201</definedName>
    <definedName name="v_42_GH2S_atm">Model!$CS$201</definedName>
    <definedName name="v_42_GN2">Model!$CI$201</definedName>
    <definedName name="v_42_GN2_atm">Model!$CR$201</definedName>
    <definedName name="v_42_GN2O">Model!$CH$201</definedName>
    <definedName name="v_42_GN2O_atm">Model!$CQ$201</definedName>
    <definedName name="v_42_GNH3">Model!$CF$201</definedName>
    <definedName name="v_42_GNH3_atm">Model!$CO$201</definedName>
    <definedName name="v_42_GNO">Model!$CG$201</definedName>
    <definedName name="v_42_GNO_atm">Model!$CP$201</definedName>
    <definedName name="v_42_GO2">Model!$CE$201</definedName>
    <definedName name="v_42_GO2_atm">Model!$CN$201</definedName>
    <definedName name="v_42_H">Model!$BZ$201</definedName>
    <definedName name="v_42_SALPHA">Model!$CA$201</definedName>
    <definedName name="v_42_SAN">Model!$AX$201</definedName>
    <definedName name="v_42_SB">Model!$F$201</definedName>
    <definedName name="v_42_SCa">Model!$AY$201</definedName>
    <definedName name="v_42_SCAT">Model!$AW$201</definedName>
    <definedName name="v_42_SCH4">Model!$AS$201</definedName>
    <definedName name="v_42_SCO2">Model!$AU$201</definedName>
    <definedName name="v_42_SFe2">Model!$BE$201</definedName>
    <definedName name="v_42_SH2">Model!$AT$201</definedName>
    <definedName name="v_42_SH2S">Model!$BB$201</definedName>
    <definedName name="v_42_SK">Model!$BA$201</definedName>
    <definedName name="v_42_SMEOL">Model!$G$201</definedName>
    <definedName name="v_42_SMg">Model!$AZ$201</definedName>
    <definedName name="v_42_SMM_index">Model!$CT$201</definedName>
    <definedName name="v_42_SN_B">Model!$AJ$201</definedName>
    <definedName name="v_42_SN2">Model!$AI$201</definedName>
    <definedName name="v_42_SN2O">Model!$AH$201</definedName>
    <definedName name="v_42_SNH2OH">Model!$AC$201</definedName>
    <definedName name="v_42_SNHx">Model!$AB$201</definedName>
    <definedName name="v_42_SNO_AOB">Model!$AF$201</definedName>
    <definedName name="v_42_SNO_OHO">Model!$AG$201</definedName>
    <definedName name="v_42_SNO2">Model!$AE$201</definedName>
    <definedName name="v_42_SNO3">Model!$AD$201</definedName>
    <definedName name="v_42_SO2">Model!$AR$201</definedName>
    <definedName name="v_42_SP_B">Model!$AO$201</definedName>
    <definedName name="v_42_SPO4">Model!$AM$201</definedName>
    <definedName name="v_42_SSO4">Model!$BC$201</definedName>
    <definedName name="v_42_SU">Model!$J$201</definedName>
    <definedName name="v_42_SVFA">Model!$E$201</definedName>
    <definedName name="v_42_XACP">Model!$BU$201</definedName>
    <definedName name="v_42_XAMETO">Model!$W$201</definedName>
    <definedName name="v_42_XAMX">Model!$V$201</definedName>
    <definedName name="v_42_XAOB">Model!$T$201</definedName>
    <definedName name="v_42_XASRO">Model!$Y$201</definedName>
    <definedName name="v_42_XB">Model!$I$201</definedName>
    <definedName name="v_42_XBSH">Model!$BV$201</definedName>
    <definedName name="v_42_XCaCO3">Model!$BT$201</definedName>
    <definedName name="v_42_XCASTO">Model!$R$201</definedName>
    <definedName name="v_42_XE">Model!$O$201</definedName>
    <definedName name="v_42_XE_ana">Model!$P$201</definedName>
    <definedName name="v_42_XFeS">Model!$BY$201</definedName>
    <definedName name="v_42_XGLY">Model!$N$201</definedName>
    <definedName name="v_42_XHAO_H">Model!$BM$201</definedName>
    <definedName name="v_42_XHAO_H_P">Model!$BP$201</definedName>
    <definedName name="v_42_XHAO_H_P_old">Model!$BR$201</definedName>
    <definedName name="v_42_XHAO_L">Model!$BN$201</definedName>
    <definedName name="v_42_XHAO_L_P">Model!$BQ$201</definedName>
    <definedName name="v_42_XHAO_L_P_old">Model!$BS$201</definedName>
    <definedName name="v_42_XHAO_old">Model!$BO$201</definedName>
    <definedName name="v_42_XHFO_H">Model!$BF$201</definedName>
    <definedName name="v_42_XHFO_H_P">Model!$BI$201</definedName>
    <definedName name="v_42_XHFO_H_P_old">Model!$BK$201</definedName>
    <definedName name="v_42_XHFO_L">Model!$BG$201</definedName>
    <definedName name="v_42_XHFO_L_P">Model!$BJ$201</definedName>
    <definedName name="v_42_XHFO_L_P_old">Model!$BL$201</definedName>
    <definedName name="v_42_XHFO_old">Model!$BH$201</definedName>
    <definedName name="v_42_XHMETO">Model!$X$201</definedName>
    <definedName name="v_42_XHSRO">Model!$Z$201</definedName>
    <definedName name="v_42_XINORG">Model!$AV$201</definedName>
    <definedName name="v_42_XMEOLO">Model!$S$201</definedName>
    <definedName name="v_42_XMOB">Model!$CU$201</definedName>
    <definedName name="v_42_XN_B">Model!$AK$201</definedName>
    <definedName name="v_42_XN_U">Model!$AL$201</definedName>
    <definedName name="v_42_XNOB">Model!$U$201</definedName>
    <definedName name="v_42_XOHO">Model!$Q$201</definedName>
    <definedName name="v_42_XP_B">Model!$AP$201</definedName>
    <definedName name="v_42_XP_U">Model!$AQ$201</definedName>
    <definedName name="v_42_XPHA">Model!$M$201</definedName>
    <definedName name="v_42_XPP">Model!$AN$201</definedName>
    <definedName name="v_42_XS">Model!$BD$201</definedName>
    <definedName name="v_42_XSOO">Model!$AA$201</definedName>
    <definedName name="v_42_XSTR">Model!$BW$201</definedName>
    <definedName name="v_42_XU">Model!$L$201</definedName>
    <definedName name="v_42_XVivi">Model!$BX$201</definedName>
    <definedName name="v_43_CB">Model!$H$202</definedName>
    <definedName name="v_43_CU">Model!$K$202</definedName>
    <definedName name="v_43_GCH4">Model!$CC$202</definedName>
    <definedName name="v_43_GCH4_atm">Model!$CL$202</definedName>
    <definedName name="v_43_GCO2">Model!$CB$202</definedName>
    <definedName name="v_43_GCO2_atm">Model!$CK$202</definedName>
    <definedName name="v_43_GH2">Model!$CD$202</definedName>
    <definedName name="v_43_GH2_atm">Model!$CM$202</definedName>
    <definedName name="v_43_GH2S">Model!$CJ$202</definedName>
    <definedName name="v_43_GH2S_atm">Model!$CS$202</definedName>
    <definedName name="v_43_GN2">Model!$CI$202</definedName>
    <definedName name="v_43_GN2_atm">Model!$CR$202</definedName>
    <definedName name="v_43_GN2O">Model!$CH$202</definedName>
    <definedName name="v_43_GN2O_atm">Model!$CQ$202</definedName>
    <definedName name="v_43_GNH3">Model!$CF$202</definedName>
    <definedName name="v_43_GNH3_atm">Model!$CO$202</definedName>
    <definedName name="v_43_GNO">Model!$CG$202</definedName>
    <definedName name="v_43_GNO_atm">Model!$CP$202</definedName>
    <definedName name="v_43_GO2">Model!$CE$202</definedName>
    <definedName name="v_43_GO2_atm">Model!$CN$202</definedName>
    <definedName name="v_43_H">Model!$BZ$202</definedName>
    <definedName name="v_43_SALPHA">Model!$CA$202</definedName>
    <definedName name="v_43_SAN">Model!$AX$202</definedName>
    <definedName name="v_43_SB">Model!$F$202</definedName>
    <definedName name="v_43_SCa">Model!$AY$202</definedName>
    <definedName name="v_43_SCAT">Model!$AW$202</definedName>
    <definedName name="v_43_SCH4">Model!$AS$202</definedName>
    <definedName name="v_43_SCO2">Model!$AU$202</definedName>
    <definedName name="v_43_SFe2">Model!$BE$202</definedName>
    <definedName name="v_43_SH2">Model!$AT$202</definedName>
    <definedName name="v_43_SH2S">Model!$BB$202</definedName>
    <definedName name="v_43_SK">Model!$BA$202</definedName>
    <definedName name="v_43_SMEOL">Model!$G$202</definedName>
    <definedName name="v_43_SMg">Model!$AZ$202</definedName>
    <definedName name="v_43_SMM_index">Model!$CT$202</definedName>
    <definedName name="v_43_SN_B">Model!$AJ$202</definedName>
    <definedName name="v_43_SN2">Model!$AI$202</definedName>
    <definedName name="v_43_SN2O">Model!$AH$202</definedName>
    <definedName name="v_43_SNH2OH">Model!$AC$202</definedName>
    <definedName name="v_43_SNHx">Model!$AB$202</definedName>
    <definedName name="v_43_SNO_AOB">Model!$AF$202</definedName>
    <definedName name="v_43_SNO_OHO">Model!$AG$202</definedName>
    <definedName name="v_43_SNO2">Model!$AE$202</definedName>
    <definedName name="v_43_SNO3">Model!$AD$202</definedName>
    <definedName name="v_43_SO2">Model!$AR$202</definedName>
    <definedName name="v_43_SP_B">Model!$AO$202</definedName>
    <definedName name="v_43_SPO4">Model!$AM$202</definedName>
    <definedName name="v_43_SSO4">Model!$BC$202</definedName>
    <definedName name="v_43_SU">Model!$J$202</definedName>
    <definedName name="v_43_SVFA">Model!$E$202</definedName>
    <definedName name="v_43_XACP">Model!$BU$202</definedName>
    <definedName name="v_43_XAMETO">Model!$W$202</definedName>
    <definedName name="v_43_XAMX">Model!$V$202</definedName>
    <definedName name="v_43_XAOB">Model!$T$202</definedName>
    <definedName name="v_43_XASRO">Model!$Y$202</definedName>
    <definedName name="v_43_XB">Model!$I$202</definedName>
    <definedName name="v_43_XBSH">Model!$BV$202</definedName>
    <definedName name="v_43_XCaCO3">Model!$BT$202</definedName>
    <definedName name="v_43_XCASTO">Model!$R$202</definedName>
    <definedName name="v_43_XE">Model!$O$202</definedName>
    <definedName name="v_43_XE_ana">Model!$P$202</definedName>
    <definedName name="v_43_XFeS">Model!$BY$202</definedName>
    <definedName name="v_43_XGLY">Model!$N$202</definedName>
    <definedName name="v_43_XHAO_H">Model!$BM$202</definedName>
    <definedName name="v_43_XHAO_H_P">Model!$BP$202</definedName>
    <definedName name="v_43_XHAO_H_P_old">Model!$BR$202</definedName>
    <definedName name="v_43_XHAO_L">Model!$BN$202</definedName>
    <definedName name="v_43_XHAO_L_P">Model!$BQ$202</definedName>
    <definedName name="v_43_XHAO_L_P_old">Model!$BS$202</definedName>
    <definedName name="v_43_XHAO_old">Model!$BO$202</definedName>
    <definedName name="v_43_XHFO_H">Model!$BF$202</definedName>
    <definedName name="v_43_XHFO_H_P">Model!$BI$202</definedName>
    <definedName name="v_43_XHFO_H_P_old">Model!$BK$202</definedName>
    <definedName name="v_43_XHFO_L">Model!$BG$202</definedName>
    <definedName name="v_43_XHFO_L_P">Model!$BJ$202</definedName>
    <definedName name="v_43_XHFO_L_P_old">Model!$BL$202</definedName>
    <definedName name="v_43_XHFO_old">Model!$BH$202</definedName>
    <definedName name="v_43_XHMETO">Model!$X$202</definedName>
    <definedName name="v_43_XHSRO">Model!$Z$202</definedName>
    <definedName name="v_43_XINORG">Model!$AV$202</definedName>
    <definedName name="v_43_XMEOLO">Model!$S$202</definedName>
    <definedName name="v_43_XMOB">Model!$CU$202</definedName>
    <definedName name="v_43_XN_B">Model!$AK$202</definedName>
    <definedName name="v_43_XN_U">Model!$AL$202</definedName>
    <definedName name="v_43_XNOB">Model!$U$202</definedName>
    <definedName name="v_43_XOHO">Model!$Q$202</definedName>
    <definedName name="v_43_XP_B">Model!$AP$202</definedName>
    <definedName name="v_43_XP_U">Model!$AQ$202</definedName>
    <definedName name="v_43_XPHA">Model!$M$202</definedName>
    <definedName name="v_43_XPP">Model!$AN$202</definedName>
    <definedName name="v_43_XS">Model!$BD$202</definedName>
    <definedName name="v_43_XSOO">Model!$AA$202</definedName>
    <definedName name="v_43_XSTR">Model!$BW$202</definedName>
    <definedName name="v_43_XU">Model!$L$202</definedName>
    <definedName name="v_43_XVivi">Model!$BX$202</definedName>
    <definedName name="v_44_CB">Model!$H$203</definedName>
    <definedName name="v_44_CU">Model!$K$203</definedName>
    <definedName name="v_44_GCH4">Model!$CC$203</definedName>
    <definedName name="v_44_GCH4_atm">Model!$CL$203</definedName>
    <definedName name="v_44_GCO2">Model!$CB$203</definedName>
    <definedName name="v_44_GCO2_atm">Model!$CK$203</definedName>
    <definedName name="v_44_GH2">Model!$CD$203</definedName>
    <definedName name="v_44_GH2_atm">Model!$CM$203</definedName>
    <definedName name="v_44_GH2S">Model!$CJ$203</definedName>
    <definedName name="v_44_GH2S_atm">Model!$CS$203</definedName>
    <definedName name="v_44_GN2">Model!$CI$203</definedName>
    <definedName name="v_44_GN2_atm">Model!$CR$203</definedName>
    <definedName name="v_44_GN2O">Model!$CH$203</definedName>
    <definedName name="v_44_GN2O_atm">Model!$CQ$203</definedName>
    <definedName name="v_44_GNH3">Model!$CF$203</definedName>
    <definedName name="v_44_GNH3_atm">Model!$CO$203</definedName>
    <definedName name="v_44_GNO">Model!$CG$203</definedName>
    <definedName name="v_44_GNO_atm">Model!$CP$203</definedName>
    <definedName name="v_44_GO2">Model!$CE$203</definedName>
    <definedName name="v_44_GO2_atm">Model!$CN$203</definedName>
    <definedName name="v_44_H">Model!$BZ$203</definedName>
    <definedName name="v_44_SALPHA">Model!$CA$203</definedName>
    <definedName name="v_44_SAN">Model!$AX$203</definedName>
    <definedName name="v_44_SB">Model!$F$203</definedName>
    <definedName name="v_44_SCa">Model!$AY$203</definedName>
    <definedName name="v_44_SCAT">Model!$AW$203</definedName>
    <definedName name="v_44_SCH4">Model!$AS$203</definedName>
    <definedName name="v_44_SCO2">Model!$AU$203</definedName>
    <definedName name="v_44_SFe2">Model!$BE$203</definedName>
    <definedName name="v_44_SH2">Model!$AT$203</definedName>
    <definedName name="v_44_SH2S">Model!$BB$203</definedName>
    <definedName name="v_44_SK">Model!$BA$203</definedName>
    <definedName name="v_44_SMEOL">Model!$G$203</definedName>
    <definedName name="v_44_SMg">Model!$AZ$203</definedName>
    <definedName name="v_44_SMM_index">Model!$CT$203</definedName>
    <definedName name="v_44_SN_B">Model!$AJ$203</definedName>
    <definedName name="v_44_SN2">Model!$AI$203</definedName>
    <definedName name="v_44_SN2O">Model!$AH$203</definedName>
    <definedName name="v_44_SNH2OH">Model!$AC$203</definedName>
    <definedName name="v_44_SNHx">Model!$AB$203</definedName>
    <definedName name="v_44_SNO_AOB">Model!$AF$203</definedName>
    <definedName name="v_44_SNO_OHO">Model!$AG$203</definedName>
    <definedName name="v_44_SNO2">Model!$AE$203</definedName>
    <definedName name="v_44_SNO3">Model!$AD$203</definedName>
    <definedName name="v_44_SO2">Model!$AR$203</definedName>
    <definedName name="v_44_SP_B">Model!$AO$203</definedName>
    <definedName name="v_44_SPO4">Model!$AM$203</definedName>
    <definedName name="v_44_SSO4">Model!$BC$203</definedName>
    <definedName name="v_44_SU">Model!$J$203</definedName>
    <definedName name="v_44_SVFA">Model!$E$203</definedName>
    <definedName name="v_44_XACP">Model!$BU$203</definedName>
    <definedName name="v_44_XAMETO">Model!$W$203</definedName>
    <definedName name="v_44_XAMX">Model!$V$203</definedName>
    <definedName name="v_44_XAOB">Model!$T$203</definedName>
    <definedName name="v_44_XASRO">Model!$Y$203</definedName>
    <definedName name="v_44_XB">Model!$I$203</definedName>
    <definedName name="v_44_XBSH">Model!$BV$203</definedName>
    <definedName name="v_44_XCaCO3">Model!$BT$203</definedName>
    <definedName name="v_44_XCASTO">Model!$R$203</definedName>
    <definedName name="v_44_XE">Model!$O$203</definedName>
    <definedName name="v_44_XE_ana">Model!$P$203</definedName>
    <definedName name="v_44_XFeS">Model!$BY$203</definedName>
    <definedName name="v_44_XGLY">Model!$N$203</definedName>
    <definedName name="v_44_XHAO_H">Model!$BM$203</definedName>
    <definedName name="v_44_XHAO_H_P">Model!$BP$203</definedName>
    <definedName name="v_44_XHAO_H_P_old">Model!$BR$203</definedName>
    <definedName name="v_44_XHAO_L">Model!$BN$203</definedName>
    <definedName name="v_44_XHAO_L_P">Model!$BQ$203</definedName>
    <definedName name="v_44_XHAO_L_P_old">Model!$BS$203</definedName>
    <definedName name="v_44_XHAO_old">Model!$BO$203</definedName>
    <definedName name="v_44_XHFO_H">Model!$BF$203</definedName>
    <definedName name="v_44_XHFO_H_P">Model!$BI$203</definedName>
    <definedName name="v_44_XHFO_H_P_old">Model!$BK$203</definedName>
    <definedName name="v_44_XHFO_L">Model!$BG$203</definedName>
    <definedName name="v_44_XHFO_L_P">Model!$BJ$203</definedName>
    <definedName name="v_44_XHFO_L_P_old">Model!$BL$203</definedName>
    <definedName name="v_44_XHFO_old">Model!$BH$203</definedName>
    <definedName name="v_44_XHMETO">Model!$X$203</definedName>
    <definedName name="v_44_XHSRO">Model!$Z$203</definedName>
    <definedName name="v_44_XINORG">Model!$AV$203</definedName>
    <definedName name="v_44_XMEOLO">Model!$S$203</definedName>
    <definedName name="v_44_XMOB">Model!$CU$203</definedName>
    <definedName name="v_44_XN_B">Model!$AK$203</definedName>
    <definedName name="v_44_XN_U">Model!$AL$203</definedName>
    <definedName name="v_44_XNOB">Model!$U$203</definedName>
    <definedName name="v_44_XOHO">Model!$Q$203</definedName>
    <definedName name="v_44_XP_B">Model!$AP$203</definedName>
    <definedName name="v_44_XP_U">Model!$AQ$203</definedName>
    <definedName name="v_44_XPHA">Model!$M$203</definedName>
    <definedName name="v_44_XPP">Model!$AN$203</definedName>
    <definedName name="v_44_XS">Model!$BD$203</definedName>
    <definedName name="v_44_XSOO">Model!$AA$203</definedName>
    <definedName name="v_44_XSTR">Model!$BW$203</definedName>
    <definedName name="v_44_XU">Model!$L$203</definedName>
    <definedName name="v_44_XVivi">Model!$BX$203</definedName>
    <definedName name="v_45_CB">Model!$H$204</definedName>
    <definedName name="v_45_CU">Model!$K$204</definedName>
    <definedName name="v_45_GCH4">Model!$CC$204</definedName>
    <definedName name="v_45_GCH4_atm">Model!$CL$204</definedName>
    <definedName name="v_45_GCO2">Model!$CB$204</definedName>
    <definedName name="v_45_GCO2_atm">Model!$CK$204</definedName>
    <definedName name="v_45_GH2">Model!$CD$204</definedName>
    <definedName name="v_45_GH2_atm">Model!$CM$204</definedName>
    <definedName name="v_45_GH2S">Model!$CJ$204</definedName>
    <definedName name="v_45_GH2S_atm">Model!$CS$204</definedName>
    <definedName name="v_45_GN2">Model!$CI$204</definedName>
    <definedName name="v_45_GN2_atm">Model!$CR$204</definedName>
    <definedName name="v_45_GN2O">Model!$CH$204</definedName>
    <definedName name="v_45_GN2O_atm">Model!$CQ$204</definedName>
    <definedName name="v_45_GNH3">Model!$CF$204</definedName>
    <definedName name="v_45_GNH3_atm">Model!$CO$204</definedName>
    <definedName name="v_45_GNO">Model!$CG$204</definedName>
    <definedName name="v_45_GNO_atm">Model!$CP$204</definedName>
    <definedName name="v_45_GO2">Model!$CE$204</definedName>
    <definedName name="v_45_GO2_atm">Model!$CN$204</definedName>
    <definedName name="v_45_H">Model!$BZ$204</definedName>
    <definedName name="v_45_SALPHA">Model!$CA$204</definedName>
    <definedName name="v_45_SAN">Model!$AX$204</definedName>
    <definedName name="v_45_SB">Model!$F$204</definedName>
    <definedName name="v_45_SCa">Model!$AY$204</definedName>
    <definedName name="v_45_SCAT">Model!$AW$204</definedName>
    <definedName name="v_45_SCH4">Model!$AS$204</definedName>
    <definedName name="v_45_SCO2">Model!$AU$204</definedName>
    <definedName name="v_45_SFe2">Model!$BE$204</definedName>
    <definedName name="v_45_SH2">Model!$AT$204</definedName>
    <definedName name="v_45_SH2S">Model!$BB$204</definedName>
    <definedName name="v_45_SK">Model!$BA$204</definedName>
    <definedName name="v_45_SMEOL">Model!$G$204</definedName>
    <definedName name="v_45_SMg">Model!$AZ$204</definedName>
    <definedName name="v_45_SMM_index">Model!$CT$204</definedName>
    <definedName name="v_45_SN_B">Model!$AJ$204</definedName>
    <definedName name="v_45_SN2">Model!$AI$204</definedName>
    <definedName name="v_45_SN2O">Model!$AH$204</definedName>
    <definedName name="v_45_SNH2OH">Model!$AC$204</definedName>
    <definedName name="v_45_SNHx">Model!$AB$204</definedName>
    <definedName name="v_45_SNO_AOB">Model!$AF$204</definedName>
    <definedName name="v_45_SNO_OHO">Model!$AG$204</definedName>
    <definedName name="v_45_SNO2">Model!$AE$204</definedName>
    <definedName name="v_45_SNO3">Model!$AD$204</definedName>
    <definedName name="v_45_SO2">Model!$AR$204</definedName>
    <definedName name="v_45_SP_B">Model!$AO$204</definedName>
    <definedName name="v_45_SPO4">Model!$AM$204</definedName>
    <definedName name="v_45_SSO4">Model!$BC$204</definedName>
    <definedName name="v_45_SU">Model!$J$204</definedName>
    <definedName name="v_45_SVFA">Model!$E$204</definedName>
    <definedName name="v_45_XACP">Model!$BU$204</definedName>
    <definedName name="v_45_XAMETO">Model!$W$204</definedName>
    <definedName name="v_45_XAMX">Model!$V$204</definedName>
    <definedName name="v_45_XAOB">Model!$T$204</definedName>
    <definedName name="v_45_XASRO">Model!$Y$204</definedName>
    <definedName name="v_45_XB">Model!$I$204</definedName>
    <definedName name="v_45_XBSH">Model!$BV$204</definedName>
    <definedName name="v_45_XCaCO3">Model!$BT$204</definedName>
    <definedName name="v_45_XCASTO">Model!$R$204</definedName>
    <definedName name="v_45_XE">Model!$O$204</definedName>
    <definedName name="v_45_XE_ana">Model!$P$204</definedName>
    <definedName name="v_45_XFeS">Model!$BY$204</definedName>
    <definedName name="v_45_XGLY">Model!$N$204</definedName>
    <definedName name="v_45_XHAO_H">Model!$BM$204</definedName>
    <definedName name="v_45_XHAO_H_P">Model!$BP$204</definedName>
    <definedName name="v_45_XHAO_H_P_old">Model!$BR$204</definedName>
    <definedName name="v_45_XHAO_L">Model!$BN$204</definedName>
    <definedName name="v_45_XHAO_L_P">Model!$BQ$204</definedName>
    <definedName name="v_45_XHAO_L_P_old">Model!$BS$204</definedName>
    <definedName name="v_45_XHAO_old">Model!$BO$204</definedName>
    <definedName name="v_45_XHFO_H">Model!$BF$204</definedName>
    <definedName name="v_45_XHFO_H_P">Model!$BI$204</definedName>
    <definedName name="v_45_XHFO_H_P_old">Model!$BK$204</definedName>
    <definedName name="v_45_XHFO_L">Model!$BG$204</definedName>
    <definedName name="v_45_XHFO_L_P">Model!$BJ$204</definedName>
    <definedName name="v_45_XHFO_L_P_old">Model!$BL$204</definedName>
    <definedName name="v_45_XHFO_old">Model!$BH$204</definedName>
    <definedName name="v_45_XHMETO">Model!$X$204</definedName>
    <definedName name="v_45_XHSRO">Model!$Z$204</definedName>
    <definedName name="v_45_XINORG">Model!$AV$204</definedName>
    <definedName name="v_45_XMEOLO">Model!$S$204</definedName>
    <definedName name="v_45_XMOB">Model!$CU$204</definedName>
    <definedName name="v_45_XN_B">Model!$AK$204</definedName>
    <definedName name="v_45_XN_U">Model!$AL$204</definedName>
    <definedName name="v_45_XNOB">Model!$U$204</definedName>
    <definedName name="v_45_XOHO">Model!$Q$204</definedName>
    <definedName name="v_45_XP_B">Model!$AP$204</definedName>
    <definedName name="v_45_XP_U">Model!$AQ$204</definedName>
    <definedName name="v_45_XPHA">Model!$M$204</definedName>
    <definedName name="v_45_XPP">Model!$AN$204</definedName>
    <definedName name="v_45_XS">Model!$BD$204</definedName>
    <definedName name="v_45_XSOO">Model!$AA$204</definedName>
    <definedName name="v_45_XSTR">Model!$BW$204</definedName>
    <definedName name="v_45_XU">Model!$L$204</definedName>
    <definedName name="v_45_XVivi">Model!$BX$204</definedName>
    <definedName name="v_46_CB">Model!$H$205</definedName>
    <definedName name="v_46_CU">Model!$K$205</definedName>
    <definedName name="v_46_GCH4">Model!$CC$205</definedName>
    <definedName name="v_46_GCH4_atm">Model!$CL$205</definedName>
    <definedName name="v_46_GCO2">Model!$CB$205</definedName>
    <definedName name="v_46_GCO2_atm">Model!$CK$205</definedName>
    <definedName name="v_46_GH2">Model!$CD$205</definedName>
    <definedName name="v_46_GH2_atm">Model!$CM$205</definedName>
    <definedName name="v_46_GH2S">Model!$CJ$205</definedName>
    <definedName name="v_46_GH2S_atm">Model!$CS$205</definedName>
    <definedName name="v_46_GN2">Model!$CI$205</definedName>
    <definedName name="v_46_GN2_atm">Model!$CR$205</definedName>
    <definedName name="v_46_GN2O">Model!$CH$205</definedName>
    <definedName name="v_46_GN2O_atm">Model!$CQ$205</definedName>
    <definedName name="v_46_GNH3">Model!$CF$205</definedName>
    <definedName name="v_46_GNH3_atm">Model!$CO$205</definedName>
    <definedName name="v_46_GNO">Model!$CG$205</definedName>
    <definedName name="v_46_GNO_atm">Model!$CP$205</definedName>
    <definedName name="v_46_GO2">Model!$CE$205</definedName>
    <definedName name="v_46_GO2_atm">Model!$CN$205</definedName>
    <definedName name="v_46_H">Model!$BZ$205</definedName>
    <definedName name="v_46_SALPHA">Model!$CA$205</definedName>
    <definedName name="v_46_SAN">Model!$AX$205</definedName>
    <definedName name="v_46_SB">Model!$F$205</definedName>
    <definedName name="v_46_SCa">Model!$AY$205</definedName>
    <definedName name="v_46_SCAT">Model!$AW$205</definedName>
    <definedName name="v_46_SCH4">Model!$AS$205</definedName>
    <definedName name="v_46_SCO2">Model!$AU$205</definedName>
    <definedName name="v_46_SFe2">Model!$BE$205</definedName>
    <definedName name="v_46_SH2">Model!$AT$205</definedName>
    <definedName name="v_46_SH2S">Model!$BB$205</definedName>
    <definedName name="v_46_SK">Model!$BA$205</definedName>
    <definedName name="v_46_SMEOL">Model!$G$205</definedName>
    <definedName name="v_46_SMg">Model!$AZ$205</definedName>
    <definedName name="v_46_SMM_index">Model!$CT$205</definedName>
    <definedName name="v_46_SN_B">Model!$AJ$205</definedName>
    <definedName name="v_46_SN2">Model!$AI$205</definedName>
    <definedName name="v_46_SN2O">Model!$AH$205</definedName>
    <definedName name="v_46_SNH2OH">Model!$AC$205</definedName>
    <definedName name="v_46_SNHx">Model!$AB$205</definedName>
    <definedName name="v_46_SNO_AOB">Model!$AF$205</definedName>
    <definedName name="v_46_SNO_OHO">Model!$AG$205</definedName>
    <definedName name="v_46_SNO2">Model!$AE$205</definedName>
    <definedName name="v_46_SNO3">Model!$AD$205</definedName>
    <definedName name="v_46_SO2">Model!$AR$205</definedName>
    <definedName name="v_46_SP_B">Model!$AO$205</definedName>
    <definedName name="v_46_SPO4">Model!$AM$205</definedName>
    <definedName name="v_46_SSO4">Model!$BC$205</definedName>
    <definedName name="v_46_SU">Model!$J$205</definedName>
    <definedName name="v_46_SVFA">Model!$E$205</definedName>
    <definedName name="v_46_XACP">Model!$BU$205</definedName>
    <definedName name="v_46_XAMETO">Model!$W$205</definedName>
    <definedName name="v_46_XAMX">Model!$V$205</definedName>
    <definedName name="v_46_XAOB">Model!$T$205</definedName>
    <definedName name="v_46_XASRO">Model!$Y$205</definedName>
    <definedName name="v_46_XB">Model!$I$205</definedName>
    <definedName name="v_46_XBSH">Model!$BV$205</definedName>
    <definedName name="v_46_XCaCO3">Model!$BT$205</definedName>
    <definedName name="v_46_XCASTO">Model!$R$205</definedName>
    <definedName name="v_46_XE">Model!$O$205</definedName>
    <definedName name="v_46_XE_ana">Model!$P$205</definedName>
    <definedName name="v_46_XFeS">Model!$BY$205</definedName>
    <definedName name="v_46_XGLY">Model!$N$205</definedName>
    <definedName name="v_46_XHAO_H">Model!$BM$205</definedName>
    <definedName name="v_46_XHAO_H_P">Model!$BP$205</definedName>
    <definedName name="v_46_XHAO_H_P_old">Model!$BR$205</definedName>
    <definedName name="v_46_XHAO_L">Model!$BN$205</definedName>
    <definedName name="v_46_XHAO_L_P">Model!$BQ$205</definedName>
    <definedName name="v_46_XHAO_L_P_old">Model!$BS$205</definedName>
    <definedName name="v_46_XHAO_old">Model!$BO$205</definedName>
    <definedName name="v_46_XHFO_H">Model!$BF$205</definedName>
    <definedName name="v_46_XHFO_H_P">Model!$BI$205</definedName>
    <definedName name="v_46_XHFO_H_P_old">Model!$BK$205</definedName>
    <definedName name="v_46_XHFO_L">Model!$BG$205</definedName>
    <definedName name="v_46_XHFO_L_P">Model!$BJ$205</definedName>
    <definedName name="v_46_XHFO_L_P_old">Model!$BL$205</definedName>
    <definedName name="v_46_XHFO_old">Model!$BH$205</definedName>
    <definedName name="v_46_XHMETO">Model!$X$205</definedName>
    <definedName name="v_46_XHSRO">Model!$Z$205</definedName>
    <definedName name="v_46_XINORG">Model!$AV$205</definedName>
    <definedName name="v_46_XMEOLO">Model!$S$205</definedName>
    <definedName name="v_46_XMOB">Model!$CU$205</definedName>
    <definedName name="v_46_XN_B">Model!$AK$205</definedName>
    <definedName name="v_46_XN_U">Model!$AL$205</definedName>
    <definedName name="v_46_XNOB">Model!$U$205</definedName>
    <definedName name="v_46_XOHO">Model!$Q$205</definedName>
    <definedName name="v_46_XP_B">Model!$AP$205</definedName>
    <definedName name="v_46_XP_U">Model!$AQ$205</definedName>
    <definedName name="v_46_XPHA">Model!$M$205</definedName>
    <definedName name="v_46_XPP">Model!$AN$205</definedName>
    <definedName name="v_46_XS">Model!$BD$205</definedName>
    <definedName name="v_46_XSOO">Model!$AA$205</definedName>
    <definedName name="v_46_XSTR">Model!$BW$205</definedName>
    <definedName name="v_46_XU">Model!$L$205</definedName>
    <definedName name="v_46_XVivi">Model!$BX$205</definedName>
    <definedName name="v_47_CB">Model!$H$206</definedName>
    <definedName name="v_47_CU">Model!$K$206</definedName>
    <definedName name="v_47_GCH4">Model!$CC$206</definedName>
    <definedName name="v_47_GCH4_atm">Model!$CL$206</definedName>
    <definedName name="v_47_GCO2">Model!$CB$206</definedName>
    <definedName name="v_47_GCO2_atm">Model!$CK$206</definedName>
    <definedName name="v_47_GH2">Model!$CD$206</definedName>
    <definedName name="v_47_GH2_atm">Model!$CM$206</definedName>
    <definedName name="v_47_GH2S">Model!$CJ$206</definedName>
    <definedName name="v_47_GH2S_atm">Model!$CS$206</definedName>
    <definedName name="v_47_GN2">Model!$CI$206</definedName>
    <definedName name="v_47_GN2_atm">Model!$CR$206</definedName>
    <definedName name="v_47_GN2O">Model!$CH$206</definedName>
    <definedName name="v_47_GN2O_atm">Model!$CQ$206</definedName>
    <definedName name="v_47_GNH3">Model!$CF$206</definedName>
    <definedName name="v_47_GNH3_atm">Model!$CO$206</definedName>
    <definedName name="v_47_GNO">Model!$CG$206</definedName>
    <definedName name="v_47_GNO_atm">Model!$CP$206</definedName>
    <definedName name="v_47_GO2">Model!$CE$206</definedName>
    <definedName name="v_47_GO2_atm">Model!$CN$206</definedName>
    <definedName name="v_47_H">Model!$BZ$206</definedName>
    <definedName name="v_47_SALPHA">Model!$CA$206</definedName>
    <definedName name="v_47_SAN">Model!$AX$206</definedName>
    <definedName name="v_47_SB">Model!$F$206</definedName>
    <definedName name="v_47_SCa">Model!$AY$206</definedName>
    <definedName name="v_47_SCAT">Model!$AW$206</definedName>
    <definedName name="v_47_SCH4">Model!$AS$206</definedName>
    <definedName name="v_47_SCO2">Model!$AU$206</definedName>
    <definedName name="v_47_SFe2">Model!$BE$206</definedName>
    <definedName name="v_47_SH2">Model!$AT$206</definedName>
    <definedName name="v_47_SH2S">Model!$BB$206</definedName>
    <definedName name="v_47_SK">Model!$BA$206</definedName>
    <definedName name="v_47_SMEOL">Model!$G$206</definedName>
    <definedName name="v_47_SMg">Model!$AZ$206</definedName>
    <definedName name="v_47_SMM_index">Model!$CT$206</definedName>
    <definedName name="v_47_SN_B">Model!$AJ$206</definedName>
    <definedName name="v_47_SN2">Model!$AI$206</definedName>
    <definedName name="v_47_SN2O">Model!$AH$206</definedName>
    <definedName name="v_47_SNH2OH">Model!$AC$206</definedName>
    <definedName name="v_47_SNHx">Model!$AB$206</definedName>
    <definedName name="v_47_SNO_AOB">Model!$AF$206</definedName>
    <definedName name="v_47_SNO_OHO">Model!$AG$206</definedName>
    <definedName name="v_47_SNO2">Model!$AE$206</definedName>
    <definedName name="v_47_SNO3">Model!$AD$206</definedName>
    <definedName name="v_47_SO2">Model!$AR$206</definedName>
    <definedName name="v_47_SP_B">Model!$AO$206</definedName>
    <definedName name="v_47_SPO4">Model!$AM$206</definedName>
    <definedName name="v_47_SSO4">Model!$BC$206</definedName>
    <definedName name="v_47_SU">Model!$J$206</definedName>
    <definedName name="v_47_SVFA">Model!$E$206</definedName>
    <definedName name="v_47_XACP">Model!$BU$206</definedName>
    <definedName name="v_47_XAMETO">Model!$W$206</definedName>
    <definedName name="v_47_XAMX">Model!$V$206</definedName>
    <definedName name="v_47_XAOB">Model!$T$206</definedName>
    <definedName name="v_47_XASRO">Model!$Y$206</definedName>
    <definedName name="v_47_XB">Model!$I$206</definedName>
    <definedName name="v_47_XBSH">Model!$BV$206</definedName>
    <definedName name="v_47_XCaCO3">Model!$BT$206</definedName>
    <definedName name="v_47_XCASTO">Model!$R$206</definedName>
    <definedName name="v_47_XE">Model!$O$206</definedName>
    <definedName name="v_47_XE_ana">Model!$P$206</definedName>
    <definedName name="v_47_XFeS">Model!$BY$206</definedName>
    <definedName name="v_47_XGLY">Model!$N$206</definedName>
    <definedName name="v_47_XHAO_H">Model!$BM$206</definedName>
    <definedName name="v_47_XHAO_H_P">Model!$BP$206</definedName>
    <definedName name="v_47_XHAO_H_P_old">Model!$BR$206</definedName>
    <definedName name="v_47_XHAO_L">Model!$BN$206</definedName>
    <definedName name="v_47_XHAO_L_P">Model!$BQ$206</definedName>
    <definedName name="v_47_XHAO_L_P_old">Model!$BS$206</definedName>
    <definedName name="v_47_XHAO_old">Model!$BO$206</definedName>
    <definedName name="v_47_XHFO_H">Model!$BF$206</definedName>
    <definedName name="v_47_XHFO_H_P">Model!$BI$206</definedName>
    <definedName name="v_47_XHFO_H_P_old">Model!$BK$206</definedName>
    <definedName name="v_47_XHFO_L">Model!$BG$206</definedName>
    <definedName name="v_47_XHFO_L_P">Model!$BJ$206</definedName>
    <definedName name="v_47_XHFO_L_P_old">Model!$BL$206</definedName>
    <definedName name="v_47_XHFO_old">Model!$BH$206</definedName>
    <definedName name="v_47_XHMETO">Model!$X$206</definedName>
    <definedName name="v_47_XHSRO">Model!$Z$206</definedName>
    <definedName name="v_47_XINORG">Model!$AV$206</definedName>
    <definedName name="v_47_XMEOLO">Model!$S$206</definedName>
    <definedName name="v_47_XMOB">Model!$CU$206</definedName>
    <definedName name="v_47_XN_B">Model!$AK$206</definedName>
    <definedName name="v_47_XN_U">Model!$AL$206</definedName>
    <definedName name="v_47_XNOB">Model!$U$206</definedName>
    <definedName name="v_47_XOHO">Model!$Q$206</definedName>
    <definedName name="v_47_XP_B">Model!$AP$206</definedName>
    <definedName name="v_47_XP_U">Model!$AQ$206</definedName>
    <definedName name="v_47_XPHA">Model!$M$206</definedName>
    <definedName name="v_47_XPP">Model!$AN$206</definedName>
    <definedName name="v_47_XS">Model!$BD$206</definedName>
    <definedName name="v_47_XSOO">Model!$AA$206</definedName>
    <definedName name="v_47_XSTR">Model!$BW$206</definedName>
    <definedName name="v_47_XU">Model!$L$206</definedName>
    <definedName name="v_47_XVivi">Model!$BX$206</definedName>
    <definedName name="v_48_CB">Model!$H$207</definedName>
    <definedName name="v_48_CU">Model!$K$207</definedName>
    <definedName name="v_48_GCH4">Model!$CC$207</definedName>
    <definedName name="v_48_GCH4_atm">Model!$CL$207</definedName>
    <definedName name="v_48_GCO2">Model!$CB$207</definedName>
    <definedName name="v_48_GCO2_atm">Model!$CK$207</definedName>
    <definedName name="v_48_GH2">Model!$CD$207</definedName>
    <definedName name="v_48_GH2_atm">Model!$CM$207</definedName>
    <definedName name="v_48_GH2S">Model!$CJ$207</definedName>
    <definedName name="v_48_GH2S_atm">Model!$CS$207</definedName>
    <definedName name="v_48_GN2">Model!$CI$207</definedName>
    <definedName name="v_48_GN2_atm">Model!$CR$207</definedName>
    <definedName name="v_48_GN2O">Model!$CH$207</definedName>
    <definedName name="v_48_GN2O_atm">Model!$CQ$207</definedName>
    <definedName name="v_48_GNH3">Model!$CF$207</definedName>
    <definedName name="v_48_GNH3_atm">Model!$CO$207</definedName>
    <definedName name="v_48_GNO">Model!$CG$207</definedName>
    <definedName name="v_48_GNO_atm">Model!$CP$207</definedName>
    <definedName name="v_48_GO2">Model!$CE$207</definedName>
    <definedName name="v_48_GO2_atm">Model!$CN$207</definedName>
    <definedName name="v_48_H">Model!$BZ$207</definedName>
    <definedName name="v_48_SALPHA">Model!$CA$207</definedName>
    <definedName name="v_48_SAN">Model!$AX$207</definedName>
    <definedName name="v_48_SB">Model!$F$207</definedName>
    <definedName name="v_48_SCa">Model!$AY$207</definedName>
    <definedName name="v_48_SCAT">Model!$AW$207</definedName>
    <definedName name="v_48_SCH4">Model!$AS$207</definedName>
    <definedName name="v_48_SCO2">Model!$AU$207</definedName>
    <definedName name="v_48_SFe2">Model!$BE$207</definedName>
    <definedName name="v_48_SH2">Model!$AT$207</definedName>
    <definedName name="v_48_SH2S">Model!$BB$207</definedName>
    <definedName name="v_48_SK">Model!$BA$207</definedName>
    <definedName name="v_48_SMEOL">Model!$G$207</definedName>
    <definedName name="v_48_SMg">Model!$AZ$207</definedName>
    <definedName name="v_48_SMM_index">Model!$CT$207</definedName>
    <definedName name="v_48_SN_B">Model!$AJ$207</definedName>
    <definedName name="v_48_SN2">Model!$AI$207</definedName>
    <definedName name="v_48_SN2O">Model!$AH$207</definedName>
    <definedName name="v_48_SNH2OH">Model!$AC$207</definedName>
    <definedName name="v_48_SNHx">Model!$AB$207</definedName>
    <definedName name="v_48_SNO_AOB">Model!$AF$207</definedName>
    <definedName name="v_48_SNO_OHO">Model!$AG$207</definedName>
    <definedName name="v_48_SNO2">Model!$AE$207</definedName>
    <definedName name="v_48_SNO3">Model!$AD$207</definedName>
    <definedName name="v_48_SO2">Model!$AR$207</definedName>
    <definedName name="v_48_SP_B">Model!$AO$207</definedName>
    <definedName name="v_48_SPO4">Model!$AM$207</definedName>
    <definedName name="v_48_SSO4">Model!$BC$207</definedName>
    <definedName name="v_48_SU">Model!$J$207</definedName>
    <definedName name="v_48_SVFA">Model!$E$207</definedName>
    <definedName name="v_48_XACP">Model!$BU$207</definedName>
    <definedName name="v_48_XAMETO">Model!$W$207</definedName>
    <definedName name="v_48_XAMX">Model!$V$207</definedName>
    <definedName name="v_48_XAOB">Model!$T$207</definedName>
    <definedName name="v_48_XASRO">Model!$Y$207</definedName>
    <definedName name="v_48_XB">Model!$I$207</definedName>
    <definedName name="v_48_XBSH">Model!$BV$207</definedName>
    <definedName name="v_48_XCaCO3">Model!$BT$207</definedName>
    <definedName name="v_48_XCASTO">Model!$R$207</definedName>
    <definedName name="v_48_XE">Model!$O$207</definedName>
    <definedName name="v_48_XE_ana">Model!$P$207</definedName>
    <definedName name="v_48_XFeS">Model!$BY$207</definedName>
    <definedName name="v_48_XGLY">Model!$N$207</definedName>
    <definedName name="v_48_XHAO_H">Model!$BM$207</definedName>
    <definedName name="v_48_XHAO_H_P">Model!$BP$207</definedName>
    <definedName name="v_48_XHAO_H_P_old">Model!$BR$207</definedName>
    <definedName name="v_48_XHAO_L">Model!$BN$207</definedName>
    <definedName name="v_48_XHAO_L_P">Model!$BQ$207</definedName>
    <definedName name="v_48_XHAO_L_P_old">Model!$BS$207</definedName>
    <definedName name="v_48_XHAO_old">Model!$BO$207</definedName>
    <definedName name="v_48_XHFO_H">Model!$BF$207</definedName>
    <definedName name="v_48_XHFO_H_P">Model!$BI$207</definedName>
    <definedName name="v_48_XHFO_H_P_old">Model!$BK$207</definedName>
    <definedName name="v_48_XHFO_L">Model!$BG$207</definedName>
    <definedName name="v_48_XHFO_L_P">Model!$BJ$207</definedName>
    <definedName name="v_48_XHFO_L_P_old">Model!$BL$207</definedName>
    <definedName name="v_48_XHFO_old">Model!$BH$207</definedName>
    <definedName name="v_48_XHMETO">Model!$X$207</definedName>
    <definedName name="v_48_XHSRO">Model!$Z$207</definedName>
    <definedName name="v_48_XINORG">Model!$AV$207</definedName>
    <definedName name="v_48_XMEOLO">Model!$S$207</definedName>
    <definedName name="v_48_XMOB">Model!$CU$207</definedName>
    <definedName name="v_48_XN_B">Model!$AK$207</definedName>
    <definedName name="v_48_XN_U">Model!$AL$207</definedName>
    <definedName name="v_48_XNOB">Model!$U$207</definedName>
    <definedName name="v_48_XOHO">Model!$Q$207</definedName>
    <definedName name="v_48_XP_B">Model!$AP$207</definedName>
    <definedName name="v_48_XP_U">Model!$AQ$207</definedName>
    <definedName name="v_48_XPHA">Model!$M$207</definedName>
    <definedName name="v_48_XPP">Model!$AN$207</definedName>
    <definedName name="v_48_XS">Model!$BD$207</definedName>
    <definedName name="v_48_XSOO">Model!$AA$207</definedName>
    <definedName name="v_48_XSTR">Model!$BW$207</definedName>
    <definedName name="v_48_XU">Model!$L$207</definedName>
    <definedName name="v_48_XVivi">Model!$BX$207</definedName>
    <definedName name="v_49_CB">Model!$H$208</definedName>
    <definedName name="v_49_CU">Model!$K$208</definedName>
    <definedName name="v_49_GCH4">Model!$CC$208</definedName>
    <definedName name="v_49_GCH4_atm">Model!$CL$208</definedName>
    <definedName name="v_49_GCO2">Model!$CB$208</definedName>
    <definedName name="v_49_GCO2_atm">Model!$CK$208</definedName>
    <definedName name="v_49_GH2">Model!$CD$208</definedName>
    <definedName name="v_49_GH2_atm">Model!$CM$208</definedName>
    <definedName name="v_49_GH2S">Model!$CJ$208</definedName>
    <definedName name="v_49_GH2S_atm">Model!$CS$208</definedName>
    <definedName name="v_49_GN2">Model!$CI$208</definedName>
    <definedName name="v_49_GN2_atm">Model!$CR$208</definedName>
    <definedName name="v_49_GN2O">Model!$CH$208</definedName>
    <definedName name="v_49_GN2O_atm">Model!$CQ$208</definedName>
    <definedName name="v_49_GNH3">Model!$CF$208</definedName>
    <definedName name="v_49_GNH3_atm">Model!$CO$208</definedName>
    <definedName name="v_49_GNO">Model!$CG$208</definedName>
    <definedName name="v_49_GNO_atm">Model!$CP$208</definedName>
    <definedName name="v_49_GO2">Model!$CE$208</definedName>
    <definedName name="v_49_GO2_atm">Model!$CN$208</definedName>
    <definedName name="v_49_H">Model!$BZ$208</definedName>
    <definedName name="v_49_SALPHA">Model!$CA$208</definedName>
    <definedName name="v_49_SAN">Model!$AX$208</definedName>
    <definedName name="v_49_SB">Model!$F$208</definedName>
    <definedName name="v_49_SCa">Model!$AY$208</definedName>
    <definedName name="v_49_SCAT">Model!$AW$208</definedName>
    <definedName name="v_49_SCH4">Model!$AS$208</definedName>
    <definedName name="v_49_SCO2">Model!$AU$208</definedName>
    <definedName name="v_49_SFe2">Model!$BE$208</definedName>
    <definedName name="v_49_SH2">Model!$AT$208</definedName>
    <definedName name="v_49_SH2S">Model!$BB$208</definedName>
    <definedName name="v_49_SK">Model!$BA$208</definedName>
    <definedName name="v_49_SMEOL">Model!$G$208</definedName>
    <definedName name="v_49_SMg">Model!$AZ$208</definedName>
    <definedName name="v_49_SMM_index">Model!$CT$208</definedName>
    <definedName name="v_49_SN_B">Model!$AJ$208</definedName>
    <definedName name="v_49_SN2">Model!$AI$208</definedName>
    <definedName name="v_49_SN2O">Model!$AH$208</definedName>
    <definedName name="v_49_SNH2OH">Model!$AC$208</definedName>
    <definedName name="v_49_SNHx">Model!$AB$208</definedName>
    <definedName name="v_49_SNO_AOB">Model!$AF$208</definedName>
    <definedName name="v_49_SNO_OHO">Model!$AG$208</definedName>
    <definedName name="v_49_SNO2">Model!$AE$208</definedName>
    <definedName name="v_49_SNO3">Model!$AD$208</definedName>
    <definedName name="v_49_SO2">Model!$AR$208</definedName>
    <definedName name="v_49_SP_B">Model!$AO$208</definedName>
    <definedName name="v_49_SPO4">Model!$AM$208</definedName>
    <definedName name="v_49_SSO4">Model!$BC$208</definedName>
    <definedName name="v_49_SU">Model!$J$208</definedName>
    <definedName name="v_49_SVFA">Model!$E$208</definedName>
    <definedName name="v_49_XACP">Model!$BU$208</definedName>
    <definedName name="v_49_XAMETO">Model!$W$208</definedName>
    <definedName name="v_49_XAMX">Model!$V$208</definedName>
    <definedName name="v_49_XAOB">Model!$T$208</definedName>
    <definedName name="v_49_XASRO">Model!$Y$208</definedName>
    <definedName name="v_49_XB">Model!$I$208</definedName>
    <definedName name="v_49_XBSH">Model!$BV$208</definedName>
    <definedName name="v_49_XCaCO3">Model!$BT$208</definedName>
    <definedName name="v_49_XCASTO">Model!$R$208</definedName>
    <definedName name="v_49_XE">Model!$O$208</definedName>
    <definedName name="v_49_XE_ana">Model!$P$208</definedName>
    <definedName name="v_49_XFeS">Model!$BY$208</definedName>
    <definedName name="v_49_XGLY">Model!$N$208</definedName>
    <definedName name="v_49_XHAO_H">Model!$BM$208</definedName>
    <definedName name="v_49_XHAO_H_P">Model!$BP$208</definedName>
    <definedName name="v_49_XHAO_H_P_old">Model!$BR$208</definedName>
    <definedName name="v_49_XHAO_L">Model!$BN$208</definedName>
    <definedName name="v_49_XHAO_L_P">Model!$BQ$208</definedName>
    <definedName name="v_49_XHAO_L_P_old">Model!$BS$208</definedName>
    <definedName name="v_49_XHAO_old">Model!$BO$208</definedName>
    <definedName name="v_49_XHFO_H">Model!$BF$208</definedName>
    <definedName name="v_49_XHFO_H_P">Model!$BI$208</definedName>
    <definedName name="v_49_XHFO_H_P_old">Model!$BK$208</definedName>
    <definedName name="v_49_XHFO_L">Model!$BG$208</definedName>
    <definedName name="v_49_XHFO_L_P">Model!$BJ$208</definedName>
    <definedName name="v_49_XHFO_L_P_old">Model!$BL$208</definedName>
    <definedName name="v_49_XHFO_old">Model!$BH$208</definedName>
    <definedName name="v_49_XHMETO">Model!$X$208</definedName>
    <definedName name="v_49_XHSRO">Model!$Z$208</definedName>
    <definedName name="v_49_XINORG">Model!$AV$208</definedName>
    <definedName name="v_49_XMEOLO">Model!$S$208</definedName>
    <definedName name="v_49_XMOB">Model!$CU$208</definedName>
    <definedName name="v_49_XN_B">Model!$AK$208</definedName>
    <definedName name="v_49_XN_U">Model!$AL$208</definedName>
    <definedName name="v_49_XNOB">Model!$U$208</definedName>
    <definedName name="v_49_XOHO">Model!$Q$208</definedName>
    <definedName name="v_49_XP_B">Model!$AP$208</definedName>
    <definedName name="v_49_XP_U">Model!$AQ$208</definedName>
    <definedName name="v_49_XPHA">Model!$M$208</definedName>
    <definedName name="v_49_XPP">Model!$AN$208</definedName>
    <definedName name="v_49_XS">Model!$BD$208</definedName>
    <definedName name="v_49_XSOO">Model!$AA$208</definedName>
    <definedName name="v_49_XSTR">Model!$BW$208</definedName>
    <definedName name="v_49_XU">Model!$L$208</definedName>
    <definedName name="v_49_XVivi">Model!$BX$208</definedName>
    <definedName name="v_5_CB">Model!$H$164</definedName>
    <definedName name="v_5_CU">Model!$K$164</definedName>
    <definedName name="v_5_GCH4">Model!$CC$164</definedName>
    <definedName name="v_5_GCH4_atm">Model!$CL$164</definedName>
    <definedName name="v_5_GCO2">Model!$CB$164</definedName>
    <definedName name="v_5_GCO2_atm">Model!$CK$164</definedName>
    <definedName name="v_5_GH2">Model!$CD$164</definedName>
    <definedName name="v_5_GH2_atm">Model!$CM$164</definedName>
    <definedName name="v_5_GH2S">Model!$CJ$164</definedName>
    <definedName name="v_5_GH2S_atm">Model!$CS$164</definedName>
    <definedName name="v_5_GN2">Model!$CI$164</definedName>
    <definedName name="v_5_GN2_atm">Model!$CR$164</definedName>
    <definedName name="v_5_GN2O">Model!$CH$164</definedName>
    <definedName name="v_5_GN2O_atm">Model!$CQ$164</definedName>
    <definedName name="v_5_GNH3">Model!$CF$164</definedName>
    <definedName name="v_5_GNH3_atm">Model!$CO$164</definedName>
    <definedName name="v_5_GNO">Model!$CG$164</definedName>
    <definedName name="v_5_GNO_atm">Model!$CP$164</definedName>
    <definedName name="v_5_GO2">Model!$CE$164</definedName>
    <definedName name="v_5_GO2_atm">Model!$CN$164</definedName>
    <definedName name="v_5_H">Model!$BZ$164</definedName>
    <definedName name="v_5_SALPHA">Model!$CA$164</definedName>
    <definedName name="v_5_SAN">Model!$AX$164</definedName>
    <definedName name="v_5_SB">Model!$F$164</definedName>
    <definedName name="v_5_SCa">Model!$AY$164</definedName>
    <definedName name="v_5_SCAT">Model!$AW$164</definedName>
    <definedName name="v_5_SCH4">Model!$AS$164</definedName>
    <definedName name="v_5_SCO2">Model!$AU$164</definedName>
    <definedName name="v_5_SFe2">Model!$BE$164</definedName>
    <definedName name="v_5_SH2">Model!$AT$164</definedName>
    <definedName name="v_5_SH2S">Model!$BB$164</definedName>
    <definedName name="v_5_SK">Model!$BA$164</definedName>
    <definedName name="v_5_SMEOL">Model!$G$164</definedName>
    <definedName name="v_5_SMg">Model!$AZ$164</definedName>
    <definedName name="v_5_SMM_index">Model!$CT$164</definedName>
    <definedName name="v_5_SN_B">Model!$AJ$164</definedName>
    <definedName name="v_5_SN2">Model!$AI$164</definedName>
    <definedName name="v_5_SN2O">Model!$AH$164</definedName>
    <definedName name="v_5_SNH2OH">Model!$AC$164</definedName>
    <definedName name="v_5_SNHx">Model!$AB$164</definedName>
    <definedName name="v_5_SNO_AOB">Model!$AF$164</definedName>
    <definedName name="v_5_SNO_OHO">Model!$AG$164</definedName>
    <definedName name="v_5_SNO2">Model!$AE$164</definedName>
    <definedName name="v_5_SNO3">Model!$AD$164</definedName>
    <definedName name="v_5_SO2">Model!$AR$164</definedName>
    <definedName name="v_5_SP_B">Model!$AO$164</definedName>
    <definedName name="v_5_SPO4">Model!$AM$164</definedName>
    <definedName name="v_5_SSO4">Model!$BC$164</definedName>
    <definedName name="v_5_SU">Model!$J$164</definedName>
    <definedName name="v_5_SVFA">Model!$E$164</definedName>
    <definedName name="v_5_XACP">Model!$BU$164</definedName>
    <definedName name="v_5_XAMETO">Model!$W$164</definedName>
    <definedName name="v_5_XAMX">Model!$V$164</definedName>
    <definedName name="v_5_XAOB">Model!$T$164</definedName>
    <definedName name="v_5_XASRO">Model!$Y$164</definedName>
    <definedName name="v_5_XB">Model!$I$164</definedName>
    <definedName name="v_5_XBSH">Model!$BV$164</definedName>
    <definedName name="v_5_XCaCO3">Model!$BT$164</definedName>
    <definedName name="v_5_XCASTO">Model!$R$164</definedName>
    <definedName name="v_5_XE">Model!$O$164</definedName>
    <definedName name="v_5_XE_ana">Model!$P$164</definedName>
    <definedName name="v_5_XFeS">Model!$BY$164</definedName>
    <definedName name="v_5_XGLY">Model!$N$164</definedName>
    <definedName name="v_5_XHAO_H">Model!$BM$164</definedName>
    <definedName name="v_5_XHAO_H_P">Model!$BP$164</definedName>
    <definedName name="v_5_XHAO_H_P_old">Model!$BR$164</definedName>
    <definedName name="v_5_XHAO_L">Model!$BN$164</definedName>
    <definedName name="v_5_XHAO_L_P">Model!$BQ$164</definedName>
    <definedName name="v_5_XHAO_L_P_old">Model!$BS$164</definedName>
    <definedName name="v_5_XHAO_old">Model!$BO$164</definedName>
    <definedName name="v_5_XHFO_H">Model!$BF$164</definedName>
    <definedName name="v_5_XHFO_H_P">Model!$BI$164</definedName>
    <definedName name="v_5_XHFO_H_P_old">Model!$BK$164</definedName>
    <definedName name="v_5_XHFO_L">Model!$BG$164</definedName>
    <definedName name="v_5_XHFO_L_P">Model!$BJ$164</definedName>
    <definedName name="v_5_XHFO_L_P_old">Model!$BL$164</definedName>
    <definedName name="v_5_XHFO_old">Model!$BH$164</definedName>
    <definedName name="v_5_XHMETO">Model!$X$164</definedName>
    <definedName name="v_5_XHSRO">Model!$Z$164</definedName>
    <definedName name="v_5_XINORG">Model!$AV$164</definedName>
    <definedName name="v_5_XMEOLO">Model!$S$164</definedName>
    <definedName name="v_5_XMOB">Model!$CU$164</definedName>
    <definedName name="v_5_XN_B">Model!$AK$164</definedName>
    <definedName name="v_5_XN_U">Model!$AL$164</definedName>
    <definedName name="v_5_XNOB">Model!$U$164</definedName>
    <definedName name="v_5_XOHO">Model!$Q$164</definedName>
    <definedName name="v_5_XP_B">Model!$AP$164</definedName>
    <definedName name="v_5_XP_U">Model!$AQ$164</definedName>
    <definedName name="v_5_XPHA">Model!$M$164</definedName>
    <definedName name="v_5_XPP">Model!$AN$164</definedName>
    <definedName name="v_5_XS">Model!$BD$164</definedName>
    <definedName name="v_5_XSOO">Model!$AA$164</definedName>
    <definedName name="v_5_XSTR">Model!$BW$164</definedName>
    <definedName name="v_5_XU">Model!$L$164</definedName>
    <definedName name="v_5_XVivi">Model!$BX$164</definedName>
    <definedName name="v_50_CB">Model!$H$209</definedName>
    <definedName name="v_50_CU">Model!$K$209</definedName>
    <definedName name="v_50_GCH4">Model!$CC$209</definedName>
    <definedName name="v_50_GCH4_atm">Model!$CL$209</definedName>
    <definedName name="v_50_GCO2">Model!$CB$209</definedName>
    <definedName name="v_50_GCO2_atm">Model!$CK$209</definedName>
    <definedName name="v_50_GH2">Model!$CD$209</definedName>
    <definedName name="v_50_GH2_atm">Model!$CM$209</definedName>
    <definedName name="v_50_GH2S">Model!$CJ$209</definedName>
    <definedName name="v_50_GH2S_atm">Model!$CS$209</definedName>
    <definedName name="v_50_GN2">Model!$CI$209</definedName>
    <definedName name="v_50_GN2_atm">Model!$CR$209</definedName>
    <definedName name="v_50_GN2O">Model!$CH$209</definedName>
    <definedName name="v_50_GN2O_atm">Model!$CQ$209</definedName>
    <definedName name="v_50_GNH3">Model!$CF$209</definedName>
    <definedName name="v_50_GNH3_atm">Model!$CO$209</definedName>
    <definedName name="v_50_GNO">Model!$CG$209</definedName>
    <definedName name="v_50_GNO_atm">Model!$CP$209</definedName>
    <definedName name="v_50_GO2">Model!$CE$209</definedName>
    <definedName name="v_50_GO2_atm">Model!$CN$209</definedName>
    <definedName name="v_50_H">Model!$BZ$209</definedName>
    <definedName name="v_50_SALPHA">Model!$CA$209</definedName>
    <definedName name="v_50_SAN">Model!$AX$209</definedName>
    <definedName name="v_50_SB">Model!$F$209</definedName>
    <definedName name="v_50_SCa">Model!$AY$209</definedName>
    <definedName name="v_50_SCAT">Model!$AW$209</definedName>
    <definedName name="v_50_SCH4">Model!$AS$209</definedName>
    <definedName name="v_50_SCO2">Model!$AU$209</definedName>
    <definedName name="v_50_SFe2">Model!$BE$209</definedName>
    <definedName name="v_50_SH2">Model!$AT$209</definedName>
    <definedName name="v_50_SH2S">Model!$BB$209</definedName>
    <definedName name="v_50_SK">Model!$BA$209</definedName>
    <definedName name="v_50_SMEOL">Model!$G$209</definedName>
    <definedName name="v_50_SMg">Model!$AZ$209</definedName>
    <definedName name="v_50_SMM_index">Model!$CT$209</definedName>
    <definedName name="v_50_SN_B">Model!$AJ$209</definedName>
    <definedName name="v_50_SN2">Model!$AI$209</definedName>
    <definedName name="v_50_SN2O">Model!$AH$209</definedName>
    <definedName name="v_50_SNH2OH">Model!$AC$209</definedName>
    <definedName name="v_50_SNHx">Model!$AB$209</definedName>
    <definedName name="v_50_SNO_AOB">Model!$AF$209</definedName>
    <definedName name="v_50_SNO_OHO">Model!$AG$209</definedName>
    <definedName name="v_50_SNO2">Model!$AE$209</definedName>
    <definedName name="v_50_SNO3">Model!$AD$209</definedName>
    <definedName name="v_50_SO2">Model!$AR$209</definedName>
    <definedName name="v_50_SP_B">Model!$AO$209</definedName>
    <definedName name="v_50_SPO4">Model!$AM$209</definedName>
    <definedName name="v_50_SSO4">Model!$BC$209</definedName>
    <definedName name="v_50_SU">Model!$J$209</definedName>
    <definedName name="v_50_SVFA">Model!$E$209</definedName>
    <definedName name="v_50_XACP">Model!$BU$209</definedName>
    <definedName name="v_50_XAMETO">Model!$W$209</definedName>
    <definedName name="v_50_XAMX">Model!$V$209</definedName>
    <definedName name="v_50_XAOB">Model!$T$209</definedName>
    <definedName name="v_50_XASRO">Model!$Y$209</definedName>
    <definedName name="v_50_XB">Model!$I$209</definedName>
    <definedName name="v_50_XBSH">Model!$BV$209</definedName>
    <definedName name="v_50_XCaCO3">Model!$BT$209</definedName>
    <definedName name="v_50_XCASTO">Model!$R$209</definedName>
    <definedName name="v_50_XE">Model!$O$209</definedName>
    <definedName name="v_50_XE_ana">Model!$P$209</definedName>
    <definedName name="v_50_XFeS">Model!$BY$209</definedName>
    <definedName name="v_50_XGLY">Model!$N$209</definedName>
    <definedName name="v_50_XHAO_H">Model!$BM$209</definedName>
    <definedName name="v_50_XHAO_H_P">Model!$BP$209</definedName>
    <definedName name="v_50_XHAO_H_P_old">Model!$BR$209</definedName>
    <definedName name="v_50_XHAO_L">Model!$BN$209</definedName>
    <definedName name="v_50_XHAO_L_P">Model!$BQ$209</definedName>
    <definedName name="v_50_XHAO_L_P_old">Model!$BS$209</definedName>
    <definedName name="v_50_XHAO_old">Model!$BO$209</definedName>
    <definedName name="v_50_XHFO_H">Model!$BF$209</definedName>
    <definedName name="v_50_XHFO_H_P">Model!$BI$209</definedName>
    <definedName name="v_50_XHFO_H_P_old">Model!$BK$209</definedName>
    <definedName name="v_50_XHFO_L">Model!$BG$209</definedName>
    <definedName name="v_50_XHFO_L_P">Model!$BJ$209</definedName>
    <definedName name="v_50_XHFO_L_P_old">Model!$BL$209</definedName>
    <definedName name="v_50_XHFO_old">Model!$BH$209</definedName>
    <definedName name="v_50_XHMETO">Model!$X$209</definedName>
    <definedName name="v_50_XHSRO">Model!$Z$209</definedName>
    <definedName name="v_50_XINORG">Model!$AV$209</definedName>
    <definedName name="v_50_XMEOLO">Model!$S$209</definedName>
    <definedName name="v_50_XMOB">Model!$CU$209</definedName>
    <definedName name="v_50_XN_B">Model!$AK$209</definedName>
    <definedName name="v_50_XN_U">Model!$AL$209</definedName>
    <definedName name="v_50_XNOB">Model!$U$209</definedName>
    <definedName name="v_50_XOHO">Model!$Q$209</definedName>
    <definedName name="v_50_XP_B">Model!$AP$209</definedName>
    <definedName name="v_50_XP_U">Model!$AQ$209</definedName>
    <definedName name="v_50_XPHA">Model!$M$209</definedName>
    <definedName name="v_50_XPP">Model!$AN$209</definedName>
    <definedName name="v_50_XS">Model!$BD$209</definedName>
    <definedName name="v_50_XSOO">Model!$AA$209</definedName>
    <definedName name="v_50_XSTR">Model!$BW$209</definedName>
    <definedName name="v_50_XU">Model!$L$209</definedName>
    <definedName name="v_50_XVivi">Model!$BX$209</definedName>
    <definedName name="v_51_CB">Model!$H$210</definedName>
    <definedName name="v_51_CU">Model!$K$210</definedName>
    <definedName name="v_51_GCH4">Model!$CC$210</definedName>
    <definedName name="v_51_GCH4_atm">Model!$CL$210</definedName>
    <definedName name="v_51_GCO2">Model!$CB$210</definedName>
    <definedName name="v_51_GCO2_atm">Model!$CK$210</definedName>
    <definedName name="v_51_GH2">Model!$CD$210</definedName>
    <definedName name="v_51_GH2_atm">Model!$CM$210</definedName>
    <definedName name="v_51_GH2S">Model!$CJ$210</definedName>
    <definedName name="v_51_GH2S_atm">Model!$CS$210</definedName>
    <definedName name="v_51_GN2">Model!$CI$210</definedName>
    <definedName name="v_51_GN2_atm">Model!$CR$210</definedName>
    <definedName name="v_51_GN2O">Model!$CH$210</definedName>
    <definedName name="v_51_GN2O_atm">Model!$CQ$210</definedName>
    <definedName name="v_51_GNH3">Model!$CF$210</definedName>
    <definedName name="v_51_GNH3_atm">Model!$CO$210</definedName>
    <definedName name="v_51_GNO">Model!$CG$210</definedName>
    <definedName name="v_51_GNO_atm">Model!$CP$210</definedName>
    <definedName name="v_51_GO2">Model!$CE$210</definedName>
    <definedName name="v_51_GO2_atm">Model!$CN$210</definedName>
    <definedName name="v_51_H">Model!$BZ$210</definedName>
    <definedName name="v_51_SALPHA">Model!$CA$210</definedName>
    <definedName name="v_51_SAN">Model!$AX$210</definedName>
    <definedName name="v_51_SB">Model!$F$210</definedName>
    <definedName name="v_51_SCa">Model!$AY$210</definedName>
    <definedName name="v_51_SCAT">Model!$AW$210</definedName>
    <definedName name="v_51_SCH4">Model!$AS$210</definedName>
    <definedName name="v_51_SCO2">Model!$AU$210</definedName>
    <definedName name="v_51_SFe2">Model!$BE$210</definedName>
    <definedName name="v_51_SH2">Model!$AT$210</definedName>
    <definedName name="v_51_SH2S">Model!$BB$210</definedName>
    <definedName name="v_51_SK">Model!$BA$210</definedName>
    <definedName name="v_51_SMEOL">Model!$G$210</definedName>
    <definedName name="v_51_SMg">Model!$AZ$210</definedName>
    <definedName name="v_51_SMM_index">Model!$CT$210</definedName>
    <definedName name="v_51_SN_B">Model!$AJ$210</definedName>
    <definedName name="v_51_SN2">Model!$AI$210</definedName>
    <definedName name="v_51_SN2O">Model!$AH$210</definedName>
    <definedName name="v_51_SNH2OH">Model!$AC$210</definedName>
    <definedName name="v_51_SNHx">Model!$AB$210</definedName>
    <definedName name="v_51_SNO_AOB">Model!$AF$210</definedName>
    <definedName name="v_51_SNO_OHO">Model!$AG$210</definedName>
    <definedName name="v_51_SNO2">Model!$AE$210</definedName>
    <definedName name="v_51_SNO3">Model!$AD$210</definedName>
    <definedName name="v_51_SO2">Model!$AR$210</definedName>
    <definedName name="v_51_SP_B">Model!$AO$210</definedName>
    <definedName name="v_51_SPO4">Model!$AM$210</definedName>
    <definedName name="v_51_SSO4">Model!$BC$210</definedName>
    <definedName name="v_51_SU">Model!$J$210</definedName>
    <definedName name="v_51_SVFA">Model!$E$210</definedName>
    <definedName name="v_51_XACP">Model!$BU$210</definedName>
    <definedName name="v_51_XAMETO">Model!$W$210</definedName>
    <definedName name="v_51_XAMX">Model!$V$210</definedName>
    <definedName name="v_51_XAOB">Model!$T$210</definedName>
    <definedName name="v_51_XASRO">Model!$Y$210</definedName>
    <definedName name="v_51_XB">Model!$I$210</definedName>
    <definedName name="v_51_XBSH">Model!$BV$210</definedName>
    <definedName name="v_51_XCaCO3">Model!$BT$210</definedName>
    <definedName name="v_51_XCASTO">Model!$R$210</definedName>
    <definedName name="v_51_XE">Model!$O$210</definedName>
    <definedName name="v_51_XE_ana">Model!$P$210</definedName>
    <definedName name="v_51_XFeS">Model!$BY$210</definedName>
    <definedName name="v_51_XGLY">Model!$N$210</definedName>
    <definedName name="v_51_XHAO_H">Model!$BM$210</definedName>
    <definedName name="v_51_XHAO_H_P">Model!$BP$210</definedName>
    <definedName name="v_51_XHAO_H_P_old">Model!$BR$210</definedName>
    <definedName name="v_51_XHAO_L">Model!$BN$210</definedName>
    <definedName name="v_51_XHAO_L_P">Model!$BQ$210</definedName>
    <definedName name="v_51_XHAO_L_P_old">Model!$BS$210</definedName>
    <definedName name="v_51_XHAO_old">Model!$BO$210</definedName>
    <definedName name="v_51_XHFO_H">Model!$BF$210</definedName>
    <definedName name="v_51_XHFO_H_P">Model!$BI$210</definedName>
    <definedName name="v_51_XHFO_H_P_old">Model!$BK$210</definedName>
    <definedName name="v_51_XHFO_L">Model!$BG$210</definedName>
    <definedName name="v_51_XHFO_L_P">Model!$BJ$210</definedName>
    <definedName name="v_51_XHFO_L_P_old">Model!$BL$210</definedName>
    <definedName name="v_51_XHFO_old">Model!$BH$210</definedName>
    <definedName name="v_51_XHMETO">Model!$X$210</definedName>
    <definedName name="v_51_XHSRO">Model!$Z$210</definedName>
    <definedName name="v_51_XINORG">Model!$AV$210</definedName>
    <definedName name="v_51_XMEOLO">Model!$S$210</definedName>
    <definedName name="v_51_XMOB">Model!$CU$210</definedName>
    <definedName name="v_51_XN_B">Model!$AK$210</definedName>
    <definedName name="v_51_XN_U">Model!$AL$210</definedName>
    <definedName name="v_51_XNOB">Model!$U$210</definedName>
    <definedName name="v_51_XOHO">Model!$Q$210</definedName>
    <definedName name="v_51_XP_B">Model!$AP$210</definedName>
    <definedName name="v_51_XP_U">Model!$AQ$210</definedName>
    <definedName name="v_51_XPHA">Model!$M$210</definedName>
    <definedName name="v_51_XPP">Model!$AN$210</definedName>
    <definedName name="v_51_XS">Model!$BD$210</definedName>
    <definedName name="v_51_XSOO">Model!$AA$210</definedName>
    <definedName name="v_51_XSTR">Model!$BW$210</definedName>
    <definedName name="v_51_XU">Model!$L$210</definedName>
    <definedName name="v_51_XVivi">Model!$BX$210</definedName>
    <definedName name="v_52_CB">Model!$H$211</definedName>
    <definedName name="v_52_CU">Model!$K$211</definedName>
    <definedName name="v_52_GCH4">Model!$CC$211</definedName>
    <definedName name="v_52_GCH4_atm">Model!$CL$211</definedName>
    <definedName name="v_52_GCO2">Model!$CB$211</definedName>
    <definedName name="v_52_GCO2_atm">Model!$CK$211</definedName>
    <definedName name="v_52_GH2">Model!$CD$211</definedName>
    <definedName name="v_52_GH2_atm">Model!$CM$211</definedName>
    <definedName name="v_52_GH2S">Model!$CJ$211</definedName>
    <definedName name="v_52_GH2S_atm">Model!$CS$211</definedName>
    <definedName name="v_52_GN2">Model!$CI$211</definedName>
    <definedName name="v_52_GN2_atm">Model!$CR$211</definedName>
    <definedName name="v_52_GN2O">Model!$CH$211</definedName>
    <definedName name="v_52_GN2O_atm">Model!$CQ$211</definedName>
    <definedName name="v_52_GNH3">Model!$CF$211</definedName>
    <definedName name="v_52_GNH3_atm">Model!$CO$211</definedName>
    <definedName name="v_52_GNO">Model!$CG$211</definedName>
    <definedName name="v_52_GNO_atm">Model!$CP$211</definedName>
    <definedName name="v_52_GO2">Model!$CE$211</definedName>
    <definedName name="v_52_GO2_atm">Model!$CN$211</definedName>
    <definedName name="v_52_H">Model!$BZ$211</definedName>
    <definedName name="v_52_SALPHA">Model!$CA$211</definedName>
    <definedName name="v_52_SAN">Model!$AX$211</definedName>
    <definedName name="v_52_SB">Model!$F$211</definedName>
    <definedName name="v_52_SCa">Model!$AY$211</definedName>
    <definedName name="v_52_SCAT">Model!$AW$211</definedName>
    <definedName name="v_52_SCH4">Model!$AS$211</definedName>
    <definedName name="v_52_SCO2">Model!$AU$211</definedName>
    <definedName name="v_52_SFe2">Model!$BE$211</definedName>
    <definedName name="v_52_SH2">Model!$AT$211</definedName>
    <definedName name="v_52_SH2S">Model!$BB$211</definedName>
    <definedName name="v_52_SK">Model!$BA$211</definedName>
    <definedName name="v_52_SMEOL">Model!$G$211</definedName>
    <definedName name="v_52_SMg">Model!$AZ$211</definedName>
    <definedName name="v_52_SMM_index">Model!$CT$211</definedName>
    <definedName name="v_52_SN_B">Model!$AJ$211</definedName>
    <definedName name="v_52_SN2">Model!$AI$211</definedName>
    <definedName name="v_52_SN2O">Model!$AH$211</definedName>
    <definedName name="v_52_SNH2OH">Model!$AC$211</definedName>
    <definedName name="v_52_SNHx">Model!$AB$211</definedName>
    <definedName name="v_52_SNO_AOB">Model!$AF$211</definedName>
    <definedName name="v_52_SNO_OHO">Model!$AG$211</definedName>
    <definedName name="v_52_SNO2">Model!$AE$211</definedName>
    <definedName name="v_52_SNO3">Model!$AD$211</definedName>
    <definedName name="v_52_SO2">Model!$AR$211</definedName>
    <definedName name="v_52_SP_B">Model!$AO$211</definedName>
    <definedName name="v_52_SPO4">Model!$AM$211</definedName>
    <definedName name="v_52_SSO4">Model!$BC$211</definedName>
    <definedName name="v_52_SU">Model!$J$211</definedName>
    <definedName name="v_52_SVFA">Model!$E$211</definedName>
    <definedName name="v_52_XACP">Model!$BU$211</definedName>
    <definedName name="v_52_XAMETO">Model!$W$211</definedName>
    <definedName name="v_52_XAMX">Model!$V$211</definedName>
    <definedName name="v_52_XAOB">Model!$T$211</definedName>
    <definedName name="v_52_XASRO">Model!$Y$211</definedName>
    <definedName name="v_52_XB">Model!$I$211</definedName>
    <definedName name="v_52_XBSH">Model!$BV$211</definedName>
    <definedName name="v_52_XCaCO3">Model!$BT$211</definedName>
    <definedName name="v_52_XCASTO">Model!$R$211</definedName>
    <definedName name="v_52_XE">Model!$O$211</definedName>
    <definedName name="v_52_XE_ana">Model!$P$211</definedName>
    <definedName name="v_52_XFeS">Model!$BY$211</definedName>
    <definedName name="v_52_XGLY">Model!$N$211</definedName>
    <definedName name="v_52_XHAO_H">Model!$BM$211</definedName>
    <definedName name="v_52_XHAO_H_P">Model!$BP$211</definedName>
    <definedName name="v_52_XHAO_H_P_old">Model!$BR$211</definedName>
    <definedName name="v_52_XHAO_L">Model!$BN$211</definedName>
    <definedName name="v_52_XHAO_L_P">Model!$BQ$211</definedName>
    <definedName name="v_52_XHAO_L_P_old">Model!$BS$211</definedName>
    <definedName name="v_52_XHAO_old">Model!$BO$211</definedName>
    <definedName name="v_52_XHFO_H">Model!$BF$211</definedName>
    <definedName name="v_52_XHFO_H_P">Model!$BI$211</definedName>
    <definedName name="v_52_XHFO_H_P_old">Model!$BK$211</definedName>
    <definedName name="v_52_XHFO_L">Model!$BG$211</definedName>
    <definedName name="v_52_XHFO_L_P">Model!$BJ$211</definedName>
    <definedName name="v_52_XHFO_L_P_old">Model!$BL$211</definedName>
    <definedName name="v_52_XHFO_old">Model!$BH$211</definedName>
    <definedName name="v_52_XHMETO">Model!$X$211</definedName>
    <definedName name="v_52_XHSRO">Model!$Z$211</definedName>
    <definedName name="v_52_XINORG">Model!$AV$211</definedName>
    <definedName name="v_52_XMEOLO">Model!$S$211</definedName>
    <definedName name="v_52_XMOB">Model!$CU$211</definedName>
    <definedName name="v_52_XN_B">Model!$AK$211</definedName>
    <definedName name="v_52_XN_U">Model!$AL$211</definedName>
    <definedName name="v_52_XNOB">Model!$U$211</definedName>
    <definedName name="v_52_XOHO">Model!$Q$211</definedName>
    <definedName name="v_52_XP_B">Model!$AP$211</definedName>
    <definedName name="v_52_XP_U">Model!$AQ$211</definedName>
    <definedName name="v_52_XPHA">Model!$M$211</definedName>
    <definedName name="v_52_XPP">Model!$AN$211</definedName>
    <definedName name="v_52_XS">Model!$BD$211</definedName>
    <definedName name="v_52_XSOO">Model!$AA$211</definedName>
    <definedName name="v_52_XSTR">Model!$BW$211</definedName>
    <definedName name="v_52_XU">Model!$L$211</definedName>
    <definedName name="v_52_XVivi">Model!$BX$211</definedName>
    <definedName name="v_53_CB">Model!$H$212</definedName>
    <definedName name="v_53_CU">Model!$K$212</definedName>
    <definedName name="v_53_GCH4">Model!$CC$212</definedName>
    <definedName name="v_53_GCH4_atm">Model!$CL$212</definedName>
    <definedName name="v_53_GCO2">Model!$CB$212</definedName>
    <definedName name="v_53_GCO2_atm">Model!$CK$212</definedName>
    <definedName name="v_53_GH2">Model!$CD$212</definedName>
    <definedName name="v_53_GH2_atm">Model!$CM$212</definedName>
    <definedName name="v_53_GH2S">Model!$CJ$212</definedName>
    <definedName name="v_53_GH2S_atm">Model!$CS$212</definedName>
    <definedName name="v_53_GN2">Model!$CI$212</definedName>
    <definedName name="v_53_GN2_atm">Model!$CR$212</definedName>
    <definedName name="v_53_GN2O">Model!$CH$212</definedName>
    <definedName name="v_53_GN2O_atm">Model!$CQ$212</definedName>
    <definedName name="v_53_GNH3">Model!$CF$212</definedName>
    <definedName name="v_53_GNH3_atm">Model!$CO$212</definedName>
    <definedName name="v_53_GNO">Model!$CG$212</definedName>
    <definedName name="v_53_GNO_atm">Model!$CP$212</definedName>
    <definedName name="v_53_GO2">Model!$CE$212</definedName>
    <definedName name="v_53_GO2_atm">Model!$CN$212</definedName>
    <definedName name="v_53_H">Model!$BZ$212</definedName>
    <definedName name="v_53_SALPHA">Model!$CA$212</definedName>
    <definedName name="v_53_SAN">Model!$AX$212</definedName>
    <definedName name="v_53_SB">Model!$F$212</definedName>
    <definedName name="v_53_SCa">Model!$AY$212</definedName>
    <definedName name="v_53_SCAT">Model!$AW$212</definedName>
    <definedName name="v_53_SCH4">Model!$AS$212</definedName>
    <definedName name="v_53_SCO2">Model!$AU$212</definedName>
    <definedName name="v_53_SFe2">Model!$BE$212</definedName>
    <definedName name="v_53_SH2">Model!$AT$212</definedName>
    <definedName name="v_53_SH2S">Model!$BB$212</definedName>
    <definedName name="v_53_SK">Model!$BA$212</definedName>
    <definedName name="v_53_SMEOL">Model!$G$212</definedName>
    <definedName name="v_53_SMg">Model!$AZ$212</definedName>
    <definedName name="v_53_SMM_index">Model!$CT$212</definedName>
    <definedName name="v_53_SN_B">Model!$AJ$212</definedName>
    <definedName name="v_53_SN2">Model!$AI$212</definedName>
    <definedName name="v_53_SN2O">Model!$AH$212</definedName>
    <definedName name="v_53_SNH2OH">Model!$AC$212</definedName>
    <definedName name="v_53_SNHx">Model!$AB$212</definedName>
    <definedName name="v_53_SNO_AOB">Model!$AF$212</definedName>
    <definedName name="v_53_SNO_OHO">Model!$AG$212</definedName>
    <definedName name="v_53_SNO2">Model!$AE$212</definedName>
    <definedName name="v_53_SNO3">Model!$AD$212</definedName>
    <definedName name="v_53_SO2">Model!$AR$212</definedName>
    <definedName name="v_53_SP_B">Model!$AO$212</definedName>
    <definedName name="v_53_SPO4">Model!$AM$212</definedName>
    <definedName name="v_53_SSO4">Model!$BC$212</definedName>
    <definedName name="v_53_SU">Model!$J$212</definedName>
    <definedName name="v_53_SVFA">Model!$E$212</definedName>
    <definedName name="v_53_XACP">Model!$BU$212</definedName>
    <definedName name="v_53_XAMETO">Model!$W$212</definedName>
    <definedName name="v_53_XAMX">Model!$V$212</definedName>
    <definedName name="v_53_XAOB">Model!$T$212</definedName>
    <definedName name="v_53_XASRO">Model!$Y$212</definedName>
    <definedName name="v_53_XB">Model!$I$212</definedName>
    <definedName name="v_53_XBSH">Model!$BV$212</definedName>
    <definedName name="v_53_XCaCO3">Model!$BT$212</definedName>
    <definedName name="v_53_XCASTO">Model!$R$212</definedName>
    <definedName name="v_53_XE">Model!$O$212</definedName>
    <definedName name="v_53_XE_ana">Model!$P$212</definedName>
    <definedName name="v_53_XFeS">Model!$BY$212</definedName>
    <definedName name="v_53_XGLY">Model!$N$212</definedName>
    <definedName name="v_53_XHAO_H">Model!$BM$212</definedName>
    <definedName name="v_53_XHAO_H_P">Model!$BP$212</definedName>
    <definedName name="v_53_XHAO_H_P_old">Model!$BR$212</definedName>
    <definedName name="v_53_XHAO_L">Model!$BN$212</definedName>
    <definedName name="v_53_XHAO_L_P">Model!$BQ$212</definedName>
    <definedName name="v_53_XHAO_L_P_old">Model!$BS$212</definedName>
    <definedName name="v_53_XHAO_old">Model!$BO$212</definedName>
    <definedName name="v_53_XHFO_H">Model!$BF$212</definedName>
    <definedName name="v_53_XHFO_H_P">Model!$BI$212</definedName>
    <definedName name="v_53_XHFO_H_P_old">Model!$BK$212</definedName>
    <definedName name="v_53_XHFO_L">Model!$BG$212</definedName>
    <definedName name="v_53_XHFO_L_P">Model!$BJ$212</definedName>
    <definedName name="v_53_XHFO_L_P_old">Model!$BL$212</definedName>
    <definedName name="v_53_XHFO_old">Model!$BH$212</definedName>
    <definedName name="v_53_XHMETO">Model!$X$212</definedName>
    <definedName name="v_53_XHSRO">Model!$Z$212</definedName>
    <definedName name="v_53_XINORG">Model!$AV$212</definedName>
    <definedName name="v_53_XMEOLO">Model!$S$212</definedName>
    <definedName name="v_53_XMOB">Model!$CU$212</definedName>
    <definedName name="v_53_XN_B">Model!$AK$212</definedName>
    <definedName name="v_53_XN_U">Model!$AL$212</definedName>
    <definedName name="v_53_XNOB">Model!$U$212</definedName>
    <definedName name="v_53_XOHO">Model!$Q$212</definedName>
    <definedName name="v_53_XP_B">Model!$AP$212</definedName>
    <definedName name="v_53_XP_U">Model!$AQ$212</definedName>
    <definedName name="v_53_XPHA">Model!$M$212</definedName>
    <definedName name="v_53_XPP">Model!$AN$212</definedName>
    <definedName name="v_53_XS">Model!$BD$212</definedName>
    <definedName name="v_53_XSOO">Model!$AA$212</definedName>
    <definedName name="v_53_XSTR">Model!$BW$212</definedName>
    <definedName name="v_53_XU">Model!$L$212</definedName>
    <definedName name="v_53_XVivi">Model!$BX$212</definedName>
    <definedName name="v_54_CB">Model!$H$213</definedName>
    <definedName name="v_54_CU">Model!$K$213</definedName>
    <definedName name="v_54_GCH4">Model!$CC$213</definedName>
    <definedName name="v_54_GCH4_atm">Model!$CL$213</definedName>
    <definedName name="v_54_GCO2">Model!$CB$213</definedName>
    <definedName name="v_54_GCO2_atm">Model!$CK$213</definedName>
    <definedName name="v_54_GH2">Model!$CD$213</definedName>
    <definedName name="v_54_GH2_atm">Model!$CM$213</definedName>
    <definedName name="v_54_GH2S">Model!$CJ$213</definedName>
    <definedName name="v_54_GH2S_atm">Model!$CS$213</definedName>
    <definedName name="v_54_GN2">Model!$CI$213</definedName>
    <definedName name="v_54_GN2_atm">Model!$CR$213</definedName>
    <definedName name="v_54_GN2O">Model!$CH$213</definedName>
    <definedName name="v_54_GN2O_atm">Model!$CQ$213</definedName>
    <definedName name="v_54_GNH3">Model!$CF$213</definedName>
    <definedName name="v_54_GNH3_atm">Model!$CO$213</definedName>
    <definedName name="v_54_GNO">Model!$CG$213</definedName>
    <definedName name="v_54_GNO_atm">Model!$CP$213</definedName>
    <definedName name="v_54_GO2">Model!$CE$213</definedName>
    <definedName name="v_54_GO2_atm">Model!$CN$213</definedName>
    <definedName name="v_54_H">Model!$BZ$213</definedName>
    <definedName name="v_54_SALPHA">Model!$CA$213</definedName>
    <definedName name="v_54_SAN">Model!$AX$213</definedName>
    <definedName name="v_54_SB">Model!$F$213</definedName>
    <definedName name="v_54_SCa">Model!$AY$213</definedName>
    <definedName name="v_54_SCAT">Model!$AW$213</definedName>
    <definedName name="v_54_SCH4">Model!$AS$213</definedName>
    <definedName name="v_54_SCO2">Model!$AU$213</definedName>
    <definedName name="v_54_SFe2">Model!$BE$213</definedName>
    <definedName name="v_54_SH2">Model!$AT$213</definedName>
    <definedName name="v_54_SH2S">Model!$BB$213</definedName>
    <definedName name="v_54_SK">Model!$BA$213</definedName>
    <definedName name="v_54_SMEOL">Model!$G$213</definedName>
    <definedName name="v_54_SMg">Model!$AZ$213</definedName>
    <definedName name="v_54_SMM_index">Model!$CT$213</definedName>
    <definedName name="v_54_SN_B">Model!$AJ$213</definedName>
    <definedName name="v_54_SN2">Model!$AI$213</definedName>
    <definedName name="v_54_SN2O">Model!$AH$213</definedName>
    <definedName name="v_54_SNH2OH">Model!$AC$213</definedName>
    <definedName name="v_54_SNHx">Model!$AB$213</definedName>
    <definedName name="v_54_SNO_AOB">Model!$AF$213</definedName>
    <definedName name="v_54_SNO_OHO">Model!$AG$213</definedName>
    <definedName name="v_54_SNO2">Model!$AE$213</definedName>
    <definedName name="v_54_SNO3">Model!$AD$213</definedName>
    <definedName name="v_54_SO2">Model!$AR$213</definedName>
    <definedName name="v_54_SP_B">Model!$AO$213</definedName>
    <definedName name="v_54_SPO4">Model!$AM$213</definedName>
    <definedName name="v_54_SSO4">Model!$BC$213</definedName>
    <definedName name="v_54_SU">Model!$J$213</definedName>
    <definedName name="v_54_SVFA">Model!$E$213</definedName>
    <definedName name="v_54_XACP">Model!$BU$213</definedName>
    <definedName name="v_54_XAMETO">Model!$W$213</definedName>
    <definedName name="v_54_XAMX">Model!$V$213</definedName>
    <definedName name="v_54_XAOB">Model!$T$213</definedName>
    <definedName name="v_54_XASRO">Model!$Y$213</definedName>
    <definedName name="v_54_XB">Model!$I$213</definedName>
    <definedName name="v_54_XBSH">Model!$BV$213</definedName>
    <definedName name="v_54_XCaCO3">Model!$BT$213</definedName>
    <definedName name="v_54_XCASTO">Model!$R$213</definedName>
    <definedName name="v_54_XE">Model!$O$213</definedName>
    <definedName name="v_54_XE_ana">Model!$P$213</definedName>
    <definedName name="v_54_XFeS">Model!$BY$213</definedName>
    <definedName name="v_54_XGLY">Model!$N$213</definedName>
    <definedName name="v_54_XHAO_H">Model!$BM$213</definedName>
    <definedName name="v_54_XHAO_H_P">Model!$BP$213</definedName>
    <definedName name="v_54_XHAO_H_P_old">Model!$BR$213</definedName>
    <definedName name="v_54_XHAO_L">Model!$BN$213</definedName>
    <definedName name="v_54_XHAO_L_P">Model!$BQ$213</definedName>
    <definedName name="v_54_XHAO_L_P_old">Model!$BS$213</definedName>
    <definedName name="v_54_XHAO_old">Model!$BO$213</definedName>
    <definedName name="v_54_XHFO_H">Model!$BF$213</definedName>
    <definedName name="v_54_XHFO_H_P">Model!$BI$213</definedName>
    <definedName name="v_54_XHFO_H_P_old">Model!$BK$213</definedName>
    <definedName name="v_54_XHFO_L">Model!$BG$213</definedName>
    <definedName name="v_54_XHFO_L_P">Model!$BJ$213</definedName>
    <definedName name="v_54_XHFO_L_P_old">Model!$BL$213</definedName>
    <definedName name="v_54_XHFO_old">Model!$BH$213</definedName>
    <definedName name="v_54_XHMETO">Model!$X$213</definedName>
    <definedName name="v_54_XHSRO">Model!$Z$213</definedName>
    <definedName name="v_54_XINORG">Model!$AV$213</definedName>
    <definedName name="v_54_XMEOLO">Model!$S$213</definedName>
    <definedName name="v_54_XMOB">Model!$CU$213</definedName>
    <definedName name="v_54_XN_B">Model!$AK$213</definedName>
    <definedName name="v_54_XN_U">Model!$AL$213</definedName>
    <definedName name="v_54_XNOB">Model!$U$213</definedName>
    <definedName name="v_54_XOHO">Model!$Q$213</definedName>
    <definedName name="v_54_XP_B">Model!$AP$213</definedName>
    <definedName name="v_54_XP_U">Model!$AQ$213</definedName>
    <definedName name="v_54_XPHA">Model!$M$213</definedName>
    <definedName name="v_54_XPP">Model!$AN$213</definedName>
    <definedName name="v_54_XS">Model!$BD$213</definedName>
    <definedName name="v_54_XSOO">Model!$AA$213</definedName>
    <definedName name="v_54_XSTR">Model!$BW$213</definedName>
    <definedName name="v_54_XU">Model!$L$213</definedName>
    <definedName name="v_54_XVivi">Model!$BX$213</definedName>
    <definedName name="v_55_CB">Model!$H$214</definedName>
    <definedName name="v_55_CU">Model!$K$214</definedName>
    <definedName name="v_55_GCH4">Model!$CC$214</definedName>
    <definedName name="v_55_GCH4_atm">Model!$CL$214</definedName>
    <definedName name="v_55_GCO2">Model!$CB$214</definedName>
    <definedName name="v_55_GCO2_atm">Model!$CK$214</definedName>
    <definedName name="v_55_GH2">Model!$CD$214</definedName>
    <definedName name="v_55_GH2_atm">Model!$CM$214</definedName>
    <definedName name="v_55_GH2S">Model!$CJ$214</definedName>
    <definedName name="v_55_GH2S_atm">Model!$CS$214</definedName>
    <definedName name="v_55_GN2">Model!$CI$214</definedName>
    <definedName name="v_55_GN2_atm">Model!$CR$214</definedName>
    <definedName name="v_55_GN2O">Model!$CH$214</definedName>
    <definedName name="v_55_GN2O_atm">Model!$CQ$214</definedName>
    <definedName name="v_55_GNH3">Model!$CF$214</definedName>
    <definedName name="v_55_GNH3_atm">Model!$CO$214</definedName>
    <definedName name="v_55_GNO">Model!$CG$214</definedName>
    <definedName name="v_55_GNO_atm">Model!$CP$214</definedName>
    <definedName name="v_55_GO2">Model!$CE$214</definedName>
    <definedName name="v_55_GO2_atm">Model!$CN$214</definedName>
    <definedName name="v_55_H">Model!$BZ$214</definedName>
    <definedName name="v_55_SALPHA">Model!$CA$214</definedName>
    <definedName name="v_55_SAN">Model!$AX$214</definedName>
    <definedName name="v_55_SB">Model!$F$214</definedName>
    <definedName name="v_55_SCa">Model!$AY$214</definedName>
    <definedName name="v_55_SCAT">Model!$AW$214</definedName>
    <definedName name="v_55_SCH4">Model!$AS$214</definedName>
    <definedName name="v_55_SCO2">Model!$AU$214</definedName>
    <definedName name="v_55_SFe2">Model!$BE$214</definedName>
    <definedName name="v_55_SH2">Model!$AT$214</definedName>
    <definedName name="v_55_SH2S">Model!$BB$214</definedName>
    <definedName name="v_55_SK">Model!$BA$214</definedName>
    <definedName name="v_55_SMEOL">Model!$G$214</definedName>
    <definedName name="v_55_SMg">Model!$AZ$214</definedName>
    <definedName name="v_55_SMM_index">Model!$CT$214</definedName>
    <definedName name="v_55_SN_B">Model!$AJ$214</definedName>
    <definedName name="v_55_SN2">Model!$AI$214</definedName>
    <definedName name="v_55_SN2O">Model!$AH$214</definedName>
    <definedName name="v_55_SNH2OH">Model!$AC$214</definedName>
    <definedName name="v_55_SNHx">Model!$AB$214</definedName>
    <definedName name="v_55_SNO_AOB">Model!$AF$214</definedName>
    <definedName name="v_55_SNO_OHO">Model!$AG$214</definedName>
    <definedName name="v_55_SNO2">Model!$AE$214</definedName>
    <definedName name="v_55_SNO3">Model!$AD$214</definedName>
    <definedName name="v_55_SO2">Model!$AR$214</definedName>
    <definedName name="v_55_SP_B">Model!$AO$214</definedName>
    <definedName name="v_55_SPO4">Model!$AM$214</definedName>
    <definedName name="v_55_SSO4">Model!$BC$214</definedName>
    <definedName name="v_55_SU">Model!$J$214</definedName>
    <definedName name="v_55_SVFA">Model!$E$214</definedName>
    <definedName name="v_55_XACP">Model!$BU$214</definedName>
    <definedName name="v_55_XAMETO">Model!$W$214</definedName>
    <definedName name="v_55_XAMX">Model!$V$214</definedName>
    <definedName name="v_55_XAOB">Model!$T$214</definedName>
    <definedName name="v_55_XASRO">Model!$Y$214</definedName>
    <definedName name="v_55_XB">Model!$I$214</definedName>
    <definedName name="v_55_XBSH">Model!$BV$214</definedName>
    <definedName name="v_55_XCaCO3">Model!$BT$214</definedName>
    <definedName name="v_55_XCASTO">Model!$R$214</definedName>
    <definedName name="v_55_XE">Model!$O$214</definedName>
    <definedName name="v_55_XE_ana">Model!$P$214</definedName>
    <definedName name="v_55_XFeS">Model!$BY$214</definedName>
    <definedName name="v_55_XGLY">Model!$N$214</definedName>
    <definedName name="v_55_XHAO_H">Model!$BM$214</definedName>
    <definedName name="v_55_XHAO_H_P">Model!$BP$214</definedName>
    <definedName name="v_55_XHAO_H_P_old">Model!$BR$214</definedName>
    <definedName name="v_55_XHAO_L">Model!$BN$214</definedName>
    <definedName name="v_55_XHAO_L_P">Model!$BQ$214</definedName>
    <definedName name="v_55_XHAO_L_P_old">Model!$BS$214</definedName>
    <definedName name="v_55_XHAO_old">Model!$BO$214</definedName>
    <definedName name="v_55_XHFO_H">Model!$BF$214</definedName>
    <definedName name="v_55_XHFO_H_P">Model!$BI$214</definedName>
    <definedName name="v_55_XHFO_H_P_old">Model!$BK$214</definedName>
    <definedName name="v_55_XHFO_L">Model!$BG$214</definedName>
    <definedName name="v_55_XHFO_L_P">Model!$BJ$214</definedName>
    <definedName name="v_55_XHFO_L_P_old">Model!$BL$214</definedName>
    <definedName name="v_55_XHFO_old">Model!$BH$214</definedName>
    <definedName name="v_55_XHMETO">Model!$X$214</definedName>
    <definedName name="v_55_XHSRO">Model!$Z$214</definedName>
    <definedName name="v_55_XINORG">Model!$AV$214</definedName>
    <definedName name="v_55_XMEOLO">Model!$S$214</definedName>
    <definedName name="v_55_XMOB">Model!$CU$214</definedName>
    <definedName name="v_55_XN_B">Model!$AK$214</definedName>
    <definedName name="v_55_XN_U">Model!$AL$214</definedName>
    <definedName name="v_55_XNOB">Model!$U$214</definedName>
    <definedName name="v_55_XOHO">Model!$Q$214</definedName>
    <definedName name="v_55_XP_B">Model!$AP$214</definedName>
    <definedName name="v_55_XP_U">Model!$AQ$214</definedName>
    <definedName name="v_55_XPHA">Model!$M$214</definedName>
    <definedName name="v_55_XPP">Model!$AN$214</definedName>
    <definedName name="v_55_XS">Model!$BD$214</definedName>
    <definedName name="v_55_XSOO">Model!$AA$214</definedName>
    <definedName name="v_55_XSTR">Model!$BW$214</definedName>
    <definedName name="v_55_XU">Model!$L$214</definedName>
    <definedName name="v_55_XVivi">Model!$BX$214</definedName>
    <definedName name="v_56_CB">Model!$H$215</definedName>
    <definedName name="v_56_CU">Model!$K$215</definedName>
    <definedName name="v_56_GCH4">Model!$CC$215</definedName>
    <definedName name="v_56_GCH4_atm">Model!$CL$215</definedName>
    <definedName name="v_56_GCO2">Model!$CB$215</definedName>
    <definedName name="v_56_GCO2_atm">Model!$CK$215</definedName>
    <definedName name="v_56_GH2">Model!$CD$215</definedName>
    <definedName name="v_56_GH2_atm">Model!$CM$215</definedName>
    <definedName name="v_56_GH2S">Model!$CJ$215</definedName>
    <definedName name="v_56_GH2S_atm">Model!$CS$215</definedName>
    <definedName name="v_56_GN2">Model!$CI$215</definedName>
    <definedName name="v_56_GN2_atm">Model!$CR$215</definedName>
    <definedName name="v_56_GN2O">Model!$CH$215</definedName>
    <definedName name="v_56_GN2O_atm">Model!$CQ$215</definedName>
    <definedName name="v_56_GNH3">Model!$CF$215</definedName>
    <definedName name="v_56_GNH3_atm">Model!$CO$215</definedName>
    <definedName name="v_56_GNO">Model!$CG$215</definedName>
    <definedName name="v_56_GNO_atm">Model!$CP$215</definedName>
    <definedName name="v_56_GO2">Model!$CE$215</definedName>
    <definedName name="v_56_GO2_atm">Model!$CN$215</definedName>
    <definedName name="v_56_H">Model!$BZ$215</definedName>
    <definedName name="v_56_SALPHA">Model!$CA$215</definedName>
    <definedName name="v_56_SAN">Model!$AX$215</definedName>
    <definedName name="v_56_SB">Model!$F$215</definedName>
    <definedName name="v_56_SCa">Model!$AY$215</definedName>
    <definedName name="v_56_SCAT">Model!$AW$215</definedName>
    <definedName name="v_56_SCH4">Model!$AS$215</definedName>
    <definedName name="v_56_SCO2">Model!$AU$215</definedName>
    <definedName name="v_56_SFe2">Model!$BE$215</definedName>
    <definedName name="v_56_SH2">Model!$AT$215</definedName>
    <definedName name="v_56_SH2S">Model!$BB$215</definedName>
    <definedName name="v_56_SK">Model!$BA$215</definedName>
    <definedName name="v_56_SMEOL">Model!$G$215</definedName>
    <definedName name="v_56_SMg">Model!$AZ$215</definedName>
    <definedName name="v_56_SMM_index">Model!$CT$215</definedName>
    <definedName name="v_56_SN_B">Model!$AJ$215</definedName>
    <definedName name="v_56_SN2">Model!$AI$215</definedName>
    <definedName name="v_56_SN2O">Model!$AH$215</definedName>
    <definedName name="v_56_SNH2OH">Model!$AC$215</definedName>
    <definedName name="v_56_SNHx">Model!$AB$215</definedName>
    <definedName name="v_56_SNO_AOB">Model!$AF$215</definedName>
    <definedName name="v_56_SNO_OHO">Model!$AG$215</definedName>
    <definedName name="v_56_SNO2">Model!$AE$215</definedName>
    <definedName name="v_56_SNO3">Model!$AD$215</definedName>
    <definedName name="v_56_SO2">Model!$AR$215</definedName>
    <definedName name="v_56_SP_B">Model!$AO$215</definedName>
    <definedName name="v_56_SPO4">Model!$AM$215</definedName>
    <definedName name="v_56_SSO4">Model!$BC$215</definedName>
    <definedName name="v_56_SU">Model!$J$215</definedName>
    <definedName name="v_56_SVFA">Model!$E$215</definedName>
    <definedName name="v_56_XACP">Model!$BU$215</definedName>
    <definedName name="v_56_XAMETO">Model!$W$215</definedName>
    <definedName name="v_56_XAMX">Model!$V$215</definedName>
    <definedName name="v_56_XAOB">Model!$T$215</definedName>
    <definedName name="v_56_XASRO">Model!$Y$215</definedName>
    <definedName name="v_56_XB">Model!$I$215</definedName>
    <definedName name="v_56_XBSH">Model!$BV$215</definedName>
    <definedName name="v_56_XCaCO3">Model!$BT$215</definedName>
    <definedName name="v_56_XCASTO">Model!$R$215</definedName>
    <definedName name="v_56_XE">Model!$O$215</definedName>
    <definedName name="v_56_XE_ana">Model!$P$215</definedName>
    <definedName name="v_56_XFeS">Model!$BY$215</definedName>
    <definedName name="v_56_XGLY">Model!$N$215</definedName>
    <definedName name="v_56_XHAO_H">Model!$BM$215</definedName>
    <definedName name="v_56_XHAO_H_P">Model!$BP$215</definedName>
    <definedName name="v_56_XHAO_H_P_old">Model!$BR$215</definedName>
    <definedName name="v_56_XHAO_L">Model!$BN$215</definedName>
    <definedName name="v_56_XHAO_L_P">Model!$BQ$215</definedName>
    <definedName name="v_56_XHAO_L_P_old">Model!$BS$215</definedName>
    <definedName name="v_56_XHAO_old">Model!$BO$215</definedName>
    <definedName name="v_56_XHFO_H">Model!$BF$215</definedName>
    <definedName name="v_56_XHFO_H_P">Model!$BI$215</definedName>
    <definedName name="v_56_XHFO_H_P_old">Model!$BK$215</definedName>
    <definedName name="v_56_XHFO_L">Model!$BG$215</definedName>
    <definedName name="v_56_XHFO_L_P">Model!$BJ$215</definedName>
    <definedName name="v_56_XHFO_L_P_old">Model!$BL$215</definedName>
    <definedName name="v_56_XHFO_old">Model!$BH$215</definedName>
    <definedName name="v_56_XHMETO">Model!$X$215</definedName>
    <definedName name="v_56_XHSRO">Model!$Z$215</definedName>
    <definedName name="v_56_XINORG">Model!$AV$215</definedName>
    <definedName name="v_56_XMEOLO">Model!$S$215</definedName>
    <definedName name="v_56_XMOB">Model!$CU$215</definedName>
    <definedName name="v_56_XN_B">Model!$AK$215</definedName>
    <definedName name="v_56_XN_U">Model!$AL$215</definedName>
    <definedName name="v_56_XNOB">Model!$U$215</definedName>
    <definedName name="v_56_XOHO">Model!$Q$215</definedName>
    <definedName name="v_56_XP_B">Model!$AP$215</definedName>
    <definedName name="v_56_XP_U">Model!$AQ$215</definedName>
    <definedName name="v_56_XPHA">Model!$M$215</definedName>
    <definedName name="v_56_XPP">Model!$AN$215</definedName>
    <definedName name="v_56_XS">Model!$BD$215</definedName>
    <definedName name="v_56_XSOO">Model!$AA$215</definedName>
    <definedName name="v_56_XSTR">Model!$BW$215</definedName>
    <definedName name="v_56_XU">Model!$L$215</definedName>
    <definedName name="v_56_XVivi">Model!$BX$215</definedName>
    <definedName name="v_57_CB">Model!$H$216</definedName>
    <definedName name="v_57_CU">Model!$K$216</definedName>
    <definedName name="v_57_GCH4">Model!$CC$216</definedName>
    <definedName name="v_57_GCH4_atm">Model!$CL$216</definedName>
    <definedName name="v_57_GCO2">Model!$CB$216</definedName>
    <definedName name="v_57_GCO2_atm">Model!$CK$216</definedName>
    <definedName name="v_57_GH2">Model!$CD$216</definedName>
    <definedName name="v_57_GH2_atm">Model!$CM$216</definedName>
    <definedName name="v_57_GH2S">Model!$CJ$216</definedName>
    <definedName name="v_57_GH2S_atm">Model!$CS$216</definedName>
    <definedName name="v_57_GN2">Model!$CI$216</definedName>
    <definedName name="v_57_GN2_atm">Model!$CR$216</definedName>
    <definedName name="v_57_GN2O">Model!$CH$216</definedName>
    <definedName name="v_57_GN2O_atm">Model!$CQ$216</definedName>
    <definedName name="v_57_GNH3">Model!$CF$216</definedName>
    <definedName name="v_57_GNH3_atm">Model!$CO$216</definedName>
    <definedName name="v_57_GNO">Model!$CG$216</definedName>
    <definedName name="v_57_GNO_atm">Model!$CP$216</definedName>
    <definedName name="v_57_GO2">Model!$CE$216</definedName>
    <definedName name="v_57_GO2_atm">Model!$CN$216</definedName>
    <definedName name="v_57_H">Model!$BZ$216</definedName>
    <definedName name="v_57_SALPHA">Model!$CA$216</definedName>
    <definedName name="v_57_SAN">Model!$AX$216</definedName>
    <definedName name="v_57_SB">Model!$F$216</definedName>
    <definedName name="v_57_SCa">Model!$AY$216</definedName>
    <definedName name="v_57_SCAT">Model!$AW$216</definedName>
    <definedName name="v_57_SCH4">Model!$AS$216</definedName>
    <definedName name="v_57_SCO2">Model!$AU$216</definedName>
    <definedName name="v_57_SFe2">Model!$BE$216</definedName>
    <definedName name="v_57_SH2">Model!$AT$216</definedName>
    <definedName name="v_57_SH2S">Model!$BB$216</definedName>
    <definedName name="v_57_SK">Model!$BA$216</definedName>
    <definedName name="v_57_SMEOL">Model!$G$216</definedName>
    <definedName name="v_57_SMg">Model!$AZ$216</definedName>
    <definedName name="v_57_SMM_index">Model!$CT$216</definedName>
    <definedName name="v_57_SN_B">Model!$AJ$216</definedName>
    <definedName name="v_57_SN2">Model!$AI$216</definedName>
    <definedName name="v_57_SN2O">Model!$AH$216</definedName>
    <definedName name="v_57_SNH2OH">Model!$AC$216</definedName>
    <definedName name="v_57_SNHx">Model!$AB$216</definedName>
    <definedName name="v_57_SNO_AOB">Model!$AF$216</definedName>
    <definedName name="v_57_SNO_OHO">Model!$AG$216</definedName>
    <definedName name="v_57_SNO2">Model!$AE$216</definedName>
    <definedName name="v_57_SNO3">Model!$AD$216</definedName>
    <definedName name="v_57_SO2">Model!$AR$216</definedName>
    <definedName name="v_57_SP_B">Model!$AO$216</definedName>
    <definedName name="v_57_SPO4">Model!$AM$216</definedName>
    <definedName name="v_57_SSO4">Model!$BC$216</definedName>
    <definedName name="v_57_SU">Model!$J$216</definedName>
    <definedName name="v_57_SVFA">Model!$E$216</definedName>
    <definedName name="v_57_XACP">Model!$BU$216</definedName>
    <definedName name="v_57_XAMETO">Model!$W$216</definedName>
    <definedName name="v_57_XAMX">Model!$V$216</definedName>
    <definedName name="v_57_XAOB">Model!$T$216</definedName>
    <definedName name="v_57_XASRO">Model!$Y$216</definedName>
    <definedName name="v_57_XB">Model!$I$216</definedName>
    <definedName name="v_57_XBSH">Model!$BV$216</definedName>
    <definedName name="v_57_XCaCO3">Model!$BT$216</definedName>
    <definedName name="v_57_XCASTO">Model!$R$216</definedName>
    <definedName name="v_57_XE">Model!$O$216</definedName>
    <definedName name="v_57_XE_ana">Model!$P$216</definedName>
    <definedName name="v_57_XFeS">Model!$BY$216</definedName>
    <definedName name="v_57_XGLY">Model!$N$216</definedName>
    <definedName name="v_57_XHAO_H">Model!$BM$216</definedName>
    <definedName name="v_57_XHAO_H_P">Model!$BP$216</definedName>
    <definedName name="v_57_XHAO_H_P_old">Model!$BR$216</definedName>
    <definedName name="v_57_XHAO_L">Model!$BN$216</definedName>
    <definedName name="v_57_XHAO_L_P">Model!$BQ$216</definedName>
    <definedName name="v_57_XHAO_L_P_old">Model!$BS$216</definedName>
    <definedName name="v_57_XHAO_old">Model!$BO$216</definedName>
    <definedName name="v_57_XHFO_H">Model!$BF$216</definedName>
    <definedName name="v_57_XHFO_H_P">Model!$BI$216</definedName>
    <definedName name="v_57_XHFO_H_P_old">Model!$BK$216</definedName>
    <definedName name="v_57_XHFO_L">Model!$BG$216</definedName>
    <definedName name="v_57_XHFO_L_P">Model!$BJ$216</definedName>
    <definedName name="v_57_XHFO_L_P_old">Model!$BL$216</definedName>
    <definedName name="v_57_XHFO_old">Model!$BH$216</definedName>
    <definedName name="v_57_XHMETO">Model!$X$216</definedName>
    <definedName name="v_57_XHSRO">Model!$Z$216</definedName>
    <definedName name="v_57_XINORG">Model!$AV$216</definedName>
    <definedName name="v_57_XMEOLO">Model!$S$216</definedName>
    <definedName name="v_57_XMOB">Model!$CU$216</definedName>
    <definedName name="v_57_XN_B">Model!$AK$216</definedName>
    <definedName name="v_57_XN_U">Model!$AL$216</definedName>
    <definedName name="v_57_XNOB">Model!$U$216</definedName>
    <definedName name="v_57_XOHO">Model!$Q$216</definedName>
    <definedName name="v_57_XP_B">Model!$AP$216</definedName>
    <definedName name="v_57_XP_U">Model!$AQ$216</definedName>
    <definedName name="v_57_XPHA">Model!$M$216</definedName>
    <definedName name="v_57_XPP">Model!$AN$216</definedName>
    <definedName name="v_57_XS">Model!$BD$216</definedName>
    <definedName name="v_57_XSOO">Model!$AA$216</definedName>
    <definedName name="v_57_XSTR">Model!$BW$216</definedName>
    <definedName name="v_57_XU">Model!$L$216</definedName>
    <definedName name="v_57_XVivi">Model!$BX$216</definedName>
    <definedName name="v_58_CB">Model!$H$217</definedName>
    <definedName name="v_58_CU">Model!$K$217</definedName>
    <definedName name="v_58_GCH4">Model!$CC$217</definedName>
    <definedName name="v_58_GCH4_atm">Model!$CL$217</definedName>
    <definedName name="v_58_GCO2">Model!$CB$217</definedName>
    <definedName name="v_58_GCO2_atm">Model!$CK$217</definedName>
    <definedName name="v_58_GH2">Model!$CD$217</definedName>
    <definedName name="v_58_GH2_atm">Model!$CM$217</definedName>
    <definedName name="v_58_GH2S">Model!$CJ$217</definedName>
    <definedName name="v_58_GH2S_atm">Model!$CS$217</definedName>
    <definedName name="v_58_GN2">Model!$CI$217</definedName>
    <definedName name="v_58_GN2_atm">Model!$CR$217</definedName>
    <definedName name="v_58_GN2O">Model!$CH$217</definedName>
    <definedName name="v_58_GN2O_atm">Model!$CQ$217</definedName>
    <definedName name="v_58_GNH3">Model!$CF$217</definedName>
    <definedName name="v_58_GNH3_atm">Model!$CO$217</definedName>
    <definedName name="v_58_GNO">Model!$CG$217</definedName>
    <definedName name="v_58_GNO_atm">Model!$CP$217</definedName>
    <definedName name="v_58_GO2">Model!$CE$217</definedName>
    <definedName name="v_58_GO2_atm">Model!$CN$217</definedName>
    <definedName name="v_58_H">Model!$BZ$217</definedName>
    <definedName name="v_58_SALPHA">Model!$CA$217</definedName>
    <definedName name="v_58_SAN">Model!$AX$217</definedName>
    <definedName name="v_58_SB">Model!$F$217</definedName>
    <definedName name="v_58_SCa">Model!$AY$217</definedName>
    <definedName name="v_58_SCAT">Model!$AW$217</definedName>
    <definedName name="v_58_SCH4">Model!$AS$217</definedName>
    <definedName name="v_58_SCO2">Model!$AU$217</definedName>
    <definedName name="v_58_SFe2">Model!$BE$217</definedName>
    <definedName name="v_58_SH2">Model!$AT$217</definedName>
    <definedName name="v_58_SH2S">Model!$BB$217</definedName>
    <definedName name="v_58_SK">Model!$BA$217</definedName>
    <definedName name="v_58_SMEOL">Model!$G$217</definedName>
    <definedName name="v_58_SMg">Model!$AZ$217</definedName>
    <definedName name="v_58_SMM_index">Model!$CT$217</definedName>
    <definedName name="v_58_SN_B">Model!$AJ$217</definedName>
    <definedName name="v_58_SN2">Model!$AI$217</definedName>
    <definedName name="v_58_SN2O">Model!$AH$217</definedName>
    <definedName name="v_58_SNH2OH">Model!$AC$217</definedName>
    <definedName name="v_58_SNHx">Model!$AB$217</definedName>
    <definedName name="v_58_SNO_AOB">Model!$AF$217</definedName>
    <definedName name="v_58_SNO_OHO">Model!$AG$217</definedName>
    <definedName name="v_58_SNO2">Model!$AE$217</definedName>
    <definedName name="v_58_SNO3">Model!$AD$217</definedName>
    <definedName name="v_58_SO2">Model!$AR$217</definedName>
    <definedName name="v_58_SP_B">Model!$AO$217</definedName>
    <definedName name="v_58_SPO4">Model!$AM$217</definedName>
    <definedName name="v_58_SSO4">Model!$BC$217</definedName>
    <definedName name="v_58_SU">Model!$J$217</definedName>
    <definedName name="v_58_SVFA">Model!$E$217</definedName>
    <definedName name="v_58_XACP">Model!$BU$217</definedName>
    <definedName name="v_58_XAMETO">Model!$W$217</definedName>
    <definedName name="v_58_XAMX">Model!$V$217</definedName>
    <definedName name="v_58_XAOB">Model!$T$217</definedName>
    <definedName name="v_58_XASRO">Model!$Y$217</definedName>
    <definedName name="v_58_XB">Model!$I$217</definedName>
    <definedName name="v_58_XBSH">Model!$BV$217</definedName>
    <definedName name="v_58_XCaCO3">Model!$BT$217</definedName>
    <definedName name="v_58_XCASTO">Model!$R$217</definedName>
    <definedName name="v_58_XE">Model!$O$217</definedName>
    <definedName name="v_58_XE_ana">Model!$P$217</definedName>
    <definedName name="v_58_XFeS">Model!$BY$217</definedName>
    <definedName name="v_58_XGLY">Model!$N$217</definedName>
    <definedName name="v_58_XHAO_H">Model!$BM$217</definedName>
    <definedName name="v_58_XHAO_H_P">Model!$BP$217</definedName>
    <definedName name="v_58_XHAO_H_P_old">Model!$BR$217</definedName>
    <definedName name="v_58_XHAO_L">Model!$BN$217</definedName>
    <definedName name="v_58_XHAO_L_P">Model!$BQ$217</definedName>
    <definedName name="v_58_XHAO_L_P_old">Model!$BS$217</definedName>
    <definedName name="v_58_XHAO_old">Model!$BO$217</definedName>
    <definedName name="v_58_XHFO_H">Model!$BF$217</definedName>
    <definedName name="v_58_XHFO_H_P">Model!$BI$217</definedName>
    <definedName name="v_58_XHFO_H_P_old">Model!$BK$217</definedName>
    <definedName name="v_58_XHFO_L">Model!$BG$217</definedName>
    <definedName name="v_58_XHFO_L_P">Model!$BJ$217</definedName>
    <definedName name="v_58_XHFO_L_P_old">Model!$BL$217</definedName>
    <definedName name="v_58_XHFO_old">Model!$BH$217</definedName>
    <definedName name="v_58_XHMETO">Model!$X$217</definedName>
    <definedName name="v_58_XHSRO">Model!$Z$217</definedName>
    <definedName name="v_58_XINORG">Model!$AV$217</definedName>
    <definedName name="v_58_XMEOLO">Model!$S$217</definedName>
    <definedName name="v_58_XMOB">Model!$CU$217</definedName>
    <definedName name="v_58_XN_B">Model!$AK$217</definedName>
    <definedName name="v_58_XN_U">Model!$AL$217</definedName>
    <definedName name="v_58_XNOB">Model!$U$217</definedName>
    <definedName name="v_58_XOHO">Model!$Q$217</definedName>
    <definedName name="v_58_XP_B">Model!$AP$217</definedName>
    <definedName name="v_58_XP_U">Model!$AQ$217</definedName>
    <definedName name="v_58_XPHA">Model!$M$217</definedName>
    <definedName name="v_58_XPP">Model!$AN$217</definedName>
    <definedName name="v_58_XS">Model!$BD$217</definedName>
    <definedName name="v_58_XSOO">Model!$AA$217</definedName>
    <definedName name="v_58_XSTR">Model!$BW$217</definedName>
    <definedName name="v_58_XU">Model!$L$217</definedName>
    <definedName name="v_58_XVivi">Model!$BX$217</definedName>
    <definedName name="v_59_CB">Model!$H$218</definedName>
    <definedName name="v_59_CU">Model!$K$218</definedName>
    <definedName name="v_59_GCH4">Model!$CC$218</definedName>
    <definedName name="v_59_GCH4_atm">Model!$CL$218</definedName>
    <definedName name="v_59_GCO2">Model!$CB$218</definedName>
    <definedName name="v_59_GCO2_atm">Model!$CK$218</definedName>
    <definedName name="v_59_GH2">Model!$CD$218</definedName>
    <definedName name="v_59_GH2_atm">Model!$CM$218</definedName>
    <definedName name="v_59_GH2S">Model!$CJ$218</definedName>
    <definedName name="v_59_GH2S_atm">Model!$CS$218</definedName>
    <definedName name="v_59_GN2">Model!$CI$218</definedName>
    <definedName name="v_59_GN2_atm">Model!$CR$218</definedName>
    <definedName name="v_59_GN2O">Model!$CH$218</definedName>
    <definedName name="v_59_GN2O_atm">Model!$CQ$218</definedName>
    <definedName name="v_59_GNH3">Model!$CF$218</definedName>
    <definedName name="v_59_GNH3_atm">Model!$CO$218</definedName>
    <definedName name="v_59_GNO">Model!$CG$218</definedName>
    <definedName name="v_59_GNO_atm">Model!$CP$218</definedName>
    <definedName name="v_59_GO2">Model!$CE$218</definedName>
    <definedName name="v_59_GO2_atm">Model!$CN$218</definedName>
    <definedName name="v_59_H">Model!$BZ$218</definedName>
    <definedName name="v_59_SALPHA">Model!$CA$218</definedName>
    <definedName name="v_59_SAN">Model!$AX$218</definedName>
    <definedName name="v_59_SB">Model!$F$218</definedName>
    <definedName name="v_59_SCa">Model!$AY$218</definedName>
    <definedName name="v_59_SCAT">Model!$AW$218</definedName>
    <definedName name="v_59_SCH4">Model!$AS$218</definedName>
    <definedName name="v_59_SCO2">Model!$AU$218</definedName>
    <definedName name="v_59_SFe2">Model!$BE$218</definedName>
    <definedName name="v_59_SH2">Model!$AT$218</definedName>
    <definedName name="v_59_SH2S">Model!$BB$218</definedName>
    <definedName name="v_59_SK">Model!$BA$218</definedName>
    <definedName name="v_59_SMEOL">Model!$G$218</definedName>
    <definedName name="v_59_SMg">Model!$AZ$218</definedName>
    <definedName name="v_59_SMM_index">Model!$CT$218</definedName>
    <definedName name="v_59_SN_B">Model!$AJ$218</definedName>
    <definedName name="v_59_SN2">Model!$AI$218</definedName>
    <definedName name="v_59_SN2O">Model!$AH$218</definedName>
    <definedName name="v_59_SNH2OH">Model!$AC$218</definedName>
    <definedName name="v_59_SNHx">Model!$AB$218</definedName>
    <definedName name="v_59_SNO_AOB">Model!$AF$218</definedName>
    <definedName name="v_59_SNO_OHO">Model!$AG$218</definedName>
    <definedName name="v_59_SNO2">Model!$AE$218</definedName>
    <definedName name="v_59_SNO3">Model!$AD$218</definedName>
    <definedName name="v_59_SO2">Model!$AR$218</definedName>
    <definedName name="v_59_SP_B">Model!$AO$218</definedName>
    <definedName name="v_59_SPO4">Model!$AM$218</definedName>
    <definedName name="v_59_SSO4">Model!$BC$218</definedName>
    <definedName name="v_59_SU">Model!$J$218</definedName>
    <definedName name="v_59_SVFA">Model!$E$218</definedName>
    <definedName name="v_59_XACP">Model!$BU$218</definedName>
    <definedName name="v_59_XAMETO">Model!$W$218</definedName>
    <definedName name="v_59_XAMX">Model!$V$218</definedName>
    <definedName name="v_59_XAOB">Model!$T$218</definedName>
    <definedName name="v_59_XASRO">Model!$Y$218</definedName>
    <definedName name="v_59_XB">Model!$I$218</definedName>
    <definedName name="v_59_XBSH">Model!$BV$218</definedName>
    <definedName name="v_59_XCaCO3">Model!$BT$218</definedName>
    <definedName name="v_59_XCASTO">Model!$R$218</definedName>
    <definedName name="v_59_XE">Model!$O$218</definedName>
    <definedName name="v_59_XE_ana">Model!$P$218</definedName>
    <definedName name="v_59_XFeS">Model!$BY$218</definedName>
    <definedName name="v_59_XGLY">Model!$N$218</definedName>
    <definedName name="v_59_XHAO_H">Model!$BM$218</definedName>
    <definedName name="v_59_XHAO_H_P">Model!$BP$218</definedName>
    <definedName name="v_59_XHAO_H_P_old">Model!$BR$218</definedName>
    <definedName name="v_59_XHAO_L">Model!$BN$218</definedName>
    <definedName name="v_59_XHAO_L_P">Model!$BQ$218</definedName>
    <definedName name="v_59_XHAO_L_P_old">Model!$BS$218</definedName>
    <definedName name="v_59_XHAO_old">Model!$BO$218</definedName>
    <definedName name="v_59_XHFO_H">Model!$BF$218</definedName>
    <definedName name="v_59_XHFO_H_P">Model!$BI$218</definedName>
    <definedName name="v_59_XHFO_H_P_old">Model!$BK$218</definedName>
    <definedName name="v_59_XHFO_L">Model!$BG$218</definedName>
    <definedName name="v_59_XHFO_L_P">Model!$BJ$218</definedName>
    <definedName name="v_59_XHFO_L_P_old">Model!$BL$218</definedName>
    <definedName name="v_59_XHFO_old">Model!$BH$218</definedName>
    <definedName name="v_59_XHMETO">Model!$X$218</definedName>
    <definedName name="v_59_XHSRO">Model!$Z$218</definedName>
    <definedName name="v_59_XINORG">Model!$AV$218</definedName>
    <definedName name="v_59_XMEOLO">Model!$S$218</definedName>
    <definedName name="v_59_XMOB">Model!$CU$218</definedName>
    <definedName name="v_59_XN_B">Model!$AK$218</definedName>
    <definedName name="v_59_XN_U">Model!$AL$218</definedName>
    <definedName name="v_59_XNOB">Model!$U$218</definedName>
    <definedName name="v_59_XOHO">Model!$Q$218</definedName>
    <definedName name="v_59_XP_B">Model!$AP$218</definedName>
    <definedName name="v_59_XP_U">Model!$AQ$218</definedName>
    <definedName name="v_59_XPHA">Model!$M$218</definedName>
    <definedName name="v_59_XPP">Model!$AN$218</definedName>
    <definedName name="v_59_XS">Model!$BD$218</definedName>
    <definedName name="v_59_XSOO">Model!$AA$218</definedName>
    <definedName name="v_59_XSTR">Model!$BW$218</definedName>
    <definedName name="v_59_XU">Model!$L$218</definedName>
    <definedName name="v_59_XVivi">Model!$BX$218</definedName>
    <definedName name="v_6_CB">Model!$H$165</definedName>
    <definedName name="v_6_CU">Model!$K$165</definedName>
    <definedName name="v_6_GCH4">Model!$CC$165</definedName>
    <definedName name="v_6_GCH4_atm">Model!$CL$165</definedName>
    <definedName name="v_6_GCO2">Model!$CB$165</definedName>
    <definedName name="v_6_GCO2_atm">Model!$CK$165</definedName>
    <definedName name="v_6_GH2">Model!$CD$165</definedName>
    <definedName name="v_6_GH2_atm">Model!$CM$165</definedName>
    <definedName name="v_6_GH2S">Model!$CJ$165</definedName>
    <definedName name="v_6_GH2S_atm">Model!$CS$165</definedName>
    <definedName name="v_6_GN2">Model!$CI$165</definedName>
    <definedName name="v_6_GN2_atm">Model!$CR$165</definedName>
    <definedName name="v_6_GN2O">Model!$CH$165</definedName>
    <definedName name="v_6_GN2O_atm">Model!$CQ$165</definedName>
    <definedName name="v_6_GNH3">Model!$CF$165</definedName>
    <definedName name="v_6_GNH3_atm">Model!$CO$165</definedName>
    <definedName name="v_6_GNO">Model!$CG$165</definedName>
    <definedName name="v_6_GNO_atm">Model!$CP$165</definedName>
    <definedName name="v_6_GO2">Model!$CE$165</definedName>
    <definedName name="v_6_GO2_atm">Model!$CN$165</definedName>
    <definedName name="v_6_H">Model!$BZ$165</definedName>
    <definedName name="v_6_SALPHA">Model!$CA$165</definedName>
    <definedName name="v_6_SAN">Model!$AX$165</definedName>
    <definedName name="v_6_SB">Model!$F$165</definedName>
    <definedName name="v_6_SCa">Model!$AY$165</definedName>
    <definedName name="v_6_SCAT">Model!$AW$165</definedName>
    <definedName name="v_6_SCH4">Model!$AS$165</definedName>
    <definedName name="v_6_SCO2">Model!$AU$165</definedName>
    <definedName name="v_6_SFe2">Model!$BE$165</definedName>
    <definedName name="v_6_SH2">Model!$AT$165</definedName>
    <definedName name="v_6_SH2S">Model!$BB$165</definedName>
    <definedName name="v_6_SK">Model!$BA$165</definedName>
    <definedName name="v_6_SMEOL">Model!$G$165</definedName>
    <definedName name="v_6_SMg">Model!$AZ$165</definedName>
    <definedName name="v_6_SMM_index">Model!$CT$165</definedName>
    <definedName name="v_6_SN_B">Model!$AJ$165</definedName>
    <definedName name="v_6_SN2">Model!$AI$165</definedName>
    <definedName name="v_6_SN2O">Model!$AH$165</definedName>
    <definedName name="v_6_SNH2OH">Model!$AC$165</definedName>
    <definedName name="v_6_SNHx">Model!$AB$165</definedName>
    <definedName name="v_6_SNO_AOB">Model!$AF$165</definedName>
    <definedName name="v_6_SNO_OHO">Model!$AG$165</definedName>
    <definedName name="v_6_SNO2">Model!$AE$165</definedName>
    <definedName name="v_6_SNO3">Model!$AD$165</definedName>
    <definedName name="v_6_SO2">Model!$AR$165</definedName>
    <definedName name="v_6_SP_B">Model!$AO$165</definedName>
    <definedName name="v_6_SPO4">Model!$AM$165</definedName>
    <definedName name="v_6_SSO4">Model!$BC$165</definedName>
    <definedName name="v_6_SU">Model!$J$165</definedName>
    <definedName name="v_6_SVFA">Model!$E$165</definedName>
    <definedName name="v_6_XACP">Model!$BU$165</definedName>
    <definedName name="v_6_XAMETO">Model!$W$165</definedName>
    <definedName name="v_6_XAMX">Model!$V$165</definedName>
    <definedName name="v_6_XAOB">Model!$T$165</definedName>
    <definedName name="v_6_XASRO">Model!$Y$165</definedName>
    <definedName name="v_6_XB">Model!$I$165</definedName>
    <definedName name="v_6_XBSH">Model!$BV$165</definedName>
    <definedName name="v_6_XCaCO3">Model!$BT$165</definedName>
    <definedName name="v_6_XCASTO">Model!$R$165</definedName>
    <definedName name="v_6_XE">Model!$O$165</definedName>
    <definedName name="v_6_XE_ana">Model!$P$165</definedName>
    <definedName name="v_6_XFeS">Model!$BY$165</definedName>
    <definedName name="v_6_XGLY">Model!$N$165</definedName>
    <definedName name="v_6_XHAO_H">Model!$BM$165</definedName>
    <definedName name="v_6_XHAO_H_P">Model!$BP$165</definedName>
    <definedName name="v_6_XHAO_H_P_old">Model!$BR$165</definedName>
    <definedName name="v_6_XHAO_L">Model!$BN$165</definedName>
    <definedName name="v_6_XHAO_L_P">Model!$BQ$165</definedName>
    <definedName name="v_6_XHAO_L_P_old">Model!$BS$165</definedName>
    <definedName name="v_6_XHAO_old">Model!$BO$165</definedName>
    <definedName name="v_6_XHFO_H">Model!$BF$165</definedName>
    <definedName name="v_6_XHFO_H_P">Model!$BI$165</definedName>
    <definedName name="v_6_XHFO_H_P_old">Model!$BK$165</definedName>
    <definedName name="v_6_XHFO_L">Model!$BG$165</definedName>
    <definedName name="v_6_XHFO_L_P">Model!$BJ$165</definedName>
    <definedName name="v_6_XHFO_L_P_old">Model!$BL$165</definedName>
    <definedName name="v_6_XHFO_old">Model!$BH$165</definedName>
    <definedName name="v_6_XHMETO">Model!$X$165</definedName>
    <definedName name="v_6_XHSRO">Model!$Z$165</definedName>
    <definedName name="v_6_XINORG">Model!$AV$165</definedName>
    <definedName name="v_6_XMEOLO">Model!$S$165</definedName>
    <definedName name="v_6_XMOB">Model!$CU$165</definedName>
    <definedName name="v_6_XN_B">Model!$AK$165</definedName>
    <definedName name="v_6_XN_U">Model!$AL$165</definedName>
    <definedName name="v_6_XNOB">Model!$U$165</definedName>
    <definedName name="v_6_XOHO">Model!$Q$165</definedName>
    <definedName name="v_6_XP_B">Model!$AP$165</definedName>
    <definedName name="v_6_XP_U">Model!$AQ$165</definedName>
    <definedName name="v_6_XPHA">Model!$M$165</definedName>
    <definedName name="v_6_XPP">Model!$AN$165</definedName>
    <definedName name="v_6_XS">Model!$BD$165</definedName>
    <definedName name="v_6_XSOO">Model!$AA$165</definedName>
    <definedName name="v_6_XSTR">Model!$BW$165</definedName>
    <definedName name="v_6_XU">Model!$L$165</definedName>
    <definedName name="v_6_XVivi">Model!$BX$165</definedName>
    <definedName name="v_60_CB">Model!$H$219</definedName>
    <definedName name="v_60_CU">Model!$K$219</definedName>
    <definedName name="v_60_GCH4">Model!$CC$219</definedName>
    <definedName name="v_60_GCH4_atm">Model!$CL$219</definedName>
    <definedName name="v_60_GCO2">Model!$CB$219</definedName>
    <definedName name="v_60_GCO2_atm">Model!$CK$219</definedName>
    <definedName name="v_60_GH2">Model!$CD$219</definedName>
    <definedName name="v_60_GH2_atm">Model!$CM$219</definedName>
    <definedName name="v_60_GH2S">Model!$CJ$219</definedName>
    <definedName name="v_60_GH2S_atm">Model!$CS$219</definedName>
    <definedName name="v_60_GN2">Model!$CI$219</definedName>
    <definedName name="v_60_GN2_atm">Model!$CR$219</definedName>
    <definedName name="v_60_GN2O">Model!$CH$219</definedName>
    <definedName name="v_60_GN2O_atm">Model!$CQ$219</definedName>
    <definedName name="v_60_GNH3">Model!$CF$219</definedName>
    <definedName name="v_60_GNH3_atm">Model!$CO$219</definedName>
    <definedName name="v_60_GNO">Model!$CG$219</definedName>
    <definedName name="v_60_GNO_atm">Model!$CP$219</definedName>
    <definedName name="v_60_GO2">Model!$CE$219</definedName>
    <definedName name="v_60_GO2_atm">Model!$CN$219</definedName>
    <definedName name="v_60_H">Model!$BZ$219</definedName>
    <definedName name="v_60_SALPHA">Model!$CA$219</definedName>
    <definedName name="v_60_SAN">Model!$AX$219</definedName>
    <definedName name="v_60_SB">Model!$F$219</definedName>
    <definedName name="v_60_SCa">Model!$AY$219</definedName>
    <definedName name="v_60_SCAT">Model!$AW$219</definedName>
    <definedName name="v_60_SCH4">Model!$AS$219</definedName>
    <definedName name="v_60_SCO2">Model!$AU$219</definedName>
    <definedName name="v_60_SFe2">Model!$BE$219</definedName>
    <definedName name="v_60_SH2">Model!$AT$219</definedName>
    <definedName name="v_60_SH2S">Model!$BB$219</definedName>
    <definedName name="v_60_SK">Model!$BA$219</definedName>
    <definedName name="v_60_SMEOL">Model!$G$219</definedName>
    <definedName name="v_60_SMg">Model!$AZ$219</definedName>
    <definedName name="v_60_SMM_index">Model!$CT$219</definedName>
    <definedName name="v_60_SN_B">Model!$AJ$219</definedName>
    <definedName name="v_60_SN2">Model!$AI$219</definedName>
    <definedName name="v_60_SN2O">Model!$AH$219</definedName>
    <definedName name="v_60_SNH2OH">Model!$AC$219</definedName>
    <definedName name="v_60_SNHx">Model!$AB$219</definedName>
    <definedName name="v_60_SNO_AOB">Model!$AF$219</definedName>
    <definedName name="v_60_SNO_OHO">Model!$AG$219</definedName>
    <definedName name="v_60_SNO2">Model!$AE$219</definedName>
    <definedName name="v_60_SNO3">Model!$AD$219</definedName>
    <definedName name="v_60_SO2">Model!$AR$219</definedName>
    <definedName name="v_60_SP_B">Model!$AO$219</definedName>
    <definedName name="v_60_SPO4">Model!$AM$219</definedName>
    <definedName name="v_60_SSO4">Model!$BC$219</definedName>
    <definedName name="v_60_SU">Model!$J$219</definedName>
    <definedName name="v_60_SVFA">Model!$E$219</definedName>
    <definedName name="v_60_XACP">Model!$BU$219</definedName>
    <definedName name="v_60_XAMETO">Model!$W$219</definedName>
    <definedName name="v_60_XAMX">Model!$V$219</definedName>
    <definedName name="v_60_XAOB">Model!$T$219</definedName>
    <definedName name="v_60_XASRO">Model!$Y$219</definedName>
    <definedName name="v_60_XB">Model!$I$219</definedName>
    <definedName name="v_60_XBSH">Model!$BV$219</definedName>
    <definedName name="v_60_XCaCO3">Model!$BT$219</definedName>
    <definedName name="v_60_XCASTO">Model!$R$219</definedName>
    <definedName name="v_60_XE">Model!$O$219</definedName>
    <definedName name="v_60_XE_ana">Model!$P$219</definedName>
    <definedName name="v_60_XFeS">Model!$BY$219</definedName>
    <definedName name="v_60_XGLY">Model!$N$219</definedName>
    <definedName name="v_60_XHAO_H">Model!$BM$219</definedName>
    <definedName name="v_60_XHAO_H_P">Model!$BP$219</definedName>
    <definedName name="v_60_XHAO_H_P_old">Model!$BR$219</definedName>
    <definedName name="v_60_XHAO_L">Model!$BN$219</definedName>
    <definedName name="v_60_XHAO_L_P">Model!$BQ$219</definedName>
    <definedName name="v_60_XHAO_L_P_old">Model!$BS$219</definedName>
    <definedName name="v_60_XHAO_old">Model!$BO$219</definedName>
    <definedName name="v_60_XHFO_H">Model!$BF$219</definedName>
    <definedName name="v_60_XHFO_H_P">Model!$BI$219</definedName>
    <definedName name="v_60_XHFO_H_P_old">Model!$BK$219</definedName>
    <definedName name="v_60_XHFO_L">Model!$BG$219</definedName>
    <definedName name="v_60_XHFO_L_P">Model!$BJ$219</definedName>
    <definedName name="v_60_XHFO_L_P_old">Model!$BL$219</definedName>
    <definedName name="v_60_XHFO_old">Model!$BH$219</definedName>
    <definedName name="v_60_XHMETO">Model!$X$219</definedName>
    <definedName name="v_60_XHSRO">Model!$Z$219</definedName>
    <definedName name="v_60_XINORG">Model!$AV$219</definedName>
    <definedName name="v_60_XMEOLO">Model!$S$219</definedName>
    <definedName name="v_60_XMOB">Model!$CU$219</definedName>
    <definedName name="v_60_XN_B">Model!$AK$219</definedName>
    <definedName name="v_60_XN_U">Model!$AL$219</definedName>
    <definedName name="v_60_XNOB">Model!$U$219</definedName>
    <definedName name="v_60_XOHO">Model!$Q$219</definedName>
    <definedName name="v_60_XP_B">Model!$AP$219</definedName>
    <definedName name="v_60_XP_U">Model!$AQ$219</definedName>
    <definedName name="v_60_XPHA">Model!$M$219</definedName>
    <definedName name="v_60_XPP">Model!$AN$219</definedName>
    <definedName name="v_60_XS">Model!$BD$219</definedName>
    <definedName name="v_60_XSOO">Model!$AA$219</definedName>
    <definedName name="v_60_XSTR">Model!$BW$219</definedName>
    <definedName name="v_60_XU">Model!$L$219</definedName>
    <definedName name="v_60_XVivi">Model!$BX$219</definedName>
    <definedName name="v_61_CB">Model!$H$220</definedName>
    <definedName name="v_61_CU">Model!$K$220</definedName>
    <definedName name="v_61_GCH4">Model!$CC$220</definedName>
    <definedName name="v_61_GCH4_atm">Model!$CL$220</definedName>
    <definedName name="v_61_GCO2">Model!$CB$220</definedName>
    <definedName name="v_61_GCO2_atm">Model!$CK$220</definedName>
    <definedName name="v_61_GH2">Model!$CD$220</definedName>
    <definedName name="v_61_GH2_atm">Model!$CM$220</definedName>
    <definedName name="v_61_GH2S">Model!$CJ$220</definedName>
    <definedName name="v_61_GH2S_atm">Model!$CS$220</definedName>
    <definedName name="v_61_GN2">Model!$CI$220</definedName>
    <definedName name="v_61_GN2_atm">Model!$CR$220</definedName>
    <definedName name="v_61_GN2O">Model!$CH$220</definedName>
    <definedName name="v_61_GN2O_atm">Model!$CQ$220</definedName>
    <definedName name="v_61_GNH3">Model!$CF$220</definedName>
    <definedName name="v_61_GNH3_atm">Model!$CO$220</definedName>
    <definedName name="v_61_GNO">Model!$CG$220</definedName>
    <definedName name="v_61_GNO_atm">Model!$CP$220</definedName>
    <definedName name="v_61_GO2">Model!$CE$220</definedName>
    <definedName name="v_61_GO2_atm">Model!$CN$220</definedName>
    <definedName name="v_61_H">Model!$BZ$220</definedName>
    <definedName name="v_61_SALPHA">Model!$CA$220</definedName>
    <definedName name="v_61_SAN">Model!$AX$220</definedName>
    <definedName name="v_61_SB">Model!$F$220</definedName>
    <definedName name="v_61_SCa">Model!$AY$220</definedName>
    <definedName name="v_61_SCAT">Model!$AW$220</definedName>
    <definedName name="v_61_SCH4">Model!$AS$220</definedName>
    <definedName name="v_61_SCO2">Model!$AU$220</definedName>
    <definedName name="v_61_SFe2">Model!$BE$220</definedName>
    <definedName name="v_61_SH2">Model!$AT$220</definedName>
    <definedName name="v_61_SH2S">Model!$BB$220</definedName>
    <definedName name="v_61_SK">Model!$BA$220</definedName>
    <definedName name="v_61_SMEOL">Model!$G$220</definedName>
    <definedName name="v_61_SMg">Model!$AZ$220</definedName>
    <definedName name="v_61_SMM_index">Model!$CT$220</definedName>
    <definedName name="v_61_SN_B">Model!$AJ$220</definedName>
    <definedName name="v_61_SN2">Model!$AI$220</definedName>
    <definedName name="v_61_SN2O">Model!$AH$220</definedName>
    <definedName name="v_61_SNH2OH">Model!$AC$220</definedName>
    <definedName name="v_61_SNHx">Model!$AB$220</definedName>
    <definedName name="v_61_SNO_AOB">Model!$AF$220</definedName>
    <definedName name="v_61_SNO_OHO">Model!$AG$220</definedName>
    <definedName name="v_61_SNO2">Model!$AE$220</definedName>
    <definedName name="v_61_SNO3">Model!$AD$220</definedName>
    <definedName name="v_61_SO2">Model!$AR$220</definedName>
    <definedName name="v_61_SP_B">Model!$AO$220</definedName>
    <definedName name="v_61_SPO4">Model!$AM$220</definedName>
    <definedName name="v_61_SSO4">Model!$BC$220</definedName>
    <definedName name="v_61_SU">Model!$J$220</definedName>
    <definedName name="v_61_SVFA">Model!$E$220</definedName>
    <definedName name="v_61_XACP">Model!$BU$220</definedName>
    <definedName name="v_61_XAMETO">Model!$W$220</definedName>
    <definedName name="v_61_XAMX">Model!$V$220</definedName>
    <definedName name="v_61_XAOB">Model!$T$220</definedName>
    <definedName name="v_61_XASRO">Model!$Y$220</definedName>
    <definedName name="v_61_XB">Model!$I$220</definedName>
    <definedName name="v_61_XBSH">Model!$BV$220</definedName>
    <definedName name="v_61_XCaCO3">Model!$BT$220</definedName>
    <definedName name="v_61_XCASTO">Model!$R$220</definedName>
    <definedName name="v_61_XE">Model!$O$220</definedName>
    <definedName name="v_61_XE_ana">Model!$P$220</definedName>
    <definedName name="v_61_XFeS">Model!$BY$220</definedName>
    <definedName name="v_61_XGLY">Model!$N$220</definedName>
    <definedName name="v_61_XHAO_H">Model!$BM$220</definedName>
    <definedName name="v_61_XHAO_H_P">Model!$BP$220</definedName>
    <definedName name="v_61_XHAO_H_P_old">Model!$BR$220</definedName>
    <definedName name="v_61_XHAO_L">Model!$BN$220</definedName>
    <definedName name="v_61_XHAO_L_P">Model!$BQ$220</definedName>
    <definedName name="v_61_XHAO_L_P_old">Model!$BS$220</definedName>
    <definedName name="v_61_XHAO_old">Model!$BO$220</definedName>
    <definedName name="v_61_XHFO_H">Model!$BF$220</definedName>
    <definedName name="v_61_XHFO_H_P">Model!$BI$220</definedName>
    <definedName name="v_61_XHFO_H_P_old">Model!$BK$220</definedName>
    <definedName name="v_61_XHFO_L">Model!$BG$220</definedName>
    <definedName name="v_61_XHFO_L_P">Model!$BJ$220</definedName>
    <definedName name="v_61_XHFO_L_P_old">Model!$BL$220</definedName>
    <definedName name="v_61_XHFO_old">Model!$BH$220</definedName>
    <definedName name="v_61_XHMETO">Model!$X$220</definedName>
    <definedName name="v_61_XHSRO">Model!$Z$220</definedName>
    <definedName name="v_61_XINORG">Model!$AV$220</definedName>
    <definedName name="v_61_XMEOLO">Model!$S$220</definedName>
    <definedName name="v_61_XMOB">Model!$CU$220</definedName>
    <definedName name="v_61_XN_B">Model!$AK$220</definedName>
    <definedName name="v_61_XN_U">Model!$AL$220</definedName>
    <definedName name="v_61_XNOB">Model!$U$220</definedName>
    <definedName name="v_61_XOHO">Model!$Q$220</definedName>
    <definedName name="v_61_XP_B">Model!$AP$220</definedName>
    <definedName name="v_61_XP_U">Model!$AQ$220</definedName>
    <definedName name="v_61_XPHA">Model!$M$220</definedName>
    <definedName name="v_61_XPP">Model!$AN$220</definedName>
    <definedName name="v_61_XS">Model!$BD$220</definedName>
    <definedName name="v_61_XSOO">Model!$AA$220</definedName>
    <definedName name="v_61_XSTR">Model!$BW$220</definedName>
    <definedName name="v_61_XU">Model!$L$220</definedName>
    <definedName name="v_61_XVivi">Model!$BX$220</definedName>
    <definedName name="v_62_CB">Model!$H$221</definedName>
    <definedName name="v_62_CU">Model!$K$221</definedName>
    <definedName name="v_62_GCH4">Model!$CC$221</definedName>
    <definedName name="v_62_GCH4_atm">Model!$CL$221</definedName>
    <definedName name="v_62_GCO2">Model!$CB$221</definedName>
    <definedName name="v_62_GCO2_atm">Model!$CK$221</definedName>
    <definedName name="v_62_GH2">Model!$CD$221</definedName>
    <definedName name="v_62_GH2_atm">Model!$CM$221</definedName>
    <definedName name="v_62_GH2S">Model!$CJ$221</definedName>
    <definedName name="v_62_GH2S_atm">Model!$CS$221</definedName>
    <definedName name="v_62_GN2">Model!$CI$221</definedName>
    <definedName name="v_62_GN2_atm">Model!$CR$221</definedName>
    <definedName name="v_62_GN2O">Model!$CH$221</definedName>
    <definedName name="v_62_GN2O_atm">Model!$CQ$221</definedName>
    <definedName name="v_62_GNH3">Model!$CF$221</definedName>
    <definedName name="v_62_GNH3_atm">Model!$CO$221</definedName>
    <definedName name="v_62_GNO">Model!$CG$221</definedName>
    <definedName name="v_62_GNO_atm">Model!$CP$221</definedName>
    <definedName name="v_62_GO2">Model!$CE$221</definedName>
    <definedName name="v_62_GO2_atm">Model!$CN$221</definedName>
    <definedName name="v_62_H">Model!$BZ$221</definedName>
    <definedName name="v_62_SALPHA">Model!$CA$221</definedName>
    <definedName name="v_62_SAN">Model!$AX$221</definedName>
    <definedName name="v_62_SB">Model!$F$221</definedName>
    <definedName name="v_62_SCa">Model!$AY$221</definedName>
    <definedName name="v_62_SCAT">Model!$AW$221</definedName>
    <definedName name="v_62_SCH4">Model!$AS$221</definedName>
    <definedName name="v_62_SCO2">Model!$AU$221</definedName>
    <definedName name="v_62_SFe2">Model!$BE$221</definedName>
    <definedName name="v_62_SH2">Model!$AT$221</definedName>
    <definedName name="v_62_SH2S">Model!$BB$221</definedName>
    <definedName name="v_62_SK">Model!$BA$221</definedName>
    <definedName name="v_62_SMEOL">Model!$G$221</definedName>
    <definedName name="v_62_SMg">Model!$AZ$221</definedName>
    <definedName name="v_62_SMM_index">Model!$CT$221</definedName>
    <definedName name="v_62_SN_B">Model!$AJ$221</definedName>
    <definedName name="v_62_SN2">Model!$AI$221</definedName>
    <definedName name="v_62_SN2O">Model!$AH$221</definedName>
    <definedName name="v_62_SNH2OH">Model!$AC$221</definedName>
    <definedName name="v_62_SNHx">Model!$AB$221</definedName>
    <definedName name="v_62_SNO_AOB">Model!$AF$221</definedName>
    <definedName name="v_62_SNO_OHO">Model!$AG$221</definedName>
    <definedName name="v_62_SNO2">Model!$AE$221</definedName>
    <definedName name="v_62_SNO3">Model!$AD$221</definedName>
    <definedName name="v_62_SO2">Model!$AR$221</definedName>
    <definedName name="v_62_SP_B">Model!$AO$221</definedName>
    <definedName name="v_62_SPO4">Model!$AM$221</definedName>
    <definedName name="v_62_SSO4">Model!$BC$221</definedName>
    <definedName name="v_62_SU">Model!$J$221</definedName>
    <definedName name="v_62_SVFA">Model!$E$221</definedName>
    <definedName name="v_62_XACP">Model!$BU$221</definedName>
    <definedName name="v_62_XAMETO">Model!$W$221</definedName>
    <definedName name="v_62_XAMX">Model!$V$221</definedName>
    <definedName name="v_62_XAOB">Model!$T$221</definedName>
    <definedName name="v_62_XASRO">Model!$Y$221</definedName>
    <definedName name="v_62_XB">Model!$I$221</definedName>
    <definedName name="v_62_XBSH">Model!$BV$221</definedName>
    <definedName name="v_62_XCaCO3">Model!$BT$221</definedName>
    <definedName name="v_62_XCASTO">Model!$R$221</definedName>
    <definedName name="v_62_XE">Model!$O$221</definedName>
    <definedName name="v_62_XE_ana">Model!$P$221</definedName>
    <definedName name="v_62_XFeS">Model!$BY$221</definedName>
    <definedName name="v_62_XGLY">Model!$N$221</definedName>
    <definedName name="v_62_XHAO_H">Model!$BM$221</definedName>
    <definedName name="v_62_XHAO_H_P">Model!$BP$221</definedName>
    <definedName name="v_62_XHAO_H_P_old">Model!$BR$221</definedName>
    <definedName name="v_62_XHAO_L">Model!$BN$221</definedName>
    <definedName name="v_62_XHAO_L_P">Model!$BQ$221</definedName>
    <definedName name="v_62_XHAO_L_P_old">Model!$BS$221</definedName>
    <definedName name="v_62_XHAO_old">Model!$BO$221</definedName>
    <definedName name="v_62_XHFO_H">Model!$BF$221</definedName>
    <definedName name="v_62_XHFO_H_P">Model!$BI$221</definedName>
    <definedName name="v_62_XHFO_H_P_old">Model!$BK$221</definedName>
    <definedName name="v_62_XHFO_L">Model!$BG$221</definedName>
    <definedName name="v_62_XHFO_L_P">Model!$BJ$221</definedName>
    <definedName name="v_62_XHFO_L_P_old">Model!$BL$221</definedName>
    <definedName name="v_62_XHFO_old">Model!$BH$221</definedName>
    <definedName name="v_62_XHMETO">Model!$X$221</definedName>
    <definedName name="v_62_XHSRO">Model!$Z$221</definedName>
    <definedName name="v_62_XINORG">Model!$AV$221</definedName>
    <definedName name="v_62_XMEOLO">Model!$S$221</definedName>
    <definedName name="v_62_XMOB">Model!$CU$221</definedName>
    <definedName name="v_62_XN_B">Model!$AK$221</definedName>
    <definedName name="v_62_XN_U">Model!$AL$221</definedName>
    <definedName name="v_62_XNOB">Model!$U$221</definedName>
    <definedName name="v_62_XOHO">Model!$Q$221</definedName>
    <definedName name="v_62_XP_B">Model!$AP$221</definedName>
    <definedName name="v_62_XP_U">Model!$AQ$221</definedName>
    <definedName name="v_62_XPHA">Model!$M$221</definedName>
    <definedName name="v_62_XPP">Model!$AN$221</definedName>
    <definedName name="v_62_XS">Model!$BD$221</definedName>
    <definedName name="v_62_XSOO">Model!$AA$221</definedName>
    <definedName name="v_62_XSTR">Model!$BW$221</definedName>
    <definedName name="v_62_XU">Model!$L$221</definedName>
    <definedName name="v_62_XVivi">Model!$BX$221</definedName>
    <definedName name="v_63_CB">Model!$H$222</definedName>
    <definedName name="v_63_CU">Model!$K$222</definedName>
    <definedName name="v_63_GCH4">Model!$CC$222</definedName>
    <definedName name="v_63_GCH4_atm">Model!$CL$222</definedName>
    <definedName name="v_63_GCO2">Model!$CB$222</definedName>
    <definedName name="v_63_GCO2_atm">Model!$CK$222</definedName>
    <definedName name="v_63_GH2">Model!$CD$222</definedName>
    <definedName name="v_63_GH2_atm">Model!$CM$222</definedName>
    <definedName name="v_63_GH2S">Model!$CJ$222</definedName>
    <definedName name="v_63_GH2S_atm">Model!$CS$222</definedName>
    <definedName name="v_63_GN2">Model!$CI$222</definedName>
    <definedName name="v_63_GN2_atm">Model!$CR$222</definedName>
    <definedName name="v_63_GN2O">Model!$CH$222</definedName>
    <definedName name="v_63_GN2O_atm">Model!$CQ$222</definedName>
    <definedName name="v_63_GNH3">Model!$CF$222</definedName>
    <definedName name="v_63_GNH3_atm">Model!$CO$222</definedName>
    <definedName name="v_63_GNO">Model!$CG$222</definedName>
    <definedName name="v_63_GNO_atm">Model!$CP$222</definedName>
    <definedName name="v_63_GO2">Model!$CE$222</definedName>
    <definedName name="v_63_GO2_atm">Model!$CN$222</definedName>
    <definedName name="v_63_H">Model!$BZ$222</definedName>
    <definedName name="v_63_SALPHA">Model!$CA$222</definedName>
    <definedName name="v_63_SAN">Model!$AX$222</definedName>
    <definedName name="v_63_SB">Model!$F$222</definedName>
    <definedName name="v_63_SCa">Model!$AY$222</definedName>
    <definedName name="v_63_SCAT">Model!$AW$222</definedName>
    <definedName name="v_63_SCH4">Model!$AS$222</definedName>
    <definedName name="v_63_SCO2">Model!$AU$222</definedName>
    <definedName name="v_63_SFe2">Model!$BE$222</definedName>
    <definedName name="v_63_SH2">Model!$AT$222</definedName>
    <definedName name="v_63_SH2S">Model!$BB$222</definedName>
    <definedName name="v_63_SK">Model!$BA$222</definedName>
    <definedName name="v_63_SMEOL">Model!$G$222</definedName>
    <definedName name="v_63_SMg">Model!$AZ$222</definedName>
    <definedName name="v_63_SMM_index">Model!$CT$222</definedName>
    <definedName name="v_63_SN_B">Model!$AJ$222</definedName>
    <definedName name="v_63_SN2">Model!$AI$222</definedName>
    <definedName name="v_63_SN2O">Model!$AH$222</definedName>
    <definedName name="v_63_SNH2OH">Model!$AC$222</definedName>
    <definedName name="v_63_SNHx">Model!$AB$222</definedName>
    <definedName name="v_63_SNO_AOB">Model!$AF$222</definedName>
    <definedName name="v_63_SNO_OHO">Model!$AG$222</definedName>
    <definedName name="v_63_SNO2">Model!$AE$222</definedName>
    <definedName name="v_63_SNO3">Model!$AD$222</definedName>
    <definedName name="v_63_SO2">Model!$AR$222</definedName>
    <definedName name="v_63_SP_B">Model!$AO$222</definedName>
    <definedName name="v_63_SPO4">Model!$AM$222</definedName>
    <definedName name="v_63_SSO4">Model!$BC$222</definedName>
    <definedName name="v_63_SU">Model!$J$222</definedName>
    <definedName name="v_63_SVFA">Model!$E$222</definedName>
    <definedName name="v_63_XACP">Model!$BU$222</definedName>
    <definedName name="v_63_XAMETO">Model!$W$222</definedName>
    <definedName name="v_63_XAMX">Model!$V$222</definedName>
    <definedName name="v_63_XAOB">Model!$T$222</definedName>
    <definedName name="v_63_XASRO">Model!$Y$222</definedName>
    <definedName name="v_63_XB">Model!$I$222</definedName>
    <definedName name="v_63_XBSH">Model!$BV$222</definedName>
    <definedName name="v_63_XCaCO3">Model!$BT$222</definedName>
    <definedName name="v_63_XCASTO">Model!$R$222</definedName>
    <definedName name="v_63_XE">Model!$O$222</definedName>
    <definedName name="v_63_XE_ana">Model!$P$222</definedName>
    <definedName name="v_63_XFeS">Model!$BY$222</definedName>
    <definedName name="v_63_XGLY">Model!$N$222</definedName>
    <definedName name="v_63_XHAO_H">Model!$BM$222</definedName>
    <definedName name="v_63_XHAO_H_P">Model!$BP$222</definedName>
    <definedName name="v_63_XHAO_H_P_old">Model!$BR$222</definedName>
    <definedName name="v_63_XHAO_L">Model!$BN$222</definedName>
    <definedName name="v_63_XHAO_L_P">Model!$BQ$222</definedName>
    <definedName name="v_63_XHAO_L_P_old">Model!$BS$222</definedName>
    <definedName name="v_63_XHAO_old">Model!$BO$222</definedName>
    <definedName name="v_63_XHFO_H">Model!$BF$222</definedName>
    <definedName name="v_63_XHFO_H_P">Model!$BI$222</definedName>
    <definedName name="v_63_XHFO_H_P_old">Model!$BK$222</definedName>
    <definedName name="v_63_XHFO_L">Model!$BG$222</definedName>
    <definedName name="v_63_XHFO_L_P">Model!$BJ$222</definedName>
    <definedName name="v_63_XHFO_L_P_old">Model!$BL$222</definedName>
    <definedName name="v_63_XHFO_old">Model!$BH$222</definedName>
    <definedName name="v_63_XHMETO">Model!$X$222</definedName>
    <definedName name="v_63_XHSRO">Model!$Z$222</definedName>
    <definedName name="v_63_XINORG">Model!$AV$222</definedName>
    <definedName name="v_63_XMEOLO">Model!$S$222</definedName>
    <definedName name="v_63_XMOB">Model!$CU$222</definedName>
    <definedName name="v_63_XN_B">Model!$AK$222</definedName>
    <definedName name="v_63_XN_U">Model!$AL$222</definedName>
    <definedName name="v_63_XNOB">Model!$U$222</definedName>
    <definedName name="v_63_XOHO">Model!$Q$222</definedName>
    <definedName name="v_63_XP_B">Model!$AP$222</definedName>
    <definedName name="v_63_XP_U">Model!$AQ$222</definedName>
    <definedName name="v_63_XPHA">Model!$M$222</definedName>
    <definedName name="v_63_XPP">Model!$AN$222</definedName>
    <definedName name="v_63_XS">Model!$BD$222</definedName>
    <definedName name="v_63_XSOO">Model!$AA$222</definedName>
    <definedName name="v_63_XSTR">Model!$BW$222</definedName>
    <definedName name="v_63_XU">Model!$L$222</definedName>
    <definedName name="v_63_XVivi">Model!$BX$222</definedName>
    <definedName name="v_64_CB">Model!$H$223</definedName>
    <definedName name="v_64_CU">Model!$K$223</definedName>
    <definedName name="v_64_GCH4">Model!$CC$223</definedName>
    <definedName name="v_64_GCH4_atm">Model!$CL$223</definedName>
    <definedName name="v_64_GCO2">Model!$CB$223</definedName>
    <definedName name="v_64_GCO2_atm">Model!$CK$223</definedName>
    <definedName name="v_64_GH2">Model!$CD$223</definedName>
    <definedName name="v_64_GH2_atm">Model!$CM$223</definedName>
    <definedName name="v_64_GH2S">Model!$CJ$223</definedName>
    <definedName name="v_64_GH2S_atm">Model!$CS$223</definedName>
    <definedName name="v_64_GN2">Model!$CI$223</definedName>
    <definedName name="v_64_GN2_atm">Model!$CR$223</definedName>
    <definedName name="v_64_GN2O">Model!$CH$223</definedName>
    <definedName name="v_64_GN2O_atm">Model!$CQ$223</definedName>
    <definedName name="v_64_GNH3">Model!$CF$223</definedName>
    <definedName name="v_64_GNH3_atm">Model!$CO$223</definedName>
    <definedName name="v_64_GNO">Model!$CG$223</definedName>
    <definedName name="v_64_GNO_atm">Model!$CP$223</definedName>
    <definedName name="v_64_GO2">Model!$CE$223</definedName>
    <definedName name="v_64_GO2_atm">Model!$CN$223</definedName>
    <definedName name="v_64_H">Model!$BZ$223</definedName>
    <definedName name="v_64_SALPHA">Model!$CA$223</definedName>
    <definedName name="v_64_SAN">Model!$AX$223</definedName>
    <definedName name="v_64_SB">Model!$F$223</definedName>
    <definedName name="v_64_SCa">Model!$AY$223</definedName>
    <definedName name="v_64_SCAT">Model!$AW$223</definedName>
    <definedName name="v_64_SCH4">Model!$AS$223</definedName>
    <definedName name="v_64_SCO2">Model!$AU$223</definedName>
    <definedName name="v_64_SFe2">Model!$BE$223</definedName>
    <definedName name="v_64_SH2">Model!$AT$223</definedName>
    <definedName name="v_64_SH2S">Model!$BB$223</definedName>
    <definedName name="v_64_SK">Model!$BA$223</definedName>
    <definedName name="v_64_SMEOL">Model!$G$223</definedName>
    <definedName name="v_64_SMg">Model!$AZ$223</definedName>
    <definedName name="v_64_SMM_index">Model!$CT$223</definedName>
    <definedName name="v_64_SN_B">Model!$AJ$223</definedName>
    <definedName name="v_64_SN2">Model!$AI$223</definedName>
    <definedName name="v_64_SN2O">Model!$AH$223</definedName>
    <definedName name="v_64_SNH2OH">Model!$AC$223</definedName>
    <definedName name="v_64_SNHx">Model!$AB$223</definedName>
    <definedName name="v_64_SNO_AOB">Model!$AF$223</definedName>
    <definedName name="v_64_SNO_OHO">Model!$AG$223</definedName>
    <definedName name="v_64_SNO2">Model!$AE$223</definedName>
    <definedName name="v_64_SNO3">Model!$AD$223</definedName>
    <definedName name="v_64_SO2">Model!$AR$223</definedName>
    <definedName name="v_64_SP_B">Model!$AO$223</definedName>
    <definedName name="v_64_SPO4">Model!$AM$223</definedName>
    <definedName name="v_64_SSO4">Model!$BC$223</definedName>
    <definedName name="v_64_SU">Model!$J$223</definedName>
    <definedName name="v_64_SVFA">Model!$E$223</definedName>
    <definedName name="v_64_XACP">Model!$BU$223</definedName>
    <definedName name="v_64_XAMETO">Model!$W$223</definedName>
    <definedName name="v_64_XAMX">Model!$V$223</definedName>
    <definedName name="v_64_XAOB">Model!$T$223</definedName>
    <definedName name="v_64_XASRO">Model!$Y$223</definedName>
    <definedName name="v_64_XB">Model!$I$223</definedName>
    <definedName name="v_64_XBSH">Model!$BV$223</definedName>
    <definedName name="v_64_XCaCO3">Model!$BT$223</definedName>
    <definedName name="v_64_XCASTO">Model!$R$223</definedName>
    <definedName name="v_64_XE">Model!$O$223</definedName>
    <definedName name="v_64_XE_ana">Model!$P$223</definedName>
    <definedName name="v_64_XFeS">Model!$BY$223</definedName>
    <definedName name="v_64_XGLY">Model!$N$223</definedName>
    <definedName name="v_64_XHAO_H">Model!$BM$223</definedName>
    <definedName name="v_64_XHAO_H_P">Model!$BP$223</definedName>
    <definedName name="v_64_XHAO_H_P_old">Model!$BR$223</definedName>
    <definedName name="v_64_XHAO_L">Model!$BN$223</definedName>
    <definedName name="v_64_XHAO_L_P">Model!$BQ$223</definedName>
    <definedName name="v_64_XHAO_L_P_old">Model!$BS$223</definedName>
    <definedName name="v_64_XHAO_old">Model!$BO$223</definedName>
    <definedName name="v_64_XHFO_H">Model!$BF$223</definedName>
    <definedName name="v_64_XHFO_H_P">Model!$BI$223</definedName>
    <definedName name="v_64_XHFO_H_P_old">Model!$BK$223</definedName>
    <definedName name="v_64_XHFO_L">Model!$BG$223</definedName>
    <definedName name="v_64_XHFO_L_P">Model!$BJ$223</definedName>
    <definedName name="v_64_XHFO_L_P_old">Model!$BL$223</definedName>
    <definedName name="v_64_XHFO_old">Model!$BH$223</definedName>
    <definedName name="v_64_XHMETO">Model!$X$223</definedName>
    <definedName name="v_64_XHSRO">Model!$Z$223</definedName>
    <definedName name="v_64_XINORG">Model!$AV$223</definedName>
    <definedName name="v_64_XMEOLO">Model!$S$223</definedName>
    <definedName name="v_64_XMOB">Model!$CU$223</definedName>
    <definedName name="v_64_XN_B">Model!$AK$223</definedName>
    <definedName name="v_64_XN_U">Model!$AL$223</definedName>
    <definedName name="v_64_XNOB">Model!$U$223</definedName>
    <definedName name="v_64_XOHO">Model!$Q$223</definedName>
    <definedName name="v_64_XP_B">Model!$AP$223</definedName>
    <definedName name="v_64_XP_U">Model!$AQ$223</definedName>
    <definedName name="v_64_XPHA">Model!$M$223</definedName>
    <definedName name="v_64_XPP">Model!$AN$223</definedName>
    <definedName name="v_64_XS">Model!$BD$223</definedName>
    <definedName name="v_64_XSOO">Model!$AA$223</definedName>
    <definedName name="v_64_XSTR">Model!$BW$223</definedName>
    <definedName name="v_64_XU">Model!$L$223</definedName>
    <definedName name="v_64_XVivi">Model!$BX$223</definedName>
    <definedName name="v_65_CB">Model!$H$224</definedName>
    <definedName name="v_65_CU">Model!$K$224</definedName>
    <definedName name="v_65_GCH4">Model!$CC$224</definedName>
    <definedName name="v_65_GCH4_atm">Model!$CL$224</definedName>
    <definedName name="v_65_GCO2">Model!$CB$224</definedName>
    <definedName name="v_65_GCO2_atm">Model!$CK$224</definedName>
    <definedName name="v_65_GH2">Model!$CD$224</definedName>
    <definedName name="v_65_GH2_atm">Model!$CM$224</definedName>
    <definedName name="v_65_GH2S">Model!$CJ$224</definedName>
    <definedName name="v_65_GH2S_atm">Model!$CS$224</definedName>
    <definedName name="v_65_GN2">Model!$CI$224</definedName>
    <definedName name="v_65_GN2_atm">Model!$CR$224</definedName>
    <definedName name="v_65_GN2O">Model!$CH$224</definedName>
    <definedName name="v_65_GN2O_atm">Model!$CQ$224</definedName>
    <definedName name="v_65_GNH3">Model!$CF$224</definedName>
    <definedName name="v_65_GNH3_atm">Model!$CO$224</definedName>
    <definedName name="v_65_GNO">Model!$CG$224</definedName>
    <definedName name="v_65_GNO_atm">Model!$CP$224</definedName>
    <definedName name="v_65_GO2">Model!$CE$224</definedName>
    <definedName name="v_65_GO2_atm">Model!$CN$224</definedName>
    <definedName name="v_65_H">Model!$BZ$224</definedName>
    <definedName name="v_65_SALPHA">Model!$CA$224</definedName>
    <definedName name="v_65_SAN">Model!$AX$224</definedName>
    <definedName name="v_65_SB">Model!$F$224</definedName>
    <definedName name="v_65_SCa">Model!$AY$224</definedName>
    <definedName name="v_65_SCAT">Model!$AW$224</definedName>
    <definedName name="v_65_SCH4">Model!$AS$224</definedName>
    <definedName name="v_65_SCO2">Model!$AU$224</definedName>
    <definedName name="v_65_SFe2">Model!$BE$224</definedName>
    <definedName name="v_65_SH2">Model!$AT$224</definedName>
    <definedName name="v_65_SH2S">Model!$BB$224</definedName>
    <definedName name="v_65_SK">Model!$BA$224</definedName>
    <definedName name="v_65_SMEOL">Model!$G$224</definedName>
    <definedName name="v_65_SMg">Model!$AZ$224</definedName>
    <definedName name="v_65_SMM_index">Model!$CT$224</definedName>
    <definedName name="v_65_SN_B">Model!$AJ$224</definedName>
    <definedName name="v_65_SN2">Model!$AI$224</definedName>
    <definedName name="v_65_SN2O">Model!$AH$224</definedName>
    <definedName name="v_65_SNH2OH">Model!$AC$224</definedName>
    <definedName name="v_65_SNHx">Model!$AB$224</definedName>
    <definedName name="v_65_SNO_AOB">Model!$AF$224</definedName>
    <definedName name="v_65_SNO_OHO">Model!$AG$224</definedName>
    <definedName name="v_65_SNO2">Model!$AE$224</definedName>
    <definedName name="v_65_SNO3">Model!$AD$224</definedName>
    <definedName name="v_65_SO2">Model!$AR$224</definedName>
    <definedName name="v_65_SP_B">Model!$AO$224</definedName>
    <definedName name="v_65_SPO4">Model!$AM$224</definedName>
    <definedName name="v_65_SSO4">Model!$BC$224</definedName>
    <definedName name="v_65_SU">Model!$J$224</definedName>
    <definedName name="v_65_SVFA">Model!$E$224</definedName>
    <definedName name="v_65_XACP">Model!$BU$224</definedName>
    <definedName name="v_65_XAMETO">Model!$W$224</definedName>
    <definedName name="v_65_XAMX">Model!$V$224</definedName>
    <definedName name="v_65_XAOB">Model!$T$224</definedName>
    <definedName name="v_65_XASRO">Model!$Y$224</definedName>
    <definedName name="v_65_XB">Model!$I$224</definedName>
    <definedName name="v_65_XBSH">Model!$BV$224</definedName>
    <definedName name="v_65_XCaCO3">Model!$BT$224</definedName>
    <definedName name="v_65_XCASTO">Model!$R$224</definedName>
    <definedName name="v_65_XE">Model!$O$224</definedName>
    <definedName name="v_65_XE_ana">Model!$P$224</definedName>
    <definedName name="v_65_XFeS">Model!$BY$224</definedName>
    <definedName name="v_65_XGLY">Model!$N$224</definedName>
    <definedName name="v_65_XHAO_H">Model!$BM$224</definedName>
    <definedName name="v_65_XHAO_H_P">Model!$BP$224</definedName>
    <definedName name="v_65_XHAO_H_P_old">Model!$BR$224</definedName>
    <definedName name="v_65_XHAO_L">Model!$BN$224</definedName>
    <definedName name="v_65_XHAO_L_P">Model!$BQ$224</definedName>
    <definedName name="v_65_XHAO_L_P_old">Model!$BS$224</definedName>
    <definedName name="v_65_XHAO_old">Model!$BO$224</definedName>
    <definedName name="v_65_XHFO_H">Model!$BF$224</definedName>
    <definedName name="v_65_XHFO_H_P">Model!$BI$224</definedName>
    <definedName name="v_65_XHFO_H_P_old">Model!$BK$224</definedName>
    <definedName name="v_65_XHFO_L">Model!$BG$224</definedName>
    <definedName name="v_65_XHFO_L_P">Model!$BJ$224</definedName>
    <definedName name="v_65_XHFO_L_P_old">Model!$BL$224</definedName>
    <definedName name="v_65_XHFO_old">Model!$BH$224</definedName>
    <definedName name="v_65_XHMETO">Model!$X$224</definedName>
    <definedName name="v_65_XHSRO">Model!$Z$224</definedName>
    <definedName name="v_65_XINORG">Model!$AV$224</definedName>
    <definedName name="v_65_XMEOLO">Model!$S$224</definedName>
    <definedName name="v_65_XMOB">Model!$CU$224</definedName>
    <definedName name="v_65_XN_B">Model!$AK$224</definedName>
    <definedName name="v_65_XN_U">Model!$AL$224</definedName>
    <definedName name="v_65_XNOB">Model!$U$224</definedName>
    <definedName name="v_65_XOHO">Model!$Q$224</definedName>
    <definedName name="v_65_XP_B">Model!$AP$224</definedName>
    <definedName name="v_65_XP_U">Model!$AQ$224</definedName>
    <definedName name="v_65_XPHA">Model!$M$224</definedName>
    <definedName name="v_65_XPP">Model!$AN$224</definedName>
    <definedName name="v_65_XS">Model!$BD$224</definedName>
    <definedName name="v_65_XSOO">Model!$AA$224</definedName>
    <definedName name="v_65_XSTR">Model!$BW$224</definedName>
    <definedName name="v_65_XU">Model!$L$224</definedName>
    <definedName name="v_65_XVivi">Model!$BX$224</definedName>
    <definedName name="v_66_CB">Model!$H$225</definedName>
    <definedName name="v_66_CU">Model!$K$225</definedName>
    <definedName name="v_66_GCH4">Model!$CC$225</definedName>
    <definedName name="v_66_GCH4_atm">Model!$CL$225</definedName>
    <definedName name="v_66_GCO2">Model!$CB$225</definedName>
    <definedName name="v_66_GCO2_atm">Model!$CK$225</definedName>
    <definedName name="v_66_GH2">Model!$CD$225</definedName>
    <definedName name="v_66_GH2_atm">Model!$CM$225</definedName>
    <definedName name="v_66_GH2S">Model!$CJ$225</definedName>
    <definedName name="v_66_GH2S_atm">Model!$CS$225</definedName>
    <definedName name="v_66_GN2">Model!$CI$225</definedName>
    <definedName name="v_66_GN2_atm">Model!$CR$225</definedName>
    <definedName name="v_66_GN2O">Model!$CH$225</definedName>
    <definedName name="v_66_GN2O_atm">Model!$CQ$225</definedName>
    <definedName name="v_66_GNH3">Model!$CF$225</definedName>
    <definedName name="v_66_GNH3_atm">Model!$CO$225</definedName>
    <definedName name="v_66_GNO">Model!$CG$225</definedName>
    <definedName name="v_66_GNO_atm">Model!$CP$225</definedName>
    <definedName name="v_66_GO2">Model!$CE$225</definedName>
    <definedName name="v_66_GO2_atm">Model!$CN$225</definedName>
    <definedName name="v_66_H">Model!$BZ$225</definedName>
    <definedName name="v_66_SALPHA">Model!$CA$225</definedName>
    <definedName name="v_66_SAN">Model!$AX$225</definedName>
    <definedName name="v_66_SB">Model!$F$225</definedName>
    <definedName name="v_66_SCa">Model!$AY$225</definedName>
    <definedName name="v_66_SCAT">Model!$AW$225</definedName>
    <definedName name="v_66_SCH4">Model!$AS$225</definedName>
    <definedName name="v_66_SCO2">Model!$AU$225</definedName>
    <definedName name="v_66_SFe2">Model!$BE$225</definedName>
    <definedName name="v_66_SH2">Model!$AT$225</definedName>
    <definedName name="v_66_SH2S">Model!$BB$225</definedName>
    <definedName name="v_66_SK">Model!$BA$225</definedName>
    <definedName name="v_66_SMEOL">Model!$G$225</definedName>
    <definedName name="v_66_SMg">Model!$AZ$225</definedName>
    <definedName name="v_66_SMM_index">Model!$CT$225</definedName>
    <definedName name="v_66_SN_B">Model!$AJ$225</definedName>
    <definedName name="v_66_SN2">Model!$AI$225</definedName>
    <definedName name="v_66_SN2O">Model!$AH$225</definedName>
    <definedName name="v_66_SNH2OH">Model!$AC$225</definedName>
    <definedName name="v_66_SNHx">Model!$AB$225</definedName>
    <definedName name="v_66_SNO_AOB">Model!$AF$225</definedName>
    <definedName name="v_66_SNO_OHO">Model!$AG$225</definedName>
    <definedName name="v_66_SNO2">Model!$AE$225</definedName>
    <definedName name="v_66_SNO3">Model!$AD$225</definedName>
    <definedName name="v_66_SO2">Model!$AR$225</definedName>
    <definedName name="v_66_SP_B">Model!$AO$225</definedName>
    <definedName name="v_66_SPO4">Model!$AM$225</definedName>
    <definedName name="v_66_SSO4">Model!$BC$225</definedName>
    <definedName name="v_66_SU">Model!$J$225</definedName>
    <definedName name="v_66_SVFA">Model!$E$225</definedName>
    <definedName name="v_66_XACP">Model!$BU$225</definedName>
    <definedName name="v_66_XAMETO">Model!$W$225</definedName>
    <definedName name="v_66_XAMX">Model!$V$225</definedName>
    <definedName name="v_66_XAOB">Model!$T$225</definedName>
    <definedName name="v_66_XASRO">Model!$Y$225</definedName>
    <definedName name="v_66_XB">Model!$I$225</definedName>
    <definedName name="v_66_XBSH">Model!$BV$225</definedName>
    <definedName name="v_66_XCaCO3">Model!$BT$225</definedName>
    <definedName name="v_66_XCASTO">Model!$R$225</definedName>
    <definedName name="v_66_XE">Model!$O$225</definedName>
    <definedName name="v_66_XE_ana">Model!$P$225</definedName>
    <definedName name="v_66_XFeS">Model!$BY$225</definedName>
    <definedName name="v_66_XGLY">Model!$N$225</definedName>
    <definedName name="v_66_XHAO_H">Model!$BM$225</definedName>
    <definedName name="v_66_XHAO_H_P">Model!$BP$225</definedName>
    <definedName name="v_66_XHAO_H_P_old">Model!$BR$225</definedName>
    <definedName name="v_66_XHAO_L">Model!$BN$225</definedName>
    <definedName name="v_66_XHAO_L_P">Model!$BQ$225</definedName>
    <definedName name="v_66_XHAO_L_P_old">Model!$BS$225</definedName>
    <definedName name="v_66_XHAO_old">Model!$BO$225</definedName>
    <definedName name="v_66_XHFO_H">Model!$BF$225</definedName>
    <definedName name="v_66_XHFO_H_P">Model!$BI$225</definedName>
    <definedName name="v_66_XHFO_H_P_old">Model!$BK$225</definedName>
    <definedName name="v_66_XHFO_L">Model!$BG$225</definedName>
    <definedName name="v_66_XHFO_L_P">Model!$BJ$225</definedName>
    <definedName name="v_66_XHFO_L_P_old">Model!$BL$225</definedName>
    <definedName name="v_66_XHFO_old">Model!$BH$225</definedName>
    <definedName name="v_66_XHMETO">Model!$X$225</definedName>
    <definedName name="v_66_XHSRO">Model!$Z$225</definedName>
    <definedName name="v_66_XINORG">Model!$AV$225</definedName>
    <definedName name="v_66_XMEOLO">Model!$S$225</definedName>
    <definedName name="v_66_XMOB">Model!$CU$225</definedName>
    <definedName name="v_66_XN_B">Model!$AK$225</definedName>
    <definedName name="v_66_XN_U">Model!$AL$225</definedName>
    <definedName name="v_66_XNOB">Model!$U$225</definedName>
    <definedName name="v_66_XOHO">Model!$Q$225</definedName>
    <definedName name="v_66_XP_B">Model!$AP$225</definedName>
    <definedName name="v_66_XP_U">Model!$AQ$225</definedName>
    <definedName name="v_66_XPHA">Model!$M$225</definedName>
    <definedName name="v_66_XPP">Model!$AN$225</definedName>
    <definedName name="v_66_XS">Model!$BD$225</definedName>
    <definedName name="v_66_XSOO">Model!$AA$225</definedName>
    <definedName name="v_66_XSTR">Model!$BW$225</definedName>
    <definedName name="v_66_XU">Model!$L$225</definedName>
    <definedName name="v_66_XVivi">Model!$BX$225</definedName>
    <definedName name="v_67_CB">Model!$H$226</definedName>
    <definedName name="v_67_CU">Model!$K$226</definedName>
    <definedName name="v_67_GCH4">Model!$CC$226</definedName>
    <definedName name="v_67_GCH4_atm">Model!$CL$226</definedName>
    <definedName name="v_67_GCO2">Model!$CB$226</definedName>
    <definedName name="v_67_GCO2_atm">Model!$CK$226</definedName>
    <definedName name="v_67_GH2">Model!$CD$226</definedName>
    <definedName name="v_67_GH2_atm">Model!$CM$226</definedName>
    <definedName name="v_67_GH2S">Model!$CJ$226</definedName>
    <definedName name="v_67_GH2S_atm">Model!$CS$226</definedName>
    <definedName name="v_67_GN2">Model!$CI$226</definedName>
    <definedName name="v_67_GN2_atm">Model!$CR$226</definedName>
    <definedName name="v_67_GN2O">Model!$CH$226</definedName>
    <definedName name="v_67_GN2O_atm">Model!$CQ$226</definedName>
    <definedName name="v_67_GNH3">Model!$CF$226</definedName>
    <definedName name="v_67_GNH3_atm">Model!$CO$226</definedName>
    <definedName name="v_67_GNO">Model!$CG$226</definedName>
    <definedName name="v_67_GNO_atm">Model!$CP$226</definedName>
    <definedName name="v_67_GO2">Model!$CE$226</definedName>
    <definedName name="v_67_GO2_atm">Model!$CN$226</definedName>
    <definedName name="v_67_H">Model!$BZ$226</definedName>
    <definedName name="v_67_SALPHA">Model!$CA$226</definedName>
    <definedName name="v_67_SAN">Model!$AX$226</definedName>
    <definedName name="v_67_SB">Model!$F$226</definedName>
    <definedName name="v_67_SCa">Model!$AY$226</definedName>
    <definedName name="v_67_SCAT">Model!$AW$226</definedName>
    <definedName name="v_67_SCH4">Model!$AS$226</definedName>
    <definedName name="v_67_SCO2">Model!$AU$226</definedName>
    <definedName name="v_67_SFe2">Model!$BE$226</definedName>
    <definedName name="v_67_SH2">Model!$AT$226</definedName>
    <definedName name="v_67_SH2S">Model!$BB$226</definedName>
    <definedName name="v_67_SK">Model!$BA$226</definedName>
    <definedName name="v_67_SMEOL">Model!$G$226</definedName>
    <definedName name="v_67_SMg">Model!$AZ$226</definedName>
    <definedName name="v_67_SMM_index">Model!$CT$226</definedName>
    <definedName name="v_67_SN_B">Model!$AJ$226</definedName>
    <definedName name="v_67_SN2">Model!$AI$226</definedName>
    <definedName name="v_67_SN2O">Model!$AH$226</definedName>
    <definedName name="v_67_SNH2OH">Model!$AC$226</definedName>
    <definedName name="v_67_SNHx">Model!$AB$226</definedName>
    <definedName name="v_67_SNO_AOB">Model!$AF$226</definedName>
    <definedName name="v_67_SNO_OHO">Model!$AG$226</definedName>
    <definedName name="v_67_SNO2">Model!$AE$226</definedName>
    <definedName name="v_67_SNO3">Model!$AD$226</definedName>
    <definedName name="v_67_SO2">Model!$AR$226</definedName>
    <definedName name="v_67_SP_B">Model!$AO$226</definedName>
    <definedName name="v_67_SPO4">Model!$AM$226</definedName>
    <definedName name="v_67_SSO4">Model!$BC$226</definedName>
    <definedName name="v_67_SU">Model!$J$226</definedName>
    <definedName name="v_67_SVFA">Model!$E$226</definedName>
    <definedName name="v_67_XACP">Model!$BU$226</definedName>
    <definedName name="v_67_XAMETO">Model!$W$226</definedName>
    <definedName name="v_67_XAMX">Model!$V$226</definedName>
    <definedName name="v_67_XAOB">Model!$T$226</definedName>
    <definedName name="v_67_XASRO">Model!$Y$226</definedName>
    <definedName name="v_67_XB">Model!$I$226</definedName>
    <definedName name="v_67_XBSH">Model!$BV$226</definedName>
    <definedName name="v_67_XCaCO3">Model!$BT$226</definedName>
    <definedName name="v_67_XCASTO">Model!$R$226</definedName>
    <definedName name="v_67_XE">Model!$O$226</definedName>
    <definedName name="v_67_XE_ana">Model!$P$226</definedName>
    <definedName name="v_67_XFeS">Model!$BY$226</definedName>
    <definedName name="v_67_XGLY">Model!$N$226</definedName>
    <definedName name="v_67_XHAO_H">Model!$BM$226</definedName>
    <definedName name="v_67_XHAO_H_P">Model!$BP$226</definedName>
    <definedName name="v_67_XHAO_H_P_old">Model!$BR$226</definedName>
    <definedName name="v_67_XHAO_L">Model!$BN$226</definedName>
    <definedName name="v_67_XHAO_L_P">Model!$BQ$226</definedName>
    <definedName name="v_67_XHAO_L_P_old">Model!$BS$226</definedName>
    <definedName name="v_67_XHAO_old">Model!$BO$226</definedName>
    <definedName name="v_67_XHFO_H">Model!$BF$226</definedName>
    <definedName name="v_67_XHFO_H_P">Model!$BI$226</definedName>
    <definedName name="v_67_XHFO_H_P_old">Model!$BK$226</definedName>
    <definedName name="v_67_XHFO_L">Model!$BG$226</definedName>
    <definedName name="v_67_XHFO_L_P">Model!$BJ$226</definedName>
    <definedName name="v_67_XHFO_L_P_old">Model!$BL$226</definedName>
    <definedName name="v_67_XHFO_old">Model!$BH$226</definedName>
    <definedName name="v_67_XHMETO">Model!$X$226</definedName>
    <definedName name="v_67_XHSRO">Model!$Z$226</definedName>
    <definedName name="v_67_XINORG">Model!$AV$226</definedName>
    <definedName name="v_67_XMEOLO">Model!$S$226</definedName>
    <definedName name="v_67_XMOB">Model!$CU$226</definedName>
    <definedName name="v_67_XN_B">Model!$AK$226</definedName>
    <definedName name="v_67_XN_U">Model!$AL$226</definedName>
    <definedName name="v_67_XNOB">Model!$U$226</definedName>
    <definedName name="v_67_XOHO">Model!$Q$226</definedName>
    <definedName name="v_67_XP_B">Model!$AP$226</definedName>
    <definedName name="v_67_XP_U">Model!$AQ$226</definedName>
    <definedName name="v_67_XPHA">Model!$M$226</definedName>
    <definedName name="v_67_XPP">Model!$AN$226</definedName>
    <definedName name="v_67_XS">Model!$BD$226</definedName>
    <definedName name="v_67_XSOO">Model!$AA$226</definedName>
    <definedName name="v_67_XSTR">Model!$BW$226</definedName>
    <definedName name="v_67_XU">Model!$L$226</definedName>
    <definedName name="v_67_XVivi">Model!$BX$226</definedName>
    <definedName name="v_68_CB">Model!$H$227</definedName>
    <definedName name="v_68_CU">Model!$K$227</definedName>
    <definedName name="v_68_GCH4">Model!$CC$227</definedName>
    <definedName name="v_68_GCH4_atm">Model!$CL$227</definedName>
    <definedName name="v_68_GCO2">Model!$CB$227</definedName>
    <definedName name="v_68_GCO2_atm">Model!$CK$227</definedName>
    <definedName name="v_68_GH2">Model!$CD$227</definedName>
    <definedName name="v_68_GH2_atm">Model!$CM$227</definedName>
    <definedName name="v_68_GH2S">Model!$CJ$227</definedName>
    <definedName name="v_68_GH2S_atm">Model!$CS$227</definedName>
    <definedName name="v_68_GN2">Model!$CI$227</definedName>
    <definedName name="v_68_GN2_atm">Model!$CR$227</definedName>
    <definedName name="v_68_GN2O">Model!$CH$227</definedName>
    <definedName name="v_68_GN2O_atm">Model!$CQ$227</definedName>
    <definedName name="v_68_GNH3">Model!$CF$227</definedName>
    <definedName name="v_68_GNH3_atm">Model!$CO$227</definedName>
    <definedName name="v_68_GNO">Model!$CG$227</definedName>
    <definedName name="v_68_GNO_atm">Model!$CP$227</definedName>
    <definedName name="v_68_GO2">Model!$CE$227</definedName>
    <definedName name="v_68_GO2_atm">Model!$CN$227</definedName>
    <definedName name="v_68_H">Model!$BZ$227</definedName>
    <definedName name="v_68_SALPHA">Model!$CA$227</definedName>
    <definedName name="v_68_SAN">Model!$AX$227</definedName>
    <definedName name="v_68_SB">Model!$F$227</definedName>
    <definedName name="v_68_SCa">Model!$AY$227</definedName>
    <definedName name="v_68_SCAT">Model!$AW$227</definedName>
    <definedName name="v_68_SCH4">Model!$AS$227</definedName>
    <definedName name="v_68_SCO2">Model!$AU$227</definedName>
    <definedName name="v_68_SFe2">Model!$BE$227</definedName>
    <definedName name="v_68_SH2">Model!$AT$227</definedName>
    <definedName name="v_68_SH2S">Model!$BB$227</definedName>
    <definedName name="v_68_SK">Model!$BA$227</definedName>
    <definedName name="v_68_SMEOL">Model!$G$227</definedName>
    <definedName name="v_68_SMg">Model!$AZ$227</definedName>
    <definedName name="v_68_SMM_index">Model!$CT$227</definedName>
    <definedName name="v_68_SN_B">Model!$AJ$227</definedName>
    <definedName name="v_68_SN2">Model!$AI$227</definedName>
    <definedName name="v_68_SN2O">Model!$AH$227</definedName>
    <definedName name="v_68_SNH2OH">Model!$AC$227</definedName>
    <definedName name="v_68_SNHx">Model!$AB$227</definedName>
    <definedName name="v_68_SNO_AOB">Model!$AF$227</definedName>
    <definedName name="v_68_SNO_OHO">Model!$AG$227</definedName>
    <definedName name="v_68_SNO2">Model!$AE$227</definedName>
    <definedName name="v_68_SNO3">Model!$AD$227</definedName>
    <definedName name="v_68_SO2">Model!$AR$227</definedName>
    <definedName name="v_68_SP_B">Model!$AO$227</definedName>
    <definedName name="v_68_SPO4">Model!$AM$227</definedName>
    <definedName name="v_68_SSO4">Model!$BC$227</definedName>
    <definedName name="v_68_SU">Model!$J$227</definedName>
    <definedName name="v_68_SVFA">Model!$E$227</definedName>
    <definedName name="v_68_XACP">Model!$BU$227</definedName>
    <definedName name="v_68_XAMETO">Model!$W$227</definedName>
    <definedName name="v_68_XAMX">Model!$V$227</definedName>
    <definedName name="v_68_XAOB">Model!$T$227</definedName>
    <definedName name="v_68_XASRO">Model!$Y$227</definedName>
    <definedName name="v_68_XB">Model!$I$227</definedName>
    <definedName name="v_68_XBSH">Model!$BV$227</definedName>
    <definedName name="v_68_XCaCO3">Model!$BT$227</definedName>
    <definedName name="v_68_XCASTO">Model!$R$227</definedName>
    <definedName name="v_68_XE">Model!$O$227</definedName>
    <definedName name="v_68_XE_ana">Model!$P$227</definedName>
    <definedName name="v_68_XFeS">Model!$BY$227</definedName>
    <definedName name="v_68_XGLY">Model!$N$227</definedName>
    <definedName name="v_68_XHAO_H">Model!$BM$227</definedName>
    <definedName name="v_68_XHAO_H_P">Model!$BP$227</definedName>
    <definedName name="v_68_XHAO_H_P_old">Model!$BR$227</definedName>
    <definedName name="v_68_XHAO_L">Model!$BN$227</definedName>
    <definedName name="v_68_XHAO_L_P">Model!$BQ$227</definedName>
    <definedName name="v_68_XHAO_L_P_old">Model!$BS$227</definedName>
    <definedName name="v_68_XHAO_old">Model!$BO$227</definedName>
    <definedName name="v_68_XHFO_H">Model!$BF$227</definedName>
    <definedName name="v_68_XHFO_H_P">Model!$BI$227</definedName>
    <definedName name="v_68_XHFO_H_P_old">Model!$BK$227</definedName>
    <definedName name="v_68_XHFO_L">Model!$BG$227</definedName>
    <definedName name="v_68_XHFO_L_P">Model!$BJ$227</definedName>
    <definedName name="v_68_XHFO_L_P_old">Model!$BL$227</definedName>
    <definedName name="v_68_XHFO_old">Model!$BH$227</definedName>
    <definedName name="v_68_XHMETO">Model!$X$227</definedName>
    <definedName name="v_68_XHSRO">Model!$Z$227</definedName>
    <definedName name="v_68_XINORG">Model!$AV$227</definedName>
    <definedName name="v_68_XMEOLO">Model!$S$227</definedName>
    <definedName name="v_68_XMOB">Model!$CU$227</definedName>
    <definedName name="v_68_XN_B">Model!$AK$227</definedName>
    <definedName name="v_68_XN_U">Model!$AL$227</definedName>
    <definedName name="v_68_XNOB">Model!$U$227</definedName>
    <definedName name="v_68_XOHO">Model!$Q$227</definedName>
    <definedName name="v_68_XP_B">Model!$AP$227</definedName>
    <definedName name="v_68_XP_U">Model!$AQ$227</definedName>
    <definedName name="v_68_XPHA">Model!$M$227</definedName>
    <definedName name="v_68_XPP">Model!$AN$227</definedName>
    <definedName name="v_68_XS">Model!$BD$227</definedName>
    <definedName name="v_68_XSOO">Model!$AA$227</definedName>
    <definedName name="v_68_XSTR">Model!$BW$227</definedName>
    <definedName name="v_68_XU">Model!$L$227</definedName>
    <definedName name="v_68_XVivi">Model!$BX$227</definedName>
    <definedName name="v_69_CB">Model!$H$228</definedName>
    <definedName name="v_69_CU">Model!$K$228</definedName>
    <definedName name="v_69_GCH4">Model!$CC$228</definedName>
    <definedName name="v_69_GCH4_atm">Model!$CL$228</definedName>
    <definedName name="v_69_GCO2">Model!$CB$228</definedName>
    <definedName name="v_69_GCO2_atm">Model!$CK$228</definedName>
    <definedName name="v_69_GH2">Model!$CD$228</definedName>
    <definedName name="v_69_GH2_atm">Model!$CM$228</definedName>
    <definedName name="v_69_GH2S">Model!$CJ$228</definedName>
    <definedName name="v_69_GH2S_atm">Model!$CS$228</definedName>
    <definedName name="v_69_GN2">Model!$CI$228</definedName>
    <definedName name="v_69_GN2_atm">Model!$CR$228</definedName>
    <definedName name="v_69_GN2O">Model!$CH$228</definedName>
    <definedName name="v_69_GN2O_atm">Model!$CQ$228</definedName>
    <definedName name="v_69_GNH3">Model!$CF$228</definedName>
    <definedName name="v_69_GNH3_atm">Model!$CO$228</definedName>
    <definedName name="v_69_GNO">Model!$CG$228</definedName>
    <definedName name="v_69_GNO_atm">Model!$CP$228</definedName>
    <definedName name="v_69_GO2">Model!$CE$228</definedName>
    <definedName name="v_69_GO2_atm">Model!$CN$228</definedName>
    <definedName name="v_69_H">Model!$BZ$228</definedName>
    <definedName name="v_69_SALPHA">Model!$CA$228</definedName>
    <definedName name="v_69_SAN">Model!$AX$228</definedName>
    <definedName name="v_69_SB">Model!$F$228</definedName>
    <definedName name="v_69_SCa">Model!$AY$228</definedName>
    <definedName name="v_69_SCAT">Model!$AW$228</definedName>
    <definedName name="v_69_SCH4">Model!$AS$228</definedName>
    <definedName name="v_69_SCO2">Model!$AU$228</definedName>
    <definedName name="v_69_SFe2">Model!$BE$228</definedName>
    <definedName name="v_69_SH2">Model!$AT$228</definedName>
    <definedName name="v_69_SH2S">Model!$BB$228</definedName>
    <definedName name="v_69_SK">Model!$BA$228</definedName>
    <definedName name="v_69_SMEOL">Model!$G$228</definedName>
    <definedName name="v_69_SMg">Model!$AZ$228</definedName>
    <definedName name="v_69_SMM_index">Model!$CT$228</definedName>
    <definedName name="v_69_SN_B">Model!$AJ$228</definedName>
    <definedName name="v_69_SN2">Model!$AI$228</definedName>
    <definedName name="v_69_SN2O">Model!$AH$228</definedName>
    <definedName name="v_69_SNH2OH">Model!$AC$228</definedName>
    <definedName name="v_69_SNHx">Model!$AB$228</definedName>
    <definedName name="v_69_SNO_AOB">Model!$AF$228</definedName>
    <definedName name="v_69_SNO_OHO">Model!$AG$228</definedName>
    <definedName name="v_69_SNO2">Model!$AE$228</definedName>
    <definedName name="v_69_SNO3">Model!$AD$228</definedName>
    <definedName name="v_69_SO2">Model!$AR$228</definedName>
    <definedName name="v_69_SP_B">Model!$AO$228</definedName>
    <definedName name="v_69_SPO4">Model!$AM$228</definedName>
    <definedName name="v_69_SSO4">Model!$BC$228</definedName>
    <definedName name="v_69_SU">Model!$J$228</definedName>
    <definedName name="v_69_SVFA">Model!$E$228</definedName>
    <definedName name="v_69_XACP">Model!$BU$228</definedName>
    <definedName name="v_69_XAMETO">Model!$W$228</definedName>
    <definedName name="v_69_XAMX">Model!$V$228</definedName>
    <definedName name="v_69_XAOB">Model!$T$228</definedName>
    <definedName name="v_69_XASRO">Model!$Y$228</definedName>
    <definedName name="v_69_XB">Model!$I$228</definedName>
    <definedName name="v_69_XBSH">Model!$BV$228</definedName>
    <definedName name="v_69_XCaCO3">Model!$BT$228</definedName>
    <definedName name="v_69_XCASTO">Model!$R$228</definedName>
    <definedName name="v_69_XE">Model!$O$228</definedName>
    <definedName name="v_69_XE_ana">Model!$P$228</definedName>
    <definedName name="v_69_XFeS">Model!$BY$228</definedName>
    <definedName name="v_69_XGLY">Model!$N$228</definedName>
    <definedName name="v_69_XHAO_H">Model!$BM$228</definedName>
    <definedName name="v_69_XHAO_H_P">Model!$BP$228</definedName>
    <definedName name="v_69_XHAO_H_P_old">Model!$BR$228</definedName>
    <definedName name="v_69_XHAO_L">Model!$BN$228</definedName>
    <definedName name="v_69_XHAO_L_P">Model!$BQ$228</definedName>
    <definedName name="v_69_XHAO_L_P_old">Model!$BS$228</definedName>
    <definedName name="v_69_XHAO_old">Model!$BO$228</definedName>
    <definedName name="v_69_XHFO_H">Model!$BF$228</definedName>
    <definedName name="v_69_XHFO_H_P">Model!$BI$228</definedName>
    <definedName name="v_69_XHFO_H_P_old">Model!$BK$228</definedName>
    <definedName name="v_69_XHFO_L">Model!$BG$228</definedName>
    <definedName name="v_69_XHFO_L_P">Model!$BJ$228</definedName>
    <definedName name="v_69_XHFO_L_P_old">Model!$BL$228</definedName>
    <definedName name="v_69_XHFO_old">Model!$BH$228</definedName>
    <definedName name="v_69_XHMETO">Model!$X$228</definedName>
    <definedName name="v_69_XHSRO">Model!$Z$228</definedName>
    <definedName name="v_69_XINORG">Model!$AV$228</definedName>
    <definedName name="v_69_XMEOLO">Model!$S$228</definedName>
    <definedName name="v_69_XMOB">Model!$CU$228</definedName>
    <definedName name="v_69_XN_B">Model!$AK$228</definedName>
    <definedName name="v_69_XN_U">Model!$AL$228</definedName>
    <definedName name="v_69_XNOB">Model!$U$228</definedName>
    <definedName name="v_69_XOHO">Model!$Q$228</definedName>
    <definedName name="v_69_XP_B">Model!$AP$228</definedName>
    <definedName name="v_69_XP_U">Model!$AQ$228</definedName>
    <definedName name="v_69_XPHA">Model!$M$228</definedName>
    <definedName name="v_69_XPP">Model!$AN$228</definedName>
    <definedName name="v_69_XS">Model!$BD$228</definedName>
    <definedName name="v_69_XSOO">Model!$AA$228</definedName>
    <definedName name="v_69_XSTR">Model!$BW$228</definedName>
    <definedName name="v_69_XU">Model!$L$228</definedName>
    <definedName name="v_69_XVivi">Model!$BX$228</definedName>
    <definedName name="v_7_CB">Model!$H$166</definedName>
    <definedName name="v_7_CU">Model!$K$166</definedName>
    <definedName name="v_7_GCH4">Model!$CC$166</definedName>
    <definedName name="v_7_GCH4_atm">Model!$CL$166</definedName>
    <definedName name="v_7_GCO2">Model!$CB$166</definedName>
    <definedName name="v_7_GCO2_atm">Model!$CK$166</definedName>
    <definedName name="v_7_GH2">Model!$CD$166</definedName>
    <definedName name="v_7_GH2_atm">Model!$CM$166</definedName>
    <definedName name="v_7_GH2S">Model!$CJ$166</definedName>
    <definedName name="v_7_GH2S_atm">Model!$CS$166</definedName>
    <definedName name="v_7_GN2">Model!$CI$166</definedName>
    <definedName name="v_7_GN2_atm">Model!$CR$166</definedName>
    <definedName name="v_7_GN2O">Model!$CH$166</definedName>
    <definedName name="v_7_GN2O_atm">Model!$CQ$166</definedName>
    <definedName name="v_7_GNH3">Model!$CF$166</definedName>
    <definedName name="v_7_GNH3_atm">Model!$CO$166</definedName>
    <definedName name="v_7_GNO">Model!$CG$166</definedName>
    <definedName name="v_7_GNO_atm">Model!$CP$166</definedName>
    <definedName name="v_7_GO2">Model!$CE$166</definedName>
    <definedName name="v_7_GO2_atm">Model!$CN$166</definedName>
    <definedName name="v_7_H">Model!$BZ$166</definedName>
    <definedName name="v_7_SALPHA">Model!$CA$166</definedName>
    <definedName name="v_7_SAN">Model!$AX$166</definedName>
    <definedName name="v_7_SB">Model!$F$166</definedName>
    <definedName name="v_7_SCa">Model!$AY$166</definedName>
    <definedName name="v_7_SCAT">Model!$AW$166</definedName>
    <definedName name="v_7_SCH4">Model!$AS$166</definedName>
    <definedName name="v_7_SCO2">Model!$AU$166</definedName>
    <definedName name="v_7_SFe2">Model!$BE$166</definedName>
    <definedName name="v_7_SH2">Model!$AT$166</definedName>
    <definedName name="v_7_SH2S">Model!$BB$166</definedName>
    <definedName name="v_7_SK">Model!$BA$166</definedName>
    <definedName name="v_7_SMEOL">Model!$G$166</definedName>
    <definedName name="v_7_SMg">Model!$AZ$166</definedName>
    <definedName name="v_7_SMM_index">Model!$CT$166</definedName>
    <definedName name="v_7_SN_B">Model!$AJ$166</definedName>
    <definedName name="v_7_SN2">Model!$AI$166</definedName>
    <definedName name="v_7_SN2O">Model!$AH$166</definedName>
    <definedName name="v_7_SNH2OH">Model!$AC$166</definedName>
    <definedName name="v_7_SNHx">Model!$AB$166</definedName>
    <definedName name="v_7_SNO_AOB">Model!$AF$166</definedName>
    <definedName name="v_7_SNO_OHO">Model!$AG$166</definedName>
    <definedName name="v_7_SNO2">Model!$AE$166</definedName>
    <definedName name="v_7_SNO3">Model!$AD$166</definedName>
    <definedName name="v_7_SO2">Model!$AR$166</definedName>
    <definedName name="v_7_SP_B">Model!$AO$166</definedName>
    <definedName name="v_7_SPO4">Model!$AM$166</definedName>
    <definedName name="v_7_SSO4">Model!$BC$166</definedName>
    <definedName name="v_7_SU">Model!$J$166</definedName>
    <definedName name="v_7_SVFA">Model!$E$166</definedName>
    <definedName name="v_7_XACP">Model!$BU$166</definedName>
    <definedName name="v_7_XAMETO">Model!$W$166</definedName>
    <definedName name="v_7_XAMX">Model!$V$166</definedName>
    <definedName name="v_7_XAOB">Model!$T$166</definedName>
    <definedName name="v_7_XASRO">Model!$Y$166</definedName>
    <definedName name="v_7_XB">Model!$I$166</definedName>
    <definedName name="v_7_XBSH">Model!$BV$166</definedName>
    <definedName name="v_7_XCaCO3">Model!$BT$166</definedName>
    <definedName name="v_7_XCASTO">Model!$R$166</definedName>
    <definedName name="v_7_XE">Model!$O$166</definedName>
    <definedName name="v_7_XE_ana">Model!$P$166</definedName>
    <definedName name="v_7_XFeS">Model!$BY$166</definedName>
    <definedName name="v_7_XGLY">Model!$N$166</definedName>
    <definedName name="v_7_XHAO_H">Model!$BM$166</definedName>
    <definedName name="v_7_XHAO_H_P">Model!$BP$166</definedName>
    <definedName name="v_7_XHAO_H_P_old">Model!$BR$166</definedName>
    <definedName name="v_7_XHAO_L">Model!$BN$166</definedName>
    <definedName name="v_7_XHAO_L_P">Model!$BQ$166</definedName>
    <definedName name="v_7_XHAO_L_P_old">Model!$BS$166</definedName>
    <definedName name="v_7_XHAO_old">Model!$BO$166</definedName>
    <definedName name="v_7_XHFO_H">Model!$BF$166</definedName>
    <definedName name="v_7_XHFO_H_P">Model!$BI$166</definedName>
    <definedName name="v_7_XHFO_H_P_old">Model!$BK$166</definedName>
    <definedName name="v_7_XHFO_L">Model!$BG$166</definedName>
    <definedName name="v_7_XHFO_L_P">Model!$BJ$166</definedName>
    <definedName name="v_7_XHFO_L_P_old">Model!$BL$166</definedName>
    <definedName name="v_7_XHFO_old">Model!$BH$166</definedName>
    <definedName name="v_7_XHMETO">Model!$X$166</definedName>
    <definedName name="v_7_XHSRO">Model!$Z$166</definedName>
    <definedName name="v_7_XINORG">Model!$AV$166</definedName>
    <definedName name="v_7_XMEOLO">Model!$S$166</definedName>
    <definedName name="v_7_XMOB">Model!$CU$166</definedName>
    <definedName name="v_7_XN_B">Model!$AK$166</definedName>
    <definedName name="v_7_XN_U">Model!$AL$166</definedName>
    <definedName name="v_7_XNOB">Model!$U$166</definedName>
    <definedName name="v_7_XOHO">Model!$Q$166</definedName>
    <definedName name="v_7_XP_B">Model!$AP$166</definedName>
    <definedName name="v_7_XP_U">Model!$AQ$166</definedName>
    <definedName name="v_7_XPHA">Model!$M$166</definedName>
    <definedName name="v_7_XPP">Model!$AN$166</definedName>
    <definedName name="v_7_XS">Model!$BD$166</definedName>
    <definedName name="v_7_XSOO">Model!$AA$166</definedName>
    <definedName name="v_7_XSTR">Model!$BW$166</definedName>
    <definedName name="v_7_XU">Model!$L$166</definedName>
    <definedName name="v_7_XVivi">Model!$BX$166</definedName>
    <definedName name="v_70_CB">Model!$H$229</definedName>
    <definedName name="v_70_CU">Model!$K$229</definedName>
    <definedName name="v_70_GCH4">Model!$CC$229</definedName>
    <definedName name="v_70_GCH4_atm">Model!$CL$229</definedName>
    <definedName name="v_70_GCO2">Model!$CB$229</definedName>
    <definedName name="v_70_GCO2_atm">Model!$CK$229</definedName>
    <definedName name="v_70_GH2">Model!$CD$229</definedName>
    <definedName name="v_70_GH2_atm">Model!$CM$229</definedName>
    <definedName name="v_70_GH2S">Model!$CJ$229</definedName>
    <definedName name="v_70_GH2S_atm">Model!$CS$229</definedName>
    <definedName name="v_70_GN2">Model!$CI$229</definedName>
    <definedName name="v_70_GN2_atm">Model!$CR$229</definedName>
    <definedName name="v_70_GN2O">Model!$CH$229</definedName>
    <definedName name="v_70_GN2O_atm">Model!$CQ$229</definedName>
    <definedName name="v_70_GNH3">Model!$CF$229</definedName>
    <definedName name="v_70_GNH3_atm">Model!$CO$229</definedName>
    <definedName name="v_70_GNO">Model!$CG$229</definedName>
    <definedName name="v_70_GNO_atm">Model!$CP$229</definedName>
    <definedName name="v_70_GO2">Model!$CE$229</definedName>
    <definedName name="v_70_GO2_atm">Model!$CN$229</definedName>
    <definedName name="v_70_H">Model!$BZ$229</definedName>
    <definedName name="v_70_SALPHA">Model!$CA$229</definedName>
    <definedName name="v_70_SAN">Model!$AX$229</definedName>
    <definedName name="v_70_SB">Model!$F$229</definedName>
    <definedName name="v_70_SCa">Model!$AY$229</definedName>
    <definedName name="v_70_SCAT">Model!$AW$229</definedName>
    <definedName name="v_70_SCH4">Model!$AS$229</definedName>
    <definedName name="v_70_SCO2">Model!$AU$229</definedName>
    <definedName name="v_70_SFe2">Model!$BE$229</definedName>
    <definedName name="v_70_SH2">Model!$AT$229</definedName>
    <definedName name="v_70_SH2S">Model!$BB$229</definedName>
    <definedName name="v_70_SK">Model!$BA$229</definedName>
    <definedName name="v_70_SMEOL">Model!$G$229</definedName>
    <definedName name="v_70_SMg">Model!$AZ$229</definedName>
    <definedName name="v_70_SMM_index">Model!$CT$229</definedName>
    <definedName name="v_70_SN_B">Model!$AJ$229</definedName>
    <definedName name="v_70_SN2">Model!$AI$229</definedName>
    <definedName name="v_70_SN2O">Model!$AH$229</definedName>
    <definedName name="v_70_SNH2OH">Model!$AC$229</definedName>
    <definedName name="v_70_SNHx">Model!$AB$229</definedName>
    <definedName name="v_70_SNO_AOB">Model!$AF$229</definedName>
    <definedName name="v_70_SNO_OHO">Model!$AG$229</definedName>
    <definedName name="v_70_SNO2">Model!$AE$229</definedName>
    <definedName name="v_70_SNO3">Model!$AD$229</definedName>
    <definedName name="v_70_SO2">Model!$AR$229</definedName>
    <definedName name="v_70_SP_B">Model!$AO$229</definedName>
    <definedName name="v_70_SPO4">Model!$AM$229</definedName>
    <definedName name="v_70_SSO4">Model!$BC$229</definedName>
    <definedName name="v_70_SU">Model!$J$229</definedName>
    <definedName name="v_70_SVFA">Model!$E$229</definedName>
    <definedName name="v_70_XACP">Model!$BU$229</definedName>
    <definedName name="v_70_XAMETO">Model!$W$229</definedName>
    <definedName name="v_70_XAMX">Model!$V$229</definedName>
    <definedName name="v_70_XAOB">Model!$T$229</definedName>
    <definedName name="v_70_XASRO">Model!$Y$229</definedName>
    <definedName name="v_70_XB">Model!$I$229</definedName>
    <definedName name="v_70_XBSH">Model!$BV$229</definedName>
    <definedName name="v_70_XCaCO3">Model!$BT$229</definedName>
    <definedName name="v_70_XCASTO">Model!$R$229</definedName>
    <definedName name="v_70_XE">Model!$O$229</definedName>
    <definedName name="v_70_XE_ana">Model!$P$229</definedName>
    <definedName name="v_70_XFeS">Model!$BY$229</definedName>
    <definedName name="v_70_XGLY">Model!$N$229</definedName>
    <definedName name="v_70_XHAO_H">Model!$BM$229</definedName>
    <definedName name="v_70_XHAO_H_P">Model!$BP$229</definedName>
    <definedName name="v_70_XHAO_H_P_old">Model!$BR$229</definedName>
    <definedName name="v_70_XHAO_L">Model!$BN$229</definedName>
    <definedName name="v_70_XHAO_L_P">Model!$BQ$229</definedName>
    <definedName name="v_70_XHAO_L_P_old">Model!$BS$229</definedName>
    <definedName name="v_70_XHAO_old">Model!$BO$229</definedName>
    <definedName name="v_70_XHFO_H">Model!$BF$229</definedName>
    <definedName name="v_70_XHFO_H_P">Model!$BI$229</definedName>
    <definedName name="v_70_XHFO_H_P_old">Model!$BK$229</definedName>
    <definedName name="v_70_XHFO_L">Model!$BG$229</definedName>
    <definedName name="v_70_XHFO_L_P">Model!$BJ$229</definedName>
    <definedName name="v_70_XHFO_L_P_old">Model!$BL$229</definedName>
    <definedName name="v_70_XHFO_old">Model!$BH$229</definedName>
    <definedName name="v_70_XHMETO">Model!$X$229</definedName>
    <definedName name="v_70_XHSRO">Model!$Z$229</definedName>
    <definedName name="v_70_XINORG">Model!$AV$229</definedName>
    <definedName name="v_70_XMEOLO">Model!$S$229</definedName>
    <definedName name="v_70_XMOB">Model!$CU$229</definedName>
    <definedName name="v_70_XN_B">Model!$AK$229</definedName>
    <definedName name="v_70_XN_U">Model!$AL$229</definedName>
    <definedName name="v_70_XNOB">Model!$U$229</definedName>
    <definedName name="v_70_XOHO">Model!$Q$229</definedName>
    <definedName name="v_70_XP_B">Model!$AP$229</definedName>
    <definedName name="v_70_XP_U">Model!$AQ$229</definedName>
    <definedName name="v_70_XPHA">Model!$M$229</definedName>
    <definedName name="v_70_XPP">Model!$AN$229</definedName>
    <definedName name="v_70_XS">Model!$BD$229</definedName>
    <definedName name="v_70_XSOO">Model!$AA$229</definedName>
    <definedName name="v_70_XSTR">Model!$BW$229</definedName>
    <definedName name="v_70_XU">Model!$L$229</definedName>
    <definedName name="v_70_XVivi">Model!$BX$229</definedName>
    <definedName name="v_71_CB">Model!$H$230</definedName>
    <definedName name="v_71_CU">Model!$K$230</definedName>
    <definedName name="v_71_GCH4">Model!$CC$230</definedName>
    <definedName name="v_71_GCH4_atm">Model!$CL$230</definedName>
    <definedName name="v_71_GCO2">Model!$CB$230</definedName>
    <definedName name="v_71_GCO2_atm">Model!$CK$230</definedName>
    <definedName name="v_71_GH2">Model!$CD$230</definedName>
    <definedName name="v_71_GH2_atm">Model!$CM$230</definedName>
    <definedName name="v_71_GH2S">Model!$CJ$230</definedName>
    <definedName name="v_71_GH2S_atm">Model!$CS$230</definedName>
    <definedName name="v_71_GN2">Model!$CI$230</definedName>
    <definedName name="v_71_GN2_atm">Model!$CR$230</definedName>
    <definedName name="v_71_GN2O">Model!$CH$230</definedName>
    <definedName name="v_71_GN2O_atm">Model!$CQ$230</definedName>
    <definedName name="v_71_GNH3">Model!$CF$230</definedName>
    <definedName name="v_71_GNH3_atm">Model!$CO$230</definedName>
    <definedName name="v_71_GNO">Model!$CG$230</definedName>
    <definedName name="v_71_GNO_atm">Model!$CP$230</definedName>
    <definedName name="v_71_GO2">Model!$CE$230</definedName>
    <definedName name="v_71_GO2_atm">Model!$CN$230</definedName>
    <definedName name="v_71_H">Model!$BZ$230</definedName>
    <definedName name="v_71_SALPHA">Model!$CA$230</definedName>
    <definedName name="v_71_SAN">Model!$AX$230</definedName>
    <definedName name="v_71_SB">Model!$F$230</definedName>
    <definedName name="v_71_SCa">Model!$AY$230</definedName>
    <definedName name="v_71_SCAT">Model!$AW$230</definedName>
    <definedName name="v_71_SCH4">Model!$AS$230</definedName>
    <definedName name="v_71_SCO2">Model!$AU$230</definedName>
    <definedName name="v_71_SFe2">Model!$BE$230</definedName>
    <definedName name="v_71_SH2">Model!$AT$230</definedName>
    <definedName name="v_71_SH2S">Model!$BB$230</definedName>
    <definedName name="v_71_SK">Model!$BA$230</definedName>
    <definedName name="v_71_SMEOL">Model!$G$230</definedName>
    <definedName name="v_71_SMg">Model!$AZ$230</definedName>
    <definedName name="v_71_SMM_index">Model!$CT$230</definedName>
    <definedName name="v_71_SN_B">Model!$AJ$230</definedName>
    <definedName name="v_71_SN2">Model!$AI$230</definedName>
    <definedName name="v_71_SN2O">Model!$AH$230</definedName>
    <definedName name="v_71_SNH2OH">Model!$AC$230</definedName>
    <definedName name="v_71_SNHx">Model!$AB$230</definedName>
    <definedName name="v_71_SNO_AOB">Model!$AF$230</definedName>
    <definedName name="v_71_SNO_OHO">Model!$AG$230</definedName>
    <definedName name="v_71_SNO2">Model!$AE$230</definedName>
    <definedName name="v_71_SNO3">Model!$AD$230</definedName>
    <definedName name="v_71_SO2">Model!$AR$230</definedName>
    <definedName name="v_71_SP_B">Model!$AO$230</definedName>
    <definedName name="v_71_SPO4">Model!$AM$230</definedName>
    <definedName name="v_71_SSO4">Model!$BC$230</definedName>
    <definedName name="v_71_SU">Model!$J$230</definedName>
    <definedName name="v_71_SVFA">Model!$E$230</definedName>
    <definedName name="v_71_XACP">Model!$BU$230</definedName>
    <definedName name="v_71_XAMETO">Model!$W$230</definedName>
    <definedName name="v_71_XAMX">Model!$V$230</definedName>
    <definedName name="v_71_XAOB">Model!$T$230</definedName>
    <definedName name="v_71_XASRO">Model!$Y$230</definedName>
    <definedName name="v_71_XB">Model!$I$230</definedName>
    <definedName name="v_71_XBSH">Model!$BV$230</definedName>
    <definedName name="v_71_XCaCO3">Model!$BT$230</definedName>
    <definedName name="v_71_XCASTO">Model!$R$230</definedName>
    <definedName name="v_71_XE">Model!$O$230</definedName>
    <definedName name="v_71_XE_ana">Model!$P$230</definedName>
    <definedName name="v_71_XFeS">Model!$BY$230</definedName>
    <definedName name="v_71_XGLY">Model!$N$230</definedName>
    <definedName name="v_71_XHAO_H">Model!$BM$230</definedName>
    <definedName name="v_71_XHAO_H_P">Model!$BP$230</definedName>
    <definedName name="v_71_XHAO_H_P_old">Model!$BR$230</definedName>
    <definedName name="v_71_XHAO_L">Model!$BN$230</definedName>
    <definedName name="v_71_XHAO_L_P">Model!$BQ$230</definedName>
    <definedName name="v_71_XHAO_L_P_old">Model!$BS$230</definedName>
    <definedName name="v_71_XHAO_old">Model!$BO$230</definedName>
    <definedName name="v_71_XHFO_H">Model!$BF$230</definedName>
    <definedName name="v_71_XHFO_H_P">Model!$BI$230</definedName>
    <definedName name="v_71_XHFO_H_P_old">Model!$BK$230</definedName>
    <definedName name="v_71_XHFO_L">Model!$BG$230</definedName>
    <definedName name="v_71_XHFO_L_P">Model!$BJ$230</definedName>
    <definedName name="v_71_XHFO_L_P_old">Model!$BL$230</definedName>
    <definedName name="v_71_XHFO_old">Model!$BH$230</definedName>
    <definedName name="v_71_XHMETO">Model!$X$230</definedName>
    <definedName name="v_71_XHSRO">Model!$Z$230</definedName>
    <definedName name="v_71_XINORG">Model!$AV$230</definedName>
    <definedName name="v_71_XMEOLO">Model!$S$230</definedName>
    <definedName name="v_71_XMOB">Model!$CU$230</definedName>
    <definedName name="v_71_XN_B">Model!$AK$230</definedName>
    <definedName name="v_71_XN_U">Model!$AL$230</definedName>
    <definedName name="v_71_XNOB">Model!$U$230</definedName>
    <definedName name="v_71_XOHO">Model!$Q$230</definedName>
    <definedName name="v_71_XP_B">Model!$AP$230</definedName>
    <definedName name="v_71_XP_U">Model!$AQ$230</definedName>
    <definedName name="v_71_XPHA">Model!$M$230</definedName>
    <definedName name="v_71_XPP">Model!$AN$230</definedName>
    <definedName name="v_71_XS">Model!$BD$230</definedName>
    <definedName name="v_71_XSOO">Model!$AA$230</definedName>
    <definedName name="v_71_XSTR">Model!$BW$230</definedName>
    <definedName name="v_71_XU">Model!$L$230</definedName>
    <definedName name="v_71_XVivi">Model!$BX$230</definedName>
    <definedName name="v_72_CB">Model!$H$231</definedName>
    <definedName name="v_72_CU">Model!$K$231</definedName>
    <definedName name="v_72_GCH4">Model!$CC$231</definedName>
    <definedName name="v_72_GCH4_atm">Model!$CL$231</definedName>
    <definedName name="v_72_GCO2">Model!$CB$231</definedName>
    <definedName name="v_72_GCO2_atm">Model!$CK$231</definedName>
    <definedName name="v_72_GH2">Model!$CD$231</definedName>
    <definedName name="v_72_GH2_atm">Model!$CM$231</definedName>
    <definedName name="v_72_GH2S">Model!$CJ$231</definedName>
    <definedName name="v_72_GH2S_atm">Model!$CS$231</definedName>
    <definedName name="v_72_GN2">Model!$CI$231</definedName>
    <definedName name="v_72_GN2_atm">Model!$CR$231</definedName>
    <definedName name="v_72_GN2O">Model!$CH$231</definedName>
    <definedName name="v_72_GN2O_atm">Model!$CQ$231</definedName>
    <definedName name="v_72_GNH3">Model!$CF$231</definedName>
    <definedName name="v_72_GNH3_atm">Model!$CO$231</definedName>
    <definedName name="v_72_GNO">Model!$CG$231</definedName>
    <definedName name="v_72_GNO_atm">Model!$CP$231</definedName>
    <definedName name="v_72_GO2">Model!$CE$231</definedName>
    <definedName name="v_72_GO2_atm">Model!$CN$231</definedName>
    <definedName name="v_72_H">Model!$BZ$231</definedName>
    <definedName name="v_72_SALPHA">Model!$CA$231</definedName>
    <definedName name="v_72_SAN">Model!$AX$231</definedName>
    <definedName name="v_72_SB">Model!$F$231</definedName>
    <definedName name="v_72_SCa">Model!$AY$231</definedName>
    <definedName name="v_72_SCAT">Model!$AW$231</definedName>
    <definedName name="v_72_SCH4">Model!$AS$231</definedName>
    <definedName name="v_72_SCO2">Model!$AU$231</definedName>
    <definedName name="v_72_SFe2">Model!$BE$231</definedName>
    <definedName name="v_72_SH2">Model!$AT$231</definedName>
    <definedName name="v_72_SH2S">Model!$BB$231</definedName>
    <definedName name="v_72_SK">Model!$BA$231</definedName>
    <definedName name="v_72_SMEOL">Model!$G$231</definedName>
    <definedName name="v_72_SMg">Model!$AZ$231</definedName>
    <definedName name="v_72_SMM_index">Model!$CT$231</definedName>
    <definedName name="v_72_SN_B">Model!$AJ$231</definedName>
    <definedName name="v_72_SN2">Model!$AI$231</definedName>
    <definedName name="v_72_SN2O">Model!$AH$231</definedName>
    <definedName name="v_72_SNH2OH">Model!$AC$231</definedName>
    <definedName name="v_72_SNHx">Model!$AB$231</definedName>
    <definedName name="v_72_SNO_AOB">Model!$AF$231</definedName>
    <definedName name="v_72_SNO_OHO">Model!$AG$231</definedName>
    <definedName name="v_72_SNO2">Model!$AE$231</definedName>
    <definedName name="v_72_SNO3">Model!$AD$231</definedName>
    <definedName name="v_72_SO2">Model!$AR$231</definedName>
    <definedName name="v_72_SP_B">Model!$AO$231</definedName>
    <definedName name="v_72_SPO4">Model!$AM$231</definedName>
    <definedName name="v_72_SSO4">Model!$BC$231</definedName>
    <definedName name="v_72_SU">Model!$J$231</definedName>
    <definedName name="v_72_SVFA">Model!$E$231</definedName>
    <definedName name="v_72_XACP">Model!$BU$231</definedName>
    <definedName name="v_72_XAMETO">Model!$W$231</definedName>
    <definedName name="v_72_XAMX">Model!$V$231</definedName>
    <definedName name="v_72_XAOB">Model!$T$231</definedName>
    <definedName name="v_72_XASRO">Model!$Y$231</definedName>
    <definedName name="v_72_XB">Model!$I$231</definedName>
    <definedName name="v_72_XBSH">Model!$BV$231</definedName>
    <definedName name="v_72_XCaCO3">Model!$BT$231</definedName>
    <definedName name="v_72_XCASTO">Model!$R$231</definedName>
    <definedName name="v_72_XE">Model!$O$231</definedName>
    <definedName name="v_72_XE_ana">Model!$P$231</definedName>
    <definedName name="v_72_XFeS">Model!$BY$231</definedName>
    <definedName name="v_72_XGLY">Model!$N$231</definedName>
    <definedName name="v_72_XHAO_H">Model!$BM$231</definedName>
    <definedName name="v_72_XHAO_H_P">Model!$BP$231</definedName>
    <definedName name="v_72_XHAO_H_P_old">Model!$BR$231</definedName>
    <definedName name="v_72_XHAO_L">Model!$BN$231</definedName>
    <definedName name="v_72_XHAO_L_P">Model!$BQ$231</definedName>
    <definedName name="v_72_XHAO_L_P_old">Model!$BS$231</definedName>
    <definedName name="v_72_XHAO_old">Model!$BO$231</definedName>
    <definedName name="v_72_XHFO_H">Model!$BF$231</definedName>
    <definedName name="v_72_XHFO_H_P">Model!$BI$231</definedName>
    <definedName name="v_72_XHFO_H_P_old">Model!$BK$231</definedName>
    <definedName name="v_72_XHFO_L">Model!$BG$231</definedName>
    <definedName name="v_72_XHFO_L_P">Model!$BJ$231</definedName>
    <definedName name="v_72_XHFO_L_P_old">Model!$BL$231</definedName>
    <definedName name="v_72_XHFO_old">Model!$BH$231</definedName>
    <definedName name="v_72_XHMETO">Model!$X$231</definedName>
    <definedName name="v_72_XHSRO">Model!$Z$231</definedName>
    <definedName name="v_72_XINORG">Model!$AV$231</definedName>
    <definedName name="v_72_XMEOLO">Model!$S$231</definedName>
    <definedName name="v_72_XMOB">Model!$CU$231</definedName>
    <definedName name="v_72_XN_B">Model!$AK$231</definedName>
    <definedName name="v_72_XN_U">Model!$AL$231</definedName>
    <definedName name="v_72_XNOB">Model!$U$231</definedName>
    <definedName name="v_72_XOHO">Model!$Q$231</definedName>
    <definedName name="v_72_XP_B">Model!$AP$231</definedName>
    <definedName name="v_72_XP_U">Model!$AQ$231</definedName>
    <definedName name="v_72_XPHA">Model!$M$231</definedName>
    <definedName name="v_72_XPP">Model!$AN$231</definedName>
    <definedName name="v_72_XS">Model!$BD$231</definedName>
    <definedName name="v_72_XSOO">Model!$AA$231</definedName>
    <definedName name="v_72_XSTR">Model!$BW$231</definedName>
    <definedName name="v_72_XU">Model!$L$231</definedName>
    <definedName name="v_72_XVivi">Model!$BX$231</definedName>
    <definedName name="v_73_CB">Model!$H$232</definedName>
    <definedName name="v_73_CU">Model!$K$232</definedName>
    <definedName name="v_73_GCH4">Model!$CC$232</definedName>
    <definedName name="v_73_GCH4_atm">Model!$CL$232</definedName>
    <definedName name="v_73_GCO2">Model!$CB$232</definedName>
    <definedName name="v_73_GCO2_atm">Model!$CK$232</definedName>
    <definedName name="v_73_GH2">Model!$CD$232</definedName>
    <definedName name="v_73_GH2_atm">Model!$CM$232</definedName>
    <definedName name="v_73_GH2S">Model!$CJ$232</definedName>
    <definedName name="v_73_GH2S_atm">Model!$CS$232</definedName>
    <definedName name="v_73_GN2">Model!$CI$232</definedName>
    <definedName name="v_73_GN2_atm">Model!$CR$232</definedName>
    <definedName name="v_73_GN2O">Model!$CH$232</definedName>
    <definedName name="v_73_GN2O_atm">Model!$CQ$232</definedName>
    <definedName name="v_73_GNH3">Model!$CF$232</definedName>
    <definedName name="v_73_GNH3_atm">Model!$CO$232</definedName>
    <definedName name="v_73_GNO">Model!$CG$232</definedName>
    <definedName name="v_73_GNO_atm">Model!$CP$232</definedName>
    <definedName name="v_73_GO2">Model!$CE$232</definedName>
    <definedName name="v_73_GO2_atm">Model!$CN$232</definedName>
    <definedName name="v_73_H">Model!$BZ$232</definedName>
    <definedName name="v_73_SALPHA">Model!$CA$232</definedName>
    <definedName name="v_73_SAN">Model!$AX$232</definedName>
    <definedName name="v_73_SB">Model!$F$232</definedName>
    <definedName name="v_73_SCa">Model!$AY$232</definedName>
    <definedName name="v_73_SCAT">Model!$AW$232</definedName>
    <definedName name="v_73_SCH4">Model!$AS$232</definedName>
    <definedName name="v_73_SCO2">Model!$AU$232</definedName>
    <definedName name="v_73_SFe2">Model!$BE$232</definedName>
    <definedName name="v_73_SH2">Model!$AT$232</definedName>
    <definedName name="v_73_SH2S">Model!$BB$232</definedName>
    <definedName name="v_73_SK">Model!$BA$232</definedName>
    <definedName name="v_73_SMEOL">Model!$G$232</definedName>
    <definedName name="v_73_SMg">Model!$AZ$232</definedName>
    <definedName name="v_73_SMM_index">Model!$CT$232</definedName>
    <definedName name="v_73_SN_B">Model!$AJ$232</definedName>
    <definedName name="v_73_SN2">Model!$AI$232</definedName>
    <definedName name="v_73_SN2O">Model!$AH$232</definedName>
    <definedName name="v_73_SNH2OH">Model!$AC$232</definedName>
    <definedName name="v_73_SNHx">Model!$AB$232</definedName>
    <definedName name="v_73_SNO_AOB">Model!$AF$232</definedName>
    <definedName name="v_73_SNO_OHO">Model!$AG$232</definedName>
    <definedName name="v_73_SNO2">Model!$AE$232</definedName>
    <definedName name="v_73_SNO3">Model!$AD$232</definedName>
    <definedName name="v_73_SO2">Model!$AR$232</definedName>
    <definedName name="v_73_SP_B">Model!$AO$232</definedName>
    <definedName name="v_73_SPO4">Model!$AM$232</definedName>
    <definedName name="v_73_SSO4">Model!$BC$232</definedName>
    <definedName name="v_73_SU">Model!$J$232</definedName>
    <definedName name="v_73_SVFA">Model!$E$232</definedName>
    <definedName name="v_73_XACP">Model!$BU$232</definedName>
    <definedName name="v_73_XAMETO">Model!$W$232</definedName>
    <definedName name="v_73_XAMX">Model!$V$232</definedName>
    <definedName name="v_73_XAOB">Model!$T$232</definedName>
    <definedName name="v_73_XASRO">Model!$Y$232</definedName>
    <definedName name="v_73_XB">Model!$I$232</definedName>
    <definedName name="v_73_XBSH">Model!$BV$232</definedName>
    <definedName name="v_73_XCaCO3">Model!$BT$232</definedName>
    <definedName name="v_73_XCASTO">Model!$R$232</definedName>
    <definedName name="v_73_XE">Model!$O$232</definedName>
    <definedName name="v_73_XE_ana">Model!$P$232</definedName>
    <definedName name="v_73_XFeS">Model!$BY$232</definedName>
    <definedName name="v_73_XGLY">Model!$N$232</definedName>
    <definedName name="v_73_XHAO_H">Model!$BM$232</definedName>
    <definedName name="v_73_XHAO_H_P">Model!$BP$232</definedName>
    <definedName name="v_73_XHAO_H_P_old">Model!$BR$232</definedName>
    <definedName name="v_73_XHAO_L">Model!$BN$232</definedName>
    <definedName name="v_73_XHAO_L_P">Model!$BQ$232</definedName>
    <definedName name="v_73_XHAO_L_P_old">Model!$BS$232</definedName>
    <definedName name="v_73_XHAO_old">Model!$BO$232</definedName>
    <definedName name="v_73_XHFO_H">Model!$BF$232</definedName>
    <definedName name="v_73_XHFO_H_P">Model!$BI$232</definedName>
    <definedName name="v_73_XHFO_H_P_old">Model!$BK$232</definedName>
    <definedName name="v_73_XHFO_L">Model!$BG$232</definedName>
    <definedName name="v_73_XHFO_L_P">Model!$BJ$232</definedName>
    <definedName name="v_73_XHFO_L_P_old">Model!$BL$232</definedName>
    <definedName name="v_73_XHFO_old">Model!$BH$232</definedName>
    <definedName name="v_73_XHMETO">Model!$X$232</definedName>
    <definedName name="v_73_XHSRO">Model!$Z$232</definedName>
    <definedName name="v_73_XINORG">Model!$AV$232</definedName>
    <definedName name="v_73_XMEOLO">Model!$S$232</definedName>
    <definedName name="v_73_XMOB">Model!$CU$232</definedName>
    <definedName name="v_73_XN_B">Model!$AK$232</definedName>
    <definedName name="v_73_XN_U">Model!$AL$232</definedName>
    <definedName name="v_73_XNOB">Model!$U$232</definedName>
    <definedName name="v_73_XOHO">Model!$Q$232</definedName>
    <definedName name="v_73_XP_B">Model!$AP$232</definedName>
    <definedName name="v_73_XP_U">Model!$AQ$232</definedName>
    <definedName name="v_73_XPHA">Model!$M$232</definedName>
    <definedName name="v_73_XPP">Model!$AN$232</definedName>
    <definedName name="v_73_XS">Model!$BD$232</definedName>
    <definedName name="v_73_XSOO">Model!$AA$232</definedName>
    <definedName name="v_73_XSTR">Model!$BW$232</definedName>
    <definedName name="v_73_XU">Model!$L$232</definedName>
    <definedName name="v_73_XVivi">Model!$BX$232</definedName>
    <definedName name="v_74_CB">Model!$H$233</definedName>
    <definedName name="v_74_CU">Model!$K$233</definedName>
    <definedName name="v_74_GCH4">Model!$CC$233</definedName>
    <definedName name="v_74_GCH4_atm">Model!$CL$233</definedName>
    <definedName name="v_74_GCO2">Model!$CB$233</definedName>
    <definedName name="v_74_GCO2_atm">Model!$CK$233</definedName>
    <definedName name="v_74_GH2">Model!$CD$233</definedName>
    <definedName name="v_74_GH2_atm">Model!$CM$233</definedName>
    <definedName name="v_74_GH2S">Model!$CJ$233</definedName>
    <definedName name="v_74_GH2S_atm">Model!$CS$233</definedName>
    <definedName name="v_74_GN2">Model!$CI$233</definedName>
    <definedName name="v_74_GN2_atm">Model!$CR$233</definedName>
    <definedName name="v_74_GN2O">Model!$CH$233</definedName>
    <definedName name="v_74_GN2O_atm">Model!$CQ$233</definedName>
    <definedName name="v_74_GNH3">Model!$CF$233</definedName>
    <definedName name="v_74_GNH3_atm">Model!$CO$233</definedName>
    <definedName name="v_74_GNO">Model!$CG$233</definedName>
    <definedName name="v_74_GNO_atm">Model!$CP$233</definedName>
    <definedName name="v_74_GO2">Model!$CE$233</definedName>
    <definedName name="v_74_GO2_atm">Model!$CN$233</definedName>
    <definedName name="v_74_H">Model!$BZ$233</definedName>
    <definedName name="v_74_SALPHA">Model!$CA$233</definedName>
    <definedName name="v_74_SAN">Model!$AX$233</definedName>
    <definedName name="v_74_SB">Model!$F$233</definedName>
    <definedName name="v_74_SCa">Model!$AY$233</definedName>
    <definedName name="v_74_SCAT">Model!$AW$233</definedName>
    <definedName name="v_74_SCH4">Model!$AS$233</definedName>
    <definedName name="v_74_SCO2">Model!$AU$233</definedName>
    <definedName name="v_74_SFe2">Model!$BE$233</definedName>
    <definedName name="v_74_SH2">Model!$AT$233</definedName>
    <definedName name="v_74_SH2S">Model!$BB$233</definedName>
    <definedName name="v_74_SK">Model!$BA$233</definedName>
    <definedName name="v_74_SMEOL">Model!$G$233</definedName>
    <definedName name="v_74_SMg">Model!$AZ$233</definedName>
    <definedName name="v_74_SMM_index">Model!$CT$233</definedName>
    <definedName name="v_74_SN_B">Model!$AJ$233</definedName>
    <definedName name="v_74_SN2">Model!$AI$233</definedName>
    <definedName name="v_74_SN2O">Model!$AH$233</definedName>
    <definedName name="v_74_SNH2OH">Model!$AC$233</definedName>
    <definedName name="v_74_SNHx">Model!$AB$233</definedName>
    <definedName name="v_74_SNO_AOB">Model!$AF$233</definedName>
    <definedName name="v_74_SNO_OHO">Model!$AG$233</definedName>
    <definedName name="v_74_SNO2">Model!$AE$233</definedName>
    <definedName name="v_74_SNO3">Model!$AD$233</definedName>
    <definedName name="v_74_SO2">Model!$AR$233</definedName>
    <definedName name="v_74_SP_B">Model!$AO$233</definedName>
    <definedName name="v_74_SPO4">Model!$AM$233</definedName>
    <definedName name="v_74_SSO4">Model!$BC$233</definedName>
    <definedName name="v_74_SU">Model!$J$233</definedName>
    <definedName name="v_74_SVFA">Model!$E$233</definedName>
    <definedName name="v_74_XACP">Model!$BU$233</definedName>
    <definedName name="v_74_XAMETO">Model!$W$233</definedName>
    <definedName name="v_74_XAMX">Model!$V$233</definedName>
    <definedName name="v_74_XAOB">Model!$T$233</definedName>
    <definedName name="v_74_XASRO">Model!$Y$233</definedName>
    <definedName name="v_74_XB">Model!$I$233</definedName>
    <definedName name="v_74_XBSH">Model!$BV$233</definedName>
    <definedName name="v_74_XCaCO3">Model!$BT$233</definedName>
    <definedName name="v_74_XCASTO">Model!$R$233</definedName>
    <definedName name="v_74_XE">Model!$O$233</definedName>
    <definedName name="v_74_XE_ana">Model!$P$233</definedName>
    <definedName name="v_74_XFeS">Model!$BY$233</definedName>
    <definedName name="v_74_XGLY">Model!$N$233</definedName>
    <definedName name="v_74_XHAO_H">Model!$BM$233</definedName>
    <definedName name="v_74_XHAO_H_P">Model!$BP$233</definedName>
    <definedName name="v_74_XHAO_H_P_old">Model!$BR$233</definedName>
    <definedName name="v_74_XHAO_L">Model!$BN$233</definedName>
    <definedName name="v_74_XHAO_L_P">Model!$BQ$233</definedName>
    <definedName name="v_74_XHAO_L_P_old">Model!$BS$233</definedName>
    <definedName name="v_74_XHAO_old">Model!$BO$233</definedName>
    <definedName name="v_74_XHFO_H">Model!$BF$233</definedName>
    <definedName name="v_74_XHFO_H_P">Model!$BI$233</definedName>
    <definedName name="v_74_XHFO_H_P_old">Model!$BK$233</definedName>
    <definedName name="v_74_XHFO_L">Model!$BG$233</definedName>
    <definedName name="v_74_XHFO_L_P">Model!$BJ$233</definedName>
    <definedName name="v_74_XHFO_L_P_old">Model!$BL$233</definedName>
    <definedName name="v_74_XHFO_old">Model!$BH$233</definedName>
    <definedName name="v_74_XHMETO">Model!$X$233</definedName>
    <definedName name="v_74_XHSRO">Model!$Z$233</definedName>
    <definedName name="v_74_XINORG">Model!$AV$233</definedName>
    <definedName name="v_74_XMEOLO">Model!$S$233</definedName>
    <definedName name="v_74_XMOB">Model!$CU$233</definedName>
    <definedName name="v_74_XN_B">Model!$AK$233</definedName>
    <definedName name="v_74_XN_U">Model!$AL$233</definedName>
    <definedName name="v_74_XNOB">Model!$U$233</definedName>
    <definedName name="v_74_XOHO">Model!$Q$233</definedName>
    <definedName name="v_74_XP_B">Model!$AP$233</definedName>
    <definedName name="v_74_XP_U">Model!$AQ$233</definedName>
    <definedName name="v_74_XPHA">Model!$M$233</definedName>
    <definedName name="v_74_XPP">Model!$AN$233</definedName>
    <definedName name="v_74_XS">Model!$BD$233</definedName>
    <definedName name="v_74_XSOO">Model!$AA$233</definedName>
    <definedName name="v_74_XSTR">Model!$BW$233</definedName>
    <definedName name="v_74_XU">Model!$L$233</definedName>
    <definedName name="v_74_XVivi">Model!$BX$233</definedName>
    <definedName name="v_75_CB">Model!$H$234</definedName>
    <definedName name="v_75_CU">Model!$K$234</definedName>
    <definedName name="v_75_GCH4">Model!$CC$234</definedName>
    <definedName name="v_75_GCH4_atm">Model!$CL$234</definedName>
    <definedName name="v_75_GCO2">Model!$CB$234</definedName>
    <definedName name="v_75_GCO2_atm">Model!$CK$234</definedName>
    <definedName name="v_75_GH2">Model!$CD$234</definedName>
    <definedName name="v_75_GH2_atm">Model!$CM$234</definedName>
    <definedName name="v_75_GH2S">Model!$CJ$234</definedName>
    <definedName name="v_75_GH2S_atm">Model!$CS$234</definedName>
    <definedName name="v_75_GN2">Model!$CI$234</definedName>
    <definedName name="v_75_GN2_atm">Model!$CR$234</definedName>
    <definedName name="v_75_GN2O">Model!$CH$234</definedName>
    <definedName name="v_75_GN2O_atm">Model!$CQ$234</definedName>
    <definedName name="v_75_GNH3">Model!$CF$234</definedName>
    <definedName name="v_75_GNH3_atm">Model!$CO$234</definedName>
    <definedName name="v_75_GNO">Model!$CG$234</definedName>
    <definedName name="v_75_GNO_atm">Model!$CP$234</definedName>
    <definedName name="v_75_GO2">Model!$CE$234</definedName>
    <definedName name="v_75_GO2_atm">Model!$CN$234</definedName>
    <definedName name="v_75_H">Model!$BZ$234</definedName>
    <definedName name="v_75_SALPHA">Model!$CA$234</definedName>
    <definedName name="v_75_SAN">Model!$AX$234</definedName>
    <definedName name="v_75_SB">Model!$F$234</definedName>
    <definedName name="v_75_SCa">Model!$AY$234</definedName>
    <definedName name="v_75_SCAT">Model!$AW$234</definedName>
    <definedName name="v_75_SCH4">Model!$AS$234</definedName>
    <definedName name="v_75_SCO2">Model!$AU$234</definedName>
    <definedName name="v_75_SFe2">Model!$BE$234</definedName>
    <definedName name="v_75_SH2">Model!$AT$234</definedName>
    <definedName name="v_75_SH2S">Model!$BB$234</definedName>
    <definedName name="v_75_SK">Model!$BA$234</definedName>
    <definedName name="v_75_SMEOL">Model!$G$234</definedName>
    <definedName name="v_75_SMg">Model!$AZ$234</definedName>
    <definedName name="v_75_SMM_index">Model!$CT$234</definedName>
    <definedName name="v_75_SN_B">Model!$AJ$234</definedName>
    <definedName name="v_75_SN2">Model!$AI$234</definedName>
    <definedName name="v_75_SN2O">Model!$AH$234</definedName>
    <definedName name="v_75_SNH2OH">Model!$AC$234</definedName>
    <definedName name="v_75_SNHx">Model!$AB$234</definedName>
    <definedName name="v_75_SNO_AOB">Model!$AF$234</definedName>
    <definedName name="v_75_SNO_OHO">Model!$AG$234</definedName>
    <definedName name="v_75_SNO2">Model!$AE$234</definedName>
    <definedName name="v_75_SNO3">Model!$AD$234</definedName>
    <definedName name="v_75_SO2">Model!$AR$234</definedName>
    <definedName name="v_75_SP_B">Model!$AO$234</definedName>
    <definedName name="v_75_SPO4">Model!$AM$234</definedName>
    <definedName name="v_75_SSO4">Model!$BC$234</definedName>
    <definedName name="v_75_SU">Model!$J$234</definedName>
    <definedName name="v_75_SVFA">Model!$E$234</definedName>
    <definedName name="v_75_XACP">Model!$BU$234</definedName>
    <definedName name="v_75_XAMETO">Model!$W$234</definedName>
    <definedName name="v_75_XAMX">Model!$V$234</definedName>
    <definedName name="v_75_XAOB">Model!$T$234</definedName>
    <definedName name="v_75_XASRO">Model!$Y$234</definedName>
    <definedName name="v_75_XB">Model!$I$234</definedName>
    <definedName name="v_75_XBSH">Model!$BV$234</definedName>
    <definedName name="v_75_XCaCO3">Model!$BT$234</definedName>
    <definedName name="v_75_XCASTO">Model!$R$234</definedName>
    <definedName name="v_75_XE">Model!$O$234</definedName>
    <definedName name="v_75_XE_ana">Model!$P$234</definedName>
    <definedName name="v_75_XFeS">Model!$BY$234</definedName>
    <definedName name="v_75_XGLY">Model!$N$234</definedName>
    <definedName name="v_75_XHAO_H">Model!$BM$234</definedName>
    <definedName name="v_75_XHAO_H_P">Model!$BP$234</definedName>
    <definedName name="v_75_XHAO_H_P_old">Model!$BR$234</definedName>
    <definedName name="v_75_XHAO_L">Model!$BN$234</definedName>
    <definedName name="v_75_XHAO_L_P">Model!$BQ$234</definedName>
    <definedName name="v_75_XHAO_L_P_old">Model!$BS$234</definedName>
    <definedName name="v_75_XHAO_old">Model!$BO$234</definedName>
    <definedName name="v_75_XHFO_H">Model!$BF$234</definedName>
    <definedName name="v_75_XHFO_H_P">Model!$BI$234</definedName>
    <definedName name="v_75_XHFO_H_P_old">Model!$BK$234</definedName>
    <definedName name="v_75_XHFO_L">Model!$BG$234</definedName>
    <definedName name="v_75_XHFO_L_P">Model!$BJ$234</definedName>
    <definedName name="v_75_XHFO_L_P_old">Model!$BL$234</definedName>
    <definedName name="v_75_XHFO_old">Model!$BH$234</definedName>
    <definedName name="v_75_XHMETO">Model!$X$234</definedName>
    <definedName name="v_75_XHSRO">Model!$Z$234</definedName>
    <definedName name="v_75_XINORG">Model!$AV$234</definedName>
    <definedName name="v_75_XMEOLO">Model!$S$234</definedName>
    <definedName name="v_75_XMOB">Model!$CU$234</definedName>
    <definedName name="v_75_XN_B">Model!$AK$234</definedName>
    <definedName name="v_75_XN_U">Model!$AL$234</definedName>
    <definedName name="v_75_XNOB">Model!$U$234</definedName>
    <definedName name="v_75_XOHO">Model!$Q$234</definedName>
    <definedName name="v_75_XP_B">Model!$AP$234</definedName>
    <definedName name="v_75_XP_U">Model!$AQ$234</definedName>
    <definedName name="v_75_XPHA">Model!$M$234</definedName>
    <definedName name="v_75_XPP">Model!$AN$234</definedName>
    <definedName name="v_75_XS">Model!$BD$234</definedName>
    <definedName name="v_75_XSOO">Model!$AA$234</definedName>
    <definedName name="v_75_XSTR">Model!$BW$234</definedName>
    <definedName name="v_75_XU">Model!$L$234</definedName>
    <definedName name="v_75_XVivi">Model!$BX$234</definedName>
    <definedName name="v_76_CB">Model!$H$235</definedName>
    <definedName name="v_76_CU">Model!$K$235</definedName>
    <definedName name="v_76_GCH4">Model!$CC$235</definedName>
    <definedName name="v_76_GCH4_atm">Model!$CL$235</definedName>
    <definedName name="v_76_GCO2">Model!$CB$235</definedName>
    <definedName name="v_76_GCO2_atm">Model!$CK$235</definedName>
    <definedName name="v_76_GH2">Model!$CD$235</definedName>
    <definedName name="v_76_GH2_atm">Model!$CM$235</definedName>
    <definedName name="v_76_GH2S">Model!$CJ$235</definedName>
    <definedName name="v_76_GH2S_atm">Model!$CS$235</definedName>
    <definedName name="v_76_GN2">Model!$CI$235</definedName>
    <definedName name="v_76_GN2_atm">Model!$CR$235</definedName>
    <definedName name="v_76_GN2O">Model!$CH$235</definedName>
    <definedName name="v_76_GN2O_atm">Model!$CQ$235</definedName>
    <definedName name="v_76_GNH3">Model!$CF$235</definedName>
    <definedName name="v_76_GNH3_atm">Model!$CO$235</definedName>
    <definedName name="v_76_GNO">Model!$CG$235</definedName>
    <definedName name="v_76_GNO_atm">Model!$CP$235</definedName>
    <definedName name="v_76_GO2">Model!$CE$235</definedName>
    <definedName name="v_76_GO2_atm">Model!$CN$235</definedName>
    <definedName name="v_76_H">Model!$BZ$235</definedName>
    <definedName name="v_76_SALPHA">Model!$CA$235</definedName>
    <definedName name="v_76_SAN">Model!$AX$235</definedName>
    <definedName name="v_76_SB">Model!$F$235</definedName>
    <definedName name="v_76_SCa">Model!$AY$235</definedName>
    <definedName name="v_76_SCAT">Model!$AW$235</definedName>
    <definedName name="v_76_SCH4">Model!$AS$235</definedName>
    <definedName name="v_76_SCO2">Model!$AU$235</definedName>
    <definedName name="v_76_SFe2">Model!$BE$235</definedName>
    <definedName name="v_76_SH2">Model!$AT$235</definedName>
    <definedName name="v_76_SH2S">Model!$BB$235</definedName>
    <definedName name="v_76_SK">Model!$BA$235</definedName>
    <definedName name="v_76_SMEOL">Model!$G$235</definedName>
    <definedName name="v_76_SMg">Model!$AZ$235</definedName>
    <definedName name="v_76_SMM_index">Model!$CT$235</definedName>
    <definedName name="v_76_SN_B">Model!$AJ$235</definedName>
    <definedName name="v_76_SN2">Model!$AI$235</definedName>
    <definedName name="v_76_SN2O">Model!$AH$235</definedName>
    <definedName name="v_76_SNH2OH">Model!$AC$235</definedName>
    <definedName name="v_76_SNHx">Model!$AB$235</definedName>
    <definedName name="v_76_SNO_AOB">Model!$AF$235</definedName>
    <definedName name="v_76_SNO_OHO">Model!$AG$235</definedName>
    <definedName name="v_76_SNO2">Model!$AE$235</definedName>
    <definedName name="v_76_SNO3">Model!$AD$235</definedName>
    <definedName name="v_76_SO2">Model!$AR$235</definedName>
    <definedName name="v_76_SP_B">Model!$AO$235</definedName>
    <definedName name="v_76_SPO4">Model!$AM$235</definedName>
    <definedName name="v_76_SSO4">Model!$BC$235</definedName>
    <definedName name="v_76_SU">Model!$J$235</definedName>
    <definedName name="v_76_SVFA">Model!$E$235</definedName>
    <definedName name="v_76_XACP">Model!$BU$235</definedName>
    <definedName name="v_76_XAMETO">Model!$W$235</definedName>
    <definedName name="v_76_XAMX">Model!$V$235</definedName>
    <definedName name="v_76_XAOB">Model!$T$235</definedName>
    <definedName name="v_76_XASRO">Model!$Y$235</definedName>
    <definedName name="v_76_XB">Model!$I$235</definedName>
    <definedName name="v_76_XBSH">Model!$BV$235</definedName>
    <definedName name="v_76_XCaCO3">Model!$BT$235</definedName>
    <definedName name="v_76_XCASTO">Model!$R$235</definedName>
    <definedName name="v_76_XE">Model!$O$235</definedName>
    <definedName name="v_76_XE_ana">Model!$P$235</definedName>
    <definedName name="v_76_XFeS">Model!$BY$235</definedName>
    <definedName name="v_76_XGLY">Model!$N$235</definedName>
    <definedName name="v_76_XHAO_H">Model!$BM$235</definedName>
    <definedName name="v_76_XHAO_H_P">Model!$BP$235</definedName>
    <definedName name="v_76_XHAO_H_P_old">Model!$BR$235</definedName>
    <definedName name="v_76_XHAO_L">Model!$BN$235</definedName>
    <definedName name="v_76_XHAO_L_P">Model!$BQ$235</definedName>
    <definedName name="v_76_XHAO_L_P_old">Model!$BS$235</definedName>
    <definedName name="v_76_XHAO_old">Model!$BO$235</definedName>
    <definedName name="v_76_XHFO_H">Model!$BF$235</definedName>
    <definedName name="v_76_XHFO_H_P">Model!$BI$235</definedName>
    <definedName name="v_76_XHFO_H_P_old">Model!$BK$235</definedName>
    <definedName name="v_76_XHFO_L">Model!$BG$235</definedName>
    <definedName name="v_76_XHFO_L_P">Model!$BJ$235</definedName>
    <definedName name="v_76_XHFO_L_P_old">Model!$BL$235</definedName>
    <definedName name="v_76_XHFO_old">Model!$BH$235</definedName>
    <definedName name="v_76_XHMETO">Model!$X$235</definedName>
    <definedName name="v_76_XHSRO">Model!$Z$235</definedName>
    <definedName name="v_76_XINORG">Model!$AV$235</definedName>
    <definedName name="v_76_XMEOLO">Model!$S$235</definedName>
    <definedName name="v_76_XMOB">Model!$CU$235</definedName>
    <definedName name="v_76_XN_B">Model!$AK$235</definedName>
    <definedName name="v_76_XN_U">Model!$AL$235</definedName>
    <definedName name="v_76_XNOB">Model!$U$235</definedName>
    <definedName name="v_76_XOHO">Model!$Q$235</definedName>
    <definedName name="v_76_XP_B">Model!$AP$235</definedName>
    <definedName name="v_76_XP_U">Model!$AQ$235</definedName>
    <definedName name="v_76_XPHA">Model!$M$235</definedName>
    <definedName name="v_76_XPP">Model!$AN$235</definedName>
    <definedName name="v_76_XS">Model!$BD$235</definedName>
    <definedName name="v_76_XSOO">Model!$AA$235</definedName>
    <definedName name="v_76_XSTR">Model!$BW$235</definedName>
    <definedName name="v_76_XU">Model!$L$235</definedName>
    <definedName name="v_76_XVivi">Model!$BX$235</definedName>
    <definedName name="v_77_CB">Model!$H$236</definedName>
    <definedName name="v_77_CU">Model!$K$236</definedName>
    <definedName name="v_77_GCH4">Model!$CC$236</definedName>
    <definedName name="v_77_GCH4_atm">Model!$CL$236</definedName>
    <definedName name="v_77_GCO2">Model!$CB$236</definedName>
    <definedName name="v_77_GCO2_atm">Model!$CK$236</definedName>
    <definedName name="v_77_GH2">Model!$CD$236</definedName>
    <definedName name="v_77_GH2_atm">Model!$CM$236</definedName>
    <definedName name="v_77_GH2S">Model!$CJ$236</definedName>
    <definedName name="v_77_GH2S_atm">Model!$CS$236</definedName>
    <definedName name="v_77_GN2">Model!$CI$236</definedName>
    <definedName name="v_77_GN2_atm">Model!$CR$236</definedName>
    <definedName name="v_77_GN2O">Model!$CH$236</definedName>
    <definedName name="v_77_GN2O_atm">Model!$CQ$236</definedName>
    <definedName name="v_77_GNH3">Model!$CF$236</definedName>
    <definedName name="v_77_GNH3_atm">Model!$CO$236</definedName>
    <definedName name="v_77_GNO">Model!$CG$236</definedName>
    <definedName name="v_77_GNO_atm">Model!$CP$236</definedName>
    <definedName name="v_77_GO2">Model!$CE$236</definedName>
    <definedName name="v_77_GO2_atm">Model!$CN$236</definedName>
    <definedName name="v_77_H">Model!$BZ$236</definedName>
    <definedName name="v_77_SALPHA">Model!$CA$236</definedName>
    <definedName name="v_77_SAN">Model!$AX$236</definedName>
    <definedName name="v_77_SB">Model!$F$236</definedName>
    <definedName name="v_77_SCa">Model!$AY$236</definedName>
    <definedName name="v_77_SCAT">Model!$AW$236</definedName>
    <definedName name="v_77_SCH4">Model!$AS$236</definedName>
    <definedName name="v_77_SCO2">Model!$AU$236</definedName>
    <definedName name="v_77_SFe2">Model!$BE$236</definedName>
    <definedName name="v_77_SH2">Model!$AT$236</definedName>
    <definedName name="v_77_SH2S">Model!$BB$236</definedName>
    <definedName name="v_77_SK">Model!$BA$236</definedName>
    <definedName name="v_77_SMEOL">Model!$G$236</definedName>
    <definedName name="v_77_SMg">Model!$AZ$236</definedName>
    <definedName name="v_77_SMM_index">Model!$CT$236</definedName>
    <definedName name="v_77_SN_B">Model!$AJ$236</definedName>
    <definedName name="v_77_SN2">Model!$AI$236</definedName>
    <definedName name="v_77_SN2O">Model!$AH$236</definedName>
    <definedName name="v_77_SNH2OH">Model!$AC$236</definedName>
    <definedName name="v_77_SNHx">Model!$AB$236</definedName>
    <definedName name="v_77_SNO_AOB">Model!$AF$236</definedName>
    <definedName name="v_77_SNO_OHO">Model!$AG$236</definedName>
    <definedName name="v_77_SNO2">Model!$AE$236</definedName>
    <definedName name="v_77_SNO3">Model!$AD$236</definedName>
    <definedName name="v_77_SO2">Model!$AR$236</definedName>
    <definedName name="v_77_SP_B">Model!$AO$236</definedName>
    <definedName name="v_77_SPO4">Model!$AM$236</definedName>
    <definedName name="v_77_SSO4">Model!$BC$236</definedName>
    <definedName name="v_77_SU">Model!$J$236</definedName>
    <definedName name="v_77_SVFA">Model!$E$236</definedName>
    <definedName name="v_77_XACP">Model!$BU$236</definedName>
    <definedName name="v_77_XAMETO">Model!$W$236</definedName>
    <definedName name="v_77_XAMX">Model!$V$236</definedName>
    <definedName name="v_77_XAOB">Model!$T$236</definedName>
    <definedName name="v_77_XASRO">Model!$Y$236</definedName>
    <definedName name="v_77_XB">Model!$I$236</definedName>
    <definedName name="v_77_XBSH">Model!$BV$236</definedName>
    <definedName name="v_77_XCaCO3">Model!$BT$236</definedName>
    <definedName name="v_77_XCASTO">Model!$R$236</definedName>
    <definedName name="v_77_XE">Model!$O$236</definedName>
    <definedName name="v_77_XE_ana">Model!$P$236</definedName>
    <definedName name="v_77_XFeS">Model!$BY$236</definedName>
    <definedName name="v_77_XGLY">Model!$N$236</definedName>
    <definedName name="v_77_XHAO_H">Model!$BM$236</definedName>
    <definedName name="v_77_XHAO_H_P">Model!$BP$236</definedName>
    <definedName name="v_77_XHAO_H_P_old">Model!$BR$236</definedName>
    <definedName name="v_77_XHAO_L">Model!$BN$236</definedName>
    <definedName name="v_77_XHAO_L_P">Model!$BQ$236</definedName>
    <definedName name="v_77_XHAO_L_P_old">Model!$BS$236</definedName>
    <definedName name="v_77_XHAO_old">Model!$BO$236</definedName>
    <definedName name="v_77_XHFO_H">Model!$BF$236</definedName>
    <definedName name="v_77_XHFO_H_P">Model!$BI$236</definedName>
    <definedName name="v_77_XHFO_H_P_old">Model!$BK$236</definedName>
    <definedName name="v_77_XHFO_L">Model!$BG$236</definedName>
    <definedName name="v_77_XHFO_L_P">Model!$BJ$236</definedName>
    <definedName name="v_77_XHFO_L_P_old">Model!$BL$236</definedName>
    <definedName name="v_77_XHFO_old">Model!$BH$236</definedName>
    <definedName name="v_77_XHMETO">Model!$X$236</definedName>
    <definedName name="v_77_XHSRO">Model!$Z$236</definedName>
    <definedName name="v_77_XINORG">Model!$AV$236</definedName>
    <definedName name="v_77_XMEOLO">Model!$S$236</definedName>
    <definedName name="v_77_XMOB">Model!$CU$236</definedName>
    <definedName name="v_77_XN_B">Model!$AK$236</definedName>
    <definedName name="v_77_XN_U">Model!$AL$236</definedName>
    <definedName name="v_77_XNOB">Model!$U$236</definedName>
    <definedName name="v_77_XOHO">Model!$Q$236</definedName>
    <definedName name="v_77_XP_B">Model!$AP$236</definedName>
    <definedName name="v_77_XP_U">Model!$AQ$236</definedName>
    <definedName name="v_77_XPHA">Model!$M$236</definedName>
    <definedName name="v_77_XPP">Model!$AN$236</definedName>
    <definedName name="v_77_XS">Model!$BD$236</definedName>
    <definedName name="v_77_XSOO">Model!$AA$236</definedName>
    <definedName name="v_77_XSTR">Model!$BW$236</definedName>
    <definedName name="v_77_XU">Model!$L$236</definedName>
    <definedName name="v_77_XVivi">Model!$BX$236</definedName>
    <definedName name="v_78_CB">Model!$H$237</definedName>
    <definedName name="v_78_CU">Model!$K$237</definedName>
    <definedName name="v_78_GCH4">Model!$CC$237</definedName>
    <definedName name="v_78_GCH4_atm">Model!$CL$237</definedName>
    <definedName name="v_78_GCO2">Model!$CB$237</definedName>
    <definedName name="v_78_GCO2_atm">Model!$CK$237</definedName>
    <definedName name="v_78_GH2">Model!$CD$237</definedName>
    <definedName name="v_78_GH2_atm">Model!$CM$237</definedName>
    <definedName name="v_78_GH2S">Model!$CJ$237</definedName>
    <definedName name="v_78_GH2S_atm">Model!$CS$237</definedName>
    <definedName name="v_78_GN2">Model!$CI$237</definedName>
    <definedName name="v_78_GN2_atm">Model!$CR$237</definedName>
    <definedName name="v_78_GN2O">Model!$CH$237</definedName>
    <definedName name="v_78_GN2O_atm">Model!$CQ$237</definedName>
    <definedName name="v_78_GNH3">Model!$CF$237</definedName>
    <definedName name="v_78_GNH3_atm">Model!$CO$237</definedName>
    <definedName name="v_78_GNO">Model!$CG$237</definedName>
    <definedName name="v_78_GNO_atm">Model!$CP$237</definedName>
    <definedName name="v_78_GO2">Model!$CE$237</definedName>
    <definedName name="v_78_GO2_atm">Model!$CN$237</definedName>
    <definedName name="v_78_H">Model!$BZ$237</definedName>
    <definedName name="v_78_SALPHA">Model!$CA$237</definedName>
    <definedName name="v_78_SAN">Model!$AX$237</definedName>
    <definedName name="v_78_SB">Model!$F$237</definedName>
    <definedName name="v_78_SCa">Model!$AY$237</definedName>
    <definedName name="v_78_SCAT">Model!$AW$237</definedName>
    <definedName name="v_78_SCH4">Model!$AS$237</definedName>
    <definedName name="v_78_SCO2">Model!$AU$237</definedName>
    <definedName name="v_78_SFe2">Model!$BE$237</definedName>
    <definedName name="v_78_SH2">Model!$AT$237</definedName>
    <definedName name="v_78_SH2S">Model!$BB$237</definedName>
    <definedName name="v_78_SK">Model!$BA$237</definedName>
    <definedName name="v_78_SMEOL">Model!$G$237</definedName>
    <definedName name="v_78_SMg">Model!$AZ$237</definedName>
    <definedName name="v_78_SMM_index">Model!$CT$237</definedName>
    <definedName name="v_78_SN_B">Model!$AJ$237</definedName>
    <definedName name="v_78_SN2">Model!$AI$237</definedName>
    <definedName name="v_78_SN2O">Model!$AH$237</definedName>
    <definedName name="v_78_SNH2OH">Model!$AC$237</definedName>
    <definedName name="v_78_SNHx">Model!$AB$237</definedName>
    <definedName name="v_78_SNO_AOB">Model!$AF$237</definedName>
    <definedName name="v_78_SNO_OHO">Model!$AG$237</definedName>
    <definedName name="v_78_SNO2">Model!$AE$237</definedName>
    <definedName name="v_78_SNO3">Model!$AD$237</definedName>
    <definedName name="v_78_SO2">Model!$AR$237</definedName>
    <definedName name="v_78_SP_B">Model!$AO$237</definedName>
    <definedName name="v_78_SPO4">Model!$AM$237</definedName>
    <definedName name="v_78_SSO4">Model!$BC$237</definedName>
    <definedName name="v_78_SU">Model!$J$237</definedName>
    <definedName name="v_78_SVFA">Model!$E$237</definedName>
    <definedName name="v_78_XACP">Model!$BU$237</definedName>
    <definedName name="v_78_XAMETO">Model!$W$237</definedName>
    <definedName name="v_78_XAMX">Model!$V$237</definedName>
    <definedName name="v_78_XAOB">Model!$T$237</definedName>
    <definedName name="v_78_XASRO">Model!$Y$237</definedName>
    <definedName name="v_78_XB">Model!$I$237</definedName>
    <definedName name="v_78_XBSH">Model!$BV$237</definedName>
    <definedName name="v_78_XCaCO3">Model!$BT$237</definedName>
    <definedName name="v_78_XCASTO">Model!$R$237</definedName>
    <definedName name="v_78_XE">Model!$O$237</definedName>
    <definedName name="v_78_XE_ana">Model!$P$237</definedName>
    <definedName name="v_78_XFeS">Model!$BY$237</definedName>
    <definedName name="v_78_XGLY">Model!$N$237</definedName>
    <definedName name="v_78_XHAO_H">Model!$BM$237</definedName>
    <definedName name="v_78_XHAO_H_P">Model!$BP$237</definedName>
    <definedName name="v_78_XHAO_H_P_old">Model!$BR$237</definedName>
    <definedName name="v_78_XHAO_L">Model!$BN$237</definedName>
    <definedName name="v_78_XHAO_L_P">Model!$BQ$237</definedName>
    <definedName name="v_78_XHAO_L_P_old">Model!$BS$237</definedName>
    <definedName name="v_78_XHAO_old">Model!$BO$237</definedName>
    <definedName name="v_78_XHFO_H">Model!$BF$237</definedName>
    <definedName name="v_78_XHFO_H_P">Model!$BI$237</definedName>
    <definedName name="v_78_XHFO_H_P_old">Model!$BK$237</definedName>
    <definedName name="v_78_XHFO_L">Model!$BG$237</definedName>
    <definedName name="v_78_XHFO_L_P">Model!$BJ$237</definedName>
    <definedName name="v_78_XHFO_L_P_old">Model!$BL$237</definedName>
    <definedName name="v_78_XHFO_old">Model!$BH$237</definedName>
    <definedName name="v_78_XHMETO">Model!$X$237</definedName>
    <definedName name="v_78_XHSRO">Model!$Z$237</definedName>
    <definedName name="v_78_XINORG">Model!$AV$237</definedName>
    <definedName name="v_78_XMEOLO">Model!$S$237</definedName>
    <definedName name="v_78_XMOB">Model!$CU$237</definedName>
    <definedName name="v_78_XN_B">Model!$AK$237</definedName>
    <definedName name="v_78_XN_U">Model!$AL$237</definedName>
    <definedName name="v_78_XNOB">Model!$U$237</definedName>
    <definedName name="v_78_XOHO">Model!$Q$237</definedName>
    <definedName name="v_78_XP_B">Model!$AP$237</definedName>
    <definedName name="v_78_XP_U">Model!$AQ$237</definedName>
    <definedName name="v_78_XPHA">Model!$M$237</definedName>
    <definedName name="v_78_XPP">Model!$AN$237</definedName>
    <definedName name="v_78_XS">Model!$BD$237</definedName>
    <definedName name="v_78_XSOO">Model!$AA$237</definedName>
    <definedName name="v_78_XSTR">Model!$BW$237</definedName>
    <definedName name="v_78_XU">Model!$L$237</definedName>
    <definedName name="v_78_XVivi">Model!$BX$237</definedName>
    <definedName name="v_79_CB">Model!$H$238</definedName>
    <definedName name="v_79_CU">Model!$K$238</definedName>
    <definedName name="v_79_GCH4">Model!$CC$238</definedName>
    <definedName name="v_79_GCH4_atm">Model!$CL$238</definedName>
    <definedName name="v_79_GCO2">Model!$CB$238</definedName>
    <definedName name="v_79_GCO2_atm">Model!$CK$238</definedName>
    <definedName name="v_79_GH2">Model!$CD$238</definedName>
    <definedName name="v_79_GH2_atm">Model!$CM$238</definedName>
    <definedName name="v_79_GH2S">Model!$CJ$238</definedName>
    <definedName name="v_79_GH2S_atm">Model!$CS$238</definedName>
    <definedName name="v_79_GN2">Model!$CI$238</definedName>
    <definedName name="v_79_GN2_atm">Model!$CR$238</definedName>
    <definedName name="v_79_GN2O">Model!$CH$238</definedName>
    <definedName name="v_79_GN2O_atm">Model!$CQ$238</definedName>
    <definedName name="v_79_GNH3">Model!$CF$238</definedName>
    <definedName name="v_79_GNH3_atm">Model!$CO$238</definedName>
    <definedName name="v_79_GNO">Model!$CG$238</definedName>
    <definedName name="v_79_GNO_atm">Model!$CP$238</definedName>
    <definedName name="v_79_GO2">Model!$CE$238</definedName>
    <definedName name="v_79_GO2_atm">Model!$CN$238</definedName>
    <definedName name="v_79_H">Model!$BZ$238</definedName>
    <definedName name="v_79_SALPHA">Model!$CA$238</definedName>
    <definedName name="v_79_SAN">Model!$AX$238</definedName>
    <definedName name="v_79_SB">Model!$F$238</definedName>
    <definedName name="v_79_SCa">Model!$AY$238</definedName>
    <definedName name="v_79_SCAT">Model!$AW$238</definedName>
    <definedName name="v_79_SCH4">Model!$AS$238</definedName>
    <definedName name="v_79_SCO2">Model!$AU$238</definedName>
    <definedName name="v_79_SFe2">Model!$BE$238</definedName>
    <definedName name="v_79_SH2">Model!$AT$238</definedName>
    <definedName name="v_79_SH2S">Model!$BB$238</definedName>
    <definedName name="v_79_SK">Model!$BA$238</definedName>
    <definedName name="v_79_SMEOL">Model!$G$238</definedName>
    <definedName name="v_79_SMg">Model!$AZ$238</definedName>
    <definedName name="v_79_SMM_index">Model!$CT$238</definedName>
    <definedName name="v_79_SN_B">Model!$AJ$238</definedName>
    <definedName name="v_79_SN2">Model!$AI$238</definedName>
    <definedName name="v_79_SN2O">Model!$AH$238</definedName>
    <definedName name="v_79_SNH2OH">Model!$AC$238</definedName>
    <definedName name="v_79_SNHx">Model!$AB$238</definedName>
    <definedName name="v_79_SNO_AOB">Model!$AF$238</definedName>
    <definedName name="v_79_SNO_OHO">Model!$AG$238</definedName>
    <definedName name="v_79_SNO2">Model!$AE$238</definedName>
    <definedName name="v_79_SNO3">Model!$AD$238</definedName>
    <definedName name="v_79_SO2">Model!$AR$238</definedName>
    <definedName name="v_79_SP_B">Model!$AO$238</definedName>
    <definedName name="v_79_SPO4">Model!$AM$238</definedName>
    <definedName name="v_79_SSO4">Model!$BC$238</definedName>
    <definedName name="v_79_SU">Model!$J$238</definedName>
    <definedName name="v_79_SVFA">Model!$E$238</definedName>
    <definedName name="v_79_XACP">Model!$BU$238</definedName>
    <definedName name="v_79_XAMETO">Model!$W$238</definedName>
    <definedName name="v_79_XAMX">Model!$V$238</definedName>
    <definedName name="v_79_XAOB">Model!$T$238</definedName>
    <definedName name="v_79_XASRO">Model!$Y$238</definedName>
    <definedName name="v_79_XB">Model!$I$238</definedName>
    <definedName name="v_79_XBSH">Model!$BV$238</definedName>
    <definedName name="v_79_XCaCO3">Model!$BT$238</definedName>
    <definedName name="v_79_XCASTO">Model!$R$238</definedName>
    <definedName name="v_79_XE">Model!$O$238</definedName>
    <definedName name="v_79_XE_ana">Model!$P$238</definedName>
    <definedName name="v_79_XFeS">Model!$BY$238</definedName>
    <definedName name="v_79_XGLY">Model!$N$238</definedName>
    <definedName name="v_79_XHAO_H">Model!$BM$238</definedName>
    <definedName name="v_79_XHAO_H_P">Model!$BP$238</definedName>
    <definedName name="v_79_XHAO_H_P_old">Model!$BR$238</definedName>
    <definedName name="v_79_XHAO_L">Model!$BN$238</definedName>
    <definedName name="v_79_XHAO_L_P">Model!$BQ$238</definedName>
    <definedName name="v_79_XHAO_L_P_old">Model!$BS$238</definedName>
    <definedName name="v_79_XHAO_old">Model!$BO$238</definedName>
    <definedName name="v_79_XHFO_H">Model!$BF$238</definedName>
    <definedName name="v_79_XHFO_H_P">Model!$BI$238</definedName>
    <definedName name="v_79_XHFO_H_P_old">Model!$BK$238</definedName>
    <definedName name="v_79_XHFO_L">Model!$BG$238</definedName>
    <definedName name="v_79_XHFO_L_P">Model!$BJ$238</definedName>
    <definedName name="v_79_XHFO_L_P_old">Model!$BL$238</definedName>
    <definedName name="v_79_XHFO_old">Model!$BH$238</definedName>
    <definedName name="v_79_XHMETO">Model!$X$238</definedName>
    <definedName name="v_79_XHSRO">Model!$Z$238</definedName>
    <definedName name="v_79_XINORG">Model!$AV$238</definedName>
    <definedName name="v_79_XMEOLO">Model!$S$238</definedName>
    <definedName name="v_79_XMOB">Model!$CU$238</definedName>
    <definedName name="v_79_XN_B">Model!$AK$238</definedName>
    <definedName name="v_79_XN_U">Model!$AL$238</definedName>
    <definedName name="v_79_XNOB">Model!$U$238</definedName>
    <definedName name="v_79_XOHO">Model!$Q$238</definedName>
    <definedName name="v_79_XP_B">Model!$AP$238</definedName>
    <definedName name="v_79_XP_U">Model!$AQ$238</definedName>
    <definedName name="v_79_XPHA">Model!$M$238</definedName>
    <definedName name="v_79_XPP">Model!$AN$238</definedName>
    <definedName name="v_79_XS">Model!$BD$238</definedName>
    <definedName name="v_79_XSOO">Model!$AA$238</definedName>
    <definedName name="v_79_XSTR">Model!$BW$238</definedName>
    <definedName name="v_79_XU">Model!$L$238</definedName>
    <definedName name="v_79_XVivi">Model!$BX$238</definedName>
    <definedName name="v_8_CB">Model!$H$167</definedName>
    <definedName name="v_8_CU">Model!$K$167</definedName>
    <definedName name="v_8_GCH4">Model!$CC$167</definedName>
    <definedName name="v_8_GCH4_atm">Model!$CL$167</definedName>
    <definedName name="v_8_GCO2">Model!$CB$167</definedName>
    <definedName name="v_8_GCO2_atm">Model!$CK$167</definedName>
    <definedName name="v_8_GH2">Model!$CD$167</definedName>
    <definedName name="v_8_GH2_atm">Model!$CM$167</definedName>
    <definedName name="v_8_GH2S">Model!$CJ$167</definedName>
    <definedName name="v_8_GH2S_atm">Model!$CS$167</definedName>
    <definedName name="v_8_GN2">Model!$CI$167</definedName>
    <definedName name="v_8_GN2_atm">Model!$CR$167</definedName>
    <definedName name="v_8_GN2O">Model!$CH$167</definedName>
    <definedName name="v_8_GN2O_atm">Model!$CQ$167</definedName>
    <definedName name="v_8_GNH3">Model!$CF$167</definedName>
    <definedName name="v_8_GNH3_atm">Model!$CO$167</definedName>
    <definedName name="v_8_GNO">Model!$CG$167</definedName>
    <definedName name="v_8_GNO_atm">Model!$CP$167</definedName>
    <definedName name="v_8_GO2">Model!$CE$167</definedName>
    <definedName name="v_8_GO2_atm">Model!$CN$167</definedName>
    <definedName name="v_8_H">Model!$BZ$167</definedName>
    <definedName name="v_8_SALPHA">Model!$CA$167</definedName>
    <definedName name="v_8_SAN">Model!$AX$167</definedName>
    <definedName name="v_8_SB">Model!$F$167</definedName>
    <definedName name="v_8_SCa">Model!$AY$167</definedName>
    <definedName name="v_8_SCAT">Model!$AW$167</definedName>
    <definedName name="v_8_SCH4">Model!$AS$167</definedName>
    <definedName name="v_8_SCO2">Model!$AU$167</definedName>
    <definedName name="v_8_SFe2">Model!$BE$167</definedName>
    <definedName name="v_8_SH2">Model!$AT$167</definedName>
    <definedName name="v_8_SH2S">Model!$BB$167</definedName>
    <definedName name="v_8_SK">Model!$BA$167</definedName>
    <definedName name="v_8_SMEOL">Model!$G$167</definedName>
    <definedName name="v_8_SMg">Model!$AZ$167</definedName>
    <definedName name="v_8_SMM_index">Model!$CT$167</definedName>
    <definedName name="v_8_SN_B">Model!$AJ$167</definedName>
    <definedName name="v_8_SN2">Model!$AI$167</definedName>
    <definedName name="v_8_SN2O">Model!$AH$167</definedName>
    <definedName name="v_8_SNH2OH">Model!$AC$167</definedName>
    <definedName name="v_8_SNHx">Model!$AB$167</definedName>
    <definedName name="v_8_SNO_AOB">Model!$AF$167</definedName>
    <definedName name="v_8_SNO_OHO">Model!$AG$167</definedName>
    <definedName name="v_8_SNO2">Model!$AE$167</definedName>
    <definedName name="v_8_SNO3">Model!$AD$167</definedName>
    <definedName name="v_8_SO2">Model!$AR$167</definedName>
    <definedName name="v_8_SP_B">Model!$AO$167</definedName>
    <definedName name="v_8_SPO4">Model!$AM$167</definedName>
    <definedName name="v_8_SSO4">Model!$BC$167</definedName>
    <definedName name="v_8_SU">Model!$J$167</definedName>
    <definedName name="v_8_SVFA">Model!$E$167</definedName>
    <definedName name="v_8_XACP">Model!$BU$167</definedName>
    <definedName name="v_8_XAMETO">Model!$W$167</definedName>
    <definedName name="v_8_XAMX">Model!$V$167</definedName>
    <definedName name="v_8_XAOB">Model!$T$167</definedName>
    <definedName name="v_8_XASRO">Model!$Y$167</definedName>
    <definedName name="v_8_XB">Model!$I$167</definedName>
    <definedName name="v_8_XBSH">Model!$BV$167</definedName>
    <definedName name="v_8_XCaCO3">Model!$BT$167</definedName>
    <definedName name="v_8_XCASTO">Model!$R$167</definedName>
    <definedName name="v_8_XE">Model!$O$167</definedName>
    <definedName name="v_8_XE_ana">Model!$P$167</definedName>
    <definedName name="v_8_XFeS">Model!$BY$167</definedName>
    <definedName name="v_8_XGLY">Model!$N$167</definedName>
    <definedName name="v_8_XHAO_H">Model!$BM$167</definedName>
    <definedName name="v_8_XHAO_H_P">Model!$BP$167</definedName>
    <definedName name="v_8_XHAO_H_P_old">Model!$BR$167</definedName>
    <definedName name="v_8_XHAO_L">Model!$BN$167</definedName>
    <definedName name="v_8_XHAO_L_P">Model!$BQ$167</definedName>
    <definedName name="v_8_XHAO_L_P_old">Model!$BS$167</definedName>
    <definedName name="v_8_XHAO_old">Model!$BO$167</definedName>
    <definedName name="v_8_XHFO_H">Model!$BF$167</definedName>
    <definedName name="v_8_XHFO_H_P">Model!$BI$167</definedName>
    <definedName name="v_8_XHFO_H_P_old">Model!$BK$167</definedName>
    <definedName name="v_8_XHFO_L">Model!$BG$167</definedName>
    <definedName name="v_8_XHFO_L_P">Model!$BJ$167</definedName>
    <definedName name="v_8_XHFO_L_P_old">Model!$BL$167</definedName>
    <definedName name="v_8_XHFO_old">Model!$BH$167</definedName>
    <definedName name="v_8_XHMETO">Model!$X$167</definedName>
    <definedName name="v_8_XHSRO">Model!$Z$167</definedName>
    <definedName name="v_8_XINORG">Model!$AV$167</definedName>
    <definedName name="v_8_XMEOLO">Model!$S$167</definedName>
    <definedName name="v_8_XMOB">Model!$CU$167</definedName>
    <definedName name="v_8_XN_B">Model!$AK$167</definedName>
    <definedName name="v_8_XN_U">Model!$AL$167</definedName>
    <definedName name="v_8_XNOB">Model!$U$167</definedName>
    <definedName name="v_8_XOHO">Model!$Q$167</definedName>
    <definedName name="v_8_XP_B">Model!$AP$167</definedName>
    <definedName name="v_8_XP_U">Model!$AQ$167</definedName>
    <definedName name="v_8_XPHA">Model!$M$167</definedName>
    <definedName name="v_8_XPP">Model!$AN$167</definedName>
    <definedName name="v_8_XS">Model!$BD$167</definedName>
    <definedName name="v_8_XSOO">Model!$AA$167</definedName>
    <definedName name="v_8_XSTR">Model!$BW$167</definedName>
    <definedName name="v_8_XU">Model!$L$167</definedName>
    <definedName name="v_8_XVivi">Model!$BX$167</definedName>
    <definedName name="v_80_CB">Model!$H$239</definedName>
    <definedName name="v_80_CU">Model!$K$239</definedName>
    <definedName name="v_80_GCH4">Model!$CC$239</definedName>
    <definedName name="v_80_GCH4_atm">Model!$CL$239</definedName>
    <definedName name="v_80_GCO2">Model!$CB$239</definedName>
    <definedName name="v_80_GCO2_atm">Model!$CK$239</definedName>
    <definedName name="v_80_GH2">Model!$CD$239</definedName>
    <definedName name="v_80_GH2_atm">Model!$CM$239</definedName>
    <definedName name="v_80_GH2S">Model!$CJ$239</definedName>
    <definedName name="v_80_GH2S_atm">Model!$CS$239</definedName>
    <definedName name="v_80_GN2">Model!$CI$239</definedName>
    <definedName name="v_80_GN2_atm">Model!$CR$239</definedName>
    <definedName name="v_80_GN2O">Model!$CH$239</definedName>
    <definedName name="v_80_GN2O_atm">Model!$CQ$239</definedName>
    <definedName name="v_80_GNH3">Model!$CF$239</definedName>
    <definedName name="v_80_GNH3_atm">Model!$CO$239</definedName>
    <definedName name="v_80_GNO">Model!$CG$239</definedName>
    <definedName name="v_80_GNO_atm">Model!$CP$239</definedName>
    <definedName name="v_80_GO2">Model!$CE$239</definedName>
    <definedName name="v_80_GO2_atm">Model!$CN$239</definedName>
    <definedName name="v_80_H">Model!$BZ$239</definedName>
    <definedName name="v_80_SALPHA">Model!$CA$239</definedName>
    <definedName name="v_80_SAN">Model!$AX$239</definedName>
    <definedName name="v_80_SB">Model!$F$239</definedName>
    <definedName name="v_80_SCa">Model!$AY$239</definedName>
    <definedName name="v_80_SCAT">Model!$AW$239</definedName>
    <definedName name="v_80_SCH4">Model!$AS$239</definedName>
    <definedName name="v_80_SCO2">Model!$AU$239</definedName>
    <definedName name="v_80_SFe2">Model!$BE$239</definedName>
    <definedName name="v_80_SH2">Model!$AT$239</definedName>
    <definedName name="v_80_SH2S">Model!$BB$239</definedName>
    <definedName name="v_80_SK">Model!$BA$239</definedName>
    <definedName name="v_80_SMEOL">Model!$G$239</definedName>
    <definedName name="v_80_SMg">Model!$AZ$239</definedName>
    <definedName name="v_80_SMM_index">Model!$CT$239</definedName>
    <definedName name="v_80_SN_B">Model!$AJ$239</definedName>
    <definedName name="v_80_SN2">Model!$AI$239</definedName>
    <definedName name="v_80_SN2O">Model!$AH$239</definedName>
    <definedName name="v_80_SNH2OH">Model!$AC$239</definedName>
    <definedName name="v_80_SNHx">Model!$AB$239</definedName>
    <definedName name="v_80_SNO_AOB">Model!$AF$239</definedName>
    <definedName name="v_80_SNO_OHO">Model!$AG$239</definedName>
    <definedName name="v_80_SNO2">Model!$AE$239</definedName>
    <definedName name="v_80_SNO3">Model!$AD$239</definedName>
    <definedName name="v_80_SO2">Model!$AR$239</definedName>
    <definedName name="v_80_SP_B">Model!$AO$239</definedName>
    <definedName name="v_80_SPO4">Model!$AM$239</definedName>
    <definedName name="v_80_SSO4">Model!$BC$239</definedName>
    <definedName name="v_80_SU">Model!$J$239</definedName>
    <definedName name="v_80_SVFA">Model!$E$239</definedName>
    <definedName name="v_80_XACP">Model!$BU$239</definedName>
    <definedName name="v_80_XAMETO">Model!$W$239</definedName>
    <definedName name="v_80_XAMX">Model!$V$239</definedName>
    <definedName name="v_80_XAOB">Model!$T$239</definedName>
    <definedName name="v_80_XASRO">Model!$Y$239</definedName>
    <definedName name="v_80_XB">Model!$I$239</definedName>
    <definedName name="v_80_XBSH">Model!$BV$239</definedName>
    <definedName name="v_80_XCaCO3">Model!$BT$239</definedName>
    <definedName name="v_80_XCASTO">Model!$R$239</definedName>
    <definedName name="v_80_XE">Model!$O$239</definedName>
    <definedName name="v_80_XE_ana">Model!$P$239</definedName>
    <definedName name="v_80_XFeS">Model!$BY$239</definedName>
    <definedName name="v_80_XGLY">Model!$N$239</definedName>
    <definedName name="v_80_XHAO_H">Model!$BM$239</definedName>
    <definedName name="v_80_XHAO_H_P">Model!$BP$239</definedName>
    <definedName name="v_80_XHAO_H_P_old">Model!$BR$239</definedName>
    <definedName name="v_80_XHAO_L">Model!$BN$239</definedName>
    <definedName name="v_80_XHAO_L_P">Model!$BQ$239</definedName>
    <definedName name="v_80_XHAO_L_P_old">Model!$BS$239</definedName>
    <definedName name="v_80_XHAO_old">Model!$BO$239</definedName>
    <definedName name="v_80_XHFO_H">Model!$BF$239</definedName>
    <definedName name="v_80_XHFO_H_P">Model!$BI$239</definedName>
    <definedName name="v_80_XHFO_H_P_old">Model!$BK$239</definedName>
    <definedName name="v_80_XHFO_L">Model!$BG$239</definedName>
    <definedName name="v_80_XHFO_L_P">Model!$BJ$239</definedName>
    <definedName name="v_80_XHFO_L_P_old">Model!$BL$239</definedName>
    <definedName name="v_80_XHFO_old">Model!$BH$239</definedName>
    <definedName name="v_80_XHMETO">Model!$X$239</definedName>
    <definedName name="v_80_XHSRO">Model!$Z$239</definedName>
    <definedName name="v_80_XINORG">Model!$AV$239</definedName>
    <definedName name="v_80_XMEOLO">Model!$S$239</definedName>
    <definedName name="v_80_XMOB">Model!$CU$239</definedName>
    <definedName name="v_80_XN_B">Model!$AK$239</definedName>
    <definedName name="v_80_XN_U">Model!$AL$239</definedName>
    <definedName name="v_80_XNOB">Model!$U$239</definedName>
    <definedName name="v_80_XOHO">Model!$Q$239</definedName>
    <definedName name="v_80_XP_B">Model!$AP$239</definedName>
    <definedName name="v_80_XP_U">Model!$AQ$239</definedName>
    <definedName name="v_80_XPHA">Model!$M$239</definedName>
    <definedName name="v_80_XPP">Model!$AN$239</definedName>
    <definedName name="v_80_XS">Model!$BD$239</definedName>
    <definedName name="v_80_XSOO">Model!$AA$239</definedName>
    <definedName name="v_80_XSTR">Model!$BW$239</definedName>
    <definedName name="v_80_XU">Model!$L$239</definedName>
    <definedName name="v_80_XVivi">Model!$BX$239</definedName>
    <definedName name="v_81_CB">Model!$H$240</definedName>
    <definedName name="v_81_CU">Model!$K$240</definedName>
    <definedName name="v_81_GCH4">Model!$CC$240</definedName>
    <definedName name="v_81_GCH4_atm">Model!$CL$240</definedName>
    <definedName name="v_81_GCO2">Model!$CB$240</definedName>
    <definedName name="v_81_GCO2_atm">Model!$CK$240</definedName>
    <definedName name="v_81_GH2">Model!$CD$240</definedName>
    <definedName name="v_81_GH2_atm">Model!$CM$240</definedName>
    <definedName name="v_81_GH2S">Model!$CJ$240</definedName>
    <definedName name="v_81_GH2S_atm">Model!$CS$240</definedName>
    <definedName name="v_81_GN2">Model!$CI$240</definedName>
    <definedName name="v_81_GN2_atm">Model!$CR$240</definedName>
    <definedName name="v_81_GN2O">Model!$CH$240</definedName>
    <definedName name="v_81_GN2O_atm">Model!$CQ$240</definedName>
    <definedName name="v_81_GNH3">Model!$CF$240</definedName>
    <definedName name="v_81_GNH3_atm">Model!$CO$240</definedName>
    <definedName name="v_81_GNO">Model!$CG$240</definedName>
    <definedName name="v_81_GNO_atm">Model!$CP$240</definedName>
    <definedName name="v_81_GO2">Model!$CE$240</definedName>
    <definedName name="v_81_GO2_atm">Model!$CN$240</definedName>
    <definedName name="v_81_H">Model!$BZ$240</definedName>
    <definedName name="v_81_SALPHA">Model!$CA$240</definedName>
    <definedName name="v_81_SAN">Model!$AX$240</definedName>
    <definedName name="v_81_SB">Model!$F$240</definedName>
    <definedName name="v_81_SCa">Model!$AY$240</definedName>
    <definedName name="v_81_SCAT">Model!$AW$240</definedName>
    <definedName name="v_81_SCH4">Model!$AS$240</definedName>
    <definedName name="v_81_SCO2">Model!$AU$240</definedName>
    <definedName name="v_81_SFe2">Model!$BE$240</definedName>
    <definedName name="v_81_SH2">Model!$AT$240</definedName>
    <definedName name="v_81_SH2S">Model!$BB$240</definedName>
    <definedName name="v_81_SK">Model!$BA$240</definedName>
    <definedName name="v_81_SMEOL">Model!$G$240</definedName>
    <definedName name="v_81_SMg">Model!$AZ$240</definedName>
    <definedName name="v_81_SMM_index">Model!$CT$240</definedName>
    <definedName name="v_81_SN_B">Model!$AJ$240</definedName>
    <definedName name="v_81_SN2">Model!$AI$240</definedName>
    <definedName name="v_81_SN2O">Model!$AH$240</definedName>
    <definedName name="v_81_SNH2OH">Model!$AC$240</definedName>
    <definedName name="v_81_SNHx">Model!$AB$240</definedName>
    <definedName name="v_81_SNO_AOB">Model!$AF$240</definedName>
    <definedName name="v_81_SNO_OHO">Model!$AG$240</definedName>
    <definedName name="v_81_SNO2">Model!$AE$240</definedName>
    <definedName name="v_81_SNO3">Model!$AD$240</definedName>
    <definedName name="v_81_SO2">Model!$AR$240</definedName>
    <definedName name="v_81_SP_B">Model!$AO$240</definedName>
    <definedName name="v_81_SPO4">Model!$AM$240</definedName>
    <definedName name="v_81_SSO4">Model!$BC$240</definedName>
    <definedName name="v_81_SU">Model!$J$240</definedName>
    <definedName name="v_81_SVFA">Model!$E$240</definedName>
    <definedName name="v_81_XACP">Model!$BU$240</definedName>
    <definedName name="v_81_XAMETO">Model!$W$240</definedName>
    <definedName name="v_81_XAMX">Model!$V$240</definedName>
    <definedName name="v_81_XAOB">Model!$T$240</definedName>
    <definedName name="v_81_XASRO">Model!$Y$240</definedName>
    <definedName name="v_81_XB">Model!$I$240</definedName>
    <definedName name="v_81_XBSH">Model!$BV$240</definedName>
    <definedName name="v_81_XCaCO3">Model!$BT$240</definedName>
    <definedName name="v_81_XCASTO">Model!$R$240</definedName>
    <definedName name="v_81_XE">Model!$O$240</definedName>
    <definedName name="v_81_XE_ana">Model!$P$240</definedName>
    <definedName name="v_81_XFeS">Model!$BY$240</definedName>
    <definedName name="v_81_XGLY">Model!$N$240</definedName>
    <definedName name="v_81_XHAO_H">Model!$BM$240</definedName>
    <definedName name="v_81_XHAO_H_P">Model!$BP$240</definedName>
    <definedName name="v_81_XHAO_H_P_old">Model!$BR$240</definedName>
    <definedName name="v_81_XHAO_L">Model!$BN$240</definedName>
    <definedName name="v_81_XHAO_L_P">Model!$BQ$240</definedName>
    <definedName name="v_81_XHAO_L_P_old">Model!$BS$240</definedName>
    <definedName name="v_81_XHAO_old">Model!$BO$240</definedName>
    <definedName name="v_81_XHFO_H">Model!$BF$240</definedName>
    <definedName name="v_81_XHFO_H_P">Model!$BI$240</definedName>
    <definedName name="v_81_XHFO_H_P_old">Model!$BK$240</definedName>
    <definedName name="v_81_XHFO_L">Model!$BG$240</definedName>
    <definedName name="v_81_XHFO_L_P">Model!$BJ$240</definedName>
    <definedName name="v_81_XHFO_L_P_old">Model!$BL$240</definedName>
    <definedName name="v_81_XHFO_old">Model!$BH$240</definedName>
    <definedName name="v_81_XHMETO">Model!$X$240</definedName>
    <definedName name="v_81_XHSRO">Model!$Z$240</definedName>
    <definedName name="v_81_XINORG">Model!$AV$240</definedName>
    <definedName name="v_81_XMEOLO">Model!$S$240</definedName>
    <definedName name="v_81_XMOB">Model!$CU$240</definedName>
    <definedName name="v_81_XN_B">Model!$AK$240</definedName>
    <definedName name="v_81_XN_U">Model!$AL$240</definedName>
    <definedName name="v_81_XNOB">Model!$U$240</definedName>
    <definedName name="v_81_XOHO">Model!$Q$240</definedName>
    <definedName name="v_81_XP_B">Model!$AP$240</definedName>
    <definedName name="v_81_XP_U">Model!$AQ$240</definedName>
    <definedName name="v_81_XPHA">Model!$M$240</definedName>
    <definedName name="v_81_XPP">Model!$AN$240</definedName>
    <definedName name="v_81_XS">Model!$BD$240</definedName>
    <definedName name="v_81_XSOO">Model!$AA$240</definedName>
    <definedName name="v_81_XSTR">Model!$BW$240</definedName>
    <definedName name="v_81_XU">Model!$L$240</definedName>
    <definedName name="v_81_XVivi">Model!$BX$240</definedName>
    <definedName name="v_82_CB">Model!$H$241</definedName>
    <definedName name="v_82_CU">Model!$K$241</definedName>
    <definedName name="v_82_GCH4">Model!$CC$241</definedName>
    <definedName name="v_82_GCH4_atm">Model!$CL$241</definedName>
    <definedName name="v_82_GCO2">Model!$CB$241</definedName>
    <definedName name="v_82_GCO2_atm">Model!$CK$241</definedName>
    <definedName name="v_82_GH2">Model!$CD$241</definedName>
    <definedName name="v_82_GH2_atm">Model!$CM$241</definedName>
    <definedName name="v_82_GH2S">Model!$CJ$241</definedName>
    <definedName name="v_82_GH2S_atm">Model!$CS$241</definedName>
    <definedName name="v_82_GN2">Model!$CI$241</definedName>
    <definedName name="v_82_GN2_atm">Model!$CR$241</definedName>
    <definedName name="v_82_GN2O">Model!$CH$241</definedName>
    <definedName name="v_82_GN2O_atm">Model!$CQ$241</definedName>
    <definedName name="v_82_GNH3">Model!$CF$241</definedName>
    <definedName name="v_82_GNH3_atm">Model!$CO$241</definedName>
    <definedName name="v_82_GNO">Model!$CG$241</definedName>
    <definedName name="v_82_GNO_atm">Model!$CP$241</definedName>
    <definedName name="v_82_GO2">Model!$CE$241</definedName>
    <definedName name="v_82_GO2_atm">Model!$CN$241</definedName>
    <definedName name="v_82_H">Model!$BZ$241</definedName>
    <definedName name="v_82_SALPHA">Model!$CA$241</definedName>
    <definedName name="v_82_SAN">Model!$AX$241</definedName>
    <definedName name="v_82_SB">Model!$F$241</definedName>
    <definedName name="v_82_SCa">Model!$AY$241</definedName>
    <definedName name="v_82_SCAT">Model!$AW$241</definedName>
    <definedName name="v_82_SCH4">Model!$AS$241</definedName>
    <definedName name="v_82_SCO2">Model!$AU$241</definedName>
    <definedName name="v_82_SFe2">Model!$BE$241</definedName>
    <definedName name="v_82_SH2">Model!$AT$241</definedName>
    <definedName name="v_82_SH2S">Model!$BB$241</definedName>
    <definedName name="v_82_SK">Model!$BA$241</definedName>
    <definedName name="v_82_SMEOL">Model!$G$241</definedName>
    <definedName name="v_82_SMg">Model!$AZ$241</definedName>
    <definedName name="v_82_SMM_index">Model!$CT$241</definedName>
    <definedName name="v_82_SN_B">Model!$AJ$241</definedName>
    <definedName name="v_82_SN2">Model!$AI$241</definedName>
    <definedName name="v_82_SN2O">Model!$AH$241</definedName>
    <definedName name="v_82_SNH2OH">Model!$AC$241</definedName>
    <definedName name="v_82_SNHx">Model!$AB$241</definedName>
    <definedName name="v_82_SNO_AOB">Model!$AF$241</definedName>
    <definedName name="v_82_SNO_OHO">Model!$AG$241</definedName>
    <definedName name="v_82_SNO2">Model!$AE$241</definedName>
    <definedName name="v_82_SNO3">Model!$AD$241</definedName>
    <definedName name="v_82_SO2">Model!$AR$241</definedName>
    <definedName name="v_82_SP_B">Model!$AO$241</definedName>
    <definedName name="v_82_SPO4">Model!$AM$241</definedName>
    <definedName name="v_82_SSO4">Model!$BC$241</definedName>
    <definedName name="v_82_SU">Model!$J$241</definedName>
    <definedName name="v_82_SVFA">Model!$E$241</definedName>
    <definedName name="v_82_XACP">Model!$BU$241</definedName>
    <definedName name="v_82_XAMETO">Model!$W$241</definedName>
    <definedName name="v_82_XAMX">Model!$V$241</definedName>
    <definedName name="v_82_XAOB">Model!$T$241</definedName>
    <definedName name="v_82_XASRO">Model!$Y$241</definedName>
    <definedName name="v_82_XB">Model!$I$241</definedName>
    <definedName name="v_82_XBSH">Model!$BV$241</definedName>
    <definedName name="v_82_XCaCO3">Model!$BT$241</definedName>
    <definedName name="v_82_XCASTO">Model!$R$241</definedName>
    <definedName name="v_82_XE">Model!$O$241</definedName>
    <definedName name="v_82_XE_ana">Model!$P$241</definedName>
    <definedName name="v_82_XFeS">Model!$BY$241</definedName>
    <definedName name="v_82_XGLY">Model!$N$241</definedName>
    <definedName name="v_82_XHAO_H">Model!$BM$241</definedName>
    <definedName name="v_82_XHAO_H_P">Model!$BP$241</definedName>
    <definedName name="v_82_XHAO_H_P_old">Model!$BR$241</definedName>
    <definedName name="v_82_XHAO_L">Model!$BN$241</definedName>
    <definedName name="v_82_XHAO_L_P">Model!$BQ$241</definedName>
    <definedName name="v_82_XHAO_L_P_old">Model!$BS$241</definedName>
    <definedName name="v_82_XHAO_old">Model!$BO$241</definedName>
    <definedName name="v_82_XHFO_H">Model!$BF$241</definedName>
    <definedName name="v_82_XHFO_H_P">Model!$BI$241</definedName>
    <definedName name="v_82_XHFO_H_P_old">Model!$BK$241</definedName>
    <definedName name="v_82_XHFO_L">Model!$BG$241</definedName>
    <definedName name="v_82_XHFO_L_P">Model!$BJ$241</definedName>
    <definedName name="v_82_XHFO_L_P_old">Model!$BL$241</definedName>
    <definedName name="v_82_XHFO_old">Model!$BH$241</definedName>
    <definedName name="v_82_XHMETO">Model!$X$241</definedName>
    <definedName name="v_82_XHSRO">Model!$Z$241</definedName>
    <definedName name="v_82_XINORG">Model!$AV$241</definedName>
    <definedName name="v_82_XMEOLO">Model!$S$241</definedName>
    <definedName name="v_82_XMOB">Model!$CU$241</definedName>
    <definedName name="v_82_XN_B">Model!$AK$241</definedName>
    <definedName name="v_82_XN_U">Model!$AL$241</definedName>
    <definedName name="v_82_XNOB">Model!$U$241</definedName>
    <definedName name="v_82_XOHO">Model!$Q$241</definedName>
    <definedName name="v_82_XP_B">Model!$AP$241</definedName>
    <definedName name="v_82_XP_U">Model!$AQ$241</definedName>
    <definedName name="v_82_XPHA">Model!$M$241</definedName>
    <definedName name="v_82_XPP">Model!$AN$241</definedName>
    <definedName name="v_82_XS">Model!$BD$241</definedName>
    <definedName name="v_82_XSOO">Model!$AA$241</definedName>
    <definedName name="v_82_XSTR">Model!$BW$241</definedName>
    <definedName name="v_82_XU">Model!$L$241</definedName>
    <definedName name="v_82_XVivi">Model!$BX$241</definedName>
    <definedName name="v_83_CB">Model!$H$242</definedName>
    <definedName name="v_83_CU">Model!$K$242</definedName>
    <definedName name="v_83_GCH4">Model!$CC$242</definedName>
    <definedName name="v_83_GCH4_atm">Model!$CL$242</definedName>
    <definedName name="v_83_GCO2">Model!$CB$242</definedName>
    <definedName name="v_83_GCO2_atm">Model!$CK$242</definedName>
    <definedName name="v_83_GH2">Model!$CD$242</definedName>
    <definedName name="v_83_GH2_atm">Model!$CM$242</definedName>
    <definedName name="v_83_GH2S">Model!$CJ$242</definedName>
    <definedName name="v_83_GH2S_atm">Model!$CS$242</definedName>
    <definedName name="v_83_GN2">Model!$CI$242</definedName>
    <definedName name="v_83_GN2_atm">Model!$CR$242</definedName>
    <definedName name="v_83_GN2O">Model!$CH$242</definedName>
    <definedName name="v_83_GN2O_atm">Model!$CQ$242</definedName>
    <definedName name="v_83_GNH3">Model!$CF$242</definedName>
    <definedName name="v_83_GNH3_atm">Model!$CO$242</definedName>
    <definedName name="v_83_GNO">Model!$CG$242</definedName>
    <definedName name="v_83_GNO_atm">Model!$CP$242</definedName>
    <definedName name="v_83_GO2">Model!$CE$242</definedName>
    <definedName name="v_83_GO2_atm">Model!$CN$242</definedName>
    <definedName name="v_83_H">Model!$BZ$242</definedName>
    <definedName name="v_83_SALPHA">Model!$CA$242</definedName>
    <definedName name="v_83_SAN">Model!$AX$242</definedName>
    <definedName name="v_83_SB">Model!$F$242</definedName>
    <definedName name="v_83_SCa">Model!$AY$242</definedName>
    <definedName name="v_83_SCAT">Model!$AW$242</definedName>
    <definedName name="v_83_SCH4">Model!$AS$242</definedName>
    <definedName name="v_83_SCO2">Model!$AU$242</definedName>
    <definedName name="v_83_SFe2">Model!$BE$242</definedName>
    <definedName name="v_83_SH2">Model!$AT$242</definedName>
    <definedName name="v_83_SH2S">Model!$BB$242</definedName>
    <definedName name="v_83_SK">Model!$BA$242</definedName>
    <definedName name="v_83_SMEOL">Model!$G$242</definedName>
    <definedName name="v_83_SMg">Model!$AZ$242</definedName>
    <definedName name="v_83_SMM_index">Model!$CT$242</definedName>
    <definedName name="v_83_SN_B">Model!$AJ$242</definedName>
    <definedName name="v_83_SN2">Model!$AI$242</definedName>
    <definedName name="v_83_SN2O">Model!$AH$242</definedName>
    <definedName name="v_83_SNH2OH">Model!$AC$242</definedName>
    <definedName name="v_83_SNHx">Model!$AB$242</definedName>
    <definedName name="v_83_SNO_AOB">Model!$AF$242</definedName>
    <definedName name="v_83_SNO_OHO">Model!$AG$242</definedName>
    <definedName name="v_83_SNO2">Model!$AE$242</definedName>
    <definedName name="v_83_SNO3">Model!$AD$242</definedName>
    <definedName name="v_83_SO2">Model!$AR$242</definedName>
    <definedName name="v_83_SP_B">Model!$AO$242</definedName>
    <definedName name="v_83_SPO4">Model!$AM$242</definedName>
    <definedName name="v_83_SSO4">Model!$BC$242</definedName>
    <definedName name="v_83_SU">Model!$J$242</definedName>
    <definedName name="v_83_SVFA">Model!$E$242</definedName>
    <definedName name="v_83_XACP">Model!$BU$242</definedName>
    <definedName name="v_83_XAMETO">Model!$W$242</definedName>
    <definedName name="v_83_XAMX">Model!$V$242</definedName>
    <definedName name="v_83_XAOB">Model!$T$242</definedName>
    <definedName name="v_83_XASRO">Model!$Y$242</definedName>
    <definedName name="v_83_XB">Model!$I$242</definedName>
    <definedName name="v_83_XBSH">Model!$BV$242</definedName>
    <definedName name="v_83_XCaCO3">Model!$BT$242</definedName>
    <definedName name="v_83_XCASTO">Model!$R$242</definedName>
    <definedName name="v_83_XE">Model!$O$242</definedName>
    <definedName name="v_83_XE_ana">Model!$P$242</definedName>
    <definedName name="v_83_XFeS">Model!$BY$242</definedName>
    <definedName name="v_83_XGLY">Model!$N$242</definedName>
    <definedName name="v_83_XHAO_H">Model!$BM$242</definedName>
    <definedName name="v_83_XHAO_H_P">Model!$BP$242</definedName>
    <definedName name="v_83_XHAO_H_P_old">Model!$BR$242</definedName>
    <definedName name="v_83_XHAO_L">Model!$BN$242</definedName>
    <definedName name="v_83_XHAO_L_P">Model!$BQ$242</definedName>
    <definedName name="v_83_XHAO_L_P_old">Model!$BS$242</definedName>
    <definedName name="v_83_XHAO_old">Model!$BO$242</definedName>
    <definedName name="v_83_XHFO_H">Model!$BF$242</definedName>
    <definedName name="v_83_XHFO_H_P">Model!$BI$242</definedName>
    <definedName name="v_83_XHFO_H_P_old">Model!$BK$242</definedName>
    <definedName name="v_83_XHFO_L">Model!$BG$242</definedName>
    <definedName name="v_83_XHFO_L_P">Model!$BJ$242</definedName>
    <definedName name="v_83_XHFO_L_P_old">Model!$BL$242</definedName>
    <definedName name="v_83_XHFO_old">Model!$BH$242</definedName>
    <definedName name="v_83_XHMETO">Model!$X$242</definedName>
    <definedName name="v_83_XHSRO">Model!$Z$242</definedName>
    <definedName name="v_83_XINORG">Model!$AV$242</definedName>
    <definedName name="v_83_XMEOLO">Model!$S$242</definedName>
    <definedName name="v_83_XMOB">Model!$CU$242</definedName>
    <definedName name="v_83_XN_B">Model!$AK$242</definedName>
    <definedName name="v_83_XN_U">Model!$AL$242</definedName>
    <definedName name="v_83_XNOB">Model!$U$242</definedName>
    <definedName name="v_83_XOHO">Model!$Q$242</definedName>
    <definedName name="v_83_XP_B">Model!$AP$242</definedName>
    <definedName name="v_83_XP_U">Model!$AQ$242</definedName>
    <definedName name="v_83_XPHA">Model!$M$242</definedName>
    <definedName name="v_83_XPP">Model!$AN$242</definedName>
    <definedName name="v_83_XS">Model!$BD$242</definedName>
    <definedName name="v_83_XSOO">Model!$AA$242</definedName>
    <definedName name="v_83_XSTR">Model!$BW$242</definedName>
    <definedName name="v_83_XU">Model!$L$242</definedName>
    <definedName name="v_83_XVivi">Model!$BX$242</definedName>
    <definedName name="v_84_CB">Model!$H$243</definedName>
    <definedName name="v_84_CU">Model!$K$243</definedName>
    <definedName name="v_84_GCH4">Model!$CC$243</definedName>
    <definedName name="v_84_GCH4_atm">Model!$CL$243</definedName>
    <definedName name="v_84_GCO2">Model!$CB$243</definedName>
    <definedName name="v_84_GCO2_atm">Model!$CK$243</definedName>
    <definedName name="v_84_GH2">Model!$CD$243</definedName>
    <definedName name="v_84_GH2_atm">Model!$CM$243</definedName>
    <definedName name="v_84_GH2S">Model!$CJ$243</definedName>
    <definedName name="v_84_GH2S_atm">Model!$CS$243</definedName>
    <definedName name="v_84_GN2">Model!$CI$243</definedName>
    <definedName name="v_84_GN2_atm">Model!$CR$243</definedName>
    <definedName name="v_84_GN2O">Model!$CH$243</definedName>
    <definedName name="v_84_GN2O_atm">Model!$CQ$243</definedName>
    <definedName name="v_84_GNH3">Model!$CF$243</definedName>
    <definedName name="v_84_GNH3_atm">Model!$CO$243</definedName>
    <definedName name="v_84_GNO">Model!$CG$243</definedName>
    <definedName name="v_84_GNO_atm">Model!$CP$243</definedName>
    <definedName name="v_84_GO2">Model!$CE$243</definedName>
    <definedName name="v_84_GO2_atm">Model!$CN$243</definedName>
    <definedName name="v_84_H">Model!$BZ$243</definedName>
    <definedName name="v_84_SALPHA">Model!$CA$243</definedName>
    <definedName name="v_84_SAN">Model!$AX$243</definedName>
    <definedName name="v_84_SB">Model!$F$243</definedName>
    <definedName name="v_84_SCa">Model!$AY$243</definedName>
    <definedName name="v_84_SCAT">Model!$AW$243</definedName>
    <definedName name="v_84_SCH4">Model!$AS$243</definedName>
    <definedName name="v_84_SCO2">Model!$AU$243</definedName>
    <definedName name="v_84_SFe2">Model!$BE$243</definedName>
    <definedName name="v_84_SH2">Model!$AT$243</definedName>
    <definedName name="v_84_SH2S">Model!$BB$243</definedName>
    <definedName name="v_84_SK">Model!$BA$243</definedName>
    <definedName name="v_84_SMEOL">Model!$G$243</definedName>
    <definedName name="v_84_SMg">Model!$AZ$243</definedName>
    <definedName name="v_84_SMM_index">Model!$CT$243</definedName>
    <definedName name="v_84_SN_B">Model!$AJ$243</definedName>
    <definedName name="v_84_SN2">Model!$AI$243</definedName>
    <definedName name="v_84_SN2O">Model!$AH$243</definedName>
    <definedName name="v_84_SNH2OH">Model!$AC$243</definedName>
    <definedName name="v_84_SNHx">Model!$AB$243</definedName>
    <definedName name="v_84_SNO_AOB">Model!$AF$243</definedName>
    <definedName name="v_84_SNO_OHO">Model!$AG$243</definedName>
    <definedName name="v_84_SNO2">Model!$AE$243</definedName>
    <definedName name="v_84_SNO3">Model!$AD$243</definedName>
    <definedName name="v_84_SO2">Model!$AR$243</definedName>
    <definedName name="v_84_SP_B">Model!$AO$243</definedName>
    <definedName name="v_84_SPO4">Model!$AM$243</definedName>
    <definedName name="v_84_SSO4">Model!$BC$243</definedName>
    <definedName name="v_84_SU">Model!$J$243</definedName>
    <definedName name="v_84_SVFA">Model!$E$243</definedName>
    <definedName name="v_84_XACP">Model!$BU$243</definedName>
    <definedName name="v_84_XAMETO">Model!$W$243</definedName>
    <definedName name="v_84_XAMX">Model!$V$243</definedName>
    <definedName name="v_84_XAOB">Model!$T$243</definedName>
    <definedName name="v_84_XASRO">Model!$Y$243</definedName>
    <definedName name="v_84_XB">Model!$I$243</definedName>
    <definedName name="v_84_XBSH">Model!$BV$243</definedName>
    <definedName name="v_84_XCaCO3">Model!$BT$243</definedName>
    <definedName name="v_84_XCASTO">Model!$R$243</definedName>
    <definedName name="v_84_XE">Model!$O$243</definedName>
    <definedName name="v_84_XE_ana">Model!$P$243</definedName>
    <definedName name="v_84_XFeS">Model!$BY$243</definedName>
    <definedName name="v_84_XGLY">Model!$N$243</definedName>
    <definedName name="v_84_XHAO_H">Model!$BM$243</definedName>
    <definedName name="v_84_XHAO_H_P">Model!$BP$243</definedName>
    <definedName name="v_84_XHAO_H_P_old">Model!$BR$243</definedName>
    <definedName name="v_84_XHAO_L">Model!$BN$243</definedName>
    <definedName name="v_84_XHAO_L_P">Model!$BQ$243</definedName>
    <definedName name="v_84_XHAO_L_P_old">Model!$BS$243</definedName>
    <definedName name="v_84_XHAO_old">Model!$BO$243</definedName>
    <definedName name="v_84_XHFO_H">Model!$BF$243</definedName>
    <definedName name="v_84_XHFO_H_P">Model!$BI$243</definedName>
    <definedName name="v_84_XHFO_H_P_old">Model!$BK$243</definedName>
    <definedName name="v_84_XHFO_L">Model!$BG$243</definedName>
    <definedName name="v_84_XHFO_L_P">Model!$BJ$243</definedName>
    <definedName name="v_84_XHFO_L_P_old">Model!$BL$243</definedName>
    <definedName name="v_84_XHFO_old">Model!$BH$243</definedName>
    <definedName name="v_84_XHMETO">Model!$X$243</definedName>
    <definedName name="v_84_XHSRO">Model!$Z$243</definedName>
    <definedName name="v_84_XINORG">Model!$AV$243</definedName>
    <definedName name="v_84_XMEOLO">Model!$S$243</definedName>
    <definedName name="v_84_XMOB">Model!$CU$243</definedName>
    <definedName name="v_84_XN_B">Model!$AK$243</definedName>
    <definedName name="v_84_XN_U">Model!$AL$243</definedName>
    <definedName name="v_84_XNOB">Model!$U$243</definedName>
    <definedName name="v_84_XOHO">Model!$Q$243</definedName>
    <definedName name="v_84_XP_B">Model!$AP$243</definedName>
    <definedName name="v_84_XP_U">Model!$AQ$243</definedName>
    <definedName name="v_84_XPHA">Model!$M$243</definedName>
    <definedName name="v_84_XPP">Model!$AN$243</definedName>
    <definedName name="v_84_XS">Model!$BD$243</definedName>
    <definedName name="v_84_XSOO">Model!$AA$243</definedName>
    <definedName name="v_84_XSTR">Model!$BW$243</definedName>
    <definedName name="v_84_XU">Model!$L$243</definedName>
    <definedName name="v_84_XVivi">Model!$BX$243</definedName>
    <definedName name="v_85_CB">Model!$H$244</definedName>
    <definedName name="v_85_CU">Model!$K$244</definedName>
    <definedName name="v_85_GCH4">Model!$CC$244</definedName>
    <definedName name="v_85_GCH4_atm">Model!$CL$244</definedName>
    <definedName name="v_85_GCO2">Model!$CB$244</definedName>
    <definedName name="v_85_GCO2_atm">Model!$CK$244</definedName>
    <definedName name="v_85_GH2">Model!$CD$244</definedName>
    <definedName name="v_85_GH2_atm">Model!$CM$244</definedName>
    <definedName name="v_85_GH2S">Model!$CJ$244</definedName>
    <definedName name="v_85_GH2S_atm">Model!$CS$244</definedName>
    <definedName name="v_85_GN2">Model!$CI$244</definedName>
    <definedName name="v_85_GN2_atm">Model!$CR$244</definedName>
    <definedName name="v_85_GN2O">Model!$CH$244</definedName>
    <definedName name="v_85_GN2O_atm">Model!$CQ$244</definedName>
    <definedName name="v_85_GNH3">Model!$CF$244</definedName>
    <definedName name="v_85_GNH3_atm">Model!$CO$244</definedName>
    <definedName name="v_85_GNO">Model!$CG$244</definedName>
    <definedName name="v_85_GNO_atm">Model!$CP$244</definedName>
    <definedName name="v_85_GO2">Model!$CE$244</definedName>
    <definedName name="v_85_GO2_atm">Model!$CN$244</definedName>
    <definedName name="v_85_H">Model!$BZ$244</definedName>
    <definedName name="v_85_SALPHA">Model!$CA$244</definedName>
    <definedName name="v_85_SAN">Model!$AX$244</definedName>
    <definedName name="v_85_SB">Model!$F$244</definedName>
    <definedName name="v_85_SCa">Model!$AY$244</definedName>
    <definedName name="v_85_SCAT">Model!$AW$244</definedName>
    <definedName name="v_85_SCH4">Model!$AS$244</definedName>
    <definedName name="v_85_SCO2">Model!$AU$244</definedName>
    <definedName name="v_85_SFe2">Model!$BE$244</definedName>
    <definedName name="v_85_SH2">Model!$AT$244</definedName>
    <definedName name="v_85_SH2S">Model!$BB$244</definedName>
    <definedName name="v_85_SK">Model!$BA$244</definedName>
    <definedName name="v_85_SMEOL">Model!$G$244</definedName>
    <definedName name="v_85_SMg">Model!$AZ$244</definedName>
    <definedName name="v_85_SMM_index">Model!$CT$244</definedName>
    <definedName name="v_85_SN_B">Model!$AJ$244</definedName>
    <definedName name="v_85_SN2">Model!$AI$244</definedName>
    <definedName name="v_85_SN2O">Model!$AH$244</definedName>
    <definedName name="v_85_SNH2OH">Model!$AC$244</definedName>
    <definedName name="v_85_SNHx">Model!$AB$244</definedName>
    <definedName name="v_85_SNO_AOB">Model!$AF$244</definedName>
    <definedName name="v_85_SNO_OHO">Model!$AG$244</definedName>
    <definedName name="v_85_SNO2">Model!$AE$244</definedName>
    <definedName name="v_85_SNO3">Model!$AD$244</definedName>
    <definedName name="v_85_SO2">Model!$AR$244</definedName>
    <definedName name="v_85_SP_B">Model!$AO$244</definedName>
    <definedName name="v_85_SPO4">Model!$AM$244</definedName>
    <definedName name="v_85_SSO4">Model!$BC$244</definedName>
    <definedName name="v_85_SU">Model!$J$244</definedName>
    <definedName name="v_85_SVFA">Model!$E$244</definedName>
    <definedName name="v_85_XACP">Model!$BU$244</definedName>
    <definedName name="v_85_XAMETO">Model!$W$244</definedName>
    <definedName name="v_85_XAMX">Model!$V$244</definedName>
    <definedName name="v_85_XAOB">Model!$T$244</definedName>
    <definedName name="v_85_XASRO">Model!$Y$244</definedName>
    <definedName name="v_85_XB">Model!$I$244</definedName>
    <definedName name="v_85_XBSH">Model!$BV$244</definedName>
    <definedName name="v_85_XCaCO3">Model!$BT$244</definedName>
    <definedName name="v_85_XCASTO">Model!$R$244</definedName>
    <definedName name="v_85_XE">Model!$O$244</definedName>
    <definedName name="v_85_XE_ana">Model!$P$244</definedName>
    <definedName name="v_85_XFeS">Model!$BY$244</definedName>
    <definedName name="v_85_XGLY">Model!$N$244</definedName>
    <definedName name="v_85_XHAO_H">Model!$BM$244</definedName>
    <definedName name="v_85_XHAO_H_P">Model!$BP$244</definedName>
    <definedName name="v_85_XHAO_H_P_old">Model!$BR$244</definedName>
    <definedName name="v_85_XHAO_L">Model!$BN$244</definedName>
    <definedName name="v_85_XHAO_L_P">Model!$BQ$244</definedName>
    <definedName name="v_85_XHAO_L_P_old">Model!$BS$244</definedName>
    <definedName name="v_85_XHAO_old">Model!$BO$244</definedName>
    <definedName name="v_85_XHFO_H">Model!$BF$244</definedName>
    <definedName name="v_85_XHFO_H_P">Model!$BI$244</definedName>
    <definedName name="v_85_XHFO_H_P_old">Model!$BK$244</definedName>
    <definedName name="v_85_XHFO_L">Model!$BG$244</definedName>
    <definedName name="v_85_XHFO_L_P">Model!$BJ$244</definedName>
    <definedName name="v_85_XHFO_L_P_old">Model!$BL$244</definedName>
    <definedName name="v_85_XHFO_old">Model!$BH$244</definedName>
    <definedName name="v_85_XHMETO">Model!$X$244</definedName>
    <definedName name="v_85_XHSRO">Model!$Z$244</definedName>
    <definedName name="v_85_XINORG">Model!$AV$244</definedName>
    <definedName name="v_85_XMEOLO">Model!$S$244</definedName>
    <definedName name="v_85_XMOB">Model!$CU$244</definedName>
    <definedName name="v_85_XN_B">Model!$AK$244</definedName>
    <definedName name="v_85_XN_U">Model!$AL$244</definedName>
    <definedName name="v_85_XNOB">Model!$U$244</definedName>
    <definedName name="v_85_XOHO">Model!$Q$244</definedName>
    <definedName name="v_85_XP_B">Model!$AP$244</definedName>
    <definedName name="v_85_XP_U">Model!$AQ$244</definedName>
    <definedName name="v_85_XPHA">Model!$M$244</definedName>
    <definedName name="v_85_XPP">Model!$AN$244</definedName>
    <definedName name="v_85_XS">Model!$BD$244</definedName>
    <definedName name="v_85_XSOO">Model!$AA$244</definedName>
    <definedName name="v_85_XSTR">Model!$BW$244</definedName>
    <definedName name="v_85_XU">Model!$L$244</definedName>
    <definedName name="v_85_XVivi">Model!$BX$244</definedName>
    <definedName name="v_86_CB">Model!$H$245</definedName>
    <definedName name="v_86_CU">Model!$K$245</definedName>
    <definedName name="v_86_GCH4">Model!$CC$245</definedName>
    <definedName name="v_86_GCH4_atm">Model!$CL$245</definedName>
    <definedName name="v_86_GCO2">Model!$CB$245</definedName>
    <definedName name="v_86_GCO2_atm">Model!$CK$245</definedName>
    <definedName name="v_86_GH2">Model!$CD$245</definedName>
    <definedName name="v_86_GH2_atm">Model!$CM$245</definedName>
    <definedName name="v_86_GH2S">Model!$CJ$245</definedName>
    <definedName name="v_86_GH2S_atm">Model!$CS$245</definedName>
    <definedName name="v_86_GN2">Model!$CI$245</definedName>
    <definedName name="v_86_GN2_atm">Model!$CR$245</definedName>
    <definedName name="v_86_GN2O">Model!$CH$245</definedName>
    <definedName name="v_86_GN2O_atm">Model!$CQ$245</definedName>
    <definedName name="v_86_GNH3">Model!$CF$245</definedName>
    <definedName name="v_86_GNH3_atm">Model!$CO$245</definedName>
    <definedName name="v_86_GNO">Model!$CG$245</definedName>
    <definedName name="v_86_GNO_atm">Model!$CP$245</definedName>
    <definedName name="v_86_GO2">Model!$CE$245</definedName>
    <definedName name="v_86_GO2_atm">Model!$CN$245</definedName>
    <definedName name="v_86_H">Model!$BZ$245</definedName>
    <definedName name="v_86_SALPHA">Model!$CA$245</definedName>
    <definedName name="v_86_SAN">Model!$AX$245</definedName>
    <definedName name="v_86_SB">Model!$F$245</definedName>
    <definedName name="v_86_SCa">Model!$AY$245</definedName>
    <definedName name="v_86_SCAT">Model!$AW$245</definedName>
    <definedName name="v_86_SCH4">Model!$AS$245</definedName>
    <definedName name="v_86_SCO2">Model!$AU$245</definedName>
    <definedName name="v_86_SFe2">Model!$BE$245</definedName>
    <definedName name="v_86_SH2">Model!$AT$245</definedName>
    <definedName name="v_86_SH2S">Model!$BB$245</definedName>
    <definedName name="v_86_SK">Model!$BA$245</definedName>
    <definedName name="v_86_SMEOL">Model!$G$245</definedName>
    <definedName name="v_86_SMg">Model!$AZ$245</definedName>
    <definedName name="v_86_SMM_index">Model!$CT$245</definedName>
    <definedName name="v_86_SN_B">Model!$AJ$245</definedName>
    <definedName name="v_86_SN2">Model!$AI$245</definedName>
    <definedName name="v_86_SN2O">Model!$AH$245</definedName>
    <definedName name="v_86_SNH2OH">Model!$AC$245</definedName>
    <definedName name="v_86_SNHx">Model!$AB$245</definedName>
    <definedName name="v_86_SNO_AOB">Model!$AF$245</definedName>
    <definedName name="v_86_SNO_OHO">Model!$AG$245</definedName>
    <definedName name="v_86_SNO2">Model!$AE$245</definedName>
    <definedName name="v_86_SNO3">Model!$AD$245</definedName>
    <definedName name="v_86_SO2">Model!$AR$245</definedName>
    <definedName name="v_86_SP_B">Model!$AO$245</definedName>
    <definedName name="v_86_SPO4">Model!$AM$245</definedName>
    <definedName name="v_86_SSO4">Model!$BC$245</definedName>
    <definedName name="v_86_SU">Model!$J$245</definedName>
    <definedName name="v_86_SVFA">Model!$E$245</definedName>
    <definedName name="v_86_XACP">Model!$BU$245</definedName>
    <definedName name="v_86_XAMETO">Model!$W$245</definedName>
    <definedName name="v_86_XAMX">Model!$V$245</definedName>
    <definedName name="v_86_XAOB">Model!$T$245</definedName>
    <definedName name="v_86_XASRO">Model!$Y$245</definedName>
    <definedName name="v_86_XB">Model!$I$245</definedName>
    <definedName name="v_86_XBSH">Model!$BV$245</definedName>
    <definedName name="v_86_XCaCO3">Model!$BT$245</definedName>
    <definedName name="v_86_XCASTO">Model!$R$245</definedName>
    <definedName name="v_86_XE">Model!$O$245</definedName>
    <definedName name="v_86_XE_ana">Model!$P$245</definedName>
    <definedName name="v_86_XFeS">Model!$BY$245</definedName>
    <definedName name="v_86_XGLY">Model!$N$245</definedName>
    <definedName name="v_86_XHAO_H">Model!$BM$245</definedName>
    <definedName name="v_86_XHAO_H_P">Model!$BP$245</definedName>
    <definedName name="v_86_XHAO_H_P_old">Model!$BR$245</definedName>
    <definedName name="v_86_XHAO_L">Model!$BN$245</definedName>
    <definedName name="v_86_XHAO_L_P">Model!$BQ$245</definedName>
    <definedName name="v_86_XHAO_L_P_old">Model!$BS$245</definedName>
    <definedName name="v_86_XHAO_old">Model!$BO$245</definedName>
    <definedName name="v_86_XHFO_H">Model!$BF$245</definedName>
    <definedName name="v_86_XHFO_H_P">Model!$BI$245</definedName>
    <definedName name="v_86_XHFO_H_P_old">Model!$BK$245</definedName>
    <definedName name="v_86_XHFO_L">Model!$BG$245</definedName>
    <definedName name="v_86_XHFO_L_P">Model!$BJ$245</definedName>
    <definedName name="v_86_XHFO_L_P_old">Model!$BL$245</definedName>
    <definedName name="v_86_XHFO_old">Model!$BH$245</definedName>
    <definedName name="v_86_XHMETO">Model!$X$245</definedName>
    <definedName name="v_86_XHSRO">Model!$Z$245</definedName>
    <definedName name="v_86_XINORG">Model!$AV$245</definedName>
    <definedName name="v_86_XMEOLO">Model!$S$245</definedName>
    <definedName name="v_86_XMOB">Model!$CU$245</definedName>
    <definedName name="v_86_XN_B">Model!$AK$245</definedName>
    <definedName name="v_86_XN_U">Model!$AL$245</definedName>
    <definedName name="v_86_XNOB">Model!$U$245</definedName>
    <definedName name="v_86_XOHO">Model!$Q$245</definedName>
    <definedName name="v_86_XP_B">Model!$AP$245</definedName>
    <definedName name="v_86_XP_U">Model!$AQ$245</definedName>
    <definedName name="v_86_XPHA">Model!$M$245</definedName>
    <definedName name="v_86_XPP">Model!$AN$245</definedName>
    <definedName name="v_86_XS">Model!$BD$245</definedName>
    <definedName name="v_86_XSOO">Model!$AA$245</definedName>
    <definedName name="v_86_XSTR">Model!$BW$245</definedName>
    <definedName name="v_86_XU">Model!$L$245</definedName>
    <definedName name="v_86_XVivi">Model!$BX$245</definedName>
    <definedName name="v_87_CB">Model!$H$246</definedName>
    <definedName name="v_87_CU">Model!$K$246</definedName>
    <definedName name="v_87_GCH4">Model!$CC$246</definedName>
    <definedName name="v_87_GCH4_atm">Model!$CL$246</definedName>
    <definedName name="v_87_GCO2">Model!$CB$246</definedName>
    <definedName name="v_87_GCO2_atm">Model!$CK$246</definedName>
    <definedName name="v_87_GH2">Model!$CD$246</definedName>
    <definedName name="v_87_GH2_atm">Model!$CM$246</definedName>
    <definedName name="v_87_GH2S">Model!$CJ$246</definedName>
    <definedName name="v_87_GH2S_atm">Model!$CS$246</definedName>
    <definedName name="v_87_GN2">Model!$CI$246</definedName>
    <definedName name="v_87_GN2_atm">Model!$CR$246</definedName>
    <definedName name="v_87_GN2O">Model!$CH$246</definedName>
    <definedName name="v_87_GN2O_atm">Model!$CQ$246</definedName>
    <definedName name="v_87_GNH3">Model!$CF$246</definedName>
    <definedName name="v_87_GNH3_atm">Model!$CO$246</definedName>
    <definedName name="v_87_GNO">Model!$CG$246</definedName>
    <definedName name="v_87_GNO_atm">Model!$CP$246</definedName>
    <definedName name="v_87_GO2">Model!$CE$246</definedName>
    <definedName name="v_87_GO2_atm">Model!$CN$246</definedName>
    <definedName name="v_87_H">Model!$BZ$246</definedName>
    <definedName name="v_87_SALPHA">Model!$CA$246</definedName>
    <definedName name="v_87_SAN">Model!$AX$246</definedName>
    <definedName name="v_87_SB">Model!$F$246</definedName>
    <definedName name="v_87_SCa">Model!$AY$246</definedName>
    <definedName name="v_87_SCAT">Model!$AW$246</definedName>
    <definedName name="v_87_SCH4">Model!$AS$246</definedName>
    <definedName name="v_87_SCO2">Model!$AU$246</definedName>
    <definedName name="v_87_SFe2">Model!$BE$246</definedName>
    <definedName name="v_87_SH2">Model!$AT$246</definedName>
    <definedName name="v_87_SH2S">Model!$BB$246</definedName>
    <definedName name="v_87_SK">Model!$BA$246</definedName>
    <definedName name="v_87_SMEOL">Model!$G$246</definedName>
    <definedName name="v_87_SMg">Model!$AZ$246</definedName>
    <definedName name="v_87_SMM_index">Model!$CT$246</definedName>
    <definedName name="v_87_SN_B">Model!$AJ$246</definedName>
    <definedName name="v_87_SN2">Model!$AI$246</definedName>
    <definedName name="v_87_SN2O">Model!$AH$246</definedName>
    <definedName name="v_87_SNH2OH">Model!$AC$246</definedName>
    <definedName name="v_87_SNHx">Model!$AB$246</definedName>
    <definedName name="v_87_SNO_AOB">Model!$AF$246</definedName>
    <definedName name="v_87_SNO_OHO">Model!$AG$246</definedName>
    <definedName name="v_87_SNO2">Model!$AE$246</definedName>
    <definedName name="v_87_SNO3">Model!$AD$246</definedName>
    <definedName name="v_87_SO2">Model!$AR$246</definedName>
    <definedName name="v_87_SP_B">Model!$AO$246</definedName>
    <definedName name="v_87_SPO4">Model!$AM$246</definedName>
    <definedName name="v_87_SSO4">Model!$BC$246</definedName>
    <definedName name="v_87_SU">Model!$J$246</definedName>
    <definedName name="v_87_SVFA">Model!$E$246</definedName>
    <definedName name="v_87_XACP">Model!$BU$246</definedName>
    <definedName name="v_87_XAMETO">Model!$W$246</definedName>
    <definedName name="v_87_XAMX">Model!$V$246</definedName>
    <definedName name="v_87_XAOB">Model!$T$246</definedName>
    <definedName name="v_87_XASRO">Model!$Y$246</definedName>
    <definedName name="v_87_XB">Model!$I$246</definedName>
    <definedName name="v_87_XBSH">Model!$BV$246</definedName>
    <definedName name="v_87_XCaCO3">Model!$BT$246</definedName>
    <definedName name="v_87_XCASTO">Model!$R$246</definedName>
    <definedName name="v_87_XE">Model!$O$246</definedName>
    <definedName name="v_87_XE_ana">Model!$P$246</definedName>
    <definedName name="v_87_XFeS">Model!$BY$246</definedName>
    <definedName name="v_87_XGLY">Model!$N$246</definedName>
    <definedName name="v_87_XHAO_H">Model!$BM$246</definedName>
    <definedName name="v_87_XHAO_H_P">Model!$BP$246</definedName>
    <definedName name="v_87_XHAO_H_P_old">Model!$BR$246</definedName>
    <definedName name="v_87_XHAO_L">Model!$BN$246</definedName>
    <definedName name="v_87_XHAO_L_P">Model!$BQ$246</definedName>
    <definedName name="v_87_XHAO_L_P_old">Model!$BS$246</definedName>
    <definedName name="v_87_XHAO_old">Model!$BO$246</definedName>
    <definedName name="v_87_XHFO_H">Model!$BF$246</definedName>
    <definedName name="v_87_XHFO_H_P">Model!$BI$246</definedName>
    <definedName name="v_87_XHFO_H_P_old">Model!$BK$246</definedName>
    <definedName name="v_87_XHFO_L">Model!$BG$246</definedName>
    <definedName name="v_87_XHFO_L_P">Model!$BJ$246</definedName>
    <definedName name="v_87_XHFO_L_P_old">Model!$BL$246</definedName>
    <definedName name="v_87_XHFO_old">Model!$BH$246</definedName>
    <definedName name="v_87_XHMETO">Model!$X$246</definedName>
    <definedName name="v_87_XHSRO">Model!$Z$246</definedName>
    <definedName name="v_87_XINORG">Model!$AV$246</definedName>
    <definedName name="v_87_XMEOLO">Model!$S$246</definedName>
    <definedName name="v_87_XMOB">Model!$CU$246</definedName>
    <definedName name="v_87_XN_B">Model!$AK$246</definedName>
    <definedName name="v_87_XN_U">Model!$AL$246</definedName>
    <definedName name="v_87_XNOB">Model!$U$246</definedName>
    <definedName name="v_87_XOHO">Model!$Q$246</definedName>
    <definedName name="v_87_XP_B">Model!$AP$246</definedName>
    <definedName name="v_87_XP_U">Model!$AQ$246</definedName>
    <definedName name="v_87_XPHA">Model!$M$246</definedName>
    <definedName name="v_87_XPP">Model!$AN$246</definedName>
    <definedName name="v_87_XS">Model!$BD$246</definedName>
    <definedName name="v_87_XSOO">Model!$AA$246</definedName>
    <definedName name="v_87_XSTR">Model!$BW$246</definedName>
    <definedName name="v_87_XU">Model!$L$246</definedName>
    <definedName name="v_87_XVivi">Model!$BX$246</definedName>
    <definedName name="v_88_CB">Model!$H$247</definedName>
    <definedName name="v_88_CU">Model!$K$247</definedName>
    <definedName name="v_88_GCH4">Model!$CC$247</definedName>
    <definedName name="v_88_GCH4_atm">Model!$CL$247</definedName>
    <definedName name="v_88_GCO2">Model!$CB$247</definedName>
    <definedName name="v_88_GCO2_atm">Model!$CK$247</definedName>
    <definedName name="v_88_GH2">Model!$CD$247</definedName>
    <definedName name="v_88_GH2_atm">Model!$CM$247</definedName>
    <definedName name="v_88_GH2S">Model!$CJ$247</definedName>
    <definedName name="v_88_GH2S_atm">Model!$CS$247</definedName>
    <definedName name="v_88_GN2">Model!$CI$247</definedName>
    <definedName name="v_88_GN2_atm">Model!$CR$247</definedName>
    <definedName name="v_88_GN2O">Model!$CH$247</definedName>
    <definedName name="v_88_GN2O_atm">Model!$CQ$247</definedName>
    <definedName name="v_88_GNH3">Model!$CF$247</definedName>
    <definedName name="v_88_GNH3_atm">Model!$CO$247</definedName>
    <definedName name="v_88_GNO">Model!$CG$247</definedName>
    <definedName name="v_88_GNO_atm">Model!$CP$247</definedName>
    <definedName name="v_88_GO2">Model!$CE$247</definedName>
    <definedName name="v_88_GO2_atm">Model!$CN$247</definedName>
    <definedName name="v_88_H">Model!$BZ$247</definedName>
    <definedName name="v_88_SALPHA">Model!$CA$247</definedName>
    <definedName name="v_88_SAN">Model!$AX$247</definedName>
    <definedName name="v_88_SB">Model!$F$247</definedName>
    <definedName name="v_88_SCa">Model!$AY$247</definedName>
    <definedName name="v_88_SCAT">Model!$AW$247</definedName>
    <definedName name="v_88_SCH4">Model!$AS$247</definedName>
    <definedName name="v_88_SCO2">Model!$AU$247</definedName>
    <definedName name="v_88_SFe2">Model!$BE$247</definedName>
    <definedName name="v_88_SH2">Model!$AT$247</definedName>
    <definedName name="v_88_SH2S">Model!$BB$247</definedName>
    <definedName name="v_88_SK">Model!$BA$247</definedName>
    <definedName name="v_88_SMEOL">Model!$G$247</definedName>
    <definedName name="v_88_SMg">Model!$AZ$247</definedName>
    <definedName name="v_88_SMM_index">Model!$CT$247</definedName>
    <definedName name="v_88_SN_B">Model!$AJ$247</definedName>
    <definedName name="v_88_SN2">Model!$AI$247</definedName>
    <definedName name="v_88_SN2O">Model!$AH$247</definedName>
    <definedName name="v_88_SNH2OH">Model!$AC$247</definedName>
    <definedName name="v_88_SNHx">Model!$AB$247</definedName>
    <definedName name="v_88_SNO_AOB">Model!$AF$247</definedName>
    <definedName name="v_88_SNO_OHO">Model!$AG$247</definedName>
    <definedName name="v_88_SNO2">Model!$AE$247</definedName>
    <definedName name="v_88_SNO3">Model!$AD$247</definedName>
    <definedName name="v_88_SO2">Model!$AR$247</definedName>
    <definedName name="v_88_SP_B">Model!$AO$247</definedName>
    <definedName name="v_88_SPO4">Model!$AM$247</definedName>
    <definedName name="v_88_SSO4">Model!$BC$247</definedName>
    <definedName name="v_88_SU">Model!$J$247</definedName>
    <definedName name="v_88_SVFA">Model!$E$247</definedName>
    <definedName name="v_88_XACP">Model!$BU$247</definedName>
    <definedName name="v_88_XAMETO">Model!$W$247</definedName>
    <definedName name="v_88_XAMX">Model!$V$247</definedName>
    <definedName name="v_88_XAOB">Model!$T$247</definedName>
    <definedName name="v_88_XASRO">Model!$Y$247</definedName>
    <definedName name="v_88_XB">Model!$I$247</definedName>
    <definedName name="v_88_XBSH">Model!$BV$247</definedName>
    <definedName name="v_88_XCaCO3">Model!$BT$247</definedName>
    <definedName name="v_88_XCASTO">Model!$R$247</definedName>
    <definedName name="v_88_XE">Model!$O$247</definedName>
    <definedName name="v_88_XE_ana">Model!$P$247</definedName>
    <definedName name="v_88_XFeS">Model!$BY$247</definedName>
    <definedName name="v_88_XGLY">Model!$N$247</definedName>
    <definedName name="v_88_XHAO_H">Model!$BM$247</definedName>
    <definedName name="v_88_XHAO_H_P">Model!$BP$247</definedName>
    <definedName name="v_88_XHAO_H_P_old">Model!$BR$247</definedName>
    <definedName name="v_88_XHAO_L">Model!$BN$247</definedName>
    <definedName name="v_88_XHAO_L_P">Model!$BQ$247</definedName>
    <definedName name="v_88_XHAO_L_P_old">Model!$BS$247</definedName>
    <definedName name="v_88_XHAO_old">Model!$BO$247</definedName>
    <definedName name="v_88_XHFO_H">Model!$BF$247</definedName>
    <definedName name="v_88_XHFO_H_P">Model!$BI$247</definedName>
    <definedName name="v_88_XHFO_H_P_old">Model!$BK$247</definedName>
    <definedName name="v_88_XHFO_L">Model!$BG$247</definedName>
    <definedName name="v_88_XHFO_L_P">Model!$BJ$247</definedName>
    <definedName name="v_88_XHFO_L_P_old">Model!$BL$247</definedName>
    <definedName name="v_88_XHFO_old">Model!$BH$247</definedName>
    <definedName name="v_88_XHMETO">Model!$X$247</definedName>
    <definedName name="v_88_XHSRO">Model!$Z$247</definedName>
    <definedName name="v_88_XINORG">Model!$AV$247</definedName>
    <definedName name="v_88_XMEOLO">Model!$S$247</definedName>
    <definedName name="v_88_XMOB">Model!$CU$247</definedName>
    <definedName name="v_88_XN_B">Model!$AK$247</definedName>
    <definedName name="v_88_XN_U">Model!$AL$247</definedName>
    <definedName name="v_88_XNOB">Model!$U$247</definedName>
    <definedName name="v_88_XOHO">Model!$Q$247</definedName>
    <definedName name="v_88_XP_B">Model!$AP$247</definedName>
    <definedName name="v_88_XP_U">Model!$AQ$247</definedName>
    <definedName name="v_88_XPHA">Model!$M$247</definedName>
    <definedName name="v_88_XPP">Model!$AN$247</definedName>
    <definedName name="v_88_XS">Model!$BD$247</definedName>
    <definedName name="v_88_XSOO">Model!$AA$247</definedName>
    <definedName name="v_88_XSTR">Model!$BW$247</definedName>
    <definedName name="v_88_XU">Model!$L$247</definedName>
    <definedName name="v_88_XVivi">Model!$BX$247</definedName>
    <definedName name="v_89_CB">Model!$H$248</definedName>
    <definedName name="v_89_CU">Model!$K$248</definedName>
    <definedName name="v_89_GCH4">Model!$CC$248</definedName>
    <definedName name="v_89_GCH4_atm">Model!$CL$248</definedName>
    <definedName name="v_89_GCO2">Model!$CB$248</definedName>
    <definedName name="v_89_GCO2_atm">Model!$CK$248</definedName>
    <definedName name="v_89_GH2">Model!$CD$248</definedName>
    <definedName name="v_89_GH2_atm">Model!$CM$248</definedName>
    <definedName name="v_89_GH2S">Model!$CJ$248</definedName>
    <definedName name="v_89_GH2S_atm">Model!$CS$248</definedName>
    <definedName name="v_89_GN2">Model!$CI$248</definedName>
    <definedName name="v_89_GN2_atm">Model!$CR$248</definedName>
    <definedName name="v_89_GN2O">Model!$CH$248</definedName>
    <definedName name="v_89_GN2O_atm">Model!$CQ$248</definedName>
    <definedName name="v_89_GNH3">Model!$CF$248</definedName>
    <definedName name="v_89_GNH3_atm">Model!$CO$248</definedName>
    <definedName name="v_89_GNO">Model!$CG$248</definedName>
    <definedName name="v_89_GNO_atm">Model!$CP$248</definedName>
    <definedName name="v_89_GO2">Model!$CE$248</definedName>
    <definedName name="v_89_GO2_atm">Model!$CN$248</definedName>
    <definedName name="v_89_H">Model!$BZ$248</definedName>
    <definedName name="v_89_SALPHA">Model!$CA$248</definedName>
    <definedName name="v_89_SAN">Model!$AX$248</definedName>
    <definedName name="v_89_SB">Model!$F$248</definedName>
    <definedName name="v_89_SCa">Model!$AY$248</definedName>
    <definedName name="v_89_SCAT">Model!$AW$248</definedName>
    <definedName name="v_89_SCH4">Model!$AS$248</definedName>
    <definedName name="v_89_SCO2">Model!$AU$248</definedName>
    <definedName name="v_89_SFe2">Model!$BE$248</definedName>
    <definedName name="v_89_SH2">Model!$AT$248</definedName>
    <definedName name="v_89_SH2S">Model!$BB$248</definedName>
    <definedName name="v_89_SK">Model!$BA$248</definedName>
    <definedName name="v_89_SMEOL">Model!$G$248</definedName>
    <definedName name="v_89_SMg">Model!$AZ$248</definedName>
    <definedName name="v_89_SMM_index">Model!$CT$248</definedName>
    <definedName name="v_89_SN_B">Model!$AJ$248</definedName>
    <definedName name="v_89_SN2">Model!$AI$248</definedName>
    <definedName name="v_89_SN2O">Model!$AH$248</definedName>
    <definedName name="v_89_SNH2OH">Model!$AC$248</definedName>
    <definedName name="v_89_SNHx">Model!$AB$248</definedName>
    <definedName name="v_89_SNO_AOB">Model!$AF$248</definedName>
    <definedName name="v_89_SNO_OHO">Model!$AG$248</definedName>
    <definedName name="v_89_SNO2">Model!$AE$248</definedName>
    <definedName name="v_89_SNO3">Model!$AD$248</definedName>
    <definedName name="v_89_SO2">Model!$AR$248</definedName>
    <definedName name="v_89_SP_B">Model!$AO$248</definedName>
    <definedName name="v_89_SPO4">Model!$AM$248</definedName>
    <definedName name="v_89_SSO4">Model!$BC$248</definedName>
    <definedName name="v_89_SU">Model!$J$248</definedName>
    <definedName name="v_89_SVFA">Model!$E$248</definedName>
    <definedName name="v_89_XACP">Model!$BU$248</definedName>
    <definedName name="v_89_XAMETO">Model!$W$248</definedName>
    <definedName name="v_89_XAMX">Model!$V$248</definedName>
    <definedName name="v_89_XAOB">Model!$T$248</definedName>
    <definedName name="v_89_XASRO">Model!$Y$248</definedName>
    <definedName name="v_89_XB">Model!$I$248</definedName>
    <definedName name="v_89_XBSH">Model!$BV$248</definedName>
    <definedName name="v_89_XCaCO3">Model!$BT$248</definedName>
    <definedName name="v_89_XCASTO">Model!$R$248</definedName>
    <definedName name="v_89_XE">Model!$O$248</definedName>
    <definedName name="v_89_XE_ana">Model!$P$248</definedName>
    <definedName name="v_89_XFeS">Model!$BY$248</definedName>
    <definedName name="v_89_XGLY">Model!$N$248</definedName>
    <definedName name="v_89_XHAO_H">Model!$BM$248</definedName>
    <definedName name="v_89_XHAO_H_P">Model!$BP$248</definedName>
    <definedName name="v_89_XHAO_H_P_old">Model!$BR$248</definedName>
    <definedName name="v_89_XHAO_L">Model!$BN$248</definedName>
    <definedName name="v_89_XHAO_L_P">Model!$BQ$248</definedName>
    <definedName name="v_89_XHAO_L_P_old">Model!$BS$248</definedName>
    <definedName name="v_89_XHAO_old">Model!$BO$248</definedName>
    <definedName name="v_89_XHFO_H">Model!$BF$248</definedName>
    <definedName name="v_89_XHFO_H_P">Model!$BI$248</definedName>
    <definedName name="v_89_XHFO_H_P_old">Model!$BK$248</definedName>
    <definedName name="v_89_XHFO_L">Model!$BG$248</definedName>
    <definedName name="v_89_XHFO_L_P">Model!$BJ$248</definedName>
    <definedName name="v_89_XHFO_L_P_old">Model!$BL$248</definedName>
    <definedName name="v_89_XHFO_old">Model!$BH$248</definedName>
    <definedName name="v_89_XHMETO">Model!$X$248</definedName>
    <definedName name="v_89_XHSRO">Model!$Z$248</definedName>
    <definedName name="v_89_XINORG">Model!$AV$248</definedName>
    <definedName name="v_89_XMEOLO">Model!$S$248</definedName>
    <definedName name="v_89_XMOB">Model!$CU$248</definedName>
    <definedName name="v_89_XN_B">Model!$AK$248</definedName>
    <definedName name="v_89_XN_U">Model!$AL$248</definedName>
    <definedName name="v_89_XNOB">Model!$U$248</definedName>
    <definedName name="v_89_XOHO">Model!$Q$248</definedName>
    <definedName name="v_89_XP_B">Model!$AP$248</definedName>
    <definedName name="v_89_XP_U">Model!$AQ$248</definedName>
    <definedName name="v_89_XPHA">Model!$M$248</definedName>
    <definedName name="v_89_XPP">Model!$AN$248</definedName>
    <definedName name="v_89_XS">Model!$BD$248</definedName>
    <definedName name="v_89_XSOO">Model!$AA$248</definedName>
    <definedName name="v_89_XSTR">Model!$BW$248</definedName>
    <definedName name="v_89_XU">Model!$L$248</definedName>
    <definedName name="v_89_XVivi">Model!$BX$248</definedName>
    <definedName name="v_9_CB">Model!$H$168</definedName>
    <definedName name="v_9_CU">Model!$K$168</definedName>
    <definedName name="v_9_GCH4">Model!$CC$168</definedName>
    <definedName name="v_9_GCH4_atm">Model!$CL$168</definedName>
    <definedName name="v_9_GCO2">Model!$CB$168</definedName>
    <definedName name="v_9_GCO2_atm">Model!$CK$168</definedName>
    <definedName name="v_9_GH2">Model!$CD$168</definedName>
    <definedName name="v_9_GH2_atm">Model!$CM$168</definedName>
    <definedName name="v_9_GH2S">Model!$CJ$168</definedName>
    <definedName name="v_9_GH2S_atm">Model!$CS$168</definedName>
    <definedName name="v_9_GN2">Model!$CI$168</definedName>
    <definedName name="v_9_GN2_atm">Model!$CR$168</definedName>
    <definedName name="v_9_GN2O">Model!$CH$168</definedName>
    <definedName name="v_9_GN2O_atm">Model!$CQ$168</definedName>
    <definedName name="v_9_GNH3">Model!$CF$168</definedName>
    <definedName name="v_9_GNH3_atm">Model!$CO$168</definedName>
    <definedName name="v_9_GNO">Model!$CG$168</definedName>
    <definedName name="v_9_GNO_atm">Model!$CP$168</definedName>
    <definedName name="v_9_GO2">Model!$CE$168</definedName>
    <definedName name="v_9_GO2_atm">Model!$CN$168</definedName>
    <definedName name="v_9_H">Model!$BZ$168</definedName>
    <definedName name="v_9_SALPHA">Model!$CA$168</definedName>
    <definedName name="v_9_SAN">Model!$AX$168</definedName>
    <definedName name="v_9_SB">Model!$F$168</definedName>
    <definedName name="v_9_SCa">Model!$AY$168</definedName>
    <definedName name="v_9_SCAT">Model!$AW$168</definedName>
    <definedName name="v_9_SCH4">Model!$AS$168</definedName>
    <definedName name="v_9_SCO2">Model!$AU$168</definedName>
    <definedName name="v_9_SFe2">Model!$BE$168</definedName>
    <definedName name="v_9_SH2">Model!$AT$168</definedName>
    <definedName name="v_9_SH2S">Model!$BB$168</definedName>
    <definedName name="v_9_SK">Model!$BA$168</definedName>
    <definedName name="v_9_SMEOL">Model!$G$168</definedName>
    <definedName name="v_9_SMg">Model!$AZ$168</definedName>
    <definedName name="v_9_SMM_index">Model!$CT$168</definedName>
    <definedName name="v_9_SN_B">Model!$AJ$168</definedName>
    <definedName name="v_9_SN2">Model!$AI$168</definedName>
    <definedName name="v_9_SN2O">Model!$AH$168</definedName>
    <definedName name="v_9_SNH2OH">Model!$AC$168</definedName>
    <definedName name="v_9_SNHx">Model!$AB$168</definedName>
    <definedName name="v_9_SNO_AOB">Model!$AF$168</definedName>
    <definedName name="v_9_SNO_OHO">Model!$AG$168</definedName>
    <definedName name="v_9_SNO2">Model!$AE$168</definedName>
    <definedName name="v_9_SNO3">Model!$AD$168</definedName>
    <definedName name="v_9_SO2">Model!$AR$168</definedName>
    <definedName name="v_9_SP_B">Model!$AO$168</definedName>
    <definedName name="v_9_SPO4">Model!$AM$168</definedName>
    <definedName name="v_9_SSO4">Model!$BC$168</definedName>
    <definedName name="v_9_SU">Model!$J$168</definedName>
    <definedName name="v_9_SVFA">Model!$E$168</definedName>
    <definedName name="v_9_XACP">Model!$BU$168</definedName>
    <definedName name="v_9_XAMETO">Model!$W$168</definedName>
    <definedName name="v_9_XAMX">Model!$V$168</definedName>
    <definedName name="v_9_XAOB">Model!$T$168</definedName>
    <definedName name="v_9_XASRO">Model!$Y$168</definedName>
    <definedName name="v_9_XB">Model!$I$168</definedName>
    <definedName name="v_9_XBSH">Model!$BV$168</definedName>
    <definedName name="v_9_XCaCO3">Model!$BT$168</definedName>
    <definedName name="v_9_XCASTO">Model!$R$168</definedName>
    <definedName name="v_9_XE">Model!$O$168</definedName>
    <definedName name="v_9_XE_ana">Model!$P$168</definedName>
    <definedName name="v_9_XFeS">Model!$BY$168</definedName>
    <definedName name="v_9_XGLY">Model!$N$168</definedName>
    <definedName name="v_9_XHAO_H">Model!$BM$168</definedName>
    <definedName name="v_9_XHAO_H_P">Model!$BP$168</definedName>
    <definedName name="v_9_XHAO_H_P_old">Model!$BR$168</definedName>
    <definedName name="v_9_XHAO_L">Model!$BN$168</definedName>
    <definedName name="v_9_XHAO_L_P">Model!$BQ$168</definedName>
    <definedName name="v_9_XHAO_L_P_old">Model!$BS$168</definedName>
    <definedName name="v_9_XHAO_old">Model!$BO$168</definedName>
    <definedName name="v_9_XHFO_H">Model!$BF$168</definedName>
    <definedName name="v_9_XHFO_H_P">Model!$BI$168</definedName>
    <definedName name="v_9_XHFO_H_P_old">Model!$BK$168</definedName>
    <definedName name="v_9_XHFO_L">Model!$BG$168</definedName>
    <definedName name="v_9_XHFO_L_P">Model!$BJ$168</definedName>
    <definedName name="v_9_XHFO_L_P_old">Model!$BL$168</definedName>
    <definedName name="v_9_XHFO_old">Model!$BH$168</definedName>
    <definedName name="v_9_XHMETO">Model!$X$168</definedName>
    <definedName name="v_9_XHSRO">Model!$Z$168</definedName>
    <definedName name="v_9_XINORG">Model!$AV$168</definedName>
    <definedName name="v_9_XMEOLO">Model!$S$168</definedName>
    <definedName name="v_9_XMOB">Model!$CU$168</definedName>
    <definedName name="v_9_XN_B">Model!$AK$168</definedName>
    <definedName name="v_9_XN_U">Model!$AL$168</definedName>
    <definedName name="v_9_XNOB">Model!$U$168</definedName>
    <definedName name="v_9_XOHO">Model!$Q$168</definedName>
    <definedName name="v_9_XP_B">Model!$AP$168</definedName>
    <definedName name="v_9_XP_U">Model!$AQ$168</definedName>
    <definedName name="v_9_XPHA">Model!$M$168</definedName>
    <definedName name="v_9_XPP">Model!$AN$168</definedName>
    <definedName name="v_9_XS">Model!$BD$168</definedName>
    <definedName name="v_9_XSOO">Model!$AA$168</definedName>
    <definedName name="v_9_XSTR">Model!$BW$168</definedName>
    <definedName name="v_9_XU">Model!$L$168</definedName>
    <definedName name="v_9_XVivi">Model!$BX$168</definedName>
    <definedName name="v_90_CB">Model!$H$249</definedName>
    <definedName name="v_90_CU">Model!$K$249</definedName>
    <definedName name="v_90_GCH4">Model!$CC$249</definedName>
    <definedName name="v_90_GCH4_atm">Model!$CL$249</definedName>
    <definedName name="v_90_GCO2">Model!$CB$249</definedName>
    <definedName name="v_90_GCO2_atm">Model!$CK$249</definedName>
    <definedName name="v_90_GH2">Model!$CD$249</definedName>
    <definedName name="v_90_GH2_atm">Model!$CM$249</definedName>
    <definedName name="v_90_GH2S">Model!$CJ$249</definedName>
    <definedName name="v_90_GH2S_atm">Model!$CS$249</definedName>
    <definedName name="v_90_GN2">Model!$CI$249</definedName>
    <definedName name="v_90_GN2_atm">Model!$CR$249</definedName>
    <definedName name="v_90_GN2O">Model!$CH$249</definedName>
    <definedName name="v_90_GN2O_atm">Model!$CQ$249</definedName>
    <definedName name="v_90_GNH3">Model!$CF$249</definedName>
    <definedName name="v_90_GNH3_atm">Model!$CO$249</definedName>
    <definedName name="v_90_GNO">Model!$CG$249</definedName>
    <definedName name="v_90_GNO_atm">Model!$CP$249</definedName>
    <definedName name="v_90_GO2">Model!$CE$249</definedName>
    <definedName name="v_90_GO2_atm">Model!$CN$249</definedName>
    <definedName name="v_90_H">Model!$BZ$249</definedName>
    <definedName name="v_90_SALPHA">Model!$CA$249</definedName>
    <definedName name="v_90_SAN">Model!$AX$249</definedName>
    <definedName name="v_90_SB">Model!$F$249</definedName>
    <definedName name="v_90_SCa">Model!$AY$249</definedName>
    <definedName name="v_90_SCAT">Model!$AW$249</definedName>
    <definedName name="v_90_SCH4">Model!$AS$249</definedName>
    <definedName name="v_90_SCO2">Model!$AU$249</definedName>
    <definedName name="v_90_SFe2">Model!$BE$249</definedName>
    <definedName name="v_90_SH2">Model!$AT$249</definedName>
    <definedName name="v_90_SH2S">Model!$BB$249</definedName>
    <definedName name="v_90_SK">Model!$BA$249</definedName>
    <definedName name="v_90_SMEOL">Model!$G$249</definedName>
    <definedName name="v_90_SMg">Model!$AZ$249</definedName>
    <definedName name="v_90_SMM_index">Model!$CT$249</definedName>
    <definedName name="v_90_SN_B">Model!$AJ$249</definedName>
    <definedName name="v_90_SN2">Model!$AI$249</definedName>
    <definedName name="v_90_SN2O">Model!$AH$249</definedName>
    <definedName name="v_90_SNH2OH">Model!$AC$249</definedName>
    <definedName name="v_90_SNHx">Model!$AB$249</definedName>
    <definedName name="v_90_SNO_AOB">Model!$AF$249</definedName>
    <definedName name="v_90_SNO_OHO">Model!$AG$249</definedName>
    <definedName name="v_90_SNO2">Model!$AE$249</definedName>
    <definedName name="v_90_SNO3">Model!$AD$249</definedName>
    <definedName name="v_90_SO2">Model!$AR$249</definedName>
    <definedName name="v_90_SP_B">Model!$AO$249</definedName>
    <definedName name="v_90_SPO4">Model!$AM$249</definedName>
    <definedName name="v_90_SSO4">Model!$BC$249</definedName>
    <definedName name="v_90_SU">Model!$J$249</definedName>
    <definedName name="v_90_SVFA">Model!$E$249</definedName>
    <definedName name="v_90_XACP">Model!$BU$249</definedName>
    <definedName name="v_90_XAMETO">Model!$W$249</definedName>
    <definedName name="v_90_XAMX">Model!$V$249</definedName>
    <definedName name="v_90_XAOB">Model!$T$249</definedName>
    <definedName name="v_90_XASRO">Model!$Y$249</definedName>
    <definedName name="v_90_XB">Model!$I$249</definedName>
    <definedName name="v_90_XBSH">Model!$BV$249</definedName>
    <definedName name="v_90_XCaCO3">Model!$BT$249</definedName>
    <definedName name="v_90_XCASTO">Model!$R$249</definedName>
    <definedName name="v_90_XE">Model!$O$249</definedName>
    <definedName name="v_90_XE_ana">Model!$P$249</definedName>
    <definedName name="v_90_XFeS">Model!$BY$249</definedName>
    <definedName name="v_90_XGLY">Model!$N$249</definedName>
    <definedName name="v_90_XHAO_H">Model!$BM$249</definedName>
    <definedName name="v_90_XHAO_H_P">Model!$BP$249</definedName>
    <definedName name="v_90_XHAO_H_P_old">Model!$BR$249</definedName>
    <definedName name="v_90_XHAO_L">Model!$BN$249</definedName>
    <definedName name="v_90_XHAO_L_P">Model!$BQ$249</definedName>
    <definedName name="v_90_XHAO_L_P_old">Model!$BS$249</definedName>
    <definedName name="v_90_XHAO_old">Model!$BO$249</definedName>
    <definedName name="v_90_XHFO_H">Model!$BF$249</definedName>
    <definedName name="v_90_XHFO_H_P">Model!$BI$249</definedName>
    <definedName name="v_90_XHFO_H_P_old">Model!$BK$249</definedName>
    <definedName name="v_90_XHFO_L">Model!$BG$249</definedName>
    <definedName name="v_90_XHFO_L_P">Model!$BJ$249</definedName>
    <definedName name="v_90_XHFO_L_P_old">Model!$BL$249</definedName>
    <definedName name="v_90_XHFO_old">Model!$BH$249</definedName>
    <definedName name="v_90_XHMETO">Model!$X$249</definedName>
    <definedName name="v_90_XHSRO">Model!$Z$249</definedName>
    <definedName name="v_90_XINORG">Model!$AV$249</definedName>
    <definedName name="v_90_XMEOLO">Model!$S$249</definedName>
    <definedName name="v_90_XMOB">Model!$CU$249</definedName>
    <definedName name="v_90_XN_B">Model!$AK$249</definedName>
    <definedName name="v_90_XN_U">Model!$AL$249</definedName>
    <definedName name="v_90_XNOB">Model!$U$249</definedName>
    <definedName name="v_90_XOHO">Model!$Q$249</definedName>
    <definedName name="v_90_XP_B">Model!$AP$249</definedName>
    <definedName name="v_90_XP_U">Model!$AQ$249</definedName>
    <definedName name="v_90_XPHA">Model!$M$249</definedName>
    <definedName name="v_90_XPP">Model!$AN$249</definedName>
    <definedName name="v_90_XS">Model!$BD$249</definedName>
    <definedName name="v_90_XSOO">Model!$AA$249</definedName>
    <definedName name="v_90_XSTR">Model!$BW$249</definedName>
    <definedName name="v_90_XU">Model!$L$249</definedName>
    <definedName name="v_90_XVivi">Model!$BX$249</definedName>
    <definedName name="v_91_CB">Model!$H$250</definedName>
    <definedName name="v_91_CU">Model!$K$250</definedName>
    <definedName name="v_91_GCH4">Model!$CC$250</definedName>
    <definedName name="v_91_GCH4_atm">Model!$CL$250</definedName>
    <definedName name="v_91_GCO2">Model!$CB$250</definedName>
    <definedName name="v_91_GCO2_atm">Model!$CK$250</definedName>
    <definedName name="v_91_GH2">Model!$CD$250</definedName>
    <definedName name="v_91_GH2_atm">Model!$CM$250</definedName>
    <definedName name="v_91_GH2S">Model!$CJ$250</definedName>
    <definedName name="v_91_GH2S_atm">Model!$CS$250</definedName>
    <definedName name="v_91_GN2">Model!$CI$250</definedName>
    <definedName name="v_91_GN2_atm">Model!$CR$250</definedName>
    <definedName name="v_91_GN2O">Model!$CH$250</definedName>
    <definedName name="v_91_GN2O_atm">Model!$CQ$250</definedName>
    <definedName name="v_91_GNH3">Model!$CF$250</definedName>
    <definedName name="v_91_GNH3_atm">Model!$CO$250</definedName>
    <definedName name="v_91_GNO">Model!$CG$250</definedName>
    <definedName name="v_91_GNO_atm">Model!$CP$250</definedName>
    <definedName name="v_91_GO2">Model!$CE$250</definedName>
    <definedName name="v_91_GO2_atm">Model!$CN$250</definedName>
    <definedName name="v_91_H">Model!$BZ$250</definedName>
    <definedName name="v_91_SALPHA">Model!$CA$250</definedName>
    <definedName name="v_91_SAN">Model!$AX$250</definedName>
    <definedName name="v_91_SB">Model!$F$250</definedName>
    <definedName name="v_91_SCa">Model!$AY$250</definedName>
    <definedName name="v_91_SCAT">Model!$AW$250</definedName>
    <definedName name="v_91_SCH4">Model!$AS$250</definedName>
    <definedName name="v_91_SCO2">Model!$AU$250</definedName>
    <definedName name="v_91_SFe2">Model!$BE$250</definedName>
    <definedName name="v_91_SH2">Model!$AT$250</definedName>
    <definedName name="v_91_SH2S">Model!$BB$250</definedName>
    <definedName name="v_91_SK">Model!$BA$250</definedName>
    <definedName name="v_91_SMEOL">Model!$G$250</definedName>
    <definedName name="v_91_SMg">Model!$AZ$250</definedName>
    <definedName name="v_91_SMM_index">Model!$CT$250</definedName>
    <definedName name="v_91_SN_B">Model!$AJ$250</definedName>
    <definedName name="v_91_SN2">Model!$AI$250</definedName>
    <definedName name="v_91_SN2O">Model!$AH$250</definedName>
    <definedName name="v_91_SNH2OH">Model!$AC$250</definedName>
    <definedName name="v_91_SNHx">Model!$AB$250</definedName>
    <definedName name="v_91_SNO_AOB">Model!$AF$250</definedName>
    <definedName name="v_91_SNO_OHO">Model!$AG$250</definedName>
    <definedName name="v_91_SNO2">Model!$AE$250</definedName>
    <definedName name="v_91_SNO3">Model!$AD$250</definedName>
    <definedName name="v_91_SO2">Model!$AR$250</definedName>
    <definedName name="v_91_SP_B">Model!$AO$250</definedName>
    <definedName name="v_91_SPO4">Model!$AM$250</definedName>
    <definedName name="v_91_SSO4">Model!$BC$250</definedName>
    <definedName name="v_91_SU">Model!$J$250</definedName>
    <definedName name="v_91_SVFA">Model!$E$250</definedName>
    <definedName name="v_91_XACP">Model!$BU$250</definedName>
    <definedName name="v_91_XAMETO">Model!$W$250</definedName>
    <definedName name="v_91_XAMX">Model!$V$250</definedName>
    <definedName name="v_91_XAOB">Model!$T$250</definedName>
    <definedName name="v_91_XASRO">Model!$Y$250</definedName>
    <definedName name="v_91_XB">Model!$I$250</definedName>
    <definedName name="v_91_XBSH">Model!$BV$250</definedName>
    <definedName name="v_91_XCaCO3">Model!$BT$250</definedName>
    <definedName name="v_91_XCASTO">Model!$R$250</definedName>
    <definedName name="v_91_XE">Model!$O$250</definedName>
    <definedName name="v_91_XE_ana">Model!$P$250</definedName>
    <definedName name="v_91_XFeS">Model!$BY$250</definedName>
    <definedName name="v_91_XGLY">Model!$N$250</definedName>
    <definedName name="v_91_XHAO_H">Model!$BM$250</definedName>
    <definedName name="v_91_XHAO_H_P">Model!$BP$250</definedName>
    <definedName name="v_91_XHAO_H_P_old">Model!$BR$250</definedName>
    <definedName name="v_91_XHAO_L">Model!$BN$250</definedName>
    <definedName name="v_91_XHAO_L_P">Model!$BQ$250</definedName>
    <definedName name="v_91_XHAO_L_P_old">Model!$BS$250</definedName>
    <definedName name="v_91_XHAO_old">Model!$BO$250</definedName>
    <definedName name="v_91_XHFO_H">Model!$BF$250</definedName>
    <definedName name="v_91_XHFO_H_P">Model!$BI$250</definedName>
    <definedName name="v_91_XHFO_H_P_old">Model!$BK$250</definedName>
    <definedName name="v_91_XHFO_L">Model!$BG$250</definedName>
    <definedName name="v_91_XHFO_L_P">Model!$BJ$250</definedName>
    <definedName name="v_91_XHFO_L_P_old">Model!$BL$250</definedName>
    <definedName name="v_91_XHFO_old">Model!$BH$250</definedName>
    <definedName name="v_91_XHMETO">Model!$X$250</definedName>
    <definedName name="v_91_XHSRO">Model!$Z$250</definedName>
    <definedName name="v_91_XINORG">Model!$AV$250</definedName>
    <definedName name="v_91_XMEOLO">Model!$S$250</definedName>
    <definedName name="v_91_XMOB">Model!$CU$250</definedName>
    <definedName name="v_91_XN_B">Model!$AK$250</definedName>
    <definedName name="v_91_XN_U">Model!$AL$250</definedName>
    <definedName name="v_91_XNOB">Model!$U$250</definedName>
    <definedName name="v_91_XOHO">Model!$Q$250</definedName>
    <definedName name="v_91_XP_B">Model!$AP$250</definedName>
    <definedName name="v_91_XP_U">Model!$AQ$250</definedName>
    <definedName name="v_91_XPHA">Model!$M$250</definedName>
    <definedName name="v_91_XPP">Model!$AN$250</definedName>
    <definedName name="v_91_XS">Model!$BD$250</definedName>
    <definedName name="v_91_XSOO">Model!$AA$250</definedName>
    <definedName name="v_91_XSTR">Model!$BW$250</definedName>
    <definedName name="v_91_XU">Model!$L$250</definedName>
    <definedName name="v_91_XVivi">Model!$BX$250</definedName>
    <definedName name="v_92_CB">Model!$H$251</definedName>
    <definedName name="v_92_CU">Model!$K$251</definedName>
    <definedName name="v_92_GCH4">Model!$CC$251</definedName>
    <definedName name="v_92_GCH4_atm">Model!$CL$251</definedName>
    <definedName name="v_92_GCO2">Model!$CB$251</definedName>
    <definedName name="v_92_GCO2_atm">Model!$CK$251</definedName>
    <definedName name="v_92_GH2">Model!$CD$251</definedName>
    <definedName name="v_92_GH2_atm">Model!$CM$251</definedName>
    <definedName name="v_92_GH2S">Model!$CJ$251</definedName>
    <definedName name="v_92_GH2S_atm">Model!$CS$251</definedName>
    <definedName name="v_92_GN2">Model!$CI$251</definedName>
    <definedName name="v_92_GN2_atm">Model!$CR$251</definedName>
    <definedName name="v_92_GN2O">Model!$CH$251</definedName>
    <definedName name="v_92_GN2O_atm">Model!$CQ$251</definedName>
    <definedName name="v_92_GNH3">Model!$CF$251</definedName>
    <definedName name="v_92_GNH3_atm">Model!$CO$251</definedName>
    <definedName name="v_92_GNO">Model!$CG$251</definedName>
    <definedName name="v_92_GNO_atm">Model!$CP$251</definedName>
    <definedName name="v_92_GO2">Model!$CE$251</definedName>
    <definedName name="v_92_GO2_atm">Model!$CN$251</definedName>
    <definedName name="v_92_H">Model!$BZ$251</definedName>
    <definedName name="v_92_SALPHA">Model!$CA$251</definedName>
    <definedName name="v_92_SAN">Model!$AX$251</definedName>
    <definedName name="v_92_SB">Model!$F$251</definedName>
    <definedName name="v_92_SCa">Model!$AY$251</definedName>
    <definedName name="v_92_SCAT">Model!$AW$251</definedName>
    <definedName name="v_92_SCH4">Model!$AS$251</definedName>
    <definedName name="v_92_SCO2">Model!$AU$251</definedName>
    <definedName name="v_92_SFe2">Model!$BE$251</definedName>
    <definedName name="v_92_SH2">Model!$AT$251</definedName>
    <definedName name="v_92_SH2S">Model!$BB$251</definedName>
    <definedName name="v_92_SK">Model!$BA$251</definedName>
    <definedName name="v_92_SMEOL">Model!$G$251</definedName>
    <definedName name="v_92_SMg">Model!$AZ$251</definedName>
    <definedName name="v_92_SMM_index">Model!$CT$251</definedName>
    <definedName name="v_92_SN_B">Model!$AJ$251</definedName>
    <definedName name="v_92_SN2">Model!$AI$251</definedName>
    <definedName name="v_92_SN2O">Model!$AH$251</definedName>
    <definedName name="v_92_SNH2OH">Model!$AC$251</definedName>
    <definedName name="v_92_SNHx">Model!$AB$251</definedName>
    <definedName name="v_92_SNO_AOB">Model!$AF$251</definedName>
    <definedName name="v_92_SNO_OHO">Model!$AG$251</definedName>
    <definedName name="v_92_SNO2">Model!$AE$251</definedName>
    <definedName name="v_92_SNO3">Model!$AD$251</definedName>
    <definedName name="v_92_SO2">Model!$AR$251</definedName>
    <definedName name="v_92_SP_B">Model!$AO$251</definedName>
    <definedName name="v_92_SPO4">Model!$AM$251</definedName>
    <definedName name="v_92_SSO4">Model!$BC$251</definedName>
    <definedName name="v_92_SU">Model!$J$251</definedName>
    <definedName name="v_92_SVFA">Model!$E$251</definedName>
    <definedName name="v_92_XACP">Model!$BU$251</definedName>
    <definedName name="v_92_XAMETO">Model!$W$251</definedName>
    <definedName name="v_92_XAMX">Model!$V$251</definedName>
    <definedName name="v_92_XAOB">Model!$T$251</definedName>
    <definedName name="v_92_XASRO">Model!$Y$251</definedName>
    <definedName name="v_92_XB">Model!$I$251</definedName>
    <definedName name="v_92_XBSH">Model!$BV$251</definedName>
    <definedName name="v_92_XCaCO3">Model!$BT$251</definedName>
    <definedName name="v_92_XCASTO">Model!$R$251</definedName>
    <definedName name="v_92_XE">Model!$O$251</definedName>
    <definedName name="v_92_XE_ana">Model!$P$251</definedName>
    <definedName name="v_92_XFeS">Model!$BY$251</definedName>
    <definedName name="v_92_XGLY">Model!$N$251</definedName>
    <definedName name="v_92_XHAO_H">Model!$BM$251</definedName>
    <definedName name="v_92_XHAO_H_P">Model!$BP$251</definedName>
    <definedName name="v_92_XHAO_H_P_old">Model!$BR$251</definedName>
    <definedName name="v_92_XHAO_L">Model!$BN$251</definedName>
    <definedName name="v_92_XHAO_L_P">Model!$BQ$251</definedName>
    <definedName name="v_92_XHAO_L_P_old">Model!$BS$251</definedName>
    <definedName name="v_92_XHAO_old">Model!$BO$251</definedName>
    <definedName name="v_92_XHFO_H">Model!$BF$251</definedName>
    <definedName name="v_92_XHFO_H_P">Model!$BI$251</definedName>
    <definedName name="v_92_XHFO_H_P_old">Model!$BK$251</definedName>
    <definedName name="v_92_XHFO_L">Model!$BG$251</definedName>
    <definedName name="v_92_XHFO_L_P">Model!$BJ$251</definedName>
    <definedName name="v_92_XHFO_L_P_old">Model!$BL$251</definedName>
    <definedName name="v_92_XHFO_old">Model!$BH$251</definedName>
    <definedName name="v_92_XHMETO">Model!$X$251</definedName>
    <definedName name="v_92_XHSRO">Model!$Z$251</definedName>
    <definedName name="v_92_XINORG">Model!$AV$251</definedName>
    <definedName name="v_92_XMEOLO">Model!$S$251</definedName>
    <definedName name="v_92_XMOB">Model!$CU$251</definedName>
    <definedName name="v_92_XN_B">Model!$AK$251</definedName>
    <definedName name="v_92_XN_U">Model!$AL$251</definedName>
    <definedName name="v_92_XNOB">Model!$U$251</definedName>
    <definedName name="v_92_XOHO">Model!$Q$251</definedName>
    <definedName name="v_92_XP_B">Model!$AP$251</definedName>
    <definedName name="v_92_XP_U">Model!$AQ$251</definedName>
    <definedName name="v_92_XPHA">Model!$M$251</definedName>
    <definedName name="v_92_XPP">Model!$AN$251</definedName>
    <definedName name="v_92_XS">Model!$BD$251</definedName>
    <definedName name="v_92_XSOO">Model!$AA$251</definedName>
    <definedName name="v_92_XSTR">Model!$BW$251</definedName>
    <definedName name="v_92_XU">Model!$L$251</definedName>
    <definedName name="v_92_XVivi">Model!$BX$251</definedName>
    <definedName name="v_93_CB">Model!$H$252</definedName>
    <definedName name="v_93_CU">Model!$K$252</definedName>
    <definedName name="v_93_GCH4">Model!$CC$252</definedName>
    <definedName name="v_93_GCH4_atm">Model!$CL$252</definedName>
    <definedName name="v_93_GCO2">Model!$CB$252</definedName>
    <definedName name="v_93_GCO2_atm">Model!$CK$252</definedName>
    <definedName name="v_93_GH2">Model!$CD$252</definedName>
    <definedName name="v_93_GH2_atm">Model!$CM$252</definedName>
    <definedName name="v_93_GH2S">Model!$CJ$252</definedName>
    <definedName name="v_93_GH2S_atm">Model!$CS$252</definedName>
    <definedName name="v_93_GN2">Model!$CI$252</definedName>
    <definedName name="v_93_GN2_atm">Model!$CR$252</definedName>
    <definedName name="v_93_GN2O">Model!$CH$252</definedName>
    <definedName name="v_93_GN2O_atm">Model!$CQ$252</definedName>
    <definedName name="v_93_GNH3">Model!$CF$252</definedName>
    <definedName name="v_93_GNH3_atm">Model!$CO$252</definedName>
    <definedName name="v_93_GNO">Model!$CG$252</definedName>
    <definedName name="v_93_GNO_atm">Model!$CP$252</definedName>
    <definedName name="v_93_GO2">Model!$CE$252</definedName>
    <definedName name="v_93_GO2_atm">Model!$CN$252</definedName>
    <definedName name="v_93_H">Model!$BZ$252</definedName>
    <definedName name="v_93_SALPHA">Model!$CA$252</definedName>
    <definedName name="v_93_SAN">Model!$AX$252</definedName>
    <definedName name="v_93_SB">Model!$F$252</definedName>
    <definedName name="v_93_SCa">Model!$AY$252</definedName>
    <definedName name="v_93_SCAT">Model!$AW$252</definedName>
    <definedName name="v_93_SCH4">Model!$AS$252</definedName>
    <definedName name="v_93_SCO2">Model!$AU$252</definedName>
    <definedName name="v_93_SFe2">Model!$BE$252</definedName>
    <definedName name="v_93_SH2">Model!$AT$252</definedName>
    <definedName name="v_93_SH2S">Model!$BB$252</definedName>
    <definedName name="v_93_SK">Model!$BA$252</definedName>
    <definedName name="v_93_SMEOL">Model!$G$252</definedName>
    <definedName name="v_93_SMg">Model!$AZ$252</definedName>
    <definedName name="v_93_SMM_index">Model!$CT$252</definedName>
    <definedName name="v_93_SN_B">Model!$AJ$252</definedName>
    <definedName name="v_93_SN2">Model!$AI$252</definedName>
    <definedName name="v_93_SN2O">Model!$AH$252</definedName>
    <definedName name="v_93_SNH2OH">Model!$AC$252</definedName>
    <definedName name="v_93_SNHx">Model!$AB$252</definedName>
    <definedName name="v_93_SNO_AOB">Model!$AF$252</definedName>
    <definedName name="v_93_SNO_OHO">Model!$AG$252</definedName>
    <definedName name="v_93_SNO2">Model!$AE$252</definedName>
    <definedName name="v_93_SNO3">Model!$AD$252</definedName>
    <definedName name="v_93_SO2">Model!$AR$252</definedName>
    <definedName name="v_93_SP_B">Model!$AO$252</definedName>
    <definedName name="v_93_SPO4">Model!$AM$252</definedName>
    <definedName name="v_93_SSO4">Model!$BC$252</definedName>
    <definedName name="v_93_SU">Model!$J$252</definedName>
    <definedName name="v_93_SVFA">Model!$E$252</definedName>
    <definedName name="v_93_XACP">Model!$BU$252</definedName>
    <definedName name="v_93_XAMETO">Model!$W$252</definedName>
    <definedName name="v_93_XAMX">Model!$V$252</definedName>
    <definedName name="v_93_XAOB">Model!$T$252</definedName>
    <definedName name="v_93_XASRO">Model!$Y$252</definedName>
    <definedName name="v_93_XB">Model!$I$252</definedName>
    <definedName name="v_93_XBSH">Model!$BV$252</definedName>
    <definedName name="v_93_XCaCO3">Model!$BT$252</definedName>
    <definedName name="v_93_XCASTO">Model!$R$252</definedName>
    <definedName name="v_93_XE">Model!$O$252</definedName>
    <definedName name="v_93_XE_ana">Model!$P$252</definedName>
    <definedName name="v_93_XFeS">Model!$BY$252</definedName>
    <definedName name="v_93_XGLY">Model!$N$252</definedName>
    <definedName name="v_93_XHAO_H">Model!$BM$252</definedName>
    <definedName name="v_93_XHAO_H_P">Model!$BP$252</definedName>
    <definedName name="v_93_XHAO_H_P_old">Model!$BR$252</definedName>
    <definedName name="v_93_XHAO_L">Model!$BN$252</definedName>
    <definedName name="v_93_XHAO_L_P">Model!$BQ$252</definedName>
    <definedName name="v_93_XHAO_L_P_old">Model!$BS$252</definedName>
    <definedName name="v_93_XHAO_old">Model!$BO$252</definedName>
    <definedName name="v_93_XHFO_H">Model!$BF$252</definedName>
    <definedName name="v_93_XHFO_H_P">Model!$BI$252</definedName>
    <definedName name="v_93_XHFO_H_P_old">Model!$BK$252</definedName>
    <definedName name="v_93_XHFO_L">Model!$BG$252</definedName>
    <definedName name="v_93_XHFO_L_P">Model!$BJ$252</definedName>
    <definedName name="v_93_XHFO_L_P_old">Model!$BL$252</definedName>
    <definedName name="v_93_XHFO_old">Model!$BH$252</definedName>
    <definedName name="v_93_XHMETO">Model!$X$252</definedName>
    <definedName name="v_93_XHSRO">Model!$Z$252</definedName>
    <definedName name="v_93_XINORG">Model!$AV$252</definedName>
    <definedName name="v_93_XMEOLO">Model!$S$252</definedName>
    <definedName name="v_93_XMOB">Model!$CU$252</definedName>
    <definedName name="v_93_XN_B">Model!$AK$252</definedName>
    <definedName name="v_93_XN_U">Model!$AL$252</definedName>
    <definedName name="v_93_XNOB">Model!$U$252</definedName>
    <definedName name="v_93_XOHO">Model!$Q$252</definedName>
    <definedName name="v_93_XP_B">Model!$AP$252</definedName>
    <definedName name="v_93_XP_U">Model!$AQ$252</definedName>
    <definedName name="v_93_XPHA">Model!$M$252</definedName>
    <definedName name="v_93_XPP">Model!$AN$252</definedName>
    <definedName name="v_93_XS">Model!$BD$252</definedName>
    <definedName name="v_93_XSOO">Model!$AA$252</definedName>
    <definedName name="v_93_XSTR">Model!$BW$252</definedName>
    <definedName name="v_93_XU">Model!$L$252</definedName>
    <definedName name="v_93_XVivi">Model!$BX$252</definedName>
    <definedName name="v_94_CB">Model!$H$253</definedName>
    <definedName name="v_94_CU">Model!$K$253</definedName>
    <definedName name="v_94_GCH4">Model!$CC$253</definedName>
    <definedName name="v_94_GCH4_atm">Model!$CL$253</definedName>
    <definedName name="v_94_GCO2">Model!$CB$253</definedName>
    <definedName name="v_94_GCO2_atm">Model!$CK$253</definedName>
    <definedName name="v_94_GH2">Model!$CD$253</definedName>
    <definedName name="v_94_GH2_atm">Model!$CM$253</definedName>
    <definedName name="v_94_GH2S">Model!$CJ$253</definedName>
    <definedName name="v_94_GH2S_atm">Model!$CS$253</definedName>
    <definedName name="v_94_GN2">Model!$CI$253</definedName>
    <definedName name="v_94_GN2_atm">Model!$CR$253</definedName>
    <definedName name="v_94_GN2O">Model!$CH$253</definedName>
    <definedName name="v_94_GN2O_atm">Model!$CQ$253</definedName>
    <definedName name="v_94_GNH3">Model!$CF$253</definedName>
    <definedName name="v_94_GNH3_atm">Model!$CO$253</definedName>
    <definedName name="v_94_GNO">Model!$CG$253</definedName>
    <definedName name="v_94_GNO_atm">Model!$CP$253</definedName>
    <definedName name="v_94_GO2">Model!$CE$253</definedName>
    <definedName name="v_94_GO2_atm">Model!$CN$253</definedName>
    <definedName name="v_94_H">Model!$BZ$253</definedName>
    <definedName name="v_94_SALPHA">Model!$CA$253</definedName>
    <definedName name="v_94_SAN">Model!$AX$253</definedName>
    <definedName name="v_94_SB">Model!$F$253</definedName>
    <definedName name="v_94_SCa">Model!$AY$253</definedName>
    <definedName name="v_94_SCAT">Model!$AW$253</definedName>
    <definedName name="v_94_SCH4">Model!$AS$253</definedName>
    <definedName name="v_94_SCO2">Model!$AU$253</definedName>
    <definedName name="v_94_SFe2">Model!$BE$253</definedName>
    <definedName name="v_94_SH2">Model!$AT$253</definedName>
    <definedName name="v_94_SH2S">Model!$BB$253</definedName>
    <definedName name="v_94_SK">Model!$BA$253</definedName>
    <definedName name="v_94_SMEOL">Model!$G$253</definedName>
    <definedName name="v_94_SMg">Model!$AZ$253</definedName>
    <definedName name="v_94_SMM_index">Model!$CT$253</definedName>
    <definedName name="v_94_SN_B">Model!$AJ$253</definedName>
    <definedName name="v_94_SN2">Model!$AI$253</definedName>
    <definedName name="v_94_SN2O">Model!$AH$253</definedName>
    <definedName name="v_94_SNH2OH">Model!$AC$253</definedName>
    <definedName name="v_94_SNHx">Model!$AB$253</definedName>
    <definedName name="v_94_SNO_AOB">Model!$AF$253</definedName>
    <definedName name="v_94_SNO_OHO">Model!$AG$253</definedName>
    <definedName name="v_94_SNO2">Model!$AE$253</definedName>
    <definedName name="v_94_SNO3">Model!$AD$253</definedName>
    <definedName name="v_94_SO2">Model!$AR$253</definedName>
    <definedName name="v_94_SP_B">Model!$AO$253</definedName>
    <definedName name="v_94_SPO4">Model!$AM$253</definedName>
    <definedName name="v_94_SSO4">Model!$BC$253</definedName>
    <definedName name="v_94_SU">Model!$J$253</definedName>
    <definedName name="v_94_SVFA">Model!$E$253</definedName>
    <definedName name="v_94_XACP">Model!$BU$253</definedName>
    <definedName name="v_94_XAMETO">Model!$W$253</definedName>
    <definedName name="v_94_XAMX">Model!$V$253</definedName>
    <definedName name="v_94_XAOB">Model!$T$253</definedName>
    <definedName name="v_94_XASRO">Model!$Y$253</definedName>
    <definedName name="v_94_XB">Model!$I$253</definedName>
    <definedName name="v_94_XBSH">Model!$BV$253</definedName>
    <definedName name="v_94_XCaCO3">Model!$BT$253</definedName>
    <definedName name="v_94_XCASTO">Model!$R$253</definedName>
    <definedName name="v_94_XE">Model!$O$253</definedName>
    <definedName name="v_94_XE_ana">Model!$P$253</definedName>
    <definedName name="v_94_XFeS">Model!$BY$253</definedName>
    <definedName name="v_94_XGLY">Model!$N$253</definedName>
    <definedName name="v_94_XHAO_H">Model!$BM$253</definedName>
    <definedName name="v_94_XHAO_H_P">Model!$BP$253</definedName>
    <definedName name="v_94_XHAO_H_P_old">Model!$BR$253</definedName>
    <definedName name="v_94_XHAO_L">Model!$BN$253</definedName>
    <definedName name="v_94_XHAO_L_P">Model!$BQ$253</definedName>
    <definedName name="v_94_XHAO_L_P_old">Model!$BS$253</definedName>
    <definedName name="v_94_XHAO_old">Model!$BO$253</definedName>
    <definedName name="v_94_XHFO_H">Model!$BF$253</definedName>
    <definedName name="v_94_XHFO_H_P">Model!$BI$253</definedName>
    <definedName name="v_94_XHFO_H_P_old">Model!$BK$253</definedName>
    <definedName name="v_94_XHFO_L">Model!$BG$253</definedName>
    <definedName name="v_94_XHFO_L_P">Model!$BJ$253</definedName>
    <definedName name="v_94_XHFO_L_P_old">Model!$BL$253</definedName>
    <definedName name="v_94_XHFO_old">Model!$BH$253</definedName>
    <definedName name="v_94_XHMETO">Model!$X$253</definedName>
    <definedName name="v_94_XHSRO">Model!$Z$253</definedName>
    <definedName name="v_94_XINORG">Model!$AV$253</definedName>
    <definedName name="v_94_XMEOLO">Model!$S$253</definedName>
    <definedName name="v_94_XMOB">Model!$CU$253</definedName>
    <definedName name="v_94_XN_B">Model!$AK$253</definedName>
    <definedName name="v_94_XN_U">Model!$AL$253</definedName>
    <definedName name="v_94_XNOB">Model!$U$253</definedName>
    <definedName name="v_94_XOHO">Model!$Q$253</definedName>
    <definedName name="v_94_XP_B">Model!$AP$253</definedName>
    <definedName name="v_94_XP_U">Model!$AQ$253</definedName>
    <definedName name="v_94_XPHA">Model!$M$253</definedName>
    <definedName name="v_94_XPP">Model!$AN$253</definedName>
    <definedName name="v_94_XS">Model!$BD$253</definedName>
    <definedName name="v_94_XSOO">Model!$AA$253</definedName>
    <definedName name="v_94_XSTR">Model!$BW$253</definedName>
    <definedName name="v_94_XU">Model!$L$253</definedName>
    <definedName name="v_94_XVivi">Model!$BX$253</definedName>
    <definedName name="v_95_CB">Model!$H$254</definedName>
    <definedName name="v_95_CU">Model!$K$254</definedName>
    <definedName name="v_95_GCH4">Model!$CC$254</definedName>
    <definedName name="v_95_GCH4_atm">Model!$CL$254</definedName>
    <definedName name="v_95_GCO2">Model!$CB$254</definedName>
    <definedName name="v_95_GCO2_atm">Model!$CK$254</definedName>
    <definedName name="v_95_GH2">Model!$CD$254</definedName>
    <definedName name="v_95_GH2_atm">Model!$CM$254</definedName>
    <definedName name="v_95_GH2S">Model!$CJ$254</definedName>
    <definedName name="v_95_GH2S_atm">Model!$CS$254</definedName>
    <definedName name="v_95_GN2">Model!$CI$254</definedName>
    <definedName name="v_95_GN2_atm">Model!$CR$254</definedName>
    <definedName name="v_95_GN2O">Model!$CH$254</definedName>
    <definedName name="v_95_GN2O_atm">Model!$CQ$254</definedName>
    <definedName name="v_95_GNH3">Model!$CF$254</definedName>
    <definedName name="v_95_GNH3_atm">Model!$CO$254</definedName>
    <definedName name="v_95_GNO">Model!$CG$254</definedName>
    <definedName name="v_95_GNO_atm">Model!$CP$254</definedName>
    <definedName name="v_95_GO2">Model!$CE$254</definedName>
    <definedName name="v_95_GO2_atm">Model!$CN$254</definedName>
    <definedName name="v_95_H">Model!$BZ$254</definedName>
    <definedName name="v_95_SALPHA">Model!$CA$254</definedName>
    <definedName name="v_95_SAN">Model!$AX$254</definedName>
    <definedName name="v_95_SB">Model!$F$254</definedName>
    <definedName name="v_95_SCa">Model!$AY$254</definedName>
    <definedName name="v_95_SCAT">Model!$AW$254</definedName>
    <definedName name="v_95_SCH4">Model!$AS$254</definedName>
    <definedName name="v_95_SCO2">Model!$AU$254</definedName>
    <definedName name="v_95_SFe2">Model!$BE$254</definedName>
    <definedName name="v_95_SH2">Model!$AT$254</definedName>
    <definedName name="v_95_SH2S">Model!$BB$254</definedName>
    <definedName name="v_95_SK">Model!$BA$254</definedName>
    <definedName name="v_95_SMEOL">Model!$G$254</definedName>
    <definedName name="v_95_SMg">Model!$AZ$254</definedName>
    <definedName name="v_95_SMM_index">Model!$CT$254</definedName>
    <definedName name="v_95_SN_B">Model!$AJ$254</definedName>
    <definedName name="v_95_SN2">Model!$AI$254</definedName>
    <definedName name="v_95_SN2O">Model!$AH$254</definedName>
    <definedName name="v_95_SNH2OH">Model!$AC$254</definedName>
    <definedName name="v_95_SNHx">Model!$AB$254</definedName>
    <definedName name="v_95_SNO_AOB">Model!$AF$254</definedName>
    <definedName name="v_95_SNO_OHO">Model!$AG$254</definedName>
    <definedName name="v_95_SNO2">Model!$AE$254</definedName>
    <definedName name="v_95_SNO3">Model!$AD$254</definedName>
    <definedName name="v_95_SO2">Model!$AR$254</definedName>
    <definedName name="v_95_SP_B">Model!$AO$254</definedName>
    <definedName name="v_95_SPO4">Model!$AM$254</definedName>
    <definedName name="v_95_SSO4">Model!$BC$254</definedName>
    <definedName name="v_95_SU">Model!$J$254</definedName>
    <definedName name="v_95_SVFA">Model!$E$254</definedName>
    <definedName name="v_95_XACP">Model!$BU$254</definedName>
    <definedName name="v_95_XAMETO">Model!$W$254</definedName>
    <definedName name="v_95_XAMX">Model!$V$254</definedName>
    <definedName name="v_95_XAOB">Model!$T$254</definedName>
    <definedName name="v_95_XASRO">Model!$Y$254</definedName>
    <definedName name="v_95_XB">Model!$I$254</definedName>
    <definedName name="v_95_XBSH">Model!$BV$254</definedName>
    <definedName name="v_95_XCaCO3">Model!$BT$254</definedName>
    <definedName name="v_95_XCASTO">Model!$R$254</definedName>
    <definedName name="v_95_XE">Model!$O$254</definedName>
    <definedName name="v_95_XE_ana">Model!$P$254</definedName>
    <definedName name="v_95_XFeS">Model!$BY$254</definedName>
    <definedName name="v_95_XGLY">Model!$N$254</definedName>
    <definedName name="v_95_XHAO_H">Model!$BM$254</definedName>
    <definedName name="v_95_XHAO_H_P">Model!$BP$254</definedName>
    <definedName name="v_95_XHAO_H_P_old">Model!$BR$254</definedName>
    <definedName name="v_95_XHAO_L">Model!$BN$254</definedName>
    <definedName name="v_95_XHAO_L_P">Model!$BQ$254</definedName>
    <definedName name="v_95_XHAO_L_P_old">Model!$BS$254</definedName>
    <definedName name="v_95_XHAO_old">Model!$BO$254</definedName>
    <definedName name="v_95_XHFO_H">Model!$BF$254</definedName>
    <definedName name="v_95_XHFO_H_P">Model!$BI$254</definedName>
    <definedName name="v_95_XHFO_H_P_old">Model!$BK$254</definedName>
    <definedName name="v_95_XHFO_L">Model!$BG$254</definedName>
    <definedName name="v_95_XHFO_L_P">Model!$BJ$254</definedName>
    <definedName name="v_95_XHFO_L_P_old">Model!$BL$254</definedName>
    <definedName name="v_95_XHFO_old">Model!$BH$254</definedName>
    <definedName name="v_95_XHMETO">Model!$X$254</definedName>
    <definedName name="v_95_XHSRO">Model!$Z$254</definedName>
    <definedName name="v_95_XINORG">Model!$AV$254</definedName>
    <definedName name="v_95_XMEOLO">Model!$S$254</definedName>
    <definedName name="v_95_XMOB">Model!$CU$254</definedName>
    <definedName name="v_95_XN_B">Model!$AK$254</definedName>
    <definedName name="v_95_XN_U">Model!$AL$254</definedName>
    <definedName name="v_95_XNOB">Model!$U$254</definedName>
    <definedName name="v_95_XOHO">Model!$Q$254</definedName>
    <definedName name="v_95_XP_B">Model!$AP$254</definedName>
    <definedName name="v_95_XP_U">Model!$AQ$254</definedName>
    <definedName name="v_95_XPHA">Model!$M$254</definedName>
    <definedName name="v_95_XPP">Model!$AN$254</definedName>
    <definedName name="v_95_XS">Model!$BD$254</definedName>
    <definedName name="v_95_XSOO">Model!$AA$254</definedName>
    <definedName name="v_95_XSTR">Model!$BW$254</definedName>
    <definedName name="v_95_XU">Model!$L$254</definedName>
    <definedName name="v_95_XVivi">Model!$BX$254</definedName>
    <definedName name="v_96_CB">Model!$H$255</definedName>
    <definedName name="v_96_CU">Model!$K$255</definedName>
    <definedName name="v_96_GCH4">Model!$CC$255</definedName>
    <definedName name="v_96_GCH4_atm">Model!$CL$255</definedName>
    <definedName name="v_96_GCO2">Model!$CB$255</definedName>
    <definedName name="v_96_GCO2_atm">Model!$CK$255</definedName>
    <definedName name="v_96_GH2">Model!$CD$255</definedName>
    <definedName name="v_96_GH2_atm">Model!$CM$255</definedName>
    <definedName name="v_96_GH2S">Model!$CJ$255</definedName>
    <definedName name="v_96_GH2S_atm">Model!$CS$255</definedName>
    <definedName name="v_96_GN2">Model!$CI$255</definedName>
    <definedName name="v_96_GN2_atm">Model!$CR$255</definedName>
    <definedName name="v_96_GN2O">Model!$CH$255</definedName>
    <definedName name="v_96_GN2O_atm">Model!$CQ$255</definedName>
    <definedName name="v_96_GNH3">Model!$CF$255</definedName>
    <definedName name="v_96_GNH3_atm">Model!$CO$255</definedName>
    <definedName name="v_96_GNO">Model!$CG$255</definedName>
    <definedName name="v_96_GNO_atm">Model!$CP$255</definedName>
    <definedName name="v_96_GO2">Model!$CE$255</definedName>
    <definedName name="v_96_GO2_atm">Model!$CN$255</definedName>
    <definedName name="v_96_H">Model!$BZ$255</definedName>
    <definedName name="v_96_SALPHA">Model!$CA$255</definedName>
    <definedName name="v_96_SAN">Model!$AX$255</definedName>
    <definedName name="v_96_SB">Model!$F$255</definedName>
    <definedName name="v_96_SCa">Model!$AY$255</definedName>
    <definedName name="v_96_SCAT">Model!$AW$255</definedName>
    <definedName name="v_96_SCH4">Model!$AS$255</definedName>
    <definedName name="v_96_SCO2">Model!$AU$255</definedName>
    <definedName name="v_96_SFe2">Model!$BE$255</definedName>
    <definedName name="v_96_SH2">Model!$AT$255</definedName>
    <definedName name="v_96_SH2S">Model!$BB$255</definedName>
    <definedName name="v_96_SK">Model!$BA$255</definedName>
    <definedName name="v_96_SMEOL">Model!$G$255</definedName>
    <definedName name="v_96_SMg">Model!$AZ$255</definedName>
    <definedName name="v_96_SMM_index">Model!$CT$255</definedName>
    <definedName name="v_96_SN_B">Model!$AJ$255</definedName>
    <definedName name="v_96_SN2">Model!$AI$255</definedName>
    <definedName name="v_96_SN2O">Model!$AH$255</definedName>
    <definedName name="v_96_SNH2OH">Model!$AC$255</definedName>
    <definedName name="v_96_SNHx">Model!$AB$255</definedName>
    <definedName name="v_96_SNO_AOB">Model!$AF$255</definedName>
    <definedName name="v_96_SNO_OHO">Model!$AG$255</definedName>
    <definedName name="v_96_SNO2">Model!$AE$255</definedName>
    <definedName name="v_96_SNO3">Model!$AD$255</definedName>
    <definedName name="v_96_SO2">Model!$AR$255</definedName>
    <definedName name="v_96_SP_B">Model!$AO$255</definedName>
    <definedName name="v_96_SPO4">Model!$AM$255</definedName>
    <definedName name="v_96_SSO4">Model!$BC$255</definedName>
    <definedName name="v_96_SU">Model!$J$255</definedName>
    <definedName name="v_96_SVFA">Model!$E$255</definedName>
    <definedName name="v_96_XACP">Model!$BU$255</definedName>
    <definedName name="v_96_XAMETO">Model!$W$255</definedName>
    <definedName name="v_96_XAMX">Model!$V$255</definedName>
    <definedName name="v_96_XAOB">Model!$T$255</definedName>
    <definedName name="v_96_XASRO">Model!$Y$255</definedName>
    <definedName name="v_96_XB">Model!$I$255</definedName>
    <definedName name="v_96_XBSH">Model!$BV$255</definedName>
    <definedName name="v_96_XCaCO3">Model!$BT$255</definedName>
    <definedName name="v_96_XCASTO">Model!$R$255</definedName>
    <definedName name="v_96_XE">Model!$O$255</definedName>
    <definedName name="v_96_XE_ana">Model!$P$255</definedName>
    <definedName name="v_96_XFeS">Model!$BY$255</definedName>
    <definedName name="v_96_XGLY">Model!$N$255</definedName>
    <definedName name="v_96_XHAO_H">Model!$BM$255</definedName>
    <definedName name="v_96_XHAO_H_P">Model!$BP$255</definedName>
    <definedName name="v_96_XHAO_H_P_old">Model!$BR$255</definedName>
    <definedName name="v_96_XHAO_L">Model!$BN$255</definedName>
    <definedName name="v_96_XHAO_L_P">Model!$BQ$255</definedName>
    <definedName name="v_96_XHAO_L_P_old">Model!$BS$255</definedName>
    <definedName name="v_96_XHAO_old">Model!$BO$255</definedName>
    <definedName name="v_96_XHFO_H">Model!$BF$255</definedName>
    <definedName name="v_96_XHFO_H_P">Model!$BI$255</definedName>
    <definedName name="v_96_XHFO_H_P_old">Model!$BK$255</definedName>
    <definedName name="v_96_XHFO_L">Model!$BG$255</definedName>
    <definedName name="v_96_XHFO_L_P">Model!$BJ$255</definedName>
    <definedName name="v_96_XHFO_L_P_old">Model!$BL$255</definedName>
    <definedName name="v_96_XHFO_old">Model!$BH$255</definedName>
    <definedName name="v_96_XHMETO">Model!$X$255</definedName>
    <definedName name="v_96_XHSRO">Model!$Z$255</definedName>
    <definedName name="v_96_XINORG">Model!$AV$255</definedName>
    <definedName name="v_96_XMEOLO">Model!$S$255</definedName>
    <definedName name="v_96_XMOB">Model!$CU$255</definedName>
    <definedName name="v_96_XN_B">Model!$AK$255</definedName>
    <definedName name="v_96_XN_U">Model!$AL$255</definedName>
    <definedName name="v_96_XNOB">Model!$U$255</definedName>
    <definedName name="v_96_XOHO">Model!$Q$255</definedName>
    <definedName name="v_96_XP_B">Model!$AP$255</definedName>
    <definedName name="v_96_XP_U">Model!$AQ$255</definedName>
    <definedName name="v_96_XPHA">Model!$M$255</definedName>
    <definedName name="v_96_XPP">Model!$AN$255</definedName>
    <definedName name="v_96_XS">Model!$BD$255</definedName>
    <definedName name="v_96_XSOO">Model!$AA$255</definedName>
    <definedName name="v_96_XSTR">Model!$BW$255</definedName>
    <definedName name="v_96_XU">Model!$L$255</definedName>
    <definedName name="v_96_XVivi">Model!$BX$255</definedName>
    <definedName name="v_97_CB">Model!$H$256</definedName>
    <definedName name="v_97_CU">Model!$K$256</definedName>
    <definedName name="v_97_GCH4">Model!$CC$256</definedName>
    <definedName name="v_97_GCH4_atm">Model!$CL$256</definedName>
    <definedName name="v_97_GCO2">Model!$CB$256</definedName>
    <definedName name="v_97_GCO2_atm">Model!$CK$256</definedName>
    <definedName name="v_97_GH2">Model!$CD$256</definedName>
    <definedName name="v_97_GH2_atm">Model!$CM$256</definedName>
    <definedName name="v_97_GH2S">Model!$CJ$256</definedName>
    <definedName name="v_97_GH2S_atm">Model!$CS$256</definedName>
    <definedName name="v_97_GN2">Model!$CI$256</definedName>
    <definedName name="v_97_GN2_atm">Model!$CR$256</definedName>
    <definedName name="v_97_GN2O">Model!$CH$256</definedName>
    <definedName name="v_97_GN2O_atm">Model!$CQ$256</definedName>
    <definedName name="v_97_GNH3">Model!$CF$256</definedName>
    <definedName name="v_97_GNH3_atm">Model!$CO$256</definedName>
    <definedName name="v_97_GNO">Model!$CG$256</definedName>
    <definedName name="v_97_GNO_atm">Model!$CP$256</definedName>
    <definedName name="v_97_GO2">Model!$CE$256</definedName>
    <definedName name="v_97_GO2_atm">Model!$CN$256</definedName>
    <definedName name="v_97_H">Model!$BZ$256</definedName>
    <definedName name="v_97_SALPHA">Model!$CA$256</definedName>
    <definedName name="v_97_SAN">Model!$AX$256</definedName>
    <definedName name="v_97_SB">Model!$F$256</definedName>
    <definedName name="v_97_SCa">Model!$AY$256</definedName>
    <definedName name="v_97_SCAT">Model!$AW$256</definedName>
    <definedName name="v_97_SCH4">Model!$AS$256</definedName>
    <definedName name="v_97_SCO2">Model!$AU$256</definedName>
    <definedName name="v_97_SFe2">Model!$BE$256</definedName>
    <definedName name="v_97_SH2">Model!$AT$256</definedName>
    <definedName name="v_97_SH2S">Model!$BB$256</definedName>
    <definedName name="v_97_SK">Model!$BA$256</definedName>
    <definedName name="v_97_SMEOL">Model!$G$256</definedName>
    <definedName name="v_97_SMg">Model!$AZ$256</definedName>
    <definedName name="v_97_SMM_index">Model!$CT$256</definedName>
    <definedName name="v_97_SN_B">Model!$AJ$256</definedName>
    <definedName name="v_97_SN2">Model!$AI$256</definedName>
    <definedName name="v_97_SN2O">Model!$AH$256</definedName>
    <definedName name="v_97_SNH2OH">Model!$AC$256</definedName>
    <definedName name="v_97_SNHx">Model!$AB$256</definedName>
    <definedName name="v_97_SNO_AOB">Model!$AF$256</definedName>
    <definedName name="v_97_SNO_OHO">Model!$AG$256</definedName>
    <definedName name="v_97_SNO2">Model!$AE$256</definedName>
    <definedName name="v_97_SNO3">Model!$AD$256</definedName>
    <definedName name="v_97_SO2">Model!$AR$256</definedName>
    <definedName name="v_97_SP_B">Model!$AO$256</definedName>
    <definedName name="v_97_SPO4">Model!$AM$256</definedName>
    <definedName name="v_97_SSO4">Model!$BC$256</definedName>
    <definedName name="v_97_SU">Model!$J$256</definedName>
    <definedName name="v_97_SVFA">Model!$E$256</definedName>
    <definedName name="v_97_XACP">Model!$BU$256</definedName>
    <definedName name="v_97_XAMETO">Model!$W$256</definedName>
    <definedName name="v_97_XAMX">Model!$V$256</definedName>
    <definedName name="v_97_XAOB">Model!$T$256</definedName>
    <definedName name="v_97_XASRO">Model!$Y$256</definedName>
    <definedName name="v_97_XB">Model!$I$256</definedName>
    <definedName name="v_97_XBSH">Model!$BV$256</definedName>
    <definedName name="v_97_XCaCO3">Model!$BT$256</definedName>
    <definedName name="v_97_XCASTO">Model!$R$256</definedName>
    <definedName name="v_97_XE">Model!$O$256</definedName>
    <definedName name="v_97_XE_ana">Model!$P$256</definedName>
    <definedName name="v_97_XFeS">Model!$BY$256</definedName>
    <definedName name="v_97_XGLY">Model!$N$256</definedName>
    <definedName name="v_97_XHAO_H">Model!$BM$256</definedName>
    <definedName name="v_97_XHAO_H_P">Model!$BP$256</definedName>
    <definedName name="v_97_XHAO_H_P_old">Model!$BR$256</definedName>
    <definedName name="v_97_XHAO_L">Model!$BN$256</definedName>
    <definedName name="v_97_XHAO_L_P">Model!$BQ$256</definedName>
    <definedName name="v_97_XHAO_L_P_old">Model!$BS$256</definedName>
    <definedName name="v_97_XHAO_old">Model!$BO$256</definedName>
    <definedName name="v_97_XHFO_H">Model!$BF$256</definedName>
    <definedName name="v_97_XHFO_H_P">Model!$BI$256</definedName>
    <definedName name="v_97_XHFO_H_P_old">Model!$BK$256</definedName>
    <definedName name="v_97_XHFO_L">Model!$BG$256</definedName>
    <definedName name="v_97_XHFO_L_P">Model!$BJ$256</definedName>
    <definedName name="v_97_XHFO_L_P_old">Model!$BL$256</definedName>
    <definedName name="v_97_XHFO_old">Model!$BH$256</definedName>
    <definedName name="v_97_XHMETO">Model!$X$256</definedName>
    <definedName name="v_97_XHSRO">Model!$Z$256</definedName>
    <definedName name="v_97_XINORG">Model!$AV$256</definedName>
    <definedName name="v_97_XMEOLO">Model!$S$256</definedName>
    <definedName name="v_97_XMOB">Model!$CU$256</definedName>
    <definedName name="v_97_XN_B">Model!$AK$256</definedName>
    <definedName name="v_97_XN_U">Model!$AL$256</definedName>
    <definedName name="v_97_XNOB">Model!$U$256</definedName>
    <definedName name="v_97_XOHO">Model!$Q$256</definedName>
    <definedName name="v_97_XP_B">Model!$AP$256</definedName>
    <definedName name="v_97_XP_U">Model!$AQ$256</definedName>
    <definedName name="v_97_XPHA">Model!$M$256</definedName>
    <definedName name="v_97_XPP">Model!$AN$256</definedName>
    <definedName name="v_97_XS">Model!$BD$256</definedName>
    <definedName name="v_97_XSOO">Model!$AA$256</definedName>
    <definedName name="v_97_XSTR">Model!$BW$256</definedName>
    <definedName name="v_97_XU">Model!$L$256</definedName>
    <definedName name="v_97_XVivi">Model!$BX$256</definedName>
    <definedName name="v_98_CB">Model!$H$257</definedName>
    <definedName name="v_98_CU">Model!$K$257</definedName>
    <definedName name="v_98_GCH4">Model!$CC$257</definedName>
    <definedName name="v_98_GCH4_atm">Model!$CL$257</definedName>
    <definedName name="v_98_GCO2">Model!$CB$257</definedName>
    <definedName name="v_98_GCO2_atm">Model!$CK$257</definedName>
    <definedName name="v_98_GH2">Model!$CD$257</definedName>
    <definedName name="v_98_GH2_atm">Model!$CM$257</definedName>
    <definedName name="v_98_GH2S">Model!$CJ$257</definedName>
    <definedName name="v_98_GH2S_atm">Model!$CS$257</definedName>
    <definedName name="v_98_GN2">Model!$CI$257</definedName>
    <definedName name="v_98_GN2_atm">Model!$CR$257</definedName>
    <definedName name="v_98_GN2O">Model!$CH$257</definedName>
    <definedName name="v_98_GN2O_atm">Model!$CQ$257</definedName>
    <definedName name="v_98_GNH3">Model!$CF$257</definedName>
    <definedName name="v_98_GNH3_atm">Model!$CO$257</definedName>
    <definedName name="v_98_GNO">Model!$CG$257</definedName>
    <definedName name="v_98_GNO_atm">Model!$CP$257</definedName>
    <definedName name="v_98_GO2">Model!$CE$257</definedName>
    <definedName name="v_98_GO2_atm">Model!$CN$257</definedName>
    <definedName name="v_98_H">Model!$BZ$257</definedName>
    <definedName name="v_98_SALPHA">Model!$CA$257</definedName>
    <definedName name="v_98_SAN">Model!$AX$257</definedName>
    <definedName name="v_98_SB">Model!$F$257</definedName>
    <definedName name="v_98_SCa">Model!$AY$257</definedName>
    <definedName name="v_98_SCAT">Model!$AW$257</definedName>
    <definedName name="v_98_SCH4">Model!$AS$257</definedName>
    <definedName name="v_98_SCO2">Model!$AU$257</definedName>
    <definedName name="v_98_SFe2">Model!$BE$257</definedName>
    <definedName name="v_98_SH2">Model!$AT$257</definedName>
    <definedName name="v_98_SH2S">Model!$BB$257</definedName>
    <definedName name="v_98_SK">Model!$BA$257</definedName>
    <definedName name="v_98_SMEOL">Model!$G$257</definedName>
    <definedName name="v_98_SMg">Model!$AZ$257</definedName>
    <definedName name="v_98_SMM_index">Model!$CT$257</definedName>
    <definedName name="v_98_SN_B">Model!$AJ$257</definedName>
    <definedName name="v_98_SN2">Model!$AI$257</definedName>
    <definedName name="v_98_SN2O">Model!$AH$257</definedName>
    <definedName name="v_98_SNH2OH">Model!$AC$257</definedName>
    <definedName name="v_98_SNHx">Model!$AB$257</definedName>
    <definedName name="v_98_SNO_AOB">Model!$AF$257</definedName>
    <definedName name="v_98_SNO_OHO">Model!$AG$257</definedName>
    <definedName name="v_98_SNO2">Model!$AE$257</definedName>
    <definedName name="v_98_SNO3">Model!$AD$257</definedName>
    <definedName name="v_98_SO2">Model!$AR$257</definedName>
    <definedName name="v_98_SP_B">Model!$AO$257</definedName>
    <definedName name="v_98_SPO4">Model!$AM$257</definedName>
    <definedName name="v_98_SSO4">Model!$BC$257</definedName>
    <definedName name="v_98_SU">Model!$J$257</definedName>
    <definedName name="v_98_SVFA">Model!$E$257</definedName>
    <definedName name="v_98_XACP">Model!$BU$257</definedName>
    <definedName name="v_98_XAMETO">Model!$W$257</definedName>
    <definedName name="v_98_XAMX">Model!$V$257</definedName>
    <definedName name="v_98_XAOB">Model!$T$257</definedName>
    <definedName name="v_98_XASRO">Model!$Y$257</definedName>
    <definedName name="v_98_XB">Model!$I$257</definedName>
    <definedName name="v_98_XBSH">Model!$BV$257</definedName>
    <definedName name="v_98_XCaCO3">Model!$BT$257</definedName>
    <definedName name="v_98_XCASTO">Model!$R$257</definedName>
    <definedName name="v_98_XE">Model!$O$257</definedName>
    <definedName name="v_98_XE_ana">Model!$P$257</definedName>
    <definedName name="v_98_XFeS">Model!$BY$257</definedName>
    <definedName name="v_98_XGLY">Model!$N$257</definedName>
    <definedName name="v_98_XHAO_H">Model!$BM$257</definedName>
    <definedName name="v_98_XHAO_H_P">Model!$BP$257</definedName>
    <definedName name="v_98_XHAO_H_P_old">Model!$BR$257</definedName>
    <definedName name="v_98_XHAO_L">Model!$BN$257</definedName>
    <definedName name="v_98_XHAO_L_P">Model!$BQ$257</definedName>
    <definedName name="v_98_XHAO_L_P_old">Model!$BS$257</definedName>
    <definedName name="v_98_XHAO_old">Model!$BO$257</definedName>
    <definedName name="v_98_XHFO_H">Model!$BF$257</definedName>
    <definedName name="v_98_XHFO_H_P">Model!$BI$257</definedName>
    <definedName name="v_98_XHFO_H_P_old">Model!$BK$257</definedName>
    <definedName name="v_98_XHFO_L">Model!$BG$257</definedName>
    <definedName name="v_98_XHFO_L_P">Model!$BJ$257</definedName>
    <definedName name="v_98_XHFO_L_P_old">Model!$BL$257</definedName>
    <definedName name="v_98_XHFO_old">Model!$BH$257</definedName>
    <definedName name="v_98_XHMETO">Model!$X$257</definedName>
    <definedName name="v_98_XHSRO">Model!$Z$257</definedName>
    <definedName name="v_98_XINORG">Model!$AV$257</definedName>
    <definedName name="v_98_XMEOLO">Model!$S$257</definedName>
    <definedName name="v_98_XMOB">Model!$CU$257</definedName>
    <definedName name="v_98_XN_B">Model!$AK$257</definedName>
    <definedName name="v_98_XN_U">Model!$AL$257</definedName>
    <definedName name="v_98_XNOB">Model!$U$257</definedName>
    <definedName name="v_98_XOHO">Model!$Q$257</definedName>
    <definedName name="v_98_XP_B">Model!$AP$257</definedName>
    <definedName name="v_98_XP_U">Model!$AQ$257</definedName>
    <definedName name="v_98_XPHA">Model!$M$257</definedName>
    <definedName name="v_98_XPP">Model!$AN$257</definedName>
    <definedName name="v_98_XS">Model!$BD$257</definedName>
    <definedName name="v_98_XSOO">Model!$AA$257</definedName>
    <definedName name="v_98_XSTR">Model!$BW$257</definedName>
    <definedName name="v_98_XU">Model!$L$257</definedName>
    <definedName name="v_98_XVivi">Model!$BX$257</definedName>
    <definedName name="v_99_CB">Model!$H$258</definedName>
    <definedName name="v_99_CU">Model!$K$258</definedName>
    <definedName name="v_99_GCH4">Model!$CC$258</definedName>
    <definedName name="v_99_GCH4_atm">Model!$CL$258</definedName>
    <definedName name="v_99_GCO2">Model!$CB$258</definedName>
    <definedName name="v_99_GCO2_atm">Model!$CK$258</definedName>
    <definedName name="v_99_GH2">Model!$CD$258</definedName>
    <definedName name="v_99_GH2_atm">Model!$CM$258</definedName>
    <definedName name="v_99_GH2S">Model!$CJ$258</definedName>
    <definedName name="v_99_GH2S_atm">Model!$CS$258</definedName>
    <definedName name="v_99_GN2">Model!$CI$258</definedName>
    <definedName name="v_99_GN2_atm">Model!$CR$258</definedName>
    <definedName name="v_99_GN2O">Model!$CH$258</definedName>
    <definedName name="v_99_GN2O_atm">Model!$CQ$258</definedName>
    <definedName name="v_99_GNH3">Model!$CF$258</definedName>
    <definedName name="v_99_GNH3_atm">Model!$CO$258</definedName>
    <definedName name="v_99_GNO">Model!$CG$258</definedName>
    <definedName name="v_99_GNO_atm">Model!$CP$258</definedName>
    <definedName name="v_99_GO2">Model!$CE$258</definedName>
    <definedName name="v_99_GO2_atm">Model!$CN$258</definedName>
    <definedName name="v_99_H">Model!$BZ$258</definedName>
    <definedName name="v_99_SALPHA">Model!$CA$258</definedName>
    <definedName name="v_99_SAN">Model!$AX$258</definedName>
    <definedName name="v_99_SB">Model!$F$258</definedName>
    <definedName name="v_99_SCa">Model!$AY$258</definedName>
    <definedName name="v_99_SCAT">Model!$AW$258</definedName>
    <definedName name="v_99_SCH4">Model!$AS$258</definedName>
    <definedName name="v_99_SCO2">Model!$AU$258</definedName>
    <definedName name="v_99_SFe2">Model!$BE$258</definedName>
    <definedName name="v_99_SH2">Model!$AT$258</definedName>
    <definedName name="v_99_SH2S">Model!$BB$258</definedName>
    <definedName name="v_99_SK">Model!$BA$258</definedName>
    <definedName name="v_99_SMEOL">Model!$G$258</definedName>
    <definedName name="v_99_SMg">Model!$AZ$258</definedName>
    <definedName name="v_99_SMM_index">Model!$CT$258</definedName>
    <definedName name="v_99_SN_B">Model!$AJ$258</definedName>
    <definedName name="v_99_SN2">Model!$AI$258</definedName>
    <definedName name="v_99_SN2O">Model!$AH$258</definedName>
    <definedName name="v_99_SNH2OH">Model!$AC$258</definedName>
    <definedName name="v_99_SNHx">Model!$AB$258</definedName>
    <definedName name="v_99_SNO_AOB">Model!$AF$258</definedName>
    <definedName name="v_99_SNO_OHO">Model!$AG$258</definedName>
    <definedName name="v_99_SNO2">Model!$AE$258</definedName>
    <definedName name="v_99_SNO3">Model!$AD$258</definedName>
    <definedName name="v_99_SO2">Model!$AR$258</definedName>
    <definedName name="v_99_SP_B">Model!$AO$258</definedName>
    <definedName name="v_99_SPO4">Model!$AM$258</definedName>
    <definedName name="v_99_SSO4">Model!$BC$258</definedName>
    <definedName name="v_99_SU">Model!$J$258</definedName>
    <definedName name="v_99_SVFA">Model!$E$258</definedName>
    <definedName name="v_99_XACP">Model!$BU$258</definedName>
    <definedName name="v_99_XAMETO">Model!$W$258</definedName>
    <definedName name="v_99_XAMX">Model!$V$258</definedName>
    <definedName name="v_99_XAOB">Model!$T$258</definedName>
    <definedName name="v_99_XASRO">Model!$Y$258</definedName>
    <definedName name="v_99_XB">Model!$I$258</definedName>
    <definedName name="v_99_XBSH">Model!$BV$258</definedName>
    <definedName name="v_99_XCaCO3">Model!$BT$258</definedName>
    <definedName name="v_99_XCASTO">Model!$R$258</definedName>
    <definedName name="v_99_XE">Model!$O$258</definedName>
    <definedName name="v_99_XE_ana">Model!$P$258</definedName>
    <definedName name="v_99_XFeS">Model!$BY$258</definedName>
    <definedName name="v_99_XGLY">Model!$N$258</definedName>
    <definedName name="v_99_XHAO_H">Model!$BM$258</definedName>
    <definedName name="v_99_XHAO_H_P">Model!$BP$258</definedName>
    <definedName name="v_99_XHAO_H_P_old">Model!$BR$258</definedName>
    <definedName name="v_99_XHAO_L">Model!$BN$258</definedName>
    <definedName name="v_99_XHAO_L_P">Model!$BQ$258</definedName>
    <definedName name="v_99_XHAO_L_P_old">Model!$BS$258</definedName>
    <definedName name="v_99_XHAO_old">Model!$BO$258</definedName>
    <definedName name="v_99_XHFO_H">Model!$BF$258</definedName>
    <definedName name="v_99_XHFO_H_P">Model!$BI$258</definedName>
    <definedName name="v_99_XHFO_H_P_old">Model!$BK$258</definedName>
    <definedName name="v_99_XHFO_L">Model!$BG$258</definedName>
    <definedName name="v_99_XHFO_L_P">Model!$BJ$258</definedName>
    <definedName name="v_99_XHFO_L_P_old">Model!$BL$258</definedName>
    <definedName name="v_99_XHFO_old">Model!$BH$258</definedName>
    <definedName name="v_99_XHMETO">Model!$X$258</definedName>
    <definedName name="v_99_XHSRO">Model!$Z$258</definedName>
    <definedName name="v_99_XINORG">Model!$AV$258</definedName>
    <definedName name="v_99_XMEOLO">Model!$S$258</definedName>
    <definedName name="v_99_XMOB">Model!$CU$258</definedName>
    <definedName name="v_99_XN_B">Model!$AK$258</definedName>
    <definedName name="v_99_XN_U">Model!$AL$258</definedName>
    <definedName name="v_99_XNOB">Model!$U$258</definedName>
    <definedName name="v_99_XOHO">Model!$Q$258</definedName>
    <definedName name="v_99_XP_B">Model!$AP$258</definedName>
    <definedName name="v_99_XP_U">Model!$AQ$258</definedName>
    <definedName name="v_99_XPHA">Model!$M$258</definedName>
    <definedName name="v_99_XPP">Model!$AN$258</definedName>
    <definedName name="v_99_XS">Model!$BD$258</definedName>
    <definedName name="v_99_XSOO">Model!$AA$258</definedName>
    <definedName name="v_99_XSTR">Model!$BW$258</definedName>
    <definedName name="v_99_XU">Model!$L$258</definedName>
    <definedName name="v_99_XVivi">Model!$BX$258</definedName>
    <definedName name="V_mol_N">systemcode_constants!$D$62</definedName>
    <definedName name="X_ACP">Components!$E$72</definedName>
    <definedName name="X_AMETO">Components!$E$22</definedName>
    <definedName name="X_AMX">Components!$E$21</definedName>
    <definedName name="X_AOB">Components!$E$19</definedName>
    <definedName name="X_ASRO">Components!$E$24</definedName>
    <definedName name="X_B">Components!$E$8</definedName>
    <definedName name="X_BIO">'Calculated variables'!$E$4</definedName>
    <definedName name="X_BOD_5">'Calculated variables'!$E$23</definedName>
    <definedName name="X_BOD_ult">'Calculated variables'!$E$20</definedName>
    <definedName name="X_BSH">Components!$E$73</definedName>
    <definedName name="X_CaCO3">Components!$E$71</definedName>
    <definedName name="X_CASTO">Components!$E$17</definedName>
    <definedName name="X_COD">'Calculated variables'!$E$5</definedName>
    <definedName name="X_CsbCOD">'Calculated variables'!$E$7</definedName>
    <definedName name="X_DM">'Calculated variables'!$E$18</definedName>
    <definedName name="X_E">Components!$E$14</definedName>
    <definedName name="X_E_ana">Components!$E$15</definedName>
    <definedName name="X_FeS">Components!$E$76</definedName>
    <definedName name="X_GAO">'Calculated variables'!$E$60</definedName>
    <definedName name="X_GLY">Components!$E$13</definedName>
    <definedName name="X_HAO">'Calculated variables'!$E$41</definedName>
    <definedName name="X_HAO_H">Components!$E$64</definedName>
    <definedName name="X_HAO_H_P">Components!$E$67</definedName>
    <definedName name="X_HAO_H_P_old">Components!$E$69</definedName>
    <definedName name="X_HAO_L">Components!$E$65</definedName>
    <definedName name="X_HAO_L_P">Components!$E$68</definedName>
    <definedName name="X_HAO_L_P_old">Components!$E$70</definedName>
    <definedName name="X_HAO_old">Components!$E$66</definedName>
    <definedName name="X_HAO_P">'Calculated variables'!$E$47</definedName>
    <definedName name="X_HAO_TSS">'Calculated variables'!$E$14</definedName>
    <definedName name="X_HFO">'Calculated variables'!$E$40</definedName>
    <definedName name="X_HFO_H">Components!$E$57</definedName>
    <definedName name="X_HFO_H_P">Components!$E$60</definedName>
    <definedName name="X_HFO_H_P_old">Components!$E$62</definedName>
    <definedName name="X_HFO_L">Components!$E$58</definedName>
    <definedName name="X_HFO_L_P">Components!$E$61</definedName>
    <definedName name="X_HFO_L_P_old">Components!$E$63</definedName>
    <definedName name="X_HFO_old">Components!$E$59</definedName>
    <definedName name="X_HFO_P">'Calculated variables'!$E$46</definedName>
    <definedName name="X_HFO_TSS">'Calculated variables'!$E$13</definedName>
    <definedName name="X_HMETO">Components!$E$23</definedName>
    <definedName name="X_HSRO">Components!$E$25</definedName>
    <definedName name="X_INORG">Components!$E$47</definedName>
    <definedName name="X_ISS">'Calculated variables'!$E$16</definedName>
    <definedName name="X_Me_TSS">'Calculated variables'!$E$15</definedName>
    <definedName name="X_MEOLO">Components!$E$18</definedName>
    <definedName name="X_MOB">Components!$E$98</definedName>
    <definedName name="X_N_B">Components!$E$36</definedName>
    <definedName name="X_N_U">Components!$E$37</definedName>
    <definedName name="X_NOB">Components!$E$20</definedName>
    <definedName name="X_OHO">Components!$E$16</definedName>
    <definedName name="X_P_B">Components!$E$41</definedName>
    <definedName name="X_P_U">Components!$E$42</definedName>
    <definedName name="X_PAO">'Calculated variables'!$E$59</definedName>
    <definedName name="X_PHA">Components!$E$12</definedName>
    <definedName name="X_PP">Components!$E$39</definedName>
    <definedName name="X_PP_PAO_min">Parameters!$D$82</definedName>
    <definedName name="X_precip">'Calculated variables'!$E$12</definedName>
    <definedName name="X_S">Components!$E$55</definedName>
    <definedName name="X_SOO">Components!$E$26</definedName>
    <definedName name="X_STC">'Calculated variables'!$E$56</definedName>
    <definedName name="X_STR">Components!$E$74</definedName>
    <definedName name="X_TSS">'Calculated variables'!$E$17</definedName>
    <definedName name="X_U">Components!$E$11</definedName>
    <definedName name="X_Vivi">Components!$E$75</definedName>
    <definedName name="X_VS">'Calculated variables'!$E$10</definedName>
    <definedName name="X_VS_ult">'Calculated variables'!$E$11</definedName>
    <definedName name="X_VSS">'Calculated variables'!$E$9</definedName>
    <definedName name="X_VSS_BIO">'Calculated variables'!$E$8</definedName>
    <definedName name="Y_AMETO">Parameters!$D$404</definedName>
    <definedName name="Y_AMX_NO2">Parameters!$D$402</definedName>
    <definedName name="Y_AMX_NO3">Parameters!$D$403</definedName>
    <definedName name="Y_AOB">Parameters!$D$400</definedName>
    <definedName name="Y_ASRO">Parameters!$D$410</definedName>
    <definedName name="Y_BOD_ult">Parameters!$D$469</definedName>
    <definedName name="Y_CASTO_GLY_anox">Parameters!$D$399</definedName>
    <definedName name="Y_CASTO_GLY_ox">Parameters!$D$398</definedName>
    <definedName name="Y_CASTO_H2_ana_high">Parameters!$D$392</definedName>
    <definedName name="Y_CASTO_H2_ana_low">Parameters!$D$393</definedName>
    <definedName name="Y_CASTO_PHA_anox">Parameters!$D$390</definedName>
    <definedName name="Y_CASTO_PHA_ox">Parameters!$D$389</definedName>
    <definedName name="Y_CASTO_SB_ana">Parameters!$D$391</definedName>
    <definedName name="Y_CASTO_STC_anox">'Calculated variables'!$E$65</definedName>
    <definedName name="Y_CASTO_STC_ox">'Calculated variables'!$E$64</definedName>
    <definedName name="y_fdi">'Calculated variables'!$E$658</definedName>
    <definedName name="y_fmono">'Calculated variables'!$E$657</definedName>
    <definedName name="y_ftri">'Calculated variables'!$E$659</definedName>
    <definedName name="Y_HMETO">Parameters!$D$405</definedName>
    <definedName name="Y_HSRO">Parameters!$D$411</definedName>
    <definedName name="Y_MEOLO">Parameters!$D$388</definedName>
    <definedName name="Y_MOB">Parameters!$D$412</definedName>
    <definedName name="Y_NOB">Parameters!$D$401</definedName>
    <definedName name="Y_OHO_H2_ana_high">Parameters!$D$385</definedName>
    <definedName name="Y_OHO_H2_ana_low">Parameters!$D$386</definedName>
    <definedName name="Y_OHO_SB_ana">Parameters!$D$384</definedName>
    <definedName name="Y_OHO_SB_anox">Parameters!$D$383</definedName>
    <definedName name="Y_OHO_SB_ox">Parameters!$D$382</definedName>
    <definedName name="Y_OHO_SMEOL_ox">Parameters!$D$387</definedName>
    <definedName name="Y_OHO_VFA_anox">Parameters!$D$381</definedName>
    <definedName name="Y_OHO_VFA_ox">Parameters!$D$380</definedName>
    <definedName name="y_ORP_GAO_Half_T">'Calculated variables'!$E$80</definedName>
    <definedName name="Y_PP_CASTO_anox">Parameters!$D$395</definedName>
    <definedName name="Y_PP_CASTO_ox">Parameters!$D$394</definedName>
    <definedName name="Y_SOO_H2S_anox">Parameters!$D$407</definedName>
    <definedName name="Y_SOO_H2S_ox">Parameters!$D$406</definedName>
    <definedName name="Y_SOO_S_anox">Parameters!$D$409</definedName>
    <definedName name="Y_SOO_S_ox">Parameters!$D$408</definedName>
    <definedName name="α_pred">'Calculated variables'!$E$846</definedName>
    <definedName name="Δ_atm">systemcode_constants!$D$56</definedName>
    <definedName name="ε__">'Calculated variables'!$E$655</definedName>
    <definedName name="η_b_ana">Parameters!$D$302</definedName>
    <definedName name="η_b_anox">Parameters!$D$301</definedName>
    <definedName name="η_bCASTO_ana">Parameters!$D$65</definedName>
    <definedName name="η_bCASTO_anox">Parameters!$D$64</definedName>
    <definedName name="η_bGLY_ana">Parameters!$D$92</definedName>
    <definedName name="η_bPP_aer">Parameters!$D$67</definedName>
    <definedName name="η_bPP_anox">Parameters!$D$68</definedName>
    <definedName name="η_bSTC_anox">Parameters!$D$66</definedName>
    <definedName name="η_CASTO_anox">Parameters!$D$63</definedName>
    <definedName name="η_H2O">systemcode_constants!$D$42</definedName>
    <definedName name="η_HYD_ana">Parameters!$D$313</definedName>
    <definedName name="η_HYD_anox">Parameters!$D$312</definedName>
    <definedName name="η_OHO_N2O">Parameters!$D$13</definedName>
    <definedName name="η_OHO_NO">Parameters!$D$12</definedName>
    <definedName name="η_OHO_NO2">Parameters!$D$11</definedName>
    <definedName name="η_OHO_NO3">Parameters!$D$10</definedName>
    <definedName name="θ_µ_AMETO">Parameters!$D$360</definedName>
    <definedName name="θ_µ_AMX">Parameters!$D$358</definedName>
    <definedName name="θ_µ_AOB">Parameters!$D$347</definedName>
    <definedName name="θ_µ_ASRO">Parameters!$D$351</definedName>
    <definedName name="θ_µ_CASTO">Parameters!$D$338</definedName>
    <definedName name="θ_µ_HMETO">Parameters!$D$362</definedName>
    <definedName name="θ_µ_HSRO">Parameters!$D$352</definedName>
    <definedName name="θ_µ_MEOLO">Parameters!$D$336</definedName>
    <definedName name="θ_µ_MOB">Parameters!$D$374</definedName>
    <definedName name="θ_µ_NOB">Parameters!$D$349</definedName>
    <definedName name="θ_µ_OHO">Parameters!$D$333</definedName>
    <definedName name="θ_µ_PAO_lim">Parameters!$D$339</definedName>
    <definedName name="θ_µ_SOO_H2S">Parameters!$D$355</definedName>
    <definedName name="θ_µ_SOO_S">Parameters!$D$356</definedName>
    <definedName name="θ_b_AMETO">Parameters!$D$361</definedName>
    <definedName name="θ_b_AMX">Parameters!$D$359</definedName>
    <definedName name="θ_b_AOB">Parameters!$D$348</definedName>
    <definedName name="θ_b_ASRO">Parameters!$D$353</definedName>
    <definedName name="θ_b_CASTO">Parameters!$D$343</definedName>
    <definedName name="θ_b_HMETO">Parameters!$D$363</definedName>
    <definedName name="θ_b_HSRO">Parameters!$D$354</definedName>
    <definedName name="θ_b_MEOLO">Parameters!$D$337</definedName>
    <definedName name="θ_b_MOB">Parameters!$D$375</definedName>
    <definedName name="θ_b_NOB">Parameters!$D$350</definedName>
    <definedName name="θ_b_OHO">Parameters!$D$335</definedName>
    <definedName name="θ_b_PP_ana">Parameters!$D$345</definedName>
    <definedName name="θ_b_SOO">Parameters!$D$357</definedName>
    <definedName name="θ_b_STC">Parameters!$D$344</definedName>
    <definedName name="θ_FERM_OHO">Parameters!$D$334</definedName>
    <definedName name="θ_FERM_PAO">Parameters!$D$340</definedName>
    <definedName name="θ_q_AMMON">Parameters!$D$366</definedName>
    <definedName name="θ_q_ASSIM">Parameters!$D$369</definedName>
    <definedName name="θ_q_Fe2_OX">Parameters!$D$370</definedName>
    <definedName name="θ_q_FeS_OX">Parameters!$D$371</definedName>
    <definedName name="θ_q_FLOC">Parameters!$D$364</definedName>
    <definedName name="θ_q_GAO_GLY">Parameters!$D$346</definedName>
    <definedName name="θ_q_HFO_H2S_RED">Parameters!$D$373</definedName>
    <definedName name="θ_q_HFO_RED">Parameters!$D$372</definedName>
    <definedName name="θ_q_HYD">Parameters!$D$365</definedName>
    <definedName name="θ_q_PAO_PHA">Parameters!$D$342</definedName>
    <definedName name="θ_q_PAO_PP">Parameters!$D$341</definedName>
    <definedName name="θ_q_SPB">Parameters!$D$367</definedName>
    <definedName name="θ_q_XE">Parameters!$D$368</definedName>
    <definedName name="κ__">systemcode_constants!$D$63</definedName>
    <definedName name="λ_H">systemcode_constants!$D$356</definedName>
    <definedName name="ρ__">'Calculated variables'!$E$656</definedName>
    <definedName name="ρ_air">systemcode_constants!$D$50</definedName>
    <definedName name="ρ_H2O">systemcode_constants!$D$41</definedName>
    <definedName name="σ_H2O">systemcode_constants!$D$40</definedName>
  </definedNames>
  <calcPr calcId="181029"/>
</workbook>
</file>

<file path=xl/calcChain.xml><?xml version="1.0" encoding="utf-8"?>
<calcChain xmlns="http://schemas.openxmlformats.org/spreadsheetml/2006/main">
  <c r="E604" i="5" l="1"/>
  <c r="E603" i="5"/>
  <c r="E851" i="5"/>
  <c r="E641" i="5" s="1"/>
  <c r="E841" i="5"/>
  <c r="E840" i="5"/>
  <c r="E836" i="5"/>
  <c r="E835" i="5"/>
  <c r="E834" i="5"/>
  <c r="E833" i="5"/>
  <c r="E832" i="5"/>
  <c r="E831" i="5"/>
  <c r="E830" i="5"/>
  <c r="E829" i="5"/>
  <c r="E828" i="5"/>
  <c r="E827" i="5"/>
  <c r="E826" i="5"/>
  <c r="E825" i="5"/>
  <c r="E824" i="5"/>
  <c r="E823" i="5"/>
  <c r="E822" i="5"/>
  <c r="E821" i="5"/>
  <c r="E719" i="5"/>
  <c r="E656" i="5"/>
  <c r="E648" i="5"/>
  <c r="E647" i="5"/>
  <c r="E645" i="5"/>
  <c r="E644" i="5"/>
  <c r="E643" i="5"/>
  <c r="E642" i="5"/>
  <c r="E638" i="5"/>
  <c r="E637" i="5"/>
  <c r="E636" i="5"/>
  <c r="E635" i="5"/>
  <c r="E633" i="5"/>
  <c r="E632" i="5"/>
  <c r="E631" i="5"/>
  <c r="E630" i="5"/>
  <c r="E628" i="5"/>
  <c r="E626" i="5"/>
  <c r="E625" i="5"/>
  <c r="E624" i="5"/>
  <c r="E623" i="5"/>
  <c r="E621" i="5"/>
  <c r="E620" i="5"/>
  <c r="E619" i="5"/>
  <c r="E618" i="5"/>
  <c r="E616" i="5"/>
  <c r="E614" i="5"/>
  <c r="E613" i="5"/>
  <c r="E612" i="5"/>
  <c r="E611" i="5"/>
  <c r="E609" i="5"/>
  <c r="E608" i="5"/>
  <c r="E601" i="5"/>
  <c r="E600" i="5"/>
  <c r="E599" i="5"/>
  <c r="E598" i="5"/>
  <c r="E597" i="5"/>
  <c r="E596" i="5"/>
  <c r="E595" i="5"/>
  <c r="E594" i="5"/>
  <c r="E593" i="5"/>
  <c r="CV244" i="1" s="1"/>
  <c r="E591" i="5"/>
  <c r="E590" i="5"/>
  <c r="CV234" i="1" s="1"/>
  <c r="E535" i="5"/>
  <c r="E428" i="5"/>
  <c r="E426" i="5"/>
  <c r="E424" i="5"/>
  <c r="E420" i="5"/>
  <c r="E592" i="5" s="1"/>
  <c r="E419" i="5"/>
  <c r="E589" i="5" s="1"/>
  <c r="CV236" i="1" s="1"/>
  <c r="E416" i="5"/>
  <c r="E415" i="5"/>
  <c r="E414" i="5"/>
  <c r="E407" i="5"/>
  <c r="E405" i="5"/>
  <c r="E402" i="5"/>
  <c r="E395" i="5"/>
  <c r="E588" i="5" s="1"/>
  <c r="E393" i="5"/>
  <c r="E587" i="5" s="1"/>
  <c r="E391" i="5"/>
  <c r="E585" i="5" s="1"/>
  <c r="E389" i="5"/>
  <c r="E584" i="5" s="1"/>
  <c r="E387" i="5"/>
  <c r="E579" i="5" s="1"/>
  <c r="E385" i="5"/>
  <c r="E383" i="5"/>
  <c r="E381" i="5"/>
  <c r="E449" i="5" s="1"/>
  <c r="E379" i="5"/>
  <c r="E450" i="5" s="1"/>
  <c r="E377" i="5"/>
  <c r="E447" i="5" s="1"/>
  <c r="E375" i="5"/>
  <c r="E448" i="5" s="1"/>
  <c r="E373" i="5"/>
  <c r="E451" i="5" s="1"/>
  <c r="E371" i="5"/>
  <c r="E454" i="5" s="1"/>
  <c r="E369" i="5"/>
  <c r="E453" i="5" s="1"/>
  <c r="E367" i="5"/>
  <c r="E452" i="5" s="1"/>
  <c r="E362" i="5"/>
  <c r="E578" i="5" s="1"/>
  <c r="E360" i="5"/>
  <c r="E566" i="5" s="1"/>
  <c r="E358" i="5"/>
  <c r="E356" i="5"/>
  <c r="E575" i="5" s="1"/>
  <c r="E354" i="5"/>
  <c r="E573" i="5" s="1"/>
  <c r="E352" i="5"/>
  <c r="E571" i="5" s="1"/>
  <c r="E350" i="5"/>
  <c r="E567" i="5" s="1"/>
  <c r="E348" i="5"/>
  <c r="E346" i="5"/>
  <c r="E576" i="5" s="1"/>
  <c r="E341" i="5"/>
  <c r="E339" i="5"/>
  <c r="E562" i="5" s="1"/>
  <c r="E337" i="5"/>
  <c r="E558" i="5" s="1"/>
  <c r="E335" i="5"/>
  <c r="E564" i="5" s="1"/>
  <c r="E333" i="5"/>
  <c r="E563" i="5" s="1"/>
  <c r="E328" i="5"/>
  <c r="E326" i="5"/>
  <c r="E555" i="5" s="1"/>
  <c r="E324" i="5"/>
  <c r="E551" i="5" s="1"/>
  <c r="E322" i="5"/>
  <c r="E556" i="5" s="1"/>
  <c r="E320" i="5"/>
  <c r="E557" i="5" s="1"/>
  <c r="E315" i="5"/>
  <c r="E313" i="5"/>
  <c r="E550" i="5" s="1"/>
  <c r="E311" i="5"/>
  <c r="E548" i="5" s="1"/>
  <c r="E306" i="5"/>
  <c r="E304" i="5"/>
  <c r="E302" i="5"/>
  <c r="E418" i="5" s="1"/>
  <c r="E300" i="5"/>
  <c r="E298" i="5"/>
  <c r="E296" i="5"/>
  <c r="E291" i="5"/>
  <c r="E518" i="5" s="1"/>
  <c r="E289" i="5"/>
  <c r="E525" i="5" s="1"/>
  <c r="E287" i="5"/>
  <c r="E526" i="5" s="1"/>
  <c r="E285" i="5"/>
  <c r="E527" i="5" s="1"/>
  <c r="E283" i="5"/>
  <c r="E281" i="5"/>
  <c r="E533" i="5" s="1"/>
  <c r="E279" i="5"/>
  <c r="E516" i="5" s="1"/>
  <c r="E277" i="5"/>
  <c r="E528" i="5" s="1"/>
  <c r="E275" i="5"/>
  <c r="E517" i="5" s="1"/>
  <c r="E270" i="5"/>
  <c r="E486" i="5" s="1"/>
  <c r="E268" i="5"/>
  <c r="E485" i="5" s="1"/>
  <c r="E266" i="5"/>
  <c r="E264" i="5"/>
  <c r="E487" i="5" s="1"/>
  <c r="E258" i="5"/>
  <c r="E470" i="5" s="1"/>
  <c r="E256" i="5"/>
  <c r="E408" i="5" s="1"/>
  <c r="E483" i="5" s="1"/>
  <c r="E254" i="5"/>
  <c r="E464" i="5" s="1"/>
  <c r="E252" i="5"/>
  <c r="E250" i="5"/>
  <c r="E463" i="5" s="1"/>
  <c r="E248" i="5"/>
  <c r="E475" i="5" s="1"/>
  <c r="E246" i="5"/>
  <c r="E474" i="5" s="1"/>
  <c r="E244" i="5"/>
  <c r="E455" i="5" s="1"/>
  <c r="E242" i="5"/>
  <c r="E472" i="5" s="1"/>
  <c r="E240" i="5"/>
  <c r="E471" i="5" s="1"/>
  <c r="E238" i="5"/>
  <c r="E461" i="5" s="1"/>
  <c r="E236" i="5"/>
  <c r="E460" i="5" s="1"/>
  <c r="E234" i="5"/>
  <c r="E459" i="5" s="1"/>
  <c r="E232" i="5"/>
  <c r="E458" i="5" s="1"/>
  <c r="E230" i="5"/>
  <c r="E476" i="5" s="1"/>
  <c r="E228" i="5"/>
  <c r="E481" i="5" s="1"/>
  <c r="E226" i="5"/>
  <c r="E480" i="5" s="1"/>
  <c r="E224" i="5"/>
  <c r="E479" i="5" s="1"/>
  <c r="E222" i="5"/>
  <c r="E478" i="5" s="1"/>
  <c r="E220" i="5"/>
  <c r="E462" i="5" s="1"/>
  <c r="E218" i="5"/>
  <c r="E469" i="5" s="1"/>
  <c r="E216" i="5"/>
  <c r="E468" i="5" s="1"/>
  <c r="E214" i="5"/>
  <c r="E467" i="5" s="1"/>
  <c r="E212" i="5"/>
  <c r="E466" i="5" s="1"/>
  <c r="E210" i="5"/>
  <c r="E465" i="5" s="1"/>
  <c r="E205" i="5"/>
  <c r="E203" i="5"/>
  <c r="E201" i="5"/>
  <c r="E510" i="5" s="1"/>
  <c r="E200" i="5"/>
  <c r="E197" i="5"/>
  <c r="E512" i="5" s="1"/>
  <c r="E195" i="5"/>
  <c r="E511" i="5" s="1"/>
  <c r="E190" i="5"/>
  <c r="E188" i="5"/>
  <c r="E185" i="5"/>
  <c r="E505" i="5" s="1"/>
  <c r="E184" i="5"/>
  <c r="E181" i="5"/>
  <c r="E506" i="5" s="1"/>
  <c r="E176" i="5"/>
  <c r="E173" i="5"/>
  <c r="E493" i="5" s="1"/>
  <c r="E171" i="5"/>
  <c r="E494" i="5" s="1"/>
  <c r="E169" i="5"/>
  <c r="E503" i="5" s="1"/>
  <c r="E167" i="5"/>
  <c r="E502" i="5" s="1"/>
  <c r="E165" i="5"/>
  <c r="E163" i="5"/>
  <c r="E160" i="5"/>
  <c r="E500" i="5" s="1"/>
  <c r="E157" i="5"/>
  <c r="E499" i="5" s="1"/>
  <c r="E155" i="5"/>
  <c r="E151" i="5"/>
  <c r="E497" i="5" s="1"/>
  <c r="E149" i="5"/>
  <c r="E496" i="5" s="1"/>
  <c r="E147" i="5"/>
  <c r="E495" i="5" s="1"/>
  <c r="E143" i="5"/>
  <c r="E88" i="5"/>
  <c r="E79" i="5"/>
  <c r="E80" i="5" s="1"/>
  <c r="E72" i="5"/>
  <c r="E73" i="5" s="1"/>
  <c r="E70" i="5"/>
  <c r="E56" i="5"/>
  <c r="E65" i="5" s="1"/>
  <c r="AE181" i="1" s="1"/>
  <c r="E47" i="5"/>
  <c r="E46" i="5"/>
  <c r="E45" i="5"/>
  <c r="E44" i="5"/>
  <c r="E42" i="5"/>
  <c r="E41" i="5"/>
  <c r="E43" i="5" s="1"/>
  <c r="E40" i="5"/>
  <c r="E13" i="5" s="1"/>
  <c r="E39" i="5"/>
  <c r="E38" i="5"/>
  <c r="E37" i="5"/>
  <c r="E32" i="5"/>
  <c r="E48" i="5" s="1"/>
  <c r="E31" i="5"/>
  <c r="CV257" i="1" s="1"/>
  <c r="E26" i="5"/>
  <c r="E25" i="5"/>
  <c r="E22" i="5"/>
  <c r="E19" i="5"/>
  <c r="E12" i="5"/>
  <c r="E11" i="5"/>
  <c r="E7" i="5"/>
  <c r="E6" i="5"/>
  <c r="E4" i="5"/>
  <c r="E29" i="5" s="1"/>
  <c r="DI292" i="1"/>
  <c r="DH292" i="1"/>
  <c r="CX292" i="1"/>
  <c r="DI291" i="1"/>
  <c r="DH291" i="1"/>
  <c r="CX291" i="1"/>
  <c r="DI290" i="1"/>
  <c r="DH290" i="1"/>
  <c r="CX290" i="1"/>
  <c r="DI288" i="1"/>
  <c r="DH288" i="1"/>
  <c r="CX288" i="1"/>
  <c r="DI287" i="1"/>
  <c r="DH287" i="1"/>
  <c r="CX287" i="1"/>
  <c r="DI286" i="1"/>
  <c r="DH286" i="1"/>
  <c r="CX286" i="1"/>
  <c r="DI271" i="1"/>
  <c r="DH271" i="1"/>
  <c r="CX271" i="1"/>
  <c r="DI270" i="1"/>
  <c r="DH270" i="1"/>
  <c r="CX270" i="1"/>
  <c r="DI269" i="1"/>
  <c r="DH269" i="1"/>
  <c r="CX269" i="1"/>
  <c r="DI268" i="1"/>
  <c r="DH268" i="1"/>
  <c r="CX268" i="1"/>
  <c r="DI267" i="1"/>
  <c r="DH267" i="1"/>
  <c r="CX267" i="1"/>
  <c r="DI266" i="1"/>
  <c r="DH266" i="1"/>
  <c r="CX266" i="1"/>
  <c r="DI264" i="1"/>
  <c r="DH264" i="1"/>
  <c r="CX264" i="1"/>
  <c r="DI263" i="1"/>
  <c r="DH263" i="1"/>
  <c r="CX263" i="1"/>
  <c r="DI262" i="1"/>
  <c r="DH262" i="1"/>
  <c r="CX262" i="1"/>
  <c r="DI261" i="1"/>
  <c r="DH261" i="1"/>
  <c r="CX261" i="1"/>
  <c r="DI260" i="1"/>
  <c r="DH260" i="1"/>
  <c r="CX260" i="1"/>
  <c r="DI259" i="1"/>
  <c r="DH259" i="1"/>
  <c r="CX259" i="1"/>
  <c r="DI258" i="1"/>
  <c r="DH258" i="1"/>
  <c r="CX258" i="1"/>
  <c r="DI256" i="1"/>
  <c r="DH256" i="1"/>
  <c r="CX256" i="1"/>
  <c r="DI255" i="1"/>
  <c r="DH255" i="1"/>
  <c r="CX255" i="1"/>
  <c r="DI254" i="1"/>
  <c r="DH254" i="1"/>
  <c r="CX254" i="1"/>
  <c r="DI253" i="1"/>
  <c r="DH253" i="1"/>
  <c r="CX253" i="1"/>
  <c r="DI252" i="1"/>
  <c r="DH252" i="1"/>
  <c r="CX252" i="1"/>
  <c r="DI251" i="1"/>
  <c r="DH251" i="1"/>
  <c r="CX251" i="1"/>
  <c r="DI250" i="1"/>
  <c r="DH250" i="1"/>
  <c r="CX250" i="1"/>
  <c r="DI249" i="1"/>
  <c r="DH249" i="1"/>
  <c r="CX249" i="1"/>
  <c r="DI248" i="1"/>
  <c r="DH248" i="1"/>
  <c r="CX248" i="1"/>
  <c r="DI247" i="1"/>
  <c r="DH247" i="1"/>
  <c r="CX247" i="1"/>
  <c r="DI246" i="1"/>
  <c r="DH246" i="1"/>
  <c r="CX246" i="1"/>
  <c r="DI240" i="1"/>
  <c r="DH240" i="1"/>
  <c r="CX240" i="1"/>
  <c r="DI239" i="1"/>
  <c r="DH239" i="1"/>
  <c r="CX239" i="1"/>
  <c r="DI238" i="1"/>
  <c r="DH238" i="1"/>
  <c r="CX238" i="1"/>
  <c r="DI231" i="1"/>
  <c r="DH231" i="1"/>
  <c r="CX231" i="1"/>
  <c r="DI230" i="1"/>
  <c r="DH230" i="1"/>
  <c r="CX230" i="1"/>
  <c r="DI203" i="1"/>
  <c r="DH203" i="1"/>
  <c r="CX203" i="1"/>
  <c r="DI202" i="1"/>
  <c r="DH202" i="1"/>
  <c r="CX202" i="1"/>
  <c r="DI201" i="1"/>
  <c r="DH201" i="1"/>
  <c r="CX201" i="1"/>
  <c r="BY309" i="1"/>
  <c r="BX309" i="1"/>
  <c r="BW307" i="1"/>
  <c r="AV307" i="1"/>
  <c r="AN307" i="1"/>
  <c r="BV306" i="1"/>
  <c r="BU306" i="1"/>
  <c r="BT306" i="1"/>
  <c r="AV306" i="1"/>
  <c r="AN306" i="1"/>
  <c r="AN305" i="1"/>
  <c r="DD201" i="1" s="1"/>
  <c r="CU303" i="1"/>
  <c r="CS303" i="1"/>
  <c r="BY303" i="1"/>
  <c r="AA303" i="1"/>
  <c r="Z303" i="1"/>
  <c r="Y303" i="1"/>
  <c r="X303" i="1"/>
  <c r="W303" i="1"/>
  <c r="V303" i="1"/>
  <c r="U303" i="1"/>
  <c r="T303" i="1"/>
  <c r="S303" i="1"/>
  <c r="R303" i="1"/>
  <c r="Q303" i="1"/>
  <c r="P303" i="1"/>
  <c r="O303" i="1"/>
  <c r="L303" i="1"/>
  <c r="K303" i="1"/>
  <c r="J303" i="1"/>
  <c r="I303" i="1"/>
  <c r="H303" i="1"/>
  <c r="F303" i="1"/>
  <c r="CU302" i="1"/>
  <c r="BX302" i="1"/>
  <c r="BW302" i="1"/>
  <c r="BV302" i="1"/>
  <c r="BU302" i="1"/>
  <c r="BS302" i="1"/>
  <c r="BR302" i="1"/>
  <c r="BQ302" i="1"/>
  <c r="BP302" i="1"/>
  <c r="BL302" i="1"/>
  <c r="BK302" i="1"/>
  <c r="BJ302" i="1"/>
  <c r="BI302" i="1"/>
  <c r="AA302" i="1"/>
  <c r="Z302" i="1"/>
  <c r="Y302" i="1"/>
  <c r="X302" i="1"/>
  <c r="W302" i="1"/>
  <c r="V302" i="1"/>
  <c r="U302" i="1"/>
  <c r="T302" i="1"/>
  <c r="S302" i="1"/>
  <c r="R302" i="1"/>
  <c r="Q302" i="1"/>
  <c r="P302" i="1"/>
  <c r="O302" i="1"/>
  <c r="K302" i="1"/>
  <c r="J302" i="1"/>
  <c r="H302" i="1"/>
  <c r="CU301" i="1"/>
  <c r="CR301" i="1"/>
  <c r="CQ301" i="1"/>
  <c r="CP301" i="1"/>
  <c r="CO301" i="1"/>
  <c r="BW301" i="1"/>
  <c r="AA301" i="1"/>
  <c r="Z301" i="1"/>
  <c r="Y301" i="1"/>
  <c r="X301" i="1"/>
  <c r="W301" i="1"/>
  <c r="V301" i="1"/>
  <c r="U301" i="1"/>
  <c r="T301" i="1"/>
  <c r="S301" i="1"/>
  <c r="R301" i="1"/>
  <c r="Q301" i="1"/>
  <c r="P301" i="1"/>
  <c r="O301" i="1"/>
  <c r="K301" i="1"/>
  <c r="J301" i="1"/>
  <c r="H301" i="1"/>
  <c r="CU300" i="1"/>
  <c r="CL300" i="1"/>
  <c r="CK300" i="1"/>
  <c r="CC300" i="1"/>
  <c r="BT300" i="1"/>
  <c r="AS300" i="1"/>
  <c r="AA300" i="1"/>
  <c r="Z300" i="1"/>
  <c r="Y300" i="1"/>
  <c r="X300" i="1"/>
  <c r="W300" i="1"/>
  <c r="V300" i="1"/>
  <c r="U300" i="1"/>
  <c r="T300" i="1"/>
  <c r="S300" i="1"/>
  <c r="R300" i="1"/>
  <c r="Q300" i="1"/>
  <c r="P300" i="1"/>
  <c r="O300" i="1"/>
  <c r="N300" i="1"/>
  <c r="M300" i="1"/>
  <c r="L300" i="1"/>
  <c r="K300" i="1"/>
  <c r="J300" i="1"/>
  <c r="I300" i="1"/>
  <c r="H300" i="1"/>
  <c r="G300" i="1"/>
  <c r="F300" i="1"/>
  <c r="E300" i="1"/>
  <c r="CS299" i="1"/>
  <c r="CR299" i="1"/>
  <c r="CQ299" i="1"/>
  <c r="CP299" i="1"/>
  <c r="CN299" i="1"/>
  <c r="CM299" i="1"/>
  <c r="CL299" i="1"/>
  <c r="CJ299" i="1"/>
  <c r="CI299" i="1"/>
  <c r="CH299" i="1"/>
  <c r="CG299" i="1"/>
  <c r="BY299" i="1"/>
  <c r="BX299" i="1"/>
  <c r="BE299" i="1"/>
  <c r="BD299" i="1"/>
  <c r="BB299" i="1"/>
  <c r="AI299" i="1"/>
  <c r="AH299" i="1"/>
  <c r="AG299" i="1"/>
  <c r="AF299" i="1"/>
  <c r="AE299" i="1"/>
  <c r="AD299" i="1"/>
  <c r="AC299" i="1"/>
  <c r="CV295" i="1"/>
  <c r="CV267" i="1"/>
  <c r="CV266" i="1"/>
  <c r="CV265" i="1"/>
  <c r="CV263" i="1"/>
  <c r="CV262" i="1"/>
  <c r="CV261" i="1"/>
  <c r="CV259" i="1"/>
  <c r="CV258" i="1"/>
  <c r="CV255" i="1"/>
  <c r="CV254" i="1"/>
  <c r="CV253" i="1"/>
  <c r="CV242" i="1"/>
  <c r="CV241" i="1"/>
  <c r="CV240" i="1"/>
  <c r="CV239" i="1"/>
  <c r="CV233" i="1"/>
  <c r="CV232" i="1"/>
  <c r="CV231" i="1"/>
  <c r="CV230" i="1"/>
  <c r="CV225" i="1"/>
  <c r="CV221" i="1"/>
  <c r="CV220" i="1"/>
  <c r="CU295" i="1"/>
  <c r="CU294" i="1"/>
  <c r="CU293" i="1"/>
  <c r="CU292" i="1"/>
  <c r="CU291" i="1"/>
  <c r="CU290" i="1"/>
  <c r="CU289" i="1"/>
  <c r="CU288" i="1"/>
  <c r="CU287" i="1"/>
  <c r="CU286" i="1"/>
  <c r="CU285" i="1"/>
  <c r="CU284" i="1"/>
  <c r="CU283" i="1"/>
  <c r="CU282" i="1"/>
  <c r="CU281" i="1"/>
  <c r="CU280" i="1"/>
  <c r="CU279" i="1"/>
  <c r="CU278" i="1"/>
  <c r="CU277" i="1"/>
  <c r="CU276" i="1"/>
  <c r="CU275" i="1"/>
  <c r="CU274" i="1"/>
  <c r="CU273" i="1"/>
  <c r="CU272" i="1"/>
  <c r="CU271" i="1"/>
  <c r="CU270" i="1"/>
  <c r="CU269" i="1"/>
  <c r="CU268" i="1"/>
  <c r="CU267" i="1"/>
  <c r="CU266" i="1"/>
  <c r="CU265" i="1"/>
  <c r="CU264" i="1"/>
  <c r="CU263" i="1"/>
  <c r="CU262" i="1"/>
  <c r="CU261" i="1"/>
  <c r="CU260" i="1"/>
  <c r="CU259" i="1"/>
  <c r="CU258" i="1"/>
  <c r="CU257" i="1"/>
  <c r="CU256" i="1"/>
  <c r="CU255" i="1"/>
  <c r="CU254" i="1"/>
  <c r="CU253" i="1"/>
  <c r="CU252" i="1"/>
  <c r="CU251" i="1"/>
  <c r="CU250" i="1"/>
  <c r="CU249" i="1"/>
  <c r="CU248" i="1"/>
  <c r="CU247" i="1"/>
  <c r="CU246" i="1"/>
  <c r="CU245" i="1"/>
  <c r="CU244" i="1"/>
  <c r="CU243" i="1"/>
  <c r="CU242" i="1"/>
  <c r="CU241" i="1"/>
  <c r="CU240" i="1"/>
  <c r="CU239" i="1"/>
  <c r="CU238" i="1"/>
  <c r="CU237" i="1"/>
  <c r="CU236" i="1"/>
  <c r="CU235" i="1"/>
  <c r="CU234" i="1"/>
  <c r="CU233" i="1"/>
  <c r="CU232" i="1"/>
  <c r="CU231" i="1"/>
  <c r="CU230" i="1"/>
  <c r="CU229" i="1"/>
  <c r="CU228" i="1"/>
  <c r="CU227" i="1"/>
  <c r="CU226" i="1"/>
  <c r="CU225" i="1"/>
  <c r="CU224" i="1"/>
  <c r="CU223" i="1"/>
  <c r="CU222" i="1"/>
  <c r="CU221" i="1"/>
  <c r="CU220" i="1"/>
  <c r="CU219" i="1"/>
  <c r="CU218" i="1"/>
  <c r="CU217" i="1"/>
  <c r="CU216" i="1"/>
  <c r="CU215" i="1"/>
  <c r="CU214" i="1"/>
  <c r="CU213" i="1"/>
  <c r="CU212" i="1"/>
  <c r="CU211" i="1"/>
  <c r="CU210" i="1"/>
  <c r="CU209" i="1"/>
  <c r="CU208" i="1"/>
  <c r="CU207" i="1"/>
  <c r="CU206" i="1"/>
  <c r="CU205" i="1"/>
  <c r="CU204" i="1"/>
  <c r="CU203" i="1"/>
  <c r="CU202" i="1"/>
  <c r="CU201" i="1"/>
  <c r="CU200" i="1"/>
  <c r="CU199" i="1"/>
  <c r="CU198" i="1"/>
  <c r="CU197" i="1"/>
  <c r="CU196" i="1"/>
  <c r="CU195" i="1"/>
  <c r="CU194" i="1"/>
  <c r="CU193" i="1"/>
  <c r="CU192" i="1"/>
  <c r="CU191" i="1"/>
  <c r="CU190" i="1"/>
  <c r="CU189" i="1"/>
  <c r="CU188" i="1"/>
  <c r="CU187" i="1"/>
  <c r="CU186" i="1"/>
  <c r="CU185" i="1"/>
  <c r="CU184" i="1"/>
  <c r="CU183" i="1"/>
  <c r="CU182" i="1"/>
  <c r="CU181" i="1"/>
  <c r="CU180" i="1"/>
  <c r="CU179" i="1"/>
  <c r="CU178" i="1"/>
  <c r="CU177" i="1"/>
  <c r="CU176" i="1"/>
  <c r="CU175" i="1"/>
  <c r="CU174" i="1"/>
  <c r="CU173" i="1"/>
  <c r="CU172" i="1"/>
  <c r="CU171" i="1"/>
  <c r="CU170" i="1"/>
  <c r="CU169" i="1"/>
  <c r="CU168" i="1"/>
  <c r="CU167" i="1"/>
  <c r="CU166" i="1"/>
  <c r="CU165" i="1"/>
  <c r="CU164" i="1"/>
  <c r="CU163" i="1"/>
  <c r="CU162" i="1"/>
  <c r="CU161" i="1"/>
  <c r="CU160" i="1"/>
  <c r="CT295" i="1"/>
  <c r="CT294" i="1"/>
  <c r="CT293" i="1"/>
  <c r="CT292" i="1"/>
  <c r="CT291" i="1"/>
  <c r="CT290" i="1"/>
  <c r="CT289" i="1"/>
  <c r="CT288" i="1"/>
  <c r="CT287" i="1"/>
  <c r="CT286" i="1"/>
  <c r="CT285" i="1"/>
  <c r="CT284" i="1"/>
  <c r="CT283" i="1"/>
  <c r="CT282" i="1"/>
  <c r="CT281" i="1"/>
  <c r="CT280" i="1"/>
  <c r="CT279" i="1"/>
  <c r="CT278" i="1"/>
  <c r="CT277" i="1"/>
  <c r="CT276" i="1"/>
  <c r="CT275" i="1"/>
  <c r="CT274" i="1"/>
  <c r="CT273" i="1"/>
  <c r="CT272" i="1"/>
  <c r="CT271" i="1"/>
  <c r="CT270" i="1"/>
  <c r="CT269" i="1"/>
  <c r="CT268" i="1"/>
  <c r="CT267" i="1"/>
  <c r="CT266" i="1"/>
  <c r="CT265" i="1"/>
  <c r="CT264" i="1"/>
  <c r="CT263" i="1"/>
  <c r="CT262" i="1"/>
  <c r="CT261" i="1"/>
  <c r="CT260" i="1"/>
  <c r="CT259" i="1"/>
  <c r="CT258" i="1"/>
  <c r="CT257" i="1"/>
  <c r="CT256" i="1"/>
  <c r="CT255" i="1"/>
  <c r="CT254" i="1"/>
  <c r="CT253" i="1"/>
  <c r="CT252" i="1"/>
  <c r="CT251" i="1"/>
  <c r="CT250" i="1"/>
  <c r="CT249" i="1"/>
  <c r="CT248" i="1"/>
  <c r="CT247" i="1"/>
  <c r="CT246" i="1"/>
  <c r="CT245" i="1"/>
  <c r="CT244" i="1"/>
  <c r="CT243" i="1"/>
  <c r="CT242" i="1"/>
  <c r="CT241" i="1"/>
  <c r="CT240" i="1"/>
  <c r="CT239" i="1"/>
  <c r="CT238" i="1"/>
  <c r="CT237" i="1"/>
  <c r="CT236" i="1"/>
  <c r="CT235" i="1"/>
  <c r="CT234" i="1"/>
  <c r="CT233" i="1"/>
  <c r="CT232" i="1"/>
  <c r="CT231" i="1"/>
  <c r="CT230" i="1"/>
  <c r="CT229" i="1"/>
  <c r="CT228" i="1"/>
  <c r="CT227" i="1"/>
  <c r="CT226" i="1"/>
  <c r="CT225" i="1"/>
  <c r="CT224" i="1"/>
  <c r="CT223" i="1"/>
  <c r="CT222" i="1"/>
  <c r="CT221" i="1"/>
  <c r="CT220" i="1"/>
  <c r="CT219" i="1"/>
  <c r="CT218" i="1"/>
  <c r="CT217" i="1"/>
  <c r="CT216" i="1"/>
  <c r="CT215" i="1"/>
  <c r="CT214" i="1"/>
  <c r="CT213" i="1"/>
  <c r="CT212" i="1"/>
  <c r="CT211" i="1"/>
  <c r="CT210" i="1"/>
  <c r="CT209" i="1"/>
  <c r="CT208" i="1"/>
  <c r="CT207" i="1"/>
  <c r="CT206" i="1"/>
  <c r="CT205" i="1"/>
  <c r="CT204" i="1"/>
  <c r="CT203" i="1"/>
  <c r="CT202" i="1"/>
  <c r="CT201" i="1"/>
  <c r="CT200" i="1"/>
  <c r="CT199" i="1"/>
  <c r="CT198" i="1"/>
  <c r="CT197" i="1"/>
  <c r="CT196" i="1"/>
  <c r="CT195" i="1"/>
  <c r="CT194" i="1"/>
  <c r="CT193" i="1"/>
  <c r="CT192" i="1"/>
  <c r="CT191" i="1"/>
  <c r="CT190" i="1"/>
  <c r="CT189" i="1"/>
  <c r="CT188" i="1"/>
  <c r="CT187" i="1"/>
  <c r="CT186" i="1"/>
  <c r="CT185" i="1"/>
  <c r="CT184" i="1"/>
  <c r="CT183" i="1"/>
  <c r="CT182" i="1"/>
  <c r="CT181" i="1"/>
  <c r="CT180" i="1"/>
  <c r="CT179" i="1"/>
  <c r="CT178" i="1"/>
  <c r="CT177" i="1"/>
  <c r="CT176" i="1"/>
  <c r="CT175" i="1"/>
  <c r="CT174" i="1"/>
  <c r="CT173" i="1"/>
  <c r="CT172" i="1"/>
  <c r="CT171" i="1"/>
  <c r="CT170" i="1"/>
  <c r="CT169" i="1"/>
  <c r="CT168" i="1"/>
  <c r="CT167" i="1"/>
  <c r="CT166" i="1"/>
  <c r="CT165" i="1"/>
  <c r="CT164" i="1"/>
  <c r="CT163" i="1"/>
  <c r="CT162" i="1"/>
  <c r="CT161" i="1"/>
  <c r="CT160" i="1"/>
  <c r="CS295" i="1"/>
  <c r="CS294" i="1"/>
  <c r="CS293" i="1"/>
  <c r="CS292" i="1"/>
  <c r="CS291" i="1"/>
  <c r="CS290" i="1"/>
  <c r="CS289" i="1"/>
  <c r="CS288" i="1"/>
  <c r="CS287" i="1"/>
  <c r="CS286" i="1"/>
  <c r="CS285" i="1"/>
  <c r="CS284" i="1"/>
  <c r="CS283" i="1"/>
  <c r="CS282" i="1"/>
  <c r="CS281" i="1"/>
  <c r="CS280" i="1"/>
  <c r="CS279" i="1"/>
  <c r="CS278" i="1"/>
  <c r="CS277" i="1"/>
  <c r="CS276" i="1"/>
  <c r="CS275" i="1"/>
  <c r="CS274" i="1"/>
  <c r="CS273" i="1"/>
  <c r="CS272" i="1"/>
  <c r="CS271" i="1"/>
  <c r="CS270" i="1"/>
  <c r="CS269" i="1"/>
  <c r="CS268" i="1"/>
  <c r="CS267" i="1"/>
  <c r="CS266" i="1"/>
  <c r="CS265" i="1"/>
  <c r="CS264" i="1"/>
  <c r="CS263" i="1"/>
  <c r="CS262" i="1"/>
  <c r="CS261" i="1"/>
  <c r="CS260" i="1"/>
  <c r="CS259" i="1"/>
  <c r="CS258" i="1"/>
  <c r="CS257" i="1"/>
  <c r="CS256" i="1"/>
  <c r="CS255" i="1"/>
  <c r="CS254" i="1"/>
  <c r="CS253" i="1"/>
  <c r="CS252" i="1"/>
  <c r="CS251" i="1"/>
  <c r="CS250" i="1"/>
  <c r="CS249" i="1"/>
  <c r="CS248" i="1"/>
  <c r="CS247" i="1"/>
  <c r="CS246" i="1"/>
  <c r="CS245" i="1"/>
  <c r="CS244" i="1"/>
  <c r="CS243" i="1"/>
  <c r="CS242" i="1"/>
  <c r="CS241" i="1"/>
  <c r="CS240" i="1"/>
  <c r="CS239" i="1"/>
  <c r="CS238" i="1"/>
  <c r="CS237" i="1"/>
  <c r="CS236" i="1"/>
  <c r="CS235" i="1"/>
  <c r="CS234" i="1"/>
  <c r="CS233" i="1"/>
  <c r="CS232" i="1"/>
  <c r="CS231" i="1"/>
  <c r="CS230" i="1"/>
  <c r="CS229" i="1"/>
  <c r="CS228" i="1"/>
  <c r="CS227" i="1"/>
  <c r="CS226" i="1"/>
  <c r="CS225" i="1"/>
  <c r="CS224" i="1"/>
  <c r="CS223" i="1"/>
  <c r="CS222" i="1"/>
  <c r="CS221" i="1"/>
  <c r="CS220" i="1"/>
  <c r="CS219" i="1"/>
  <c r="CS218" i="1"/>
  <c r="CS217" i="1"/>
  <c r="CS216" i="1"/>
  <c r="CS215" i="1"/>
  <c r="CS214" i="1"/>
  <c r="CS213" i="1"/>
  <c r="CS212" i="1"/>
  <c r="CS211" i="1"/>
  <c r="CS210" i="1"/>
  <c r="CS209" i="1"/>
  <c r="CS208" i="1"/>
  <c r="CS207" i="1"/>
  <c r="CS206" i="1"/>
  <c r="CS205" i="1"/>
  <c r="CS204" i="1"/>
  <c r="CS203" i="1"/>
  <c r="CS202" i="1"/>
  <c r="CS201" i="1"/>
  <c r="CS200" i="1"/>
  <c r="CS199" i="1"/>
  <c r="CS198" i="1"/>
  <c r="CS197" i="1"/>
  <c r="CS196" i="1"/>
  <c r="CS195" i="1"/>
  <c r="CS194" i="1"/>
  <c r="CS193" i="1"/>
  <c r="CS192" i="1"/>
  <c r="CS191" i="1"/>
  <c r="CS190" i="1"/>
  <c r="CS189" i="1"/>
  <c r="CS188" i="1"/>
  <c r="CS187" i="1"/>
  <c r="CS186" i="1"/>
  <c r="CS185" i="1"/>
  <c r="CS184" i="1"/>
  <c r="CS183" i="1"/>
  <c r="CS182" i="1"/>
  <c r="CS181" i="1"/>
  <c r="CS180" i="1"/>
  <c r="CS179" i="1"/>
  <c r="CS178" i="1"/>
  <c r="CS177" i="1"/>
  <c r="CS176" i="1"/>
  <c r="CS175" i="1"/>
  <c r="CS174" i="1"/>
  <c r="CS173" i="1"/>
  <c r="CS172" i="1"/>
  <c r="CS171" i="1"/>
  <c r="CS170" i="1"/>
  <c r="CS169" i="1"/>
  <c r="CS168" i="1"/>
  <c r="CS167" i="1"/>
  <c r="CS166" i="1"/>
  <c r="CS165" i="1"/>
  <c r="CS164" i="1"/>
  <c r="CS163" i="1"/>
  <c r="CS162" i="1"/>
  <c r="CS161" i="1"/>
  <c r="CS160" i="1"/>
  <c r="CR295" i="1"/>
  <c r="CR294" i="1"/>
  <c r="CR293" i="1"/>
  <c r="CR292" i="1"/>
  <c r="CR291" i="1"/>
  <c r="CR290" i="1"/>
  <c r="CR289" i="1"/>
  <c r="CR288" i="1"/>
  <c r="CR287" i="1"/>
  <c r="CR286" i="1"/>
  <c r="CR285" i="1"/>
  <c r="CR284" i="1"/>
  <c r="CR283" i="1"/>
  <c r="CR282" i="1"/>
  <c r="CR281" i="1"/>
  <c r="CR280" i="1"/>
  <c r="CR279" i="1"/>
  <c r="CR278" i="1"/>
  <c r="CR277" i="1"/>
  <c r="CR276" i="1"/>
  <c r="CR275" i="1"/>
  <c r="CR274" i="1"/>
  <c r="CR273" i="1"/>
  <c r="CR272" i="1"/>
  <c r="CR271" i="1"/>
  <c r="CR270" i="1"/>
  <c r="CR269" i="1"/>
  <c r="CR268" i="1"/>
  <c r="CR267" i="1"/>
  <c r="CR266" i="1"/>
  <c r="CR265" i="1"/>
  <c r="CR264" i="1"/>
  <c r="CR263" i="1"/>
  <c r="CR262" i="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CR238" i="1"/>
  <c r="CR237" i="1"/>
  <c r="CR236" i="1"/>
  <c r="CR235" i="1"/>
  <c r="CR234" i="1"/>
  <c r="CR233" i="1"/>
  <c r="CR232" i="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CR166" i="1"/>
  <c r="CR165" i="1"/>
  <c r="CR164" i="1"/>
  <c r="CR163" i="1"/>
  <c r="CR162" i="1"/>
  <c r="CR161" i="1"/>
  <c r="CR160" i="1"/>
  <c r="CQ295" i="1"/>
  <c r="CQ294" i="1"/>
  <c r="CQ293" i="1"/>
  <c r="CQ292" i="1"/>
  <c r="CQ291" i="1"/>
  <c r="CQ290" i="1"/>
  <c r="CQ289" i="1"/>
  <c r="CQ288" i="1"/>
  <c r="CQ287" i="1"/>
  <c r="CQ286" i="1"/>
  <c r="CQ285" i="1"/>
  <c r="CQ284" i="1"/>
  <c r="CQ283" i="1"/>
  <c r="CQ282" i="1"/>
  <c r="CQ281" i="1"/>
  <c r="CQ280" i="1"/>
  <c r="CQ279" i="1"/>
  <c r="CQ278" i="1"/>
  <c r="CQ277" i="1"/>
  <c r="CQ276" i="1"/>
  <c r="CQ275" i="1"/>
  <c r="CQ274" i="1"/>
  <c r="CQ273" i="1"/>
  <c r="CQ272" i="1"/>
  <c r="CQ271" i="1"/>
  <c r="CQ270" i="1"/>
  <c r="CQ269" i="1"/>
  <c r="CQ268" i="1"/>
  <c r="CQ267" i="1"/>
  <c r="CQ266" i="1"/>
  <c r="CQ265" i="1"/>
  <c r="CQ264" i="1"/>
  <c r="CQ263" i="1"/>
  <c r="CQ262" i="1"/>
  <c r="CQ261" i="1"/>
  <c r="CQ260" i="1"/>
  <c r="CQ259" i="1"/>
  <c r="CQ258" i="1"/>
  <c r="CQ257" i="1"/>
  <c r="CQ256" i="1"/>
  <c r="CQ255" i="1"/>
  <c r="CQ254" i="1"/>
  <c r="CQ253" i="1"/>
  <c r="CQ252" i="1"/>
  <c r="CQ251" i="1"/>
  <c r="CQ250" i="1"/>
  <c r="CQ249" i="1"/>
  <c r="CQ248" i="1"/>
  <c r="CQ247" i="1"/>
  <c r="CQ246" i="1"/>
  <c r="CQ245" i="1"/>
  <c r="CQ244" i="1"/>
  <c r="CQ243" i="1"/>
  <c r="CQ242" i="1"/>
  <c r="CQ241" i="1"/>
  <c r="CQ240" i="1"/>
  <c r="CQ239" i="1"/>
  <c r="CQ238" i="1"/>
  <c r="CQ237" i="1"/>
  <c r="CQ236" i="1"/>
  <c r="CQ235" i="1"/>
  <c r="CQ234" i="1"/>
  <c r="CQ233" i="1"/>
  <c r="CQ232" i="1"/>
  <c r="CQ231" i="1"/>
  <c r="CQ230" i="1"/>
  <c r="CQ229" i="1"/>
  <c r="CQ228" i="1"/>
  <c r="CQ227" i="1"/>
  <c r="CQ226" i="1"/>
  <c r="CQ225" i="1"/>
  <c r="CQ224" i="1"/>
  <c r="CQ223" i="1"/>
  <c r="CQ222" i="1"/>
  <c r="CQ221" i="1"/>
  <c r="CQ220" i="1"/>
  <c r="CQ219" i="1"/>
  <c r="CQ218" i="1"/>
  <c r="CQ217" i="1"/>
  <c r="CQ216" i="1"/>
  <c r="CQ215" i="1"/>
  <c r="CQ214" i="1"/>
  <c r="CQ213" i="1"/>
  <c r="CQ212" i="1"/>
  <c r="CQ211" i="1"/>
  <c r="CQ210" i="1"/>
  <c r="CQ209" i="1"/>
  <c r="CQ208" i="1"/>
  <c r="CQ207" i="1"/>
  <c r="CQ206" i="1"/>
  <c r="CQ205" i="1"/>
  <c r="CQ204" i="1"/>
  <c r="CQ203" i="1"/>
  <c r="CQ202" i="1"/>
  <c r="CQ201" i="1"/>
  <c r="CQ200" i="1"/>
  <c r="CQ199" i="1"/>
  <c r="CQ198" i="1"/>
  <c r="CQ197" i="1"/>
  <c r="CQ196" i="1"/>
  <c r="CQ195" i="1"/>
  <c r="CQ194" i="1"/>
  <c r="CQ193" i="1"/>
  <c r="CQ192" i="1"/>
  <c r="CQ191" i="1"/>
  <c r="CQ190" i="1"/>
  <c r="CQ189" i="1"/>
  <c r="CQ188" i="1"/>
  <c r="CQ187" i="1"/>
  <c r="CQ186" i="1"/>
  <c r="CQ185" i="1"/>
  <c r="CQ184" i="1"/>
  <c r="CQ183" i="1"/>
  <c r="CQ182" i="1"/>
  <c r="CQ181" i="1"/>
  <c r="CQ180" i="1"/>
  <c r="CQ179" i="1"/>
  <c r="CQ178" i="1"/>
  <c r="CQ177" i="1"/>
  <c r="CQ176" i="1"/>
  <c r="CQ175" i="1"/>
  <c r="CQ174" i="1"/>
  <c r="CQ173" i="1"/>
  <c r="CQ172" i="1"/>
  <c r="CQ171" i="1"/>
  <c r="CQ170" i="1"/>
  <c r="CQ169" i="1"/>
  <c r="CQ168" i="1"/>
  <c r="CQ167" i="1"/>
  <c r="CQ166" i="1"/>
  <c r="CQ165" i="1"/>
  <c r="CQ164" i="1"/>
  <c r="CQ163" i="1"/>
  <c r="CQ162" i="1"/>
  <c r="CQ161" i="1"/>
  <c r="CQ160" i="1"/>
  <c r="CP295" i="1"/>
  <c r="CP294" i="1"/>
  <c r="CP293" i="1"/>
  <c r="CP292" i="1"/>
  <c r="CP291" i="1"/>
  <c r="CP290" i="1"/>
  <c r="CP289" i="1"/>
  <c r="CP288" i="1"/>
  <c r="CP287" i="1"/>
  <c r="CP286" i="1"/>
  <c r="CP285" i="1"/>
  <c r="CP284" i="1"/>
  <c r="CP283" i="1"/>
  <c r="CP282" i="1"/>
  <c r="CP281" i="1"/>
  <c r="CP280" i="1"/>
  <c r="CP279" i="1"/>
  <c r="CP278" i="1"/>
  <c r="CP277" i="1"/>
  <c r="CP276" i="1"/>
  <c r="CP275" i="1"/>
  <c r="CP274" i="1"/>
  <c r="CP273" i="1"/>
  <c r="CP272" i="1"/>
  <c r="CP271" i="1"/>
  <c r="CP270" i="1"/>
  <c r="CP269" i="1"/>
  <c r="CP268" i="1"/>
  <c r="CP267" i="1"/>
  <c r="CP266" i="1"/>
  <c r="CP265" i="1"/>
  <c r="CP264" i="1"/>
  <c r="CP263" i="1"/>
  <c r="CP262" i="1"/>
  <c r="CP261" i="1"/>
  <c r="CP260" i="1"/>
  <c r="CP259" i="1"/>
  <c r="CP258" i="1"/>
  <c r="CP257" i="1"/>
  <c r="CP256" i="1"/>
  <c r="CP255" i="1"/>
  <c r="CP254" i="1"/>
  <c r="CP253" i="1"/>
  <c r="CP252" i="1"/>
  <c r="CP251" i="1"/>
  <c r="CP250" i="1"/>
  <c r="CP249" i="1"/>
  <c r="CP248" i="1"/>
  <c r="CP247" i="1"/>
  <c r="CP246" i="1"/>
  <c r="CP245" i="1"/>
  <c r="CP244" i="1"/>
  <c r="CP243" i="1"/>
  <c r="CP242" i="1"/>
  <c r="CP241" i="1"/>
  <c r="CP240" i="1"/>
  <c r="CP239" i="1"/>
  <c r="CP238" i="1"/>
  <c r="CP237" i="1"/>
  <c r="CP236" i="1"/>
  <c r="CP235" i="1"/>
  <c r="CP234" i="1"/>
  <c r="CP233" i="1"/>
  <c r="CP232" i="1"/>
  <c r="CP231" i="1"/>
  <c r="CP230" i="1"/>
  <c r="CP229" i="1"/>
  <c r="CP228" i="1"/>
  <c r="CP227" i="1"/>
  <c r="CP226" i="1"/>
  <c r="CP225" i="1"/>
  <c r="CP224" i="1"/>
  <c r="CP223" i="1"/>
  <c r="CP222" i="1"/>
  <c r="CP221" i="1"/>
  <c r="CP220" i="1"/>
  <c r="CP219" i="1"/>
  <c r="CP218" i="1"/>
  <c r="CP217" i="1"/>
  <c r="CP216" i="1"/>
  <c r="CP215" i="1"/>
  <c r="CP214" i="1"/>
  <c r="CP213" i="1"/>
  <c r="CP212" i="1"/>
  <c r="CP211" i="1"/>
  <c r="CP210" i="1"/>
  <c r="CP209" i="1"/>
  <c r="CP208" i="1"/>
  <c r="CP207" i="1"/>
  <c r="CP206" i="1"/>
  <c r="CP205" i="1"/>
  <c r="CP204" i="1"/>
  <c r="CP203" i="1"/>
  <c r="CP202" i="1"/>
  <c r="CP201" i="1"/>
  <c r="CP200" i="1"/>
  <c r="CP199" i="1"/>
  <c r="CP198" i="1"/>
  <c r="CP197" i="1"/>
  <c r="CP196" i="1"/>
  <c r="CP195" i="1"/>
  <c r="CP194" i="1"/>
  <c r="CP193" i="1"/>
  <c r="CP192" i="1"/>
  <c r="CP191" i="1"/>
  <c r="CP190" i="1"/>
  <c r="CP189" i="1"/>
  <c r="CP188" i="1"/>
  <c r="CP187" i="1"/>
  <c r="CP186" i="1"/>
  <c r="CP185" i="1"/>
  <c r="CP184" i="1"/>
  <c r="CP183" i="1"/>
  <c r="CP182" i="1"/>
  <c r="CP181" i="1"/>
  <c r="CP180" i="1"/>
  <c r="CP179" i="1"/>
  <c r="CP178" i="1"/>
  <c r="CP177" i="1"/>
  <c r="CP176" i="1"/>
  <c r="CP175" i="1"/>
  <c r="CP174" i="1"/>
  <c r="CP173" i="1"/>
  <c r="CP172" i="1"/>
  <c r="CP171" i="1"/>
  <c r="CP170" i="1"/>
  <c r="CP169" i="1"/>
  <c r="CP168" i="1"/>
  <c r="CP167" i="1"/>
  <c r="CP166" i="1"/>
  <c r="CP165" i="1"/>
  <c r="CP164" i="1"/>
  <c r="CP163" i="1"/>
  <c r="CP162" i="1"/>
  <c r="CP161" i="1"/>
  <c r="CP160" i="1"/>
  <c r="CO295" i="1"/>
  <c r="CO294" i="1"/>
  <c r="CO293" i="1"/>
  <c r="CO292" i="1"/>
  <c r="CO291" i="1"/>
  <c r="CO290" i="1"/>
  <c r="CO289" i="1"/>
  <c r="CO288" i="1"/>
  <c r="CO287" i="1"/>
  <c r="CO286" i="1"/>
  <c r="CO285" i="1"/>
  <c r="CO284" i="1"/>
  <c r="CO283" i="1"/>
  <c r="CO282" i="1"/>
  <c r="CO281" i="1"/>
  <c r="CO280" i="1"/>
  <c r="CO279" i="1"/>
  <c r="CO278" i="1"/>
  <c r="CO277" i="1"/>
  <c r="CO276" i="1"/>
  <c r="CO275" i="1"/>
  <c r="CO274" i="1"/>
  <c r="CO273" i="1"/>
  <c r="CO272" i="1"/>
  <c r="CO271" i="1"/>
  <c r="CO270" i="1"/>
  <c r="CO269" i="1"/>
  <c r="CO268" i="1"/>
  <c r="CO267" i="1"/>
  <c r="CO266" i="1"/>
  <c r="CO265" i="1"/>
  <c r="CO264" i="1"/>
  <c r="CO263" i="1"/>
  <c r="CO262" i="1"/>
  <c r="CO261" i="1"/>
  <c r="CO260" i="1"/>
  <c r="CO259" i="1"/>
  <c r="CO258" i="1"/>
  <c r="CO257" i="1"/>
  <c r="CO256" i="1"/>
  <c r="CO255" i="1"/>
  <c r="CO254" i="1"/>
  <c r="CO253" i="1"/>
  <c r="CO252" i="1"/>
  <c r="CO251" i="1"/>
  <c r="CO250" i="1"/>
  <c r="CO249" i="1"/>
  <c r="CO248" i="1"/>
  <c r="CO247" i="1"/>
  <c r="CO246" i="1"/>
  <c r="CO245" i="1"/>
  <c r="CO244" i="1"/>
  <c r="CO243" i="1"/>
  <c r="CO242" i="1"/>
  <c r="CO241" i="1"/>
  <c r="CO240" i="1"/>
  <c r="CO239" i="1"/>
  <c r="CO238" i="1"/>
  <c r="CO237" i="1"/>
  <c r="CO236" i="1"/>
  <c r="CO235" i="1"/>
  <c r="CO234" i="1"/>
  <c r="CO233" i="1"/>
  <c r="CO232" i="1"/>
  <c r="CO231" i="1"/>
  <c r="CO230" i="1"/>
  <c r="CO229" i="1"/>
  <c r="CO228" i="1"/>
  <c r="CO227" i="1"/>
  <c r="CO226" i="1"/>
  <c r="CO225" i="1"/>
  <c r="CO224" i="1"/>
  <c r="CO223" i="1"/>
  <c r="CO222" i="1"/>
  <c r="CO221" i="1"/>
  <c r="CO220" i="1"/>
  <c r="CO219" i="1"/>
  <c r="CO218" i="1"/>
  <c r="CO217" i="1"/>
  <c r="CO216" i="1"/>
  <c r="CO215" i="1"/>
  <c r="CO214" i="1"/>
  <c r="CO213" i="1"/>
  <c r="CO212" i="1"/>
  <c r="CO211" i="1"/>
  <c r="CO210" i="1"/>
  <c r="CO209" i="1"/>
  <c r="CO208" i="1"/>
  <c r="CO207" i="1"/>
  <c r="CO206" i="1"/>
  <c r="CO205" i="1"/>
  <c r="CO204" i="1"/>
  <c r="CO203" i="1"/>
  <c r="CO202" i="1"/>
  <c r="CO201" i="1"/>
  <c r="CO200" i="1"/>
  <c r="CO199" i="1"/>
  <c r="CO198" i="1"/>
  <c r="CO197" i="1"/>
  <c r="CO196" i="1"/>
  <c r="CO195" i="1"/>
  <c r="CO194" i="1"/>
  <c r="CO193" i="1"/>
  <c r="CO192" i="1"/>
  <c r="CO191" i="1"/>
  <c r="CO190" i="1"/>
  <c r="CO189" i="1"/>
  <c r="CO188" i="1"/>
  <c r="CO187" i="1"/>
  <c r="CO186" i="1"/>
  <c r="CO185" i="1"/>
  <c r="CO184" i="1"/>
  <c r="CO183" i="1"/>
  <c r="CO182" i="1"/>
  <c r="CO181" i="1"/>
  <c r="CO180" i="1"/>
  <c r="CO179" i="1"/>
  <c r="CO178" i="1"/>
  <c r="CO177" i="1"/>
  <c r="CO176" i="1"/>
  <c r="CO175" i="1"/>
  <c r="CO174" i="1"/>
  <c r="CO173" i="1"/>
  <c r="CO172" i="1"/>
  <c r="CO171" i="1"/>
  <c r="CO170" i="1"/>
  <c r="CO169" i="1"/>
  <c r="CO168" i="1"/>
  <c r="CO167" i="1"/>
  <c r="CO166" i="1"/>
  <c r="CO165" i="1"/>
  <c r="CO164" i="1"/>
  <c r="CO163" i="1"/>
  <c r="CO162" i="1"/>
  <c r="CO161" i="1"/>
  <c r="CO160" i="1"/>
  <c r="CN295" i="1"/>
  <c r="CN294" i="1"/>
  <c r="CN293" i="1"/>
  <c r="CN292" i="1"/>
  <c r="CN291" i="1"/>
  <c r="CN290" i="1"/>
  <c r="CN289" i="1"/>
  <c r="CN288" i="1"/>
  <c r="CN287" i="1"/>
  <c r="CN286" i="1"/>
  <c r="CN285" i="1"/>
  <c r="CN284" i="1"/>
  <c r="CN283" i="1"/>
  <c r="CN282" i="1"/>
  <c r="CN281" i="1"/>
  <c r="CN280" i="1"/>
  <c r="CN279" i="1"/>
  <c r="CN278" i="1"/>
  <c r="CN277" i="1"/>
  <c r="CN276" i="1"/>
  <c r="CN275" i="1"/>
  <c r="CN274" i="1"/>
  <c r="CN273" i="1"/>
  <c r="CN272" i="1"/>
  <c r="CN271" i="1"/>
  <c r="CN270" i="1"/>
  <c r="CN269" i="1"/>
  <c r="CN268" i="1"/>
  <c r="CN267" i="1"/>
  <c r="CN266" i="1"/>
  <c r="CN265" i="1"/>
  <c r="CN264" i="1"/>
  <c r="CN263" i="1"/>
  <c r="CN262" i="1"/>
  <c r="CN261" i="1"/>
  <c r="CN260" i="1"/>
  <c r="CN259" i="1"/>
  <c r="CN258" i="1"/>
  <c r="CN257" i="1"/>
  <c r="CN256" i="1"/>
  <c r="CN255" i="1"/>
  <c r="CN254" i="1"/>
  <c r="CN253" i="1"/>
  <c r="CN252" i="1"/>
  <c r="CN251" i="1"/>
  <c r="CN250" i="1"/>
  <c r="CN249" i="1"/>
  <c r="CN248" i="1"/>
  <c r="CN247" i="1"/>
  <c r="CN246" i="1"/>
  <c r="CN245" i="1"/>
  <c r="CN244" i="1"/>
  <c r="CN243" i="1"/>
  <c r="CN242" i="1"/>
  <c r="CN241" i="1"/>
  <c r="CN240" i="1"/>
  <c r="CN239" i="1"/>
  <c r="CN238" i="1"/>
  <c r="CN237" i="1"/>
  <c r="CN236" i="1"/>
  <c r="CN235" i="1"/>
  <c r="CN234" i="1"/>
  <c r="CN233" i="1"/>
  <c r="CN232" i="1"/>
  <c r="CN231" i="1"/>
  <c r="CN230" i="1"/>
  <c r="CN229" i="1"/>
  <c r="CN228" i="1"/>
  <c r="CN227" i="1"/>
  <c r="CN226" i="1"/>
  <c r="CN225" i="1"/>
  <c r="CN224" i="1"/>
  <c r="CN223" i="1"/>
  <c r="CN222" i="1"/>
  <c r="CN221" i="1"/>
  <c r="CN220" i="1"/>
  <c r="CN219" i="1"/>
  <c r="CN218" i="1"/>
  <c r="CN217" i="1"/>
  <c r="CN216" i="1"/>
  <c r="CN215" i="1"/>
  <c r="CN214" i="1"/>
  <c r="CN213" i="1"/>
  <c r="CN212" i="1"/>
  <c r="CN211" i="1"/>
  <c r="CN210" i="1"/>
  <c r="CN209" i="1"/>
  <c r="CN208" i="1"/>
  <c r="CN207" i="1"/>
  <c r="CN206" i="1"/>
  <c r="CN205" i="1"/>
  <c r="CN204" i="1"/>
  <c r="CN203" i="1"/>
  <c r="CN202" i="1"/>
  <c r="CN201" i="1"/>
  <c r="CN200" i="1"/>
  <c r="CN199" i="1"/>
  <c r="CN198" i="1"/>
  <c r="CN197" i="1"/>
  <c r="CN196" i="1"/>
  <c r="CN195" i="1"/>
  <c r="CN194" i="1"/>
  <c r="CN193" i="1"/>
  <c r="CN192" i="1"/>
  <c r="CN191" i="1"/>
  <c r="CN190" i="1"/>
  <c r="CN189" i="1"/>
  <c r="CN188" i="1"/>
  <c r="CN187" i="1"/>
  <c r="CN186" i="1"/>
  <c r="CN185" i="1"/>
  <c r="CN184" i="1"/>
  <c r="CN183" i="1"/>
  <c r="CN182" i="1"/>
  <c r="CN181" i="1"/>
  <c r="CN180" i="1"/>
  <c r="CN179" i="1"/>
  <c r="CN178" i="1"/>
  <c r="CN177" i="1"/>
  <c r="CN176" i="1"/>
  <c r="CN175" i="1"/>
  <c r="CN174" i="1"/>
  <c r="CN173" i="1"/>
  <c r="CN172" i="1"/>
  <c r="CN171" i="1"/>
  <c r="CN170" i="1"/>
  <c r="CN169" i="1"/>
  <c r="CN168" i="1"/>
  <c r="CN167" i="1"/>
  <c r="CN166" i="1"/>
  <c r="CN165" i="1"/>
  <c r="CN164" i="1"/>
  <c r="CN163" i="1"/>
  <c r="CN162" i="1"/>
  <c r="CN161" i="1"/>
  <c r="CN160" i="1"/>
  <c r="CM295" i="1"/>
  <c r="CM294" i="1"/>
  <c r="CM293" i="1"/>
  <c r="CM292" i="1"/>
  <c r="CM291" i="1"/>
  <c r="CM290" i="1"/>
  <c r="CM289" i="1"/>
  <c r="CM288" i="1"/>
  <c r="CM287" i="1"/>
  <c r="CM286" i="1"/>
  <c r="CM285" i="1"/>
  <c r="CM284" i="1"/>
  <c r="CM283" i="1"/>
  <c r="CM282" i="1"/>
  <c r="CM281" i="1"/>
  <c r="CM280" i="1"/>
  <c r="CM279" i="1"/>
  <c r="CM278" i="1"/>
  <c r="CM277" i="1"/>
  <c r="CM276" i="1"/>
  <c r="CM275" i="1"/>
  <c r="CM274" i="1"/>
  <c r="CM273" i="1"/>
  <c r="CM272" i="1"/>
  <c r="CM271" i="1"/>
  <c r="CM270" i="1"/>
  <c r="CM269" i="1"/>
  <c r="CM268" i="1"/>
  <c r="CM267" i="1"/>
  <c r="CM266" i="1"/>
  <c r="CM265" i="1"/>
  <c r="CM264" i="1"/>
  <c r="CM263" i="1"/>
  <c r="CM262" i="1"/>
  <c r="CM261" i="1"/>
  <c r="CM260" i="1"/>
  <c r="CM259" i="1"/>
  <c r="CM258" i="1"/>
  <c r="CM257" i="1"/>
  <c r="CM256" i="1"/>
  <c r="CM255" i="1"/>
  <c r="CM254" i="1"/>
  <c r="CM253" i="1"/>
  <c r="CM252" i="1"/>
  <c r="CM251" i="1"/>
  <c r="CM250" i="1"/>
  <c r="CM249" i="1"/>
  <c r="CM248" i="1"/>
  <c r="CM247" i="1"/>
  <c r="CM246" i="1"/>
  <c r="CM245" i="1"/>
  <c r="CM244" i="1"/>
  <c r="CM243" i="1"/>
  <c r="CM242" i="1"/>
  <c r="CM241" i="1"/>
  <c r="CM240" i="1"/>
  <c r="CM239" i="1"/>
  <c r="CM238" i="1"/>
  <c r="CM237" i="1"/>
  <c r="CM236" i="1"/>
  <c r="CM235" i="1"/>
  <c r="CM234" i="1"/>
  <c r="CM233" i="1"/>
  <c r="CM232" i="1"/>
  <c r="CM231" i="1"/>
  <c r="CM230" i="1"/>
  <c r="CM229" i="1"/>
  <c r="CM228" i="1"/>
  <c r="CM227" i="1"/>
  <c r="CM226" i="1"/>
  <c r="CM225" i="1"/>
  <c r="CM224" i="1"/>
  <c r="CM223" i="1"/>
  <c r="CM222" i="1"/>
  <c r="CM221" i="1"/>
  <c r="CM220" i="1"/>
  <c r="CM219" i="1"/>
  <c r="CM218" i="1"/>
  <c r="CM217" i="1"/>
  <c r="CM216" i="1"/>
  <c r="CM215" i="1"/>
  <c r="CM214" i="1"/>
  <c r="CM213" i="1"/>
  <c r="CM212" i="1"/>
  <c r="CM211" i="1"/>
  <c r="CM210" i="1"/>
  <c r="CM209" i="1"/>
  <c r="CM208" i="1"/>
  <c r="CM207" i="1"/>
  <c r="CM206" i="1"/>
  <c r="CM205" i="1"/>
  <c r="CM204" i="1"/>
  <c r="CM203" i="1"/>
  <c r="CM202" i="1"/>
  <c r="CM201" i="1"/>
  <c r="CM200" i="1"/>
  <c r="CM199" i="1"/>
  <c r="CM198" i="1"/>
  <c r="CM197" i="1"/>
  <c r="CM196" i="1"/>
  <c r="CM195" i="1"/>
  <c r="CM194" i="1"/>
  <c r="CM193" i="1"/>
  <c r="CM192" i="1"/>
  <c r="CM191" i="1"/>
  <c r="CM190" i="1"/>
  <c r="CM189" i="1"/>
  <c r="CM188" i="1"/>
  <c r="CM187" i="1"/>
  <c r="CM186" i="1"/>
  <c r="CM185" i="1"/>
  <c r="CM184" i="1"/>
  <c r="CM183" i="1"/>
  <c r="CM182" i="1"/>
  <c r="CM181" i="1"/>
  <c r="CM180" i="1"/>
  <c r="CM179" i="1"/>
  <c r="CM178" i="1"/>
  <c r="CM177" i="1"/>
  <c r="CM176" i="1"/>
  <c r="CM175" i="1"/>
  <c r="CM174" i="1"/>
  <c r="CM173" i="1"/>
  <c r="CM172" i="1"/>
  <c r="CM171" i="1"/>
  <c r="CM170" i="1"/>
  <c r="CM169" i="1"/>
  <c r="CM168" i="1"/>
  <c r="CM167" i="1"/>
  <c r="CM166" i="1"/>
  <c r="CM165" i="1"/>
  <c r="CM164" i="1"/>
  <c r="CM163" i="1"/>
  <c r="CM162" i="1"/>
  <c r="CM161" i="1"/>
  <c r="CM160" i="1"/>
  <c r="CL295" i="1"/>
  <c r="CL294" i="1"/>
  <c r="CL293" i="1"/>
  <c r="CL292" i="1"/>
  <c r="CL291" i="1"/>
  <c r="CL290" i="1"/>
  <c r="CL289" i="1"/>
  <c r="CL288" i="1"/>
  <c r="CL287" i="1"/>
  <c r="CL286" i="1"/>
  <c r="CL285" i="1"/>
  <c r="CL284" i="1"/>
  <c r="CL283" i="1"/>
  <c r="CL282" i="1"/>
  <c r="CL281" i="1"/>
  <c r="CL280" i="1"/>
  <c r="CL279" i="1"/>
  <c r="CL278" i="1"/>
  <c r="CL277" i="1"/>
  <c r="CL276" i="1"/>
  <c r="CL275" i="1"/>
  <c r="CL274" i="1"/>
  <c r="CL273" i="1"/>
  <c r="CL272" i="1"/>
  <c r="CL271" i="1"/>
  <c r="CL270" i="1"/>
  <c r="CL269" i="1"/>
  <c r="CL268" i="1"/>
  <c r="CL267" i="1"/>
  <c r="CL266" i="1"/>
  <c r="CL265" i="1"/>
  <c r="CL264" i="1"/>
  <c r="CL263" i="1"/>
  <c r="CL262" i="1"/>
  <c r="CL261" i="1"/>
  <c r="CL260" i="1"/>
  <c r="CL259" i="1"/>
  <c r="CL258" i="1"/>
  <c r="CL257" i="1"/>
  <c r="CL256" i="1"/>
  <c r="CL255" i="1"/>
  <c r="CL254" i="1"/>
  <c r="CL253" i="1"/>
  <c r="CL252" i="1"/>
  <c r="CL251" i="1"/>
  <c r="CL250" i="1"/>
  <c r="CL249" i="1"/>
  <c r="CL248" i="1"/>
  <c r="CL247" i="1"/>
  <c r="CL246" i="1"/>
  <c r="CL245" i="1"/>
  <c r="CL244" i="1"/>
  <c r="CL243" i="1"/>
  <c r="CL242" i="1"/>
  <c r="CL241" i="1"/>
  <c r="CL240" i="1"/>
  <c r="CL239" i="1"/>
  <c r="CL238" i="1"/>
  <c r="CL237" i="1"/>
  <c r="CL236" i="1"/>
  <c r="CL235" i="1"/>
  <c r="CL234" i="1"/>
  <c r="CL233" i="1"/>
  <c r="CL232" i="1"/>
  <c r="CL231" i="1"/>
  <c r="CL230" i="1"/>
  <c r="CL229" i="1"/>
  <c r="CL228" i="1"/>
  <c r="CL227" i="1"/>
  <c r="CL226" i="1"/>
  <c r="CL225" i="1"/>
  <c r="CL224" i="1"/>
  <c r="CL223" i="1"/>
  <c r="CL222" i="1"/>
  <c r="CL221" i="1"/>
  <c r="CL220" i="1"/>
  <c r="CL219" i="1"/>
  <c r="CL218" i="1"/>
  <c r="CL217" i="1"/>
  <c r="CL216" i="1"/>
  <c r="CL215" i="1"/>
  <c r="CL214" i="1"/>
  <c r="CL213" i="1"/>
  <c r="CL212" i="1"/>
  <c r="CL211" i="1"/>
  <c r="CL210" i="1"/>
  <c r="CL209" i="1"/>
  <c r="CL208" i="1"/>
  <c r="CL207" i="1"/>
  <c r="CL206" i="1"/>
  <c r="CL205" i="1"/>
  <c r="CL204" i="1"/>
  <c r="CL203" i="1"/>
  <c r="CL202" i="1"/>
  <c r="CL201" i="1"/>
  <c r="CL200" i="1"/>
  <c r="CL199" i="1"/>
  <c r="CL198" i="1"/>
  <c r="CL197" i="1"/>
  <c r="CL196" i="1"/>
  <c r="CL195" i="1"/>
  <c r="CL194" i="1"/>
  <c r="CL193" i="1"/>
  <c r="CL192" i="1"/>
  <c r="CL191" i="1"/>
  <c r="CL190" i="1"/>
  <c r="CL189" i="1"/>
  <c r="CL188" i="1"/>
  <c r="CL187" i="1"/>
  <c r="CL186" i="1"/>
  <c r="CL185" i="1"/>
  <c r="CL184" i="1"/>
  <c r="CL183" i="1"/>
  <c r="CL182" i="1"/>
  <c r="CL181" i="1"/>
  <c r="CL180" i="1"/>
  <c r="CL179" i="1"/>
  <c r="CL178" i="1"/>
  <c r="CL177" i="1"/>
  <c r="CL176" i="1"/>
  <c r="CL175" i="1"/>
  <c r="CL174" i="1"/>
  <c r="CL173" i="1"/>
  <c r="CL172" i="1"/>
  <c r="CL171" i="1"/>
  <c r="CL170" i="1"/>
  <c r="CL169" i="1"/>
  <c r="CL168" i="1"/>
  <c r="CL167" i="1"/>
  <c r="CL166" i="1"/>
  <c r="CL165" i="1"/>
  <c r="CL164" i="1"/>
  <c r="CL163" i="1"/>
  <c r="CL162" i="1"/>
  <c r="CL161" i="1"/>
  <c r="CL160" i="1"/>
  <c r="CK295" i="1"/>
  <c r="CK294" i="1"/>
  <c r="CK293" i="1"/>
  <c r="CK292" i="1"/>
  <c r="CK291" i="1"/>
  <c r="CK290" i="1"/>
  <c r="CK289" i="1"/>
  <c r="CK288" i="1"/>
  <c r="CK287" i="1"/>
  <c r="CK286" i="1"/>
  <c r="CK285" i="1"/>
  <c r="CK284" i="1"/>
  <c r="CK283" i="1"/>
  <c r="CK282" i="1"/>
  <c r="CK281" i="1"/>
  <c r="CK280" i="1"/>
  <c r="CK279" i="1"/>
  <c r="CK278" i="1"/>
  <c r="CK277" i="1"/>
  <c r="CK276" i="1"/>
  <c r="CK275" i="1"/>
  <c r="CK274" i="1"/>
  <c r="CK273" i="1"/>
  <c r="CK272" i="1"/>
  <c r="CK271" i="1"/>
  <c r="CK270" i="1"/>
  <c r="CK269" i="1"/>
  <c r="CK268" i="1"/>
  <c r="CK267" i="1"/>
  <c r="CK266" i="1"/>
  <c r="CK265" i="1"/>
  <c r="CK264" i="1"/>
  <c r="CK263" i="1"/>
  <c r="CK262" i="1"/>
  <c r="CK261" i="1"/>
  <c r="CK260" i="1"/>
  <c r="CK259" i="1"/>
  <c r="CK258" i="1"/>
  <c r="CK257" i="1"/>
  <c r="CK256" i="1"/>
  <c r="CK255" i="1"/>
  <c r="CK254" i="1"/>
  <c r="CK253" i="1"/>
  <c r="CK252" i="1"/>
  <c r="CK251" i="1"/>
  <c r="CK250" i="1"/>
  <c r="CK249" i="1"/>
  <c r="CK248" i="1"/>
  <c r="CK247" i="1"/>
  <c r="CK246" i="1"/>
  <c r="CK245" i="1"/>
  <c r="CK244" i="1"/>
  <c r="CK243" i="1"/>
  <c r="CK242" i="1"/>
  <c r="CK241" i="1"/>
  <c r="CK240" i="1"/>
  <c r="CK239" i="1"/>
  <c r="CK238" i="1"/>
  <c r="CK237" i="1"/>
  <c r="CK236" i="1"/>
  <c r="CK235" i="1"/>
  <c r="CK234" i="1"/>
  <c r="CK233" i="1"/>
  <c r="CK232" i="1"/>
  <c r="CK231" i="1"/>
  <c r="CK230" i="1"/>
  <c r="CK229" i="1"/>
  <c r="CK228" i="1"/>
  <c r="CK227" i="1"/>
  <c r="CK226" i="1"/>
  <c r="CK225" i="1"/>
  <c r="CK224" i="1"/>
  <c r="CK223" i="1"/>
  <c r="CK222" i="1"/>
  <c r="CK221" i="1"/>
  <c r="CK220" i="1"/>
  <c r="CK219" i="1"/>
  <c r="CK218" i="1"/>
  <c r="CK217" i="1"/>
  <c r="CK216" i="1"/>
  <c r="CK215" i="1"/>
  <c r="CK214" i="1"/>
  <c r="CK213" i="1"/>
  <c r="CK212" i="1"/>
  <c r="CK211" i="1"/>
  <c r="CK210" i="1"/>
  <c r="CK209" i="1"/>
  <c r="CK208" i="1"/>
  <c r="CK207" i="1"/>
  <c r="CK206" i="1"/>
  <c r="CK205" i="1"/>
  <c r="CK204" i="1"/>
  <c r="CK203" i="1"/>
  <c r="CK202" i="1"/>
  <c r="CK201" i="1"/>
  <c r="CK200" i="1"/>
  <c r="CK199" i="1"/>
  <c r="CK198" i="1"/>
  <c r="CK197" i="1"/>
  <c r="CK196" i="1"/>
  <c r="CK195" i="1"/>
  <c r="CK194" i="1"/>
  <c r="CK193" i="1"/>
  <c r="CK192" i="1"/>
  <c r="CK191" i="1"/>
  <c r="CK190" i="1"/>
  <c r="CK189" i="1"/>
  <c r="CK188" i="1"/>
  <c r="CK187" i="1"/>
  <c r="CK186" i="1"/>
  <c r="CK185" i="1"/>
  <c r="CK184" i="1"/>
  <c r="CK183" i="1"/>
  <c r="CK182" i="1"/>
  <c r="CK181" i="1"/>
  <c r="CK180" i="1"/>
  <c r="CK179" i="1"/>
  <c r="CK178" i="1"/>
  <c r="CK177" i="1"/>
  <c r="CK176" i="1"/>
  <c r="CK175" i="1"/>
  <c r="CK174" i="1"/>
  <c r="CK173" i="1"/>
  <c r="CK172" i="1"/>
  <c r="CK171" i="1"/>
  <c r="CK170" i="1"/>
  <c r="CK169" i="1"/>
  <c r="CK168" i="1"/>
  <c r="CK167" i="1"/>
  <c r="CK166" i="1"/>
  <c r="CK165" i="1"/>
  <c r="CK164" i="1"/>
  <c r="CK163" i="1"/>
  <c r="CK162" i="1"/>
  <c r="CK161" i="1"/>
  <c r="CK160" i="1"/>
  <c r="CJ295" i="1"/>
  <c r="CJ294" i="1"/>
  <c r="CJ293" i="1"/>
  <c r="CJ292" i="1"/>
  <c r="CJ291" i="1"/>
  <c r="CJ290" i="1"/>
  <c r="CJ289" i="1"/>
  <c r="CJ288" i="1"/>
  <c r="CJ287" i="1"/>
  <c r="CJ286" i="1"/>
  <c r="CJ285" i="1"/>
  <c r="CJ284" i="1"/>
  <c r="CJ283" i="1"/>
  <c r="CJ282" i="1"/>
  <c r="CJ281" i="1"/>
  <c r="CJ280" i="1"/>
  <c r="CJ279" i="1"/>
  <c r="CJ278" i="1"/>
  <c r="CJ277" i="1"/>
  <c r="CJ276" i="1"/>
  <c r="CJ275" i="1"/>
  <c r="CJ274" i="1"/>
  <c r="CJ273" i="1"/>
  <c r="CJ272" i="1"/>
  <c r="CJ271" i="1"/>
  <c r="CJ270" i="1"/>
  <c r="CJ269" i="1"/>
  <c r="CJ268" i="1"/>
  <c r="CJ267" i="1"/>
  <c r="CJ266" i="1"/>
  <c r="CJ265" i="1"/>
  <c r="CJ264" i="1"/>
  <c r="CJ263" i="1"/>
  <c r="CJ262" i="1"/>
  <c r="CJ261" i="1"/>
  <c r="CJ260" i="1"/>
  <c r="CJ259" i="1"/>
  <c r="CJ258" i="1"/>
  <c r="CJ257" i="1"/>
  <c r="CJ256" i="1"/>
  <c r="CJ255" i="1"/>
  <c r="CJ254" i="1"/>
  <c r="CJ253" i="1"/>
  <c r="CJ252" i="1"/>
  <c r="CJ251" i="1"/>
  <c r="CJ250" i="1"/>
  <c r="CJ249" i="1"/>
  <c r="CJ248" i="1"/>
  <c r="CJ247" i="1"/>
  <c r="CJ246" i="1"/>
  <c r="CJ245" i="1"/>
  <c r="CJ244" i="1"/>
  <c r="CJ243" i="1"/>
  <c r="CJ242" i="1"/>
  <c r="CJ241" i="1"/>
  <c r="CJ240" i="1"/>
  <c r="CJ239" i="1"/>
  <c r="CJ238" i="1"/>
  <c r="CJ237" i="1"/>
  <c r="CJ236" i="1"/>
  <c r="CJ235" i="1"/>
  <c r="CJ234" i="1"/>
  <c r="CJ233" i="1"/>
  <c r="CJ232" i="1"/>
  <c r="CJ231" i="1"/>
  <c r="CJ230" i="1"/>
  <c r="CJ229" i="1"/>
  <c r="CJ228" i="1"/>
  <c r="CJ227" i="1"/>
  <c r="CJ226" i="1"/>
  <c r="CJ225" i="1"/>
  <c r="CJ224" i="1"/>
  <c r="CJ223" i="1"/>
  <c r="CJ222" i="1"/>
  <c r="CJ221" i="1"/>
  <c r="CJ220" i="1"/>
  <c r="CJ219" i="1"/>
  <c r="CJ218" i="1"/>
  <c r="CJ217" i="1"/>
  <c r="CJ216" i="1"/>
  <c r="CJ215" i="1"/>
  <c r="CJ214" i="1"/>
  <c r="CJ213" i="1"/>
  <c r="CJ212" i="1"/>
  <c r="CJ211" i="1"/>
  <c r="CJ210" i="1"/>
  <c r="CJ209" i="1"/>
  <c r="CJ208" i="1"/>
  <c r="CJ207" i="1"/>
  <c r="CJ206" i="1"/>
  <c r="CJ205" i="1"/>
  <c r="CJ204" i="1"/>
  <c r="CJ203" i="1"/>
  <c r="CJ202" i="1"/>
  <c r="CJ201" i="1"/>
  <c r="CJ200" i="1"/>
  <c r="CJ199" i="1"/>
  <c r="CJ198" i="1"/>
  <c r="CJ197" i="1"/>
  <c r="CJ196" i="1"/>
  <c r="CJ195" i="1"/>
  <c r="CJ194" i="1"/>
  <c r="CJ193" i="1"/>
  <c r="CJ192" i="1"/>
  <c r="CJ191" i="1"/>
  <c r="CJ190" i="1"/>
  <c r="CJ189" i="1"/>
  <c r="CJ188" i="1"/>
  <c r="CJ187" i="1"/>
  <c r="CJ186" i="1"/>
  <c r="CJ185" i="1"/>
  <c r="CJ184" i="1"/>
  <c r="CJ183" i="1"/>
  <c r="CJ182" i="1"/>
  <c r="CJ181" i="1"/>
  <c r="CJ180" i="1"/>
  <c r="CJ179" i="1"/>
  <c r="CJ178" i="1"/>
  <c r="CJ177" i="1"/>
  <c r="CJ176" i="1"/>
  <c r="CJ175" i="1"/>
  <c r="CJ174" i="1"/>
  <c r="CJ173" i="1"/>
  <c r="CJ172" i="1"/>
  <c r="CJ171" i="1"/>
  <c r="CJ170" i="1"/>
  <c r="CJ169" i="1"/>
  <c r="CJ168" i="1"/>
  <c r="CJ167" i="1"/>
  <c r="CJ166" i="1"/>
  <c r="CJ165" i="1"/>
  <c r="CJ164" i="1"/>
  <c r="CJ163" i="1"/>
  <c r="CJ162" i="1"/>
  <c r="CJ161" i="1"/>
  <c r="CJ160" i="1"/>
  <c r="CI295" i="1"/>
  <c r="CI294" i="1"/>
  <c r="CI293" i="1"/>
  <c r="CI292" i="1"/>
  <c r="CI291" i="1"/>
  <c r="CI290" i="1"/>
  <c r="CI289" i="1"/>
  <c r="CI288" i="1"/>
  <c r="CI287" i="1"/>
  <c r="CI286" i="1"/>
  <c r="CI285" i="1"/>
  <c r="CI284" i="1"/>
  <c r="CI283" i="1"/>
  <c r="CI282" i="1"/>
  <c r="CI281" i="1"/>
  <c r="CI280" i="1"/>
  <c r="CI279" i="1"/>
  <c r="CI278" i="1"/>
  <c r="CI277" i="1"/>
  <c r="CI276" i="1"/>
  <c r="CI275" i="1"/>
  <c r="CI274" i="1"/>
  <c r="CI273" i="1"/>
  <c r="CI272" i="1"/>
  <c r="CI271" i="1"/>
  <c r="CI270" i="1"/>
  <c r="CI269" i="1"/>
  <c r="CI268" i="1"/>
  <c r="CI267" i="1"/>
  <c r="CI266" i="1"/>
  <c r="CI265" i="1"/>
  <c r="CI264" i="1"/>
  <c r="CI263" i="1"/>
  <c r="CI262" i="1"/>
  <c r="CI261" i="1"/>
  <c r="CI260" i="1"/>
  <c r="CI259" i="1"/>
  <c r="CI258" i="1"/>
  <c r="CI257" i="1"/>
  <c r="CI256" i="1"/>
  <c r="CI255" i="1"/>
  <c r="CI254" i="1"/>
  <c r="CI253" i="1"/>
  <c r="CI252" i="1"/>
  <c r="CI251" i="1"/>
  <c r="CI250" i="1"/>
  <c r="CI249" i="1"/>
  <c r="CI248" i="1"/>
  <c r="CI247" i="1"/>
  <c r="CI246" i="1"/>
  <c r="CI245" i="1"/>
  <c r="CI244" i="1"/>
  <c r="CI243" i="1"/>
  <c r="CI242" i="1"/>
  <c r="CI241" i="1"/>
  <c r="CI240" i="1"/>
  <c r="CI239" i="1"/>
  <c r="CI238" i="1"/>
  <c r="CI237" i="1"/>
  <c r="CI236" i="1"/>
  <c r="CI235" i="1"/>
  <c r="CI234" i="1"/>
  <c r="CI233" i="1"/>
  <c r="CI232" i="1"/>
  <c r="CI231" i="1"/>
  <c r="CI230" i="1"/>
  <c r="CI229" i="1"/>
  <c r="CI228" i="1"/>
  <c r="CI227" i="1"/>
  <c r="CI226" i="1"/>
  <c r="CI225" i="1"/>
  <c r="CI224" i="1"/>
  <c r="CI223" i="1"/>
  <c r="CI222" i="1"/>
  <c r="CI221" i="1"/>
  <c r="CI220" i="1"/>
  <c r="CI219" i="1"/>
  <c r="CI218" i="1"/>
  <c r="CI217" i="1"/>
  <c r="CI216" i="1"/>
  <c r="CI215" i="1"/>
  <c r="CI214" i="1"/>
  <c r="CI213" i="1"/>
  <c r="CI212" i="1"/>
  <c r="CI211" i="1"/>
  <c r="CI210" i="1"/>
  <c r="CI209" i="1"/>
  <c r="CI208" i="1"/>
  <c r="CI207" i="1"/>
  <c r="CI206" i="1"/>
  <c r="CI205" i="1"/>
  <c r="CI204" i="1"/>
  <c r="CI203" i="1"/>
  <c r="CI202" i="1"/>
  <c r="CI201" i="1"/>
  <c r="CI200" i="1"/>
  <c r="CI199" i="1"/>
  <c r="CI198" i="1"/>
  <c r="CI197" i="1"/>
  <c r="CI196" i="1"/>
  <c r="CI195" i="1"/>
  <c r="CI194" i="1"/>
  <c r="CI193" i="1"/>
  <c r="CI192" i="1"/>
  <c r="CI191" i="1"/>
  <c r="CI190" i="1"/>
  <c r="CI189" i="1"/>
  <c r="CI188" i="1"/>
  <c r="CI187" i="1"/>
  <c r="CI186" i="1"/>
  <c r="CI185" i="1"/>
  <c r="CI184" i="1"/>
  <c r="CI183" i="1"/>
  <c r="CI182" i="1"/>
  <c r="CI181" i="1"/>
  <c r="CI180" i="1"/>
  <c r="CI179" i="1"/>
  <c r="CI178" i="1"/>
  <c r="CI177" i="1"/>
  <c r="CI176" i="1"/>
  <c r="CI175" i="1"/>
  <c r="CI174" i="1"/>
  <c r="CI173" i="1"/>
  <c r="CI172" i="1"/>
  <c r="CI171" i="1"/>
  <c r="CI170" i="1"/>
  <c r="CI169" i="1"/>
  <c r="CI168" i="1"/>
  <c r="CI167" i="1"/>
  <c r="CI166" i="1"/>
  <c r="CI165" i="1"/>
  <c r="CI164" i="1"/>
  <c r="CI163" i="1"/>
  <c r="CI162" i="1"/>
  <c r="CI161" i="1"/>
  <c r="CI160" i="1"/>
  <c r="CH295" i="1"/>
  <c r="CH294" i="1"/>
  <c r="CH293" i="1"/>
  <c r="CH292" i="1"/>
  <c r="CH291" i="1"/>
  <c r="CH290" i="1"/>
  <c r="CH289" i="1"/>
  <c r="CH288" i="1"/>
  <c r="CH287" i="1"/>
  <c r="CH286" i="1"/>
  <c r="CH285" i="1"/>
  <c r="CH284" i="1"/>
  <c r="CH283" i="1"/>
  <c r="CH282" i="1"/>
  <c r="CH281" i="1"/>
  <c r="CH280" i="1"/>
  <c r="CH279" i="1"/>
  <c r="CH278" i="1"/>
  <c r="CH277" i="1"/>
  <c r="CH276" i="1"/>
  <c r="CH275" i="1"/>
  <c r="CH274" i="1"/>
  <c r="CH273" i="1"/>
  <c r="CH272" i="1"/>
  <c r="CH271" i="1"/>
  <c r="CH270" i="1"/>
  <c r="CH269" i="1"/>
  <c r="CH268" i="1"/>
  <c r="CH267" i="1"/>
  <c r="CH266" i="1"/>
  <c r="CH265" i="1"/>
  <c r="CH264" i="1"/>
  <c r="CH263" i="1"/>
  <c r="CH262" i="1"/>
  <c r="CH261" i="1"/>
  <c r="CH260" i="1"/>
  <c r="CH259" i="1"/>
  <c r="CH258" i="1"/>
  <c r="CH257" i="1"/>
  <c r="CH256" i="1"/>
  <c r="CH255" i="1"/>
  <c r="CH254" i="1"/>
  <c r="CH253" i="1"/>
  <c r="CH252" i="1"/>
  <c r="CH251" i="1"/>
  <c r="CH250" i="1"/>
  <c r="CH249" i="1"/>
  <c r="CH248" i="1"/>
  <c r="CH247" i="1"/>
  <c r="CH246" i="1"/>
  <c r="CH245" i="1"/>
  <c r="CH244" i="1"/>
  <c r="CH243" i="1"/>
  <c r="CH242" i="1"/>
  <c r="CH241" i="1"/>
  <c r="CH240" i="1"/>
  <c r="CH239" i="1"/>
  <c r="CH238" i="1"/>
  <c r="CH237" i="1"/>
  <c r="CH236" i="1"/>
  <c r="CH235" i="1"/>
  <c r="CH234" i="1"/>
  <c r="CH233" i="1"/>
  <c r="CH232" i="1"/>
  <c r="CH231" i="1"/>
  <c r="CH230" i="1"/>
  <c r="CH229" i="1"/>
  <c r="CH228" i="1"/>
  <c r="CH227" i="1"/>
  <c r="CH226" i="1"/>
  <c r="CH225" i="1"/>
  <c r="CH224" i="1"/>
  <c r="CH223" i="1"/>
  <c r="CH222" i="1"/>
  <c r="CH221" i="1"/>
  <c r="CH220" i="1"/>
  <c r="CH219" i="1"/>
  <c r="CH218" i="1"/>
  <c r="CH217" i="1"/>
  <c r="CH216" i="1"/>
  <c r="CH215" i="1"/>
  <c r="CH214" i="1"/>
  <c r="CH213" i="1"/>
  <c r="CH212" i="1"/>
  <c r="CH211" i="1"/>
  <c r="CH210" i="1"/>
  <c r="CH209" i="1"/>
  <c r="CH208" i="1"/>
  <c r="CH207" i="1"/>
  <c r="CH206" i="1"/>
  <c r="CH205" i="1"/>
  <c r="CH204" i="1"/>
  <c r="CH203" i="1"/>
  <c r="CH202" i="1"/>
  <c r="CH201" i="1"/>
  <c r="CH200" i="1"/>
  <c r="CH199" i="1"/>
  <c r="CH198" i="1"/>
  <c r="CH197" i="1"/>
  <c r="CH196" i="1"/>
  <c r="CH195" i="1"/>
  <c r="CH194" i="1"/>
  <c r="CH193" i="1"/>
  <c r="CH192" i="1"/>
  <c r="CH191" i="1"/>
  <c r="CH190" i="1"/>
  <c r="CH189" i="1"/>
  <c r="CH188" i="1"/>
  <c r="CH187" i="1"/>
  <c r="CH186" i="1"/>
  <c r="CH185" i="1"/>
  <c r="CH184" i="1"/>
  <c r="CH183" i="1"/>
  <c r="CH182" i="1"/>
  <c r="CH181" i="1"/>
  <c r="CH180" i="1"/>
  <c r="CH179" i="1"/>
  <c r="CH178" i="1"/>
  <c r="CH177" i="1"/>
  <c r="CH176" i="1"/>
  <c r="CH175" i="1"/>
  <c r="CH174" i="1"/>
  <c r="CH173" i="1"/>
  <c r="CH172" i="1"/>
  <c r="CH171" i="1"/>
  <c r="CH170" i="1"/>
  <c r="CH169" i="1"/>
  <c r="CH168" i="1"/>
  <c r="CH167" i="1"/>
  <c r="CH166" i="1"/>
  <c r="CH165" i="1"/>
  <c r="CH164" i="1"/>
  <c r="CH163" i="1"/>
  <c r="CH162" i="1"/>
  <c r="CH161" i="1"/>
  <c r="CH160" i="1"/>
  <c r="CG295" i="1"/>
  <c r="CG294" i="1"/>
  <c r="CG293" i="1"/>
  <c r="CG292" i="1"/>
  <c r="CG291" i="1"/>
  <c r="CG290" i="1"/>
  <c r="CG289" i="1"/>
  <c r="CG288" i="1"/>
  <c r="CG287" i="1"/>
  <c r="CG286" i="1"/>
  <c r="CG285" i="1"/>
  <c r="CG284" i="1"/>
  <c r="CG283" i="1"/>
  <c r="CG282" i="1"/>
  <c r="CG281" i="1"/>
  <c r="CG280" i="1"/>
  <c r="CG279" i="1"/>
  <c r="CG278" i="1"/>
  <c r="CG277" i="1"/>
  <c r="CG276" i="1"/>
  <c r="CG275" i="1"/>
  <c r="CG274" i="1"/>
  <c r="CG273" i="1"/>
  <c r="CG272" i="1"/>
  <c r="CG271" i="1"/>
  <c r="CG270" i="1"/>
  <c r="CG269" i="1"/>
  <c r="CG268" i="1"/>
  <c r="CG267" i="1"/>
  <c r="CG266" i="1"/>
  <c r="CG265" i="1"/>
  <c r="CG264" i="1"/>
  <c r="CG263" i="1"/>
  <c r="CG262" i="1"/>
  <c r="CG261" i="1"/>
  <c r="CG260" i="1"/>
  <c r="CG259" i="1"/>
  <c r="CG258" i="1"/>
  <c r="CG257" i="1"/>
  <c r="CG256" i="1"/>
  <c r="CG255" i="1"/>
  <c r="CG254" i="1"/>
  <c r="CG253" i="1"/>
  <c r="CG252" i="1"/>
  <c r="CG251" i="1"/>
  <c r="CG250" i="1"/>
  <c r="CG249" i="1"/>
  <c r="CG248" i="1"/>
  <c r="CG247" i="1"/>
  <c r="CG246" i="1"/>
  <c r="CG245" i="1"/>
  <c r="CG244" i="1"/>
  <c r="CG243" i="1"/>
  <c r="CG242" i="1"/>
  <c r="CG241" i="1"/>
  <c r="CG240" i="1"/>
  <c r="CG239" i="1"/>
  <c r="CG238" i="1"/>
  <c r="CG237" i="1"/>
  <c r="CG236" i="1"/>
  <c r="CG235" i="1"/>
  <c r="CG234" i="1"/>
  <c r="CG233" i="1"/>
  <c r="CG232" i="1"/>
  <c r="CG231" i="1"/>
  <c r="CG230" i="1"/>
  <c r="CG229" i="1"/>
  <c r="CG228" i="1"/>
  <c r="CG227" i="1"/>
  <c r="CG226" i="1"/>
  <c r="CG225" i="1"/>
  <c r="CG224" i="1"/>
  <c r="CG223" i="1"/>
  <c r="CG222" i="1"/>
  <c r="CG221" i="1"/>
  <c r="CG220" i="1"/>
  <c r="CG219" i="1"/>
  <c r="CG218" i="1"/>
  <c r="CG217" i="1"/>
  <c r="CG216" i="1"/>
  <c r="CG215" i="1"/>
  <c r="CG214" i="1"/>
  <c r="CG213" i="1"/>
  <c r="CG212" i="1"/>
  <c r="CG211" i="1"/>
  <c r="CG210" i="1"/>
  <c r="CG209" i="1"/>
  <c r="CG208" i="1"/>
  <c r="CG207" i="1"/>
  <c r="CG206" i="1"/>
  <c r="CG205" i="1"/>
  <c r="CG204" i="1"/>
  <c r="CG203" i="1"/>
  <c r="CG202" i="1"/>
  <c r="CG201" i="1"/>
  <c r="CG200" i="1"/>
  <c r="CG199" i="1"/>
  <c r="CG198" i="1"/>
  <c r="CG197" i="1"/>
  <c r="CG196" i="1"/>
  <c r="CG195" i="1"/>
  <c r="CG194" i="1"/>
  <c r="CG193" i="1"/>
  <c r="CG192" i="1"/>
  <c r="CG191" i="1"/>
  <c r="CG190" i="1"/>
  <c r="CG189" i="1"/>
  <c r="CG188" i="1"/>
  <c r="CG187" i="1"/>
  <c r="CG186" i="1"/>
  <c r="CG185" i="1"/>
  <c r="CG184" i="1"/>
  <c r="CG183" i="1"/>
  <c r="CG182" i="1"/>
  <c r="CG181" i="1"/>
  <c r="CG180" i="1"/>
  <c r="CG179" i="1"/>
  <c r="CG178" i="1"/>
  <c r="CG177" i="1"/>
  <c r="CG176" i="1"/>
  <c r="CG175" i="1"/>
  <c r="CG174" i="1"/>
  <c r="CG173" i="1"/>
  <c r="CG172" i="1"/>
  <c r="CG171" i="1"/>
  <c r="CG170" i="1"/>
  <c r="CG169" i="1"/>
  <c r="CG168" i="1"/>
  <c r="CG167" i="1"/>
  <c r="CG166" i="1"/>
  <c r="CG165" i="1"/>
  <c r="CG164" i="1"/>
  <c r="CG163" i="1"/>
  <c r="CG162" i="1"/>
  <c r="CG161" i="1"/>
  <c r="CG160" i="1"/>
  <c r="CF295" i="1"/>
  <c r="CF294" i="1"/>
  <c r="CF293" i="1"/>
  <c r="CF292" i="1"/>
  <c r="CF291" i="1"/>
  <c r="CF290" i="1"/>
  <c r="CF289" i="1"/>
  <c r="CF288" i="1"/>
  <c r="CF287" i="1"/>
  <c r="CF286" i="1"/>
  <c r="CF285" i="1"/>
  <c r="CF284" i="1"/>
  <c r="CF283" i="1"/>
  <c r="CF282" i="1"/>
  <c r="CF281" i="1"/>
  <c r="CF280" i="1"/>
  <c r="CF279" i="1"/>
  <c r="CF278" i="1"/>
  <c r="CF277" i="1"/>
  <c r="CF276" i="1"/>
  <c r="CF275" i="1"/>
  <c r="CF274" i="1"/>
  <c r="CF273" i="1"/>
  <c r="CF272" i="1"/>
  <c r="CF271" i="1"/>
  <c r="CF270" i="1"/>
  <c r="CF269" i="1"/>
  <c r="CF268" i="1"/>
  <c r="CF267" i="1"/>
  <c r="CF266" i="1"/>
  <c r="CF265" i="1"/>
  <c r="CF264" i="1"/>
  <c r="CF263" i="1"/>
  <c r="CF262" i="1"/>
  <c r="CF261" i="1"/>
  <c r="CF260" i="1"/>
  <c r="CF259" i="1"/>
  <c r="CF258" i="1"/>
  <c r="CF257" i="1"/>
  <c r="CF256" i="1"/>
  <c r="CF255" i="1"/>
  <c r="CF254" i="1"/>
  <c r="CF253" i="1"/>
  <c r="CF252" i="1"/>
  <c r="CF251" i="1"/>
  <c r="CF250" i="1"/>
  <c r="CF249" i="1"/>
  <c r="CF248" i="1"/>
  <c r="CF247" i="1"/>
  <c r="CF246" i="1"/>
  <c r="CF245" i="1"/>
  <c r="CF244" i="1"/>
  <c r="CF243" i="1"/>
  <c r="CF242" i="1"/>
  <c r="CF241" i="1"/>
  <c r="CF240" i="1"/>
  <c r="CF239" i="1"/>
  <c r="CF238" i="1"/>
  <c r="CF237" i="1"/>
  <c r="CF236" i="1"/>
  <c r="CF235" i="1"/>
  <c r="CF234" i="1"/>
  <c r="CF233" i="1"/>
  <c r="CF232" i="1"/>
  <c r="CF231" i="1"/>
  <c r="CF230" i="1"/>
  <c r="CF229" i="1"/>
  <c r="CF228" i="1"/>
  <c r="CF227" i="1"/>
  <c r="CF226" i="1"/>
  <c r="CF225" i="1"/>
  <c r="CF224" i="1"/>
  <c r="CF223" i="1"/>
  <c r="CF222" i="1"/>
  <c r="CF221" i="1"/>
  <c r="CF220" i="1"/>
  <c r="CF219" i="1"/>
  <c r="CF218" i="1"/>
  <c r="CF217" i="1"/>
  <c r="CF216" i="1"/>
  <c r="CF215" i="1"/>
  <c r="CF214" i="1"/>
  <c r="CF213" i="1"/>
  <c r="CF212" i="1"/>
  <c r="CF211" i="1"/>
  <c r="CF210" i="1"/>
  <c r="CF209" i="1"/>
  <c r="CF208" i="1"/>
  <c r="CF207" i="1"/>
  <c r="CF206" i="1"/>
  <c r="CF205" i="1"/>
  <c r="CF204" i="1"/>
  <c r="CF203" i="1"/>
  <c r="CF202" i="1"/>
  <c r="CF201" i="1"/>
  <c r="CF200" i="1"/>
  <c r="CF199" i="1"/>
  <c r="CF198" i="1"/>
  <c r="CF197" i="1"/>
  <c r="CF196" i="1"/>
  <c r="CF195" i="1"/>
  <c r="CF194" i="1"/>
  <c r="CF193" i="1"/>
  <c r="CF192" i="1"/>
  <c r="CF191" i="1"/>
  <c r="CF190" i="1"/>
  <c r="CF189" i="1"/>
  <c r="CF188" i="1"/>
  <c r="CF187" i="1"/>
  <c r="CF186" i="1"/>
  <c r="CF185" i="1"/>
  <c r="CF184" i="1"/>
  <c r="CF183" i="1"/>
  <c r="CF182" i="1"/>
  <c r="CF181" i="1"/>
  <c r="CF180" i="1"/>
  <c r="CF179" i="1"/>
  <c r="CF178" i="1"/>
  <c r="CF177" i="1"/>
  <c r="CF176" i="1"/>
  <c r="CF175" i="1"/>
  <c r="CF174" i="1"/>
  <c r="CF173" i="1"/>
  <c r="CF172" i="1"/>
  <c r="CF171" i="1"/>
  <c r="CF170" i="1"/>
  <c r="CF169" i="1"/>
  <c r="CF168" i="1"/>
  <c r="CF167" i="1"/>
  <c r="CF166" i="1"/>
  <c r="CF165" i="1"/>
  <c r="CF164" i="1"/>
  <c r="CF163" i="1"/>
  <c r="CF162" i="1"/>
  <c r="CF161" i="1"/>
  <c r="CF160" i="1"/>
  <c r="CE295" i="1"/>
  <c r="CE294" i="1"/>
  <c r="CE293" i="1"/>
  <c r="CE292" i="1"/>
  <c r="CE291" i="1"/>
  <c r="CE290" i="1"/>
  <c r="CE289" i="1"/>
  <c r="CE288" i="1"/>
  <c r="CE287" i="1"/>
  <c r="CE286" i="1"/>
  <c r="CE285" i="1"/>
  <c r="CE284" i="1"/>
  <c r="CE283" i="1"/>
  <c r="CE282" i="1"/>
  <c r="CE281" i="1"/>
  <c r="CE280" i="1"/>
  <c r="CE279" i="1"/>
  <c r="CE278" i="1"/>
  <c r="CE277" i="1"/>
  <c r="CE276" i="1"/>
  <c r="CE275" i="1"/>
  <c r="CE274" i="1"/>
  <c r="CE273" i="1"/>
  <c r="CE272" i="1"/>
  <c r="CE271" i="1"/>
  <c r="CE270" i="1"/>
  <c r="CE269" i="1"/>
  <c r="CE268" i="1"/>
  <c r="CE267" i="1"/>
  <c r="CE266" i="1"/>
  <c r="CE265" i="1"/>
  <c r="CE264" i="1"/>
  <c r="CE263" i="1"/>
  <c r="CE262" i="1"/>
  <c r="CE261" i="1"/>
  <c r="CE260" i="1"/>
  <c r="CE259" i="1"/>
  <c r="CE258" i="1"/>
  <c r="CE257" i="1"/>
  <c r="CE256" i="1"/>
  <c r="CE255" i="1"/>
  <c r="CE254" i="1"/>
  <c r="CE253" i="1"/>
  <c r="CE252" i="1"/>
  <c r="CE251" i="1"/>
  <c r="CE250" i="1"/>
  <c r="CE249" i="1"/>
  <c r="CE248" i="1"/>
  <c r="CE247" i="1"/>
  <c r="CE246" i="1"/>
  <c r="CE245" i="1"/>
  <c r="CE244" i="1"/>
  <c r="CE243" i="1"/>
  <c r="CE242" i="1"/>
  <c r="CE241" i="1"/>
  <c r="CE240" i="1"/>
  <c r="CE239" i="1"/>
  <c r="CE238" i="1"/>
  <c r="CE237" i="1"/>
  <c r="CE236" i="1"/>
  <c r="CE235" i="1"/>
  <c r="CE234" i="1"/>
  <c r="CE233" i="1"/>
  <c r="CE232" i="1"/>
  <c r="CE231" i="1"/>
  <c r="CE230" i="1"/>
  <c r="CE229" i="1"/>
  <c r="CE228" i="1"/>
  <c r="CE227" i="1"/>
  <c r="CE226" i="1"/>
  <c r="CE225" i="1"/>
  <c r="CE224" i="1"/>
  <c r="CE223" i="1"/>
  <c r="CE222" i="1"/>
  <c r="CE221" i="1"/>
  <c r="CE220" i="1"/>
  <c r="CE219" i="1"/>
  <c r="CE218" i="1"/>
  <c r="CE217" i="1"/>
  <c r="CE216" i="1"/>
  <c r="CE215" i="1"/>
  <c r="CE214" i="1"/>
  <c r="CE213" i="1"/>
  <c r="CE212" i="1"/>
  <c r="CE211" i="1"/>
  <c r="CE210" i="1"/>
  <c r="CE209" i="1"/>
  <c r="CE208" i="1"/>
  <c r="CE207" i="1"/>
  <c r="CE206" i="1"/>
  <c r="CE205" i="1"/>
  <c r="CE204" i="1"/>
  <c r="CE203" i="1"/>
  <c r="CE202" i="1"/>
  <c r="CE201" i="1"/>
  <c r="CE200" i="1"/>
  <c r="CE199" i="1"/>
  <c r="CE198" i="1"/>
  <c r="CE197" i="1"/>
  <c r="CE196" i="1"/>
  <c r="CE195" i="1"/>
  <c r="CE194" i="1"/>
  <c r="CE193" i="1"/>
  <c r="CE192" i="1"/>
  <c r="CE191" i="1"/>
  <c r="CE190" i="1"/>
  <c r="CE189" i="1"/>
  <c r="CE188" i="1"/>
  <c r="CE187" i="1"/>
  <c r="CE186" i="1"/>
  <c r="CE185" i="1"/>
  <c r="CE184" i="1"/>
  <c r="CE183" i="1"/>
  <c r="CE182" i="1"/>
  <c r="CE181" i="1"/>
  <c r="CE180" i="1"/>
  <c r="CE179" i="1"/>
  <c r="CE178" i="1"/>
  <c r="CE177" i="1"/>
  <c r="CE176" i="1"/>
  <c r="CE175" i="1"/>
  <c r="CE174" i="1"/>
  <c r="CE173" i="1"/>
  <c r="CE172" i="1"/>
  <c r="CE171" i="1"/>
  <c r="CE170" i="1"/>
  <c r="CE169" i="1"/>
  <c r="CE168" i="1"/>
  <c r="CE167" i="1"/>
  <c r="CE166" i="1"/>
  <c r="CE165" i="1"/>
  <c r="CE164" i="1"/>
  <c r="CE163" i="1"/>
  <c r="CE162" i="1"/>
  <c r="CE161" i="1"/>
  <c r="CE160" i="1"/>
  <c r="CD295" i="1"/>
  <c r="CD294" i="1"/>
  <c r="CD293" i="1"/>
  <c r="CD292" i="1"/>
  <c r="CD291" i="1"/>
  <c r="CD290" i="1"/>
  <c r="CD289" i="1"/>
  <c r="CD288" i="1"/>
  <c r="CD287" i="1"/>
  <c r="CD286" i="1"/>
  <c r="CD285" i="1"/>
  <c r="CD284" i="1"/>
  <c r="CD283" i="1"/>
  <c r="CD282" i="1"/>
  <c r="CD281" i="1"/>
  <c r="CD280" i="1"/>
  <c r="CD279" i="1"/>
  <c r="CD278" i="1"/>
  <c r="CD277" i="1"/>
  <c r="CD276" i="1"/>
  <c r="CD275" i="1"/>
  <c r="CD274" i="1"/>
  <c r="CD273" i="1"/>
  <c r="CD272" i="1"/>
  <c r="CD271" i="1"/>
  <c r="CD270" i="1"/>
  <c r="CD269" i="1"/>
  <c r="CD268" i="1"/>
  <c r="CD267" i="1"/>
  <c r="CD266" i="1"/>
  <c r="CD265" i="1"/>
  <c r="CD264" i="1"/>
  <c r="CD263" i="1"/>
  <c r="CD262" i="1"/>
  <c r="CD261" i="1"/>
  <c r="CD260" i="1"/>
  <c r="CD259" i="1"/>
  <c r="CD258" i="1"/>
  <c r="CD257" i="1"/>
  <c r="CD256" i="1"/>
  <c r="CD255" i="1"/>
  <c r="CD254" i="1"/>
  <c r="CD253" i="1"/>
  <c r="CD252" i="1"/>
  <c r="CD251" i="1"/>
  <c r="CD250" i="1"/>
  <c r="CD249" i="1"/>
  <c r="CD248" i="1"/>
  <c r="CD247" i="1"/>
  <c r="CD246" i="1"/>
  <c r="CD245" i="1"/>
  <c r="CD244" i="1"/>
  <c r="CD243" i="1"/>
  <c r="CD242" i="1"/>
  <c r="CD241" i="1"/>
  <c r="CD240" i="1"/>
  <c r="CD239" i="1"/>
  <c r="CD238" i="1"/>
  <c r="CD237" i="1"/>
  <c r="CD236" i="1"/>
  <c r="CD235" i="1"/>
  <c r="CD234" i="1"/>
  <c r="CD233" i="1"/>
  <c r="CD232" i="1"/>
  <c r="CD231" i="1"/>
  <c r="CD230" i="1"/>
  <c r="CD229" i="1"/>
  <c r="CD228" i="1"/>
  <c r="CD227" i="1"/>
  <c r="CD226" i="1"/>
  <c r="CD225" i="1"/>
  <c r="CD224" i="1"/>
  <c r="CD223" i="1"/>
  <c r="CD222" i="1"/>
  <c r="CD221" i="1"/>
  <c r="CD220" i="1"/>
  <c r="CD219" i="1"/>
  <c r="CD218" i="1"/>
  <c r="CD217" i="1"/>
  <c r="CD216" i="1"/>
  <c r="CD215" i="1"/>
  <c r="CD214" i="1"/>
  <c r="CD213" i="1"/>
  <c r="CD212" i="1"/>
  <c r="CD211" i="1"/>
  <c r="CD210" i="1"/>
  <c r="CD209" i="1"/>
  <c r="CD208" i="1"/>
  <c r="CD207" i="1"/>
  <c r="CD206" i="1"/>
  <c r="CD205" i="1"/>
  <c r="CD204" i="1"/>
  <c r="CD203" i="1"/>
  <c r="CD202" i="1"/>
  <c r="CD201" i="1"/>
  <c r="CD200" i="1"/>
  <c r="CD199" i="1"/>
  <c r="CD198" i="1"/>
  <c r="CD197" i="1"/>
  <c r="CD196" i="1"/>
  <c r="CD195" i="1"/>
  <c r="CD194" i="1"/>
  <c r="CD193" i="1"/>
  <c r="CD192" i="1"/>
  <c r="CD191" i="1"/>
  <c r="CD190" i="1"/>
  <c r="CD189" i="1"/>
  <c r="CD188" i="1"/>
  <c r="CD187" i="1"/>
  <c r="CD186" i="1"/>
  <c r="CD185" i="1"/>
  <c r="CD184" i="1"/>
  <c r="CD183" i="1"/>
  <c r="CD182" i="1"/>
  <c r="CD181" i="1"/>
  <c r="CD180" i="1"/>
  <c r="CD179" i="1"/>
  <c r="CD178" i="1"/>
  <c r="CD177" i="1"/>
  <c r="CD176" i="1"/>
  <c r="CD175" i="1"/>
  <c r="CD174" i="1"/>
  <c r="CD173" i="1"/>
  <c r="CD172" i="1"/>
  <c r="CD171" i="1"/>
  <c r="CD170" i="1"/>
  <c r="CD169" i="1"/>
  <c r="CD168" i="1"/>
  <c r="CD167" i="1"/>
  <c r="CD166" i="1"/>
  <c r="CD165" i="1"/>
  <c r="CD164" i="1"/>
  <c r="CD163" i="1"/>
  <c r="CD162" i="1"/>
  <c r="CD161" i="1"/>
  <c r="CD160" i="1"/>
  <c r="CC295" i="1"/>
  <c r="CC294" i="1"/>
  <c r="CC293" i="1"/>
  <c r="CC292" i="1"/>
  <c r="CC291" i="1"/>
  <c r="CC290" i="1"/>
  <c r="CC289" i="1"/>
  <c r="CC288" i="1"/>
  <c r="CC287" i="1"/>
  <c r="CC286" i="1"/>
  <c r="CC285" i="1"/>
  <c r="CC284" i="1"/>
  <c r="CC283" i="1"/>
  <c r="CC282" i="1"/>
  <c r="CC281" i="1"/>
  <c r="CC280" i="1"/>
  <c r="CC279" i="1"/>
  <c r="CC278" i="1"/>
  <c r="CC277" i="1"/>
  <c r="CC276" i="1"/>
  <c r="CC275" i="1"/>
  <c r="CC274" i="1"/>
  <c r="CC273" i="1"/>
  <c r="CC272" i="1"/>
  <c r="CC271" i="1"/>
  <c r="CC270" i="1"/>
  <c r="CC269" i="1"/>
  <c r="CC268" i="1"/>
  <c r="CC267" i="1"/>
  <c r="CC266" i="1"/>
  <c r="CC265" i="1"/>
  <c r="CC264" i="1"/>
  <c r="CC263" i="1"/>
  <c r="CC262" i="1"/>
  <c r="CC261" i="1"/>
  <c r="CC260" i="1"/>
  <c r="CC259" i="1"/>
  <c r="CC258" i="1"/>
  <c r="CC257" i="1"/>
  <c r="CC256" i="1"/>
  <c r="CC255" i="1"/>
  <c r="CC254" i="1"/>
  <c r="CC253" i="1"/>
  <c r="CC252" i="1"/>
  <c r="CC251" i="1"/>
  <c r="CC250" i="1"/>
  <c r="CC249" i="1"/>
  <c r="CC248" i="1"/>
  <c r="CC247" i="1"/>
  <c r="CC246" i="1"/>
  <c r="CC245" i="1"/>
  <c r="CC244" i="1"/>
  <c r="CC243" i="1"/>
  <c r="CC242" i="1"/>
  <c r="CC241" i="1"/>
  <c r="CC240" i="1"/>
  <c r="CC239" i="1"/>
  <c r="CC238" i="1"/>
  <c r="CC237" i="1"/>
  <c r="CC236" i="1"/>
  <c r="CC235" i="1"/>
  <c r="CC234" i="1"/>
  <c r="CC233" i="1"/>
  <c r="CC232" i="1"/>
  <c r="CC231" i="1"/>
  <c r="CC230" i="1"/>
  <c r="CC229" i="1"/>
  <c r="CC228" i="1"/>
  <c r="CC227" i="1"/>
  <c r="CC226" i="1"/>
  <c r="CC225" i="1"/>
  <c r="CC224" i="1"/>
  <c r="CC223" i="1"/>
  <c r="CC222" i="1"/>
  <c r="CC221" i="1"/>
  <c r="CC220" i="1"/>
  <c r="CC219" i="1"/>
  <c r="CC218" i="1"/>
  <c r="CC217" i="1"/>
  <c r="CC216" i="1"/>
  <c r="CC215" i="1"/>
  <c r="CC214" i="1"/>
  <c r="CC213" i="1"/>
  <c r="CC212" i="1"/>
  <c r="CC211" i="1"/>
  <c r="CC210" i="1"/>
  <c r="CC209" i="1"/>
  <c r="CC208" i="1"/>
  <c r="CC207" i="1"/>
  <c r="CC206" i="1"/>
  <c r="CC205" i="1"/>
  <c r="CC204" i="1"/>
  <c r="CC203" i="1"/>
  <c r="CC202" i="1"/>
  <c r="CC201" i="1"/>
  <c r="CC200" i="1"/>
  <c r="CC199" i="1"/>
  <c r="CC198" i="1"/>
  <c r="CC197" i="1"/>
  <c r="CC196" i="1"/>
  <c r="CC195" i="1"/>
  <c r="CC194" i="1"/>
  <c r="CC193" i="1"/>
  <c r="CC192" i="1"/>
  <c r="CC191" i="1"/>
  <c r="CC190" i="1"/>
  <c r="CC189" i="1"/>
  <c r="CC188" i="1"/>
  <c r="CC187" i="1"/>
  <c r="CC186" i="1"/>
  <c r="CC185" i="1"/>
  <c r="CC184" i="1"/>
  <c r="CC183" i="1"/>
  <c r="CC182" i="1"/>
  <c r="CC181" i="1"/>
  <c r="CC180" i="1"/>
  <c r="CC179" i="1"/>
  <c r="CC178" i="1"/>
  <c r="CC177" i="1"/>
  <c r="CC176" i="1"/>
  <c r="CC175" i="1"/>
  <c r="CC174" i="1"/>
  <c r="CC173" i="1"/>
  <c r="CC172" i="1"/>
  <c r="CC171" i="1"/>
  <c r="CC170" i="1"/>
  <c r="CC169" i="1"/>
  <c r="CC168" i="1"/>
  <c r="CC167" i="1"/>
  <c r="CC166" i="1"/>
  <c r="CC165" i="1"/>
  <c r="CC164" i="1"/>
  <c r="CC163" i="1"/>
  <c r="CC162" i="1"/>
  <c r="CC161" i="1"/>
  <c r="CC160" i="1"/>
  <c r="CB295" i="1"/>
  <c r="CB294" i="1"/>
  <c r="CB293" i="1"/>
  <c r="CB292" i="1"/>
  <c r="CB291" i="1"/>
  <c r="CB290" i="1"/>
  <c r="CB289" i="1"/>
  <c r="CB288" i="1"/>
  <c r="CB287" i="1"/>
  <c r="CB286" i="1"/>
  <c r="CB285" i="1"/>
  <c r="CB284" i="1"/>
  <c r="CB283" i="1"/>
  <c r="CB282" i="1"/>
  <c r="CB281" i="1"/>
  <c r="CB280" i="1"/>
  <c r="CB279" i="1"/>
  <c r="CB278" i="1"/>
  <c r="CB277" i="1"/>
  <c r="CB276" i="1"/>
  <c r="CB275" i="1"/>
  <c r="CB274" i="1"/>
  <c r="CB273" i="1"/>
  <c r="CB272" i="1"/>
  <c r="CB271" i="1"/>
  <c r="CB270" i="1"/>
  <c r="CB269" i="1"/>
  <c r="CB268" i="1"/>
  <c r="CB267" i="1"/>
  <c r="CB266" i="1"/>
  <c r="CB265" i="1"/>
  <c r="CB264" i="1"/>
  <c r="CB263" i="1"/>
  <c r="CB262" i="1"/>
  <c r="CB261" i="1"/>
  <c r="CB260" i="1"/>
  <c r="CB259" i="1"/>
  <c r="CB258" i="1"/>
  <c r="CB257" i="1"/>
  <c r="CB256" i="1"/>
  <c r="CB255" i="1"/>
  <c r="CB254" i="1"/>
  <c r="CB253" i="1"/>
  <c r="CB252" i="1"/>
  <c r="CB251" i="1"/>
  <c r="CB250" i="1"/>
  <c r="CB249" i="1"/>
  <c r="CB248" i="1"/>
  <c r="CB247" i="1"/>
  <c r="CB246" i="1"/>
  <c r="CB245" i="1"/>
  <c r="CB244" i="1"/>
  <c r="CB243" i="1"/>
  <c r="CB242" i="1"/>
  <c r="CB241" i="1"/>
  <c r="CB240" i="1"/>
  <c r="CB239" i="1"/>
  <c r="CB238" i="1"/>
  <c r="CB237" i="1"/>
  <c r="CB236" i="1"/>
  <c r="CB235" i="1"/>
  <c r="CB234" i="1"/>
  <c r="CB233" i="1"/>
  <c r="CB232" i="1"/>
  <c r="CB231" i="1"/>
  <c r="CB230" i="1"/>
  <c r="CB229" i="1"/>
  <c r="CB228" i="1"/>
  <c r="CB227" i="1"/>
  <c r="CB226" i="1"/>
  <c r="CB225" i="1"/>
  <c r="CB224" i="1"/>
  <c r="CB223" i="1"/>
  <c r="CB222" i="1"/>
  <c r="CB221" i="1"/>
  <c r="CB220" i="1"/>
  <c r="CB219" i="1"/>
  <c r="CB218" i="1"/>
  <c r="CB217" i="1"/>
  <c r="CB216" i="1"/>
  <c r="CB215" i="1"/>
  <c r="CB214" i="1"/>
  <c r="CB213" i="1"/>
  <c r="CB212" i="1"/>
  <c r="CB211" i="1"/>
  <c r="CB210" i="1"/>
  <c r="CB209" i="1"/>
  <c r="CB208" i="1"/>
  <c r="CB207" i="1"/>
  <c r="CB206" i="1"/>
  <c r="CB205" i="1"/>
  <c r="CB204" i="1"/>
  <c r="CB203" i="1"/>
  <c r="CB202" i="1"/>
  <c r="CB201" i="1"/>
  <c r="CB200" i="1"/>
  <c r="CB199" i="1"/>
  <c r="CB198" i="1"/>
  <c r="CB197" i="1"/>
  <c r="CB196" i="1"/>
  <c r="CB195" i="1"/>
  <c r="CB194" i="1"/>
  <c r="CB193" i="1"/>
  <c r="CB192" i="1"/>
  <c r="CB191" i="1"/>
  <c r="CB190" i="1"/>
  <c r="CB189" i="1"/>
  <c r="CB188" i="1"/>
  <c r="CB187" i="1"/>
  <c r="CB186" i="1"/>
  <c r="CB185" i="1"/>
  <c r="CB184" i="1"/>
  <c r="CB183" i="1"/>
  <c r="CB182" i="1"/>
  <c r="CB181" i="1"/>
  <c r="CB180" i="1"/>
  <c r="CB179" i="1"/>
  <c r="CB178" i="1"/>
  <c r="CB177" i="1"/>
  <c r="CB176" i="1"/>
  <c r="CB175" i="1"/>
  <c r="CB174" i="1"/>
  <c r="CB173" i="1"/>
  <c r="CB172" i="1"/>
  <c r="CB171" i="1"/>
  <c r="CB170" i="1"/>
  <c r="CB169" i="1"/>
  <c r="CB168" i="1"/>
  <c r="CB167" i="1"/>
  <c r="CB166" i="1"/>
  <c r="CB165" i="1"/>
  <c r="CB164" i="1"/>
  <c r="CB163" i="1"/>
  <c r="CB162" i="1"/>
  <c r="CB161" i="1"/>
  <c r="CB160" i="1"/>
  <c r="CA295" i="1"/>
  <c r="CA294" i="1"/>
  <c r="CA293" i="1"/>
  <c r="CA292" i="1"/>
  <c r="CA291" i="1"/>
  <c r="CA290" i="1"/>
  <c r="CA289" i="1"/>
  <c r="CA288" i="1"/>
  <c r="CA287" i="1"/>
  <c r="CA286" i="1"/>
  <c r="CA285" i="1"/>
  <c r="CA284" i="1"/>
  <c r="CA283" i="1"/>
  <c r="CA282" i="1"/>
  <c r="CA281" i="1"/>
  <c r="CA280" i="1"/>
  <c r="CA279" i="1"/>
  <c r="CA278" i="1"/>
  <c r="CA277" i="1"/>
  <c r="CA276" i="1"/>
  <c r="CA275" i="1"/>
  <c r="CA274" i="1"/>
  <c r="CA273" i="1"/>
  <c r="CA272" i="1"/>
  <c r="CA271" i="1"/>
  <c r="CA270" i="1"/>
  <c r="CA269" i="1"/>
  <c r="CA268" i="1"/>
  <c r="CA267" i="1"/>
  <c r="CA266" i="1"/>
  <c r="CA265" i="1"/>
  <c r="CA264" i="1"/>
  <c r="CA263" i="1"/>
  <c r="CA262" i="1"/>
  <c r="CA261" i="1"/>
  <c r="CA260" i="1"/>
  <c r="CA259" i="1"/>
  <c r="CA258" i="1"/>
  <c r="CA257" i="1"/>
  <c r="CA256" i="1"/>
  <c r="CA255" i="1"/>
  <c r="CA254" i="1"/>
  <c r="CA253" i="1"/>
  <c r="CA252" i="1"/>
  <c r="CA251" i="1"/>
  <c r="CA250" i="1"/>
  <c r="CA249" i="1"/>
  <c r="CA248" i="1"/>
  <c r="CA247" i="1"/>
  <c r="CA246" i="1"/>
  <c r="CA245" i="1"/>
  <c r="CA244" i="1"/>
  <c r="CA243" i="1"/>
  <c r="CA242" i="1"/>
  <c r="CA241" i="1"/>
  <c r="CA240" i="1"/>
  <c r="CA239" i="1"/>
  <c r="CA238" i="1"/>
  <c r="CA237" i="1"/>
  <c r="CA236" i="1"/>
  <c r="CA235" i="1"/>
  <c r="CA234" i="1"/>
  <c r="CA233" i="1"/>
  <c r="CA232" i="1"/>
  <c r="CA231" i="1"/>
  <c r="CA230" i="1"/>
  <c r="CA229" i="1"/>
  <c r="CA228" i="1"/>
  <c r="CA227" i="1"/>
  <c r="CA226" i="1"/>
  <c r="CA225" i="1"/>
  <c r="CA224" i="1"/>
  <c r="CA223" i="1"/>
  <c r="CA222" i="1"/>
  <c r="CA221" i="1"/>
  <c r="CA220" i="1"/>
  <c r="CA219" i="1"/>
  <c r="CA218" i="1"/>
  <c r="CA217" i="1"/>
  <c r="CA216" i="1"/>
  <c r="CA215" i="1"/>
  <c r="CA214" i="1"/>
  <c r="CA213" i="1"/>
  <c r="CA212" i="1"/>
  <c r="CA211" i="1"/>
  <c r="CA210" i="1"/>
  <c r="CA209" i="1"/>
  <c r="CA208" i="1"/>
  <c r="CA207" i="1"/>
  <c r="CA206" i="1"/>
  <c r="CA205" i="1"/>
  <c r="CA204" i="1"/>
  <c r="CA203" i="1"/>
  <c r="CA202" i="1"/>
  <c r="CA201" i="1"/>
  <c r="CA200" i="1"/>
  <c r="CA199" i="1"/>
  <c r="CA198" i="1"/>
  <c r="CA197" i="1"/>
  <c r="CA196" i="1"/>
  <c r="CA195" i="1"/>
  <c r="CA194" i="1"/>
  <c r="CA193" i="1"/>
  <c r="CA192" i="1"/>
  <c r="CA191" i="1"/>
  <c r="CA190" i="1"/>
  <c r="CA189" i="1"/>
  <c r="CA188" i="1"/>
  <c r="CA187" i="1"/>
  <c r="CA186" i="1"/>
  <c r="CA185" i="1"/>
  <c r="CA184" i="1"/>
  <c r="CA183" i="1"/>
  <c r="CA182" i="1"/>
  <c r="CA181" i="1"/>
  <c r="CA180" i="1"/>
  <c r="CA179" i="1"/>
  <c r="CA178" i="1"/>
  <c r="CA177" i="1"/>
  <c r="CA176" i="1"/>
  <c r="CA175" i="1"/>
  <c r="CA174" i="1"/>
  <c r="CA173" i="1"/>
  <c r="CA172" i="1"/>
  <c r="CA171" i="1"/>
  <c r="CA170" i="1"/>
  <c r="CA169" i="1"/>
  <c r="CA168" i="1"/>
  <c r="CA167" i="1"/>
  <c r="CA166" i="1"/>
  <c r="CA165" i="1"/>
  <c r="CA164" i="1"/>
  <c r="CA163" i="1"/>
  <c r="CA162" i="1"/>
  <c r="CA161" i="1"/>
  <c r="CA160" i="1"/>
  <c r="BZ295" i="1"/>
  <c r="BZ294" i="1"/>
  <c r="BZ293" i="1"/>
  <c r="BZ292" i="1"/>
  <c r="BZ291" i="1"/>
  <c r="BZ290" i="1"/>
  <c r="BZ289" i="1"/>
  <c r="BZ288" i="1"/>
  <c r="BZ287" i="1"/>
  <c r="BZ286" i="1"/>
  <c r="BZ285" i="1"/>
  <c r="BZ284" i="1"/>
  <c r="BZ283" i="1"/>
  <c r="BZ282" i="1"/>
  <c r="BZ281" i="1"/>
  <c r="BZ280" i="1"/>
  <c r="BZ279" i="1"/>
  <c r="BZ278" i="1"/>
  <c r="BZ277" i="1"/>
  <c r="BZ276" i="1"/>
  <c r="BZ275" i="1"/>
  <c r="BZ274" i="1"/>
  <c r="BZ273" i="1"/>
  <c r="BZ272" i="1"/>
  <c r="BZ271" i="1"/>
  <c r="BZ270" i="1"/>
  <c r="BZ269" i="1"/>
  <c r="BZ268" i="1"/>
  <c r="BZ267" i="1"/>
  <c r="BZ266" i="1"/>
  <c r="BZ265" i="1"/>
  <c r="BZ264" i="1"/>
  <c r="BZ263" i="1"/>
  <c r="BZ262" i="1"/>
  <c r="BZ261" i="1"/>
  <c r="BZ260" i="1"/>
  <c r="BZ259" i="1"/>
  <c r="BZ258" i="1"/>
  <c r="BZ257" i="1"/>
  <c r="BZ256" i="1"/>
  <c r="BZ255" i="1"/>
  <c r="BZ254" i="1"/>
  <c r="BZ253" i="1"/>
  <c r="BZ252" i="1"/>
  <c r="BZ251" i="1"/>
  <c r="BZ250" i="1"/>
  <c r="BZ249" i="1"/>
  <c r="BZ248" i="1"/>
  <c r="BZ247" i="1"/>
  <c r="BZ246" i="1"/>
  <c r="BZ245" i="1"/>
  <c r="BZ244" i="1"/>
  <c r="BZ243" i="1"/>
  <c r="BZ242" i="1"/>
  <c r="BZ241" i="1"/>
  <c r="BZ240" i="1"/>
  <c r="BZ239" i="1"/>
  <c r="BZ238" i="1"/>
  <c r="BZ237" i="1"/>
  <c r="BZ236" i="1"/>
  <c r="BZ235" i="1"/>
  <c r="BZ234" i="1"/>
  <c r="BZ233" i="1"/>
  <c r="BZ232" i="1"/>
  <c r="BZ231" i="1"/>
  <c r="BZ230" i="1"/>
  <c r="BZ229" i="1"/>
  <c r="BZ228" i="1"/>
  <c r="BZ227" i="1"/>
  <c r="BZ226" i="1"/>
  <c r="BZ225" i="1"/>
  <c r="BZ224" i="1"/>
  <c r="BZ223" i="1"/>
  <c r="BZ222" i="1"/>
  <c r="BZ221" i="1"/>
  <c r="BZ220" i="1"/>
  <c r="BZ219" i="1"/>
  <c r="BZ218" i="1"/>
  <c r="BZ217" i="1"/>
  <c r="BZ216" i="1"/>
  <c r="BZ215" i="1"/>
  <c r="BZ214" i="1"/>
  <c r="BZ213" i="1"/>
  <c r="BZ212" i="1"/>
  <c r="BZ211" i="1"/>
  <c r="BZ210" i="1"/>
  <c r="BZ209" i="1"/>
  <c r="BZ208" i="1"/>
  <c r="BZ207" i="1"/>
  <c r="BZ206" i="1"/>
  <c r="BZ205" i="1"/>
  <c r="BZ204" i="1"/>
  <c r="BZ203" i="1"/>
  <c r="BZ202" i="1"/>
  <c r="BZ201" i="1"/>
  <c r="BZ200" i="1"/>
  <c r="BZ199" i="1"/>
  <c r="BZ198" i="1"/>
  <c r="BZ197" i="1"/>
  <c r="BZ196" i="1"/>
  <c r="BZ195" i="1"/>
  <c r="BZ194" i="1"/>
  <c r="BZ193" i="1"/>
  <c r="BZ192" i="1"/>
  <c r="BZ191" i="1"/>
  <c r="BZ190" i="1"/>
  <c r="BZ189" i="1"/>
  <c r="BZ188" i="1"/>
  <c r="BZ187" i="1"/>
  <c r="BZ186" i="1"/>
  <c r="BZ185" i="1"/>
  <c r="BZ184" i="1"/>
  <c r="BZ183" i="1"/>
  <c r="BZ182" i="1"/>
  <c r="BZ181" i="1"/>
  <c r="BZ180" i="1"/>
  <c r="BZ179" i="1"/>
  <c r="BZ178" i="1"/>
  <c r="BZ177" i="1"/>
  <c r="BZ176" i="1"/>
  <c r="BZ175" i="1"/>
  <c r="BZ174" i="1"/>
  <c r="BZ173" i="1"/>
  <c r="BZ172" i="1"/>
  <c r="BZ171" i="1"/>
  <c r="BZ170" i="1"/>
  <c r="BZ169" i="1"/>
  <c r="BZ168" i="1"/>
  <c r="BZ167" i="1"/>
  <c r="BZ166" i="1"/>
  <c r="BZ165" i="1"/>
  <c r="BZ164" i="1"/>
  <c r="BZ163" i="1"/>
  <c r="BZ162" i="1"/>
  <c r="BZ161" i="1"/>
  <c r="BZ160" i="1"/>
  <c r="BY295" i="1"/>
  <c r="BY294" i="1"/>
  <c r="BY293" i="1"/>
  <c r="BY292" i="1"/>
  <c r="BY291" i="1"/>
  <c r="BY290" i="1"/>
  <c r="BY289" i="1"/>
  <c r="BY288" i="1"/>
  <c r="BY287" i="1"/>
  <c r="BY286" i="1"/>
  <c r="BY285" i="1"/>
  <c r="BY284" i="1"/>
  <c r="BY283" i="1"/>
  <c r="BY282" i="1"/>
  <c r="BY281" i="1"/>
  <c r="BY280" i="1"/>
  <c r="BY279" i="1"/>
  <c r="BY278" i="1"/>
  <c r="BY277" i="1"/>
  <c r="BY276" i="1"/>
  <c r="BY275" i="1"/>
  <c r="BY274" i="1"/>
  <c r="BY273" i="1"/>
  <c r="BY272" i="1"/>
  <c r="BY271" i="1"/>
  <c r="BY270" i="1"/>
  <c r="BY269" i="1"/>
  <c r="BY268" i="1"/>
  <c r="BY267" i="1"/>
  <c r="BY266" i="1"/>
  <c r="BY265" i="1"/>
  <c r="BY264" i="1"/>
  <c r="BY263" i="1"/>
  <c r="BY262" i="1"/>
  <c r="BY261" i="1"/>
  <c r="BY260" i="1"/>
  <c r="BY259" i="1"/>
  <c r="BY258" i="1"/>
  <c r="BY257" i="1"/>
  <c r="BY256" i="1"/>
  <c r="BY255" i="1"/>
  <c r="BY254" i="1"/>
  <c r="BY253" i="1"/>
  <c r="BY252" i="1"/>
  <c r="BY251" i="1"/>
  <c r="BY250" i="1"/>
  <c r="BY249" i="1"/>
  <c r="BY248" i="1"/>
  <c r="BY247" i="1"/>
  <c r="BY246" i="1"/>
  <c r="BY245" i="1"/>
  <c r="BY244" i="1"/>
  <c r="BY243" i="1"/>
  <c r="BY242" i="1"/>
  <c r="BY241" i="1"/>
  <c r="BY240" i="1"/>
  <c r="BY239" i="1"/>
  <c r="BY238" i="1"/>
  <c r="BY237" i="1"/>
  <c r="BY236" i="1"/>
  <c r="BY235" i="1"/>
  <c r="BY234" i="1"/>
  <c r="BY233" i="1"/>
  <c r="BY232" i="1"/>
  <c r="BY231" i="1"/>
  <c r="BY230" i="1"/>
  <c r="BY229" i="1"/>
  <c r="BY228" i="1"/>
  <c r="BY227" i="1"/>
  <c r="BY226" i="1"/>
  <c r="BY225" i="1"/>
  <c r="BY224" i="1"/>
  <c r="BY223" i="1"/>
  <c r="BY222" i="1"/>
  <c r="BY221" i="1"/>
  <c r="BY220" i="1"/>
  <c r="BY219" i="1"/>
  <c r="BY218" i="1"/>
  <c r="BY217" i="1"/>
  <c r="BY216" i="1"/>
  <c r="BY215" i="1"/>
  <c r="BY214" i="1"/>
  <c r="BY213" i="1"/>
  <c r="BY212" i="1"/>
  <c r="BY211" i="1"/>
  <c r="BY210" i="1"/>
  <c r="BY209" i="1"/>
  <c r="BY208" i="1"/>
  <c r="BY207" i="1"/>
  <c r="BY206" i="1"/>
  <c r="BY205" i="1"/>
  <c r="BY204" i="1"/>
  <c r="BY203" i="1"/>
  <c r="BY202" i="1"/>
  <c r="BY201" i="1"/>
  <c r="BY200" i="1"/>
  <c r="BY199" i="1"/>
  <c r="BY198" i="1"/>
  <c r="BY197" i="1"/>
  <c r="BY196" i="1"/>
  <c r="BY195" i="1"/>
  <c r="BY194" i="1"/>
  <c r="BY193" i="1"/>
  <c r="BY192" i="1"/>
  <c r="BY191" i="1"/>
  <c r="BY190" i="1"/>
  <c r="BY189" i="1"/>
  <c r="BY188" i="1"/>
  <c r="BY187" i="1"/>
  <c r="BY186" i="1"/>
  <c r="BY185" i="1"/>
  <c r="BY184" i="1"/>
  <c r="BY183" i="1"/>
  <c r="BY182" i="1"/>
  <c r="BY181" i="1"/>
  <c r="BY180" i="1"/>
  <c r="BY179" i="1"/>
  <c r="BY178" i="1"/>
  <c r="BY177" i="1"/>
  <c r="BY176" i="1"/>
  <c r="BY175" i="1"/>
  <c r="BY174" i="1"/>
  <c r="BY173" i="1"/>
  <c r="BY172" i="1"/>
  <c r="BY171" i="1"/>
  <c r="BY170" i="1"/>
  <c r="BY169" i="1"/>
  <c r="BY168" i="1"/>
  <c r="BY167" i="1"/>
  <c r="BY166" i="1"/>
  <c r="BY165" i="1"/>
  <c r="BY164" i="1"/>
  <c r="BY163" i="1"/>
  <c r="BY162" i="1"/>
  <c r="BY161" i="1"/>
  <c r="BY160" i="1"/>
  <c r="BX295" i="1"/>
  <c r="BX294" i="1"/>
  <c r="BX293" i="1"/>
  <c r="BX292" i="1"/>
  <c r="BX291" i="1"/>
  <c r="BX290" i="1"/>
  <c r="BX289" i="1"/>
  <c r="BX288" i="1"/>
  <c r="BX287" i="1"/>
  <c r="BX286" i="1"/>
  <c r="BX285" i="1"/>
  <c r="BX284" i="1"/>
  <c r="BX283" i="1"/>
  <c r="BX282" i="1"/>
  <c r="BX281" i="1"/>
  <c r="BX280" i="1"/>
  <c r="BX279" i="1"/>
  <c r="BX278" i="1"/>
  <c r="BX277" i="1"/>
  <c r="BX276" i="1"/>
  <c r="BX275" i="1"/>
  <c r="BX274" i="1"/>
  <c r="BX273" i="1"/>
  <c r="BX272" i="1"/>
  <c r="BX271" i="1"/>
  <c r="BX270" i="1"/>
  <c r="BX269" i="1"/>
  <c r="BX268" i="1"/>
  <c r="BX267" i="1"/>
  <c r="BX266" i="1"/>
  <c r="BX265" i="1"/>
  <c r="BX264" i="1"/>
  <c r="BX263" i="1"/>
  <c r="BX262" i="1"/>
  <c r="BX261" i="1"/>
  <c r="BX260" i="1"/>
  <c r="BX259" i="1"/>
  <c r="BX258" i="1"/>
  <c r="BX257" i="1"/>
  <c r="BX256" i="1"/>
  <c r="BX255" i="1"/>
  <c r="BX254" i="1"/>
  <c r="BX253" i="1"/>
  <c r="BX252" i="1"/>
  <c r="BX251" i="1"/>
  <c r="BX250" i="1"/>
  <c r="BX249" i="1"/>
  <c r="BX248" i="1"/>
  <c r="BX247" i="1"/>
  <c r="BX246" i="1"/>
  <c r="BX245" i="1"/>
  <c r="BX244" i="1"/>
  <c r="BX243" i="1"/>
  <c r="BX242" i="1"/>
  <c r="BX241" i="1"/>
  <c r="BX240" i="1"/>
  <c r="BX239" i="1"/>
  <c r="BX238" i="1"/>
  <c r="BX237" i="1"/>
  <c r="BX236" i="1"/>
  <c r="BX235" i="1"/>
  <c r="BX234" i="1"/>
  <c r="BX233" i="1"/>
  <c r="BX232" i="1"/>
  <c r="BX231" i="1"/>
  <c r="BX230" i="1"/>
  <c r="BX229" i="1"/>
  <c r="BX228" i="1"/>
  <c r="BX227" i="1"/>
  <c r="BX226" i="1"/>
  <c r="BX225" i="1"/>
  <c r="BX224" i="1"/>
  <c r="BX223" i="1"/>
  <c r="BX222" i="1"/>
  <c r="BX221" i="1"/>
  <c r="BX220" i="1"/>
  <c r="BX219" i="1"/>
  <c r="BX218" i="1"/>
  <c r="BX217" i="1"/>
  <c r="BX216" i="1"/>
  <c r="BX215" i="1"/>
  <c r="BX214" i="1"/>
  <c r="BX213" i="1"/>
  <c r="BX212" i="1"/>
  <c r="BX211" i="1"/>
  <c r="BX210" i="1"/>
  <c r="BX209" i="1"/>
  <c r="BX208" i="1"/>
  <c r="BX207" i="1"/>
  <c r="BX206" i="1"/>
  <c r="BX205" i="1"/>
  <c r="BX204" i="1"/>
  <c r="BX203" i="1"/>
  <c r="BX202" i="1"/>
  <c r="BX201" i="1"/>
  <c r="BX200" i="1"/>
  <c r="BX199" i="1"/>
  <c r="BX198" i="1"/>
  <c r="BX197" i="1"/>
  <c r="BX196" i="1"/>
  <c r="BX195" i="1"/>
  <c r="BX194" i="1"/>
  <c r="BX193" i="1"/>
  <c r="BX192" i="1"/>
  <c r="BX191" i="1"/>
  <c r="BX190" i="1"/>
  <c r="BX189" i="1"/>
  <c r="BX188" i="1"/>
  <c r="BX187" i="1"/>
  <c r="BX186" i="1"/>
  <c r="BX185" i="1"/>
  <c r="BX184" i="1"/>
  <c r="BX183" i="1"/>
  <c r="BX182" i="1"/>
  <c r="BX181" i="1"/>
  <c r="BX180" i="1"/>
  <c r="BX179" i="1"/>
  <c r="BX178" i="1"/>
  <c r="BX177" i="1"/>
  <c r="BX176" i="1"/>
  <c r="BX175" i="1"/>
  <c r="BX174" i="1"/>
  <c r="BX173" i="1"/>
  <c r="BX172" i="1"/>
  <c r="BX171" i="1"/>
  <c r="BX170" i="1"/>
  <c r="BX169" i="1"/>
  <c r="BX168" i="1"/>
  <c r="BX167" i="1"/>
  <c r="BX166" i="1"/>
  <c r="BX165" i="1"/>
  <c r="BX164" i="1"/>
  <c r="BX163" i="1"/>
  <c r="BX162" i="1"/>
  <c r="BX161" i="1"/>
  <c r="BX160" i="1"/>
  <c r="BW295" i="1"/>
  <c r="BW294" i="1"/>
  <c r="BW293" i="1"/>
  <c r="BW292" i="1"/>
  <c r="BW291" i="1"/>
  <c r="BW290" i="1"/>
  <c r="BW289" i="1"/>
  <c r="BW288" i="1"/>
  <c r="BW287" i="1"/>
  <c r="BW286" i="1"/>
  <c r="BW285" i="1"/>
  <c r="BW284" i="1"/>
  <c r="BW283" i="1"/>
  <c r="BW282" i="1"/>
  <c r="BW281" i="1"/>
  <c r="BW280" i="1"/>
  <c r="BW279" i="1"/>
  <c r="BW278" i="1"/>
  <c r="BW277" i="1"/>
  <c r="BW276" i="1"/>
  <c r="BW275" i="1"/>
  <c r="BW274" i="1"/>
  <c r="BW273" i="1"/>
  <c r="BW272" i="1"/>
  <c r="BW271" i="1"/>
  <c r="BW270" i="1"/>
  <c r="BW269" i="1"/>
  <c r="BW268" i="1"/>
  <c r="BW267" i="1"/>
  <c r="BW266" i="1"/>
  <c r="BW265" i="1"/>
  <c r="BW264" i="1"/>
  <c r="BW263" i="1"/>
  <c r="BW262" i="1"/>
  <c r="BW261" i="1"/>
  <c r="BW260" i="1"/>
  <c r="BW259" i="1"/>
  <c r="BW258" i="1"/>
  <c r="BW257" i="1"/>
  <c r="BW256" i="1"/>
  <c r="BW255" i="1"/>
  <c r="BW254" i="1"/>
  <c r="BW253" i="1"/>
  <c r="BW252" i="1"/>
  <c r="BW251" i="1"/>
  <c r="BW250" i="1"/>
  <c r="BW249" i="1"/>
  <c r="BW248" i="1"/>
  <c r="BW247" i="1"/>
  <c r="BW246" i="1"/>
  <c r="BW245" i="1"/>
  <c r="BW244" i="1"/>
  <c r="BW243" i="1"/>
  <c r="BW242" i="1"/>
  <c r="BW241" i="1"/>
  <c r="BW240" i="1"/>
  <c r="BW239" i="1"/>
  <c r="BW238" i="1"/>
  <c r="BW237" i="1"/>
  <c r="BW236" i="1"/>
  <c r="BW235" i="1"/>
  <c r="BW234" i="1"/>
  <c r="BW233" i="1"/>
  <c r="BW232" i="1"/>
  <c r="BW231" i="1"/>
  <c r="BW230" i="1"/>
  <c r="BW229" i="1"/>
  <c r="BW228" i="1"/>
  <c r="BW227" i="1"/>
  <c r="BW226" i="1"/>
  <c r="BW225" i="1"/>
  <c r="BW224" i="1"/>
  <c r="BW223" i="1"/>
  <c r="BW222" i="1"/>
  <c r="BW221" i="1"/>
  <c r="BW220" i="1"/>
  <c r="BW219" i="1"/>
  <c r="BW218" i="1"/>
  <c r="BW217" i="1"/>
  <c r="BW216" i="1"/>
  <c r="BW215" i="1"/>
  <c r="BW214" i="1"/>
  <c r="BW213" i="1"/>
  <c r="BW212" i="1"/>
  <c r="BW211" i="1"/>
  <c r="BW210" i="1"/>
  <c r="BW209" i="1"/>
  <c r="BW208" i="1"/>
  <c r="BW207" i="1"/>
  <c r="BW206" i="1"/>
  <c r="BW205" i="1"/>
  <c r="BW204" i="1"/>
  <c r="BW203" i="1"/>
  <c r="BW202" i="1"/>
  <c r="BW201" i="1"/>
  <c r="BW200" i="1"/>
  <c r="BW199" i="1"/>
  <c r="BW198" i="1"/>
  <c r="BW197" i="1"/>
  <c r="BW196" i="1"/>
  <c r="BW195" i="1"/>
  <c r="BW194" i="1"/>
  <c r="BW193" i="1"/>
  <c r="BW192" i="1"/>
  <c r="BW191" i="1"/>
  <c r="BW190" i="1"/>
  <c r="BW189" i="1"/>
  <c r="BW188" i="1"/>
  <c r="BW187" i="1"/>
  <c r="BW186" i="1"/>
  <c r="BW185" i="1"/>
  <c r="BW184" i="1"/>
  <c r="BW183" i="1"/>
  <c r="BW182" i="1"/>
  <c r="BW181" i="1"/>
  <c r="BW180" i="1"/>
  <c r="BW179" i="1"/>
  <c r="BW178" i="1"/>
  <c r="BW177" i="1"/>
  <c r="BW176" i="1"/>
  <c r="BW175" i="1"/>
  <c r="BW174" i="1"/>
  <c r="BW173" i="1"/>
  <c r="BW172" i="1"/>
  <c r="BW171" i="1"/>
  <c r="BW170" i="1"/>
  <c r="BW169" i="1"/>
  <c r="BW168" i="1"/>
  <c r="BW167" i="1"/>
  <c r="BW166" i="1"/>
  <c r="BW165" i="1"/>
  <c r="BW164" i="1"/>
  <c r="BW163" i="1"/>
  <c r="BW162" i="1"/>
  <c r="BW161" i="1"/>
  <c r="BW160" i="1"/>
  <c r="BV295" i="1"/>
  <c r="BV294" i="1"/>
  <c r="BV293" i="1"/>
  <c r="BV292" i="1"/>
  <c r="BV291" i="1"/>
  <c r="BV290" i="1"/>
  <c r="BV289" i="1"/>
  <c r="BV288" i="1"/>
  <c r="BV287" i="1"/>
  <c r="BV286" i="1"/>
  <c r="BV285" i="1"/>
  <c r="BV284" i="1"/>
  <c r="BV283" i="1"/>
  <c r="BV282" i="1"/>
  <c r="BV281" i="1"/>
  <c r="BV280" i="1"/>
  <c r="BV279" i="1"/>
  <c r="BV278" i="1"/>
  <c r="BV277" i="1"/>
  <c r="BV276" i="1"/>
  <c r="BV275" i="1"/>
  <c r="BV274" i="1"/>
  <c r="BV273" i="1"/>
  <c r="BV272" i="1"/>
  <c r="BV271" i="1"/>
  <c r="BV270" i="1"/>
  <c r="BV269" i="1"/>
  <c r="BV268" i="1"/>
  <c r="BV267" i="1"/>
  <c r="BV266" i="1"/>
  <c r="BV265" i="1"/>
  <c r="BV264" i="1"/>
  <c r="BV263" i="1"/>
  <c r="BV262" i="1"/>
  <c r="BV261" i="1"/>
  <c r="BV260" i="1"/>
  <c r="BV259" i="1"/>
  <c r="BV258" i="1"/>
  <c r="BV257" i="1"/>
  <c r="BV256" i="1"/>
  <c r="BV255" i="1"/>
  <c r="BV254" i="1"/>
  <c r="BV253" i="1"/>
  <c r="BV252" i="1"/>
  <c r="BV251" i="1"/>
  <c r="BV250" i="1"/>
  <c r="BV249" i="1"/>
  <c r="BV248" i="1"/>
  <c r="BV247" i="1"/>
  <c r="BV246" i="1"/>
  <c r="BV245" i="1"/>
  <c r="BV244" i="1"/>
  <c r="BV243" i="1"/>
  <c r="BV242" i="1"/>
  <c r="BV241" i="1"/>
  <c r="BV240" i="1"/>
  <c r="BV239" i="1"/>
  <c r="BV238" i="1"/>
  <c r="BV237" i="1"/>
  <c r="BV236" i="1"/>
  <c r="BV235" i="1"/>
  <c r="BV234" i="1"/>
  <c r="BV233" i="1"/>
  <c r="BV232" i="1"/>
  <c r="BV231" i="1"/>
  <c r="BV230" i="1"/>
  <c r="BV229" i="1"/>
  <c r="BV228" i="1"/>
  <c r="BV227" i="1"/>
  <c r="BV226" i="1"/>
  <c r="BV225" i="1"/>
  <c r="BV224" i="1"/>
  <c r="BV223" i="1"/>
  <c r="BV222" i="1"/>
  <c r="BV221" i="1"/>
  <c r="BV220" i="1"/>
  <c r="BV219" i="1"/>
  <c r="BV218" i="1"/>
  <c r="BV217" i="1"/>
  <c r="BV216" i="1"/>
  <c r="BV215" i="1"/>
  <c r="BV214" i="1"/>
  <c r="BV213" i="1"/>
  <c r="BV212" i="1"/>
  <c r="BV211" i="1"/>
  <c r="BV210" i="1"/>
  <c r="BV209" i="1"/>
  <c r="BV208" i="1"/>
  <c r="BV207" i="1"/>
  <c r="BV206" i="1"/>
  <c r="BV205" i="1"/>
  <c r="BV204" i="1"/>
  <c r="BV203" i="1"/>
  <c r="BV202" i="1"/>
  <c r="BV201" i="1"/>
  <c r="BV200" i="1"/>
  <c r="BV199" i="1"/>
  <c r="BV198" i="1"/>
  <c r="BV197" i="1"/>
  <c r="BV196" i="1"/>
  <c r="BV195" i="1"/>
  <c r="BV194" i="1"/>
  <c r="BV193" i="1"/>
  <c r="BV192" i="1"/>
  <c r="BV191" i="1"/>
  <c r="BV190" i="1"/>
  <c r="BV189" i="1"/>
  <c r="BV188" i="1"/>
  <c r="BV187" i="1"/>
  <c r="BV186" i="1"/>
  <c r="BV185" i="1"/>
  <c r="BV184" i="1"/>
  <c r="BV183" i="1"/>
  <c r="BV182" i="1"/>
  <c r="BV181" i="1"/>
  <c r="BV180" i="1"/>
  <c r="BV179" i="1"/>
  <c r="BV178" i="1"/>
  <c r="BV177" i="1"/>
  <c r="BV176" i="1"/>
  <c r="BV175" i="1"/>
  <c r="BV174" i="1"/>
  <c r="BV173" i="1"/>
  <c r="BV172" i="1"/>
  <c r="BV171" i="1"/>
  <c r="BV170" i="1"/>
  <c r="BV169" i="1"/>
  <c r="BV168" i="1"/>
  <c r="BV167" i="1"/>
  <c r="BV166" i="1"/>
  <c r="BV165" i="1"/>
  <c r="BV164" i="1"/>
  <c r="BV163" i="1"/>
  <c r="BV162" i="1"/>
  <c r="BV161" i="1"/>
  <c r="BV160" i="1"/>
  <c r="BU295" i="1"/>
  <c r="BU294" i="1"/>
  <c r="BU293" i="1"/>
  <c r="BU292" i="1"/>
  <c r="BU291" i="1"/>
  <c r="BU290" i="1"/>
  <c r="BU289" i="1"/>
  <c r="BU288" i="1"/>
  <c r="BU287" i="1"/>
  <c r="BU286" i="1"/>
  <c r="BU285" i="1"/>
  <c r="BU284" i="1"/>
  <c r="BU283" i="1"/>
  <c r="BU282" i="1"/>
  <c r="BU281" i="1"/>
  <c r="BU280" i="1"/>
  <c r="BU279" i="1"/>
  <c r="BU278" i="1"/>
  <c r="BU277" i="1"/>
  <c r="BU276" i="1"/>
  <c r="BU275" i="1"/>
  <c r="BU274" i="1"/>
  <c r="BU273" i="1"/>
  <c r="BU272" i="1"/>
  <c r="BU271" i="1"/>
  <c r="BU270" i="1"/>
  <c r="BU269" i="1"/>
  <c r="BU268" i="1"/>
  <c r="BU267" i="1"/>
  <c r="BU266" i="1"/>
  <c r="BU265" i="1"/>
  <c r="BU264" i="1"/>
  <c r="BU263" i="1"/>
  <c r="BU262" i="1"/>
  <c r="BU261" i="1"/>
  <c r="BU260" i="1"/>
  <c r="BU259" i="1"/>
  <c r="BU258" i="1"/>
  <c r="BU257" i="1"/>
  <c r="BU256" i="1"/>
  <c r="BU255" i="1"/>
  <c r="BU254" i="1"/>
  <c r="BU253" i="1"/>
  <c r="BU252" i="1"/>
  <c r="BU251" i="1"/>
  <c r="BU250" i="1"/>
  <c r="BU249" i="1"/>
  <c r="BU248" i="1"/>
  <c r="BU247" i="1"/>
  <c r="BU246" i="1"/>
  <c r="BU245" i="1"/>
  <c r="BU244" i="1"/>
  <c r="BU243" i="1"/>
  <c r="BU242" i="1"/>
  <c r="BU241" i="1"/>
  <c r="BU240" i="1"/>
  <c r="BU239" i="1"/>
  <c r="BU238" i="1"/>
  <c r="BU237" i="1"/>
  <c r="BU236" i="1"/>
  <c r="BU235" i="1"/>
  <c r="BU234" i="1"/>
  <c r="BU233" i="1"/>
  <c r="BU232" i="1"/>
  <c r="BU231" i="1"/>
  <c r="BU230" i="1"/>
  <c r="BU229" i="1"/>
  <c r="BU228" i="1"/>
  <c r="BU227" i="1"/>
  <c r="BU226" i="1"/>
  <c r="BU225" i="1"/>
  <c r="BU224" i="1"/>
  <c r="BU223" i="1"/>
  <c r="BU222" i="1"/>
  <c r="BU221" i="1"/>
  <c r="BU220" i="1"/>
  <c r="BU219" i="1"/>
  <c r="BU218" i="1"/>
  <c r="BU217" i="1"/>
  <c r="BU216" i="1"/>
  <c r="BU215" i="1"/>
  <c r="BU214" i="1"/>
  <c r="BU213" i="1"/>
  <c r="BU212" i="1"/>
  <c r="BU211" i="1"/>
  <c r="BU210" i="1"/>
  <c r="BU209" i="1"/>
  <c r="BU208" i="1"/>
  <c r="BU207" i="1"/>
  <c r="BU206" i="1"/>
  <c r="BU205" i="1"/>
  <c r="BU204" i="1"/>
  <c r="BU203" i="1"/>
  <c r="BU202" i="1"/>
  <c r="BU201" i="1"/>
  <c r="BU200" i="1"/>
  <c r="BU199" i="1"/>
  <c r="BU198" i="1"/>
  <c r="BU197" i="1"/>
  <c r="BU196" i="1"/>
  <c r="BU195" i="1"/>
  <c r="BU194" i="1"/>
  <c r="BU193" i="1"/>
  <c r="BU192" i="1"/>
  <c r="BU191" i="1"/>
  <c r="BU190" i="1"/>
  <c r="BU189" i="1"/>
  <c r="BU188" i="1"/>
  <c r="BU187" i="1"/>
  <c r="BU186" i="1"/>
  <c r="BU185" i="1"/>
  <c r="BU184" i="1"/>
  <c r="BU183" i="1"/>
  <c r="BU182" i="1"/>
  <c r="BU181" i="1"/>
  <c r="BU180" i="1"/>
  <c r="BU179" i="1"/>
  <c r="BU178" i="1"/>
  <c r="BU177" i="1"/>
  <c r="BU176" i="1"/>
  <c r="BU175" i="1"/>
  <c r="BU174" i="1"/>
  <c r="BU173" i="1"/>
  <c r="BU172" i="1"/>
  <c r="BU171" i="1"/>
  <c r="BU170" i="1"/>
  <c r="BU169" i="1"/>
  <c r="BU168" i="1"/>
  <c r="BU167" i="1"/>
  <c r="BU166" i="1"/>
  <c r="BU165" i="1"/>
  <c r="BU164" i="1"/>
  <c r="BU163" i="1"/>
  <c r="BU162" i="1"/>
  <c r="BU161" i="1"/>
  <c r="BU160" i="1"/>
  <c r="BT295" i="1"/>
  <c r="BT294" i="1"/>
  <c r="BT293" i="1"/>
  <c r="BT292" i="1"/>
  <c r="BT291" i="1"/>
  <c r="BT290" i="1"/>
  <c r="BT289" i="1"/>
  <c r="BT288" i="1"/>
  <c r="BT287" i="1"/>
  <c r="BT286" i="1"/>
  <c r="BT285" i="1"/>
  <c r="BT284" i="1"/>
  <c r="BT283" i="1"/>
  <c r="BT282" i="1"/>
  <c r="BT281" i="1"/>
  <c r="BT280" i="1"/>
  <c r="BT279" i="1"/>
  <c r="BT278" i="1"/>
  <c r="BT277" i="1"/>
  <c r="BT276" i="1"/>
  <c r="BT275" i="1"/>
  <c r="BT274" i="1"/>
  <c r="BT273" i="1"/>
  <c r="BT272" i="1"/>
  <c r="BT271" i="1"/>
  <c r="BT270" i="1"/>
  <c r="BT269" i="1"/>
  <c r="BT268" i="1"/>
  <c r="BT267" i="1"/>
  <c r="BT266" i="1"/>
  <c r="BT265" i="1"/>
  <c r="BT264" i="1"/>
  <c r="BT263" i="1"/>
  <c r="BT262" i="1"/>
  <c r="BT261" i="1"/>
  <c r="BT260" i="1"/>
  <c r="BT259" i="1"/>
  <c r="BT258" i="1"/>
  <c r="BT257" i="1"/>
  <c r="BT256" i="1"/>
  <c r="BT255" i="1"/>
  <c r="BT254" i="1"/>
  <c r="BT253" i="1"/>
  <c r="BT252" i="1"/>
  <c r="BT251" i="1"/>
  <c r="BT250" i="1"/>
  <c r="BT249" i="1"/>
  <c r="BT248" i="1"/>
  <c r="BT247" i="1"/>
  <c r="BT246" i="1"/>
  <c r="BT245" i="1"/>
  <c r="BT244" i="1"/>
  <c r="BT243" i="1"/>
  <c r="BT242" i="1"/>
  <c r="BT241" i="1"/>
  <c r="BT240" i="1"/>
  <c r="BT239" i="1"/>
  <c r="BT238" i="1"/>
  <c r="BT237" i="1"/>
  <c r="BT236" i="1"/>
  <c r="BT235" i="1"/>
  <c r="BT234" i="1"/>
  <c r="BT233" i="1"/>
  <c r="BT232" i="1"/>
  <c r="BT231" i="1"/>
  <c r="BT230" i="1"/>
  <c r="BT229" i="1"/>
  <c r="BT228" i="1"/>
  <c r="BT227" i="1"/>
  <c r="BT226" i="1"/>
  <c r="BT225" i="1"/>
  <c r="BT224" i="1"/>
  <c r="BT223" i="1"/>
  <c r="BT222" i="1"/>
  <c r="BT221" i="1"/>
  <c r="BT220" i="1"/>
  <c r="BT219" i="1"/>
  <c r="BT218" i="1"/>
  <c r="BT217" i="1"/>
  <c r="BT216" i="1"/>
  <c r="BT215" i="1"/>
  <c r="BT214" i="1"/>
  <c r="BT213" i="1"/>
  <c r="BT212" i="1"/>
  <c r="BT211" i="1"/>
  <c r="BT210" i="1"/>
  <c r="BT209" i="1"/>
  <c r="BT208" i="1"/>
  <c r="BT207" i="1"/>
  <c r="BT206" i="1"/>
  <c r="BT205" i="1"/>
  <c r="BT204" i="1"/>
  <c r="BT203" i="1"/>
  <c r="BT202" i="1"/>
  <c r="BT201" i="1"/>
  <c r="BT200" i="1"/>
  <c r="BT199" i="1"/>
  <c r="BT198" i="1"/>
  <c r="BT197" i="1"/>
  <c r="BT196" i="1"/>
  <c r="BT195" i="1"/>
  <c r="BT194" i="1"/>
  <c r="BT193" i="1"/>
  <c r="BT192" i="1"/>
  <c r="BT191" i="1"/>
  <c r="BT190" i="1"/>
  <c r="BT189" i="1"/>
  <c r="BT188" i="1"/>
  <c r="BT187" i="1"/>
  <c r="BT186" i="1"/>
  <c r="BT185" i="1"/>
  <c r="BT184" i="1"/>
  <c r="BT183" i="1"/>
  <c r="BT182" i="1"/>
  <c r="BT181" i="1"/>
  <c r="BT180" i="1"/>
  <c r="BT179" i="1"/>
  <c r="BT178" i="1"/>
  <c r="BT177" i="1"/>
  <c r="BT176" i="1"/>
  <c r="BT175" i="1"/>
  <c r="BT174" i="1"/>
  <c r="BT173" i="1"/>
  <c r="BT172" i="1"/>
  <c r="BT171" i="1"/>
  <c r="BT170" i="1"/>
  <c r="BT169" i="1"/>
  <c r="BT168" i="1"/>
  <c r="BT167" i="1"/>
  <c r="BT166" i="1"/>
  <c r="BT165" i="1"/>
  <c r="BT164" i="1"/>
  <c r="BT163" i="1"/>
  <c r="BT162" i="1"/>
  <c r="BT161" i="1"/>
  <c r="BT160" i="1"/>
  <c r="BS295" i="1"/>
  <c r="BS294" i="1"/>
  <c r="BS293" i="1"/>
  <c r="BS292" i="1"/>
  <c r="BS291" i="1"/>
  <c r="BS290" i="1"/>
  <c r="BS289" i="1"/>
  <c r="BS288" i="1"/>
  <c r="BS287" i="1"/>
  <c r="BS286" i="1"/>
  <c r="BS285" i="1"/>
  <c r="BS284" i="1"/>
  <c r="BS283" i="1"/>
  <c r="BS282" i="1"/>
  <c r="BS281" i="1"/>
  <c r="BS280" i="1"/>
  <c r="BS279" i="1"/>
  <c r="BS278" i="1"/>
  <c r="BS277" i="1"/>
  <c r="BS276" i="1"/>
  <c r="BS275" i="1"/>
  <c r="BS274" i="1"/>
  <c r="BS273" i="1"/>
  <c r="BS272" i="1"/>
  <c r="BS271" i="1"/>
  <c r="BS270" i="1"/>
  <c r="BS269" i="1"/>
  <c r="BS268" i="1"/>
  <c r="BS267" i="1"/>
  <c r="BS266" i="1"/>
  <c r="BS265" i="1"/>
  <c r="BS264" i="1"/>
  <c r="BS263" i="1"/>
  <c r="BS262" i="1"/>
  <c r="BS261" i="1"/>
  <c r="BS260" i="1"/>
  <c r="BS259" i="1"/>
  <c r="BS258" i="1"/>
  <c r="BS257" i="1"/>
  <c r="BS256" i="1"/>
  <c r="BS255" i="1"/>
  <c r="BS254" i="1"/>
  <c r="BS253" i="1"/>
  <c r="BS252" i="1"/>
  <c r="BS251" i="1"/>
  <c r="BS250" i="1"/>
  <c r="BS249" i="1"/>
  <c r="BS248" i="1"/>
  <c r="BS247" i="1"/>
  <c r="BS246" i="1"/>
  <c r="BS245" i="1"/>
  <c r="BS244" i="1"/>
  <c r="BS243" i="1"/>
  <c r="BS242" i="1"/>
  <c r="BS241" i="1"/>
  <c r="BS240" i="1"/>
  <c r="BS239" i="1"/>
  <c r="BS238" i="1"/>
  <c r="BS237" i="1"/>
  <c r="BS236" i="1"/>
  <c r="BS235" i="1"/>
  <c r="BS234" i="1"/>
  <c r="BS233" i="1"/>
  <c r="BS232" i="1"/>
  <c r="BS231" i="1"/>
  <c r="BS230" i="1"/>
  <c r="BS229" i="1"/>
  <c r="BS228" i="1"/>
  <c r="BS227" i="1"/>
  <c r="BS226" i="1"/>
  <c r="BS225" i="1"/>
  <c r="BS224" i="1"/>
  <c r="BS223" i="1"/>
  <c r="BS222" i="1"/>
  <c r="BS221" i="1"/>
  <c r="BS220" i="1"/>
  <c r="BS219" i="1"/>
  <c r="BS218" i="1"/>
  <c r="BS217" i="1"/>
  <c r="BS216" i="1"/>
  <c r="BS215" i="1"/>
  <c r="BS214" i="1"/>
  <c r="BS213" i="1"/>
  <c r="BS212" i="1"/>
  <c r="BS211" i="1"/>
  <c r="BS210" i="1"/>
  <c r="BS209" i="1"/>
  <c r="BS208" i="1"/>
  <c r="BS207" i="1"/>
  <c r="BS206" i="1"/>
  <c r="BS205" i="1"/>
  <c r="BS204" i="1"/>
  <c r="BS203" i="1"/>
  <c r="BS202" i="1"/>
  <c r="BS201" i="1"/>
  <c r="BS200" i="1"/>
  <c r="BS199" i="1"/>
  <c r="BS198" i="1"/>
  <c r="BS197" i="1"/>
  <c r="BS196" i="1"/>
  <c r="BS195" i="1"/>
  <c r="BS194" i="1"/>
  <c r="BS193" i="1"/>
  <c r="BS192" i="1"/>
  <c r="BS191" i="1"/>
  <c r="BS190" i="1"/>
  <c r="BS189" i="1"/>
  <c r="BS188" i="1"/>
  <c r="BS187" i="1"/>
  <c r="BS186" i="1"/>
  <c r="BS185" i="1"/>
  <c r="BS184" i="1"/>
  <c r="BS183" i="1"/>
  <c r="BS182" i="1"/>
  <c r="BS181" i="1"/>
  <c r="BS180" i="1"/>
  <c r="BS179" i="1"/>
  <c r="BS178" i="1"/>
  <c r="BS177" i="1"/>
  <c r="BS176" i="1"/>
  <c r="BS175" i="1"/>
  <c r="BS174" i="1"/>
  <c r="BS173" i="1"/>
  <c r="BS172" i="1"/>
  <c r="BS171" i="1"/>
  <c r="BS170" i="1"/>
  <c r="BS169" i="1"/>
  <c r="BS168" i="1"/>
  <c r="BS167" i="1"/>
  <c r="BS166" i="1"/>
  <c r="BS165" i="1"/>
  <c r="BS164" i="1"/>
  <c r="BS163" i="1"/>
  <c r="BS162" i="1"/>
  <c r="BS161" i="1"/>
  <c r="BS160" i="1"/>
  <c r="BR295" i="1"/>
  <c r="BR294" i="1"/>
  <c r="BR293" i="1"/>
  <c r="BR292" i="1"/>
  <c r="BR291" i="1"/>
  <c r="BR290" i="1"/>
  <c r="BR289" i="1"/>
  <c r="BR288" i="1"/>
  <c r="BR287" i="1"/>
  <c r="BR286" i="1"/>
  <c r="BR285" i="1"/>
  <c r="BR284" i="1"/>
  <c r="BR283" i="1"/>
  <c r="BR282" i="1"/>
  <c r="BR281" i="1"/>
  <c r="BR280" i="1"/>
  <c r="BR279" i="1"/>
  <c r="BR278" i="1"/>
  <c r="BR277" i="1"/>
  <c r="BR276" i="1"/>
  <c r="BR275" i="1"/>
  <c r="BR274" i="1"/>
  <c r="BR273" i="1"/>
  <c r="BR272" i="1"/>
  <c r="BR271" i="1"/>
  <c r="BR270" i="1"/>
  <c r="BR269" i="1"/>
  <c r="BR268" i="1"/>
  <c r="BR267" i="1"/>
  <c r="BR266" i="1"/>
  <c r="BR265" i="1"/>
  <c r="BR264" i="1"/>
  <c r="BR263" i="1"/>
  <c r="BR262" i="1"/>
  <c r="BR261" i="1"/>
  <c r="BR260" i="1"/>
  <c r="BR259" i="1"/>
  <c r="BR258" i="1"/>
  <c r="BR257" i="1"/>
  <c r="BR256" i="1"/>
  <c r="BR255" i="1"/>
  <c r="BR254" i="1"/>
  <c r="BR253" i="1"/>
  <c r="BR252" i="1"/>
  <c r="BR251" i="1"/>
  <c r="BR250" i="1"/>
  <c r="BR249" i="1"/>
  <c r="BR248" i="1"/>
  <c r="BR247" i="1"/>
  <c r="BR246" i="1"/>
  <c r="BR245" i="1"/>
  <c r="BR244" i="1"/>
  <c r="BR243" i="1"/>
  <c r="BR242" i="1"/>
  <c r="BR241" i="1"/>
  <c r="BR240" i="1"/>
  <c r="BR239" i="1"/>
  <c r="BR238" i="1"/>
  <c r="BR237" i="1"/>
  <c r="BR236" i="1"/>
  <c r="BR235" i="1"/>
  <c r="BR234" i="1"/>
  <c r="BR233" i="1"/>
  <c r="BR232" i="1"/>
  <c r="BR231" i="1"/>
  <c r="BR230" i="1"/>
  <c r="BR229" i="1"/>
  <c r="BR228" i="1"/>
  <c r="BR227" i="1"/>
  <c r="BR226" i="1"/>
  <c r="BR225" i="1"/>
  <c r="BR224" i="1"/>
  <c r="BR223" i="1"/>
  <c r="BR222" i="1"/>
  <c r="BR221" i="1"/>
  <c r="BR220" i="1"/>
  <c r="BR219" i="1"/>
  <c r="BR218" i="1"/>
  <c r="BR217" i="1"/>
  <c r="BR216" i="1"/>
  <c r="BR215" i="1"/>
  <c r="BR214" i="1"/>
  <c r="BR213" i="1"/>
  <c r="BR212" i="1"/>
  <c r="BR211" i="1"/>
  <c r="BR210" i="1"/>
  <c r="BR209" i="1"/>
  <c r="BR208" i="1"/>
  <c r="BR207" i="1"/>
  <c r="BR206" i="1"/>
  <c r="BR205" i="1"/>
  <c r="BR204" i="1"/>
  <c r="BR203" i="1"/>
  <c r="BR202" i="1"/>
  <c r="BR201" i="1"/>
  <c r="BR200" i="1"/>
  <c r="BR199" i="1"/>
  <c r="BR198" i="1"/>
  <c r="BR197" i="1"/>
  <c r="BR196" i="1"/>
  <c r="BR195" i="1"/>
  <c r="BR194" i="1"/>
  <c r="BR193" i="1"/>
  <c r="BR192" i="1"/>
  <c r="BR191" i="1"/>
  <c r="BR190" i="1"/>
  <c r="BR189" i="1"/>
  <c r="BR188" i="1"/>
  <c r="BR187" i="1"/>
  <c r="BR186" i="1"/>
  <c r="BR185" i="1"/>
  <c r="BR184" i="1"/>
  <c r="BR183" i="1"/>
  <c r="BR182" i="1"/>
  <c r="BR181" i="1"/>
  <c r="BR180" i="1"/>
  <c r="BR179" i="1"/>
  <c r="BR178" i="1"/>
  <c r="BR177" i="1"/>
  <c r="BR176" i="1"/>
  <c r="BR175" i="1"/>
  <c r="BR174" i="1"/>
  <c r="BR173" i="1"/>
  <c r="BR172" i="1"/>
  <c r="BR171" i="1"/>
  <c r="BR170" i="1"/>
  <c r="BR169" i="1"/>
  <c r="BR168" i="1"/>
  <c r="BR167" i="1"/>
  <c r="BR166" i="1"/>
  <c r="BR165" i="1"/>
  <c r="BR164" i="1"/>
  <c r="BR163" i="1"/>
  <c r="BR162" i="1"/>
  <c r="BR161" i="1"/>
  <c r="BR160" i="1"/>
  <c r="BQ295" i="1"/>
  <c r="BQ294" i="1"/>
  <c r="BQ293" i="1"/>
  <c r="BQ292" i="1"/>
  <c r="BQ291" i="1"/>
  <c r="BQ290" i="1"/>
  <c r="BQ289" i="1"/>
  <c r="BQ288" i="1"/>
  <c r="BQ287" i="1"/>
  <c r="BQ286" i="1"/>
  <c r="BQ285" i="1"/>
  <c r="BQ284" i="1"/>
  <c r="BQ283" i="1"/>
  <c r="BQ282" i="1"/>
  <c r="BQ281" i="1"/>
  <c r="BQ280" i="1"/>
  <c r="BQ279" i="1"/>
  <c r="BQ278" i="1"/>
  <c r="BQ277" i="1"/>
  <c r="BQ276" i="1"/>
  <c r="BQ275" i="1"/>
  <c r="BQ274" i="1"/>
  <c r="BQ273" i="1"/>
  <c r="BQ272" i="1"/>
  <c r="BQ271" i="1"/>
  <c r="BQ270" i="1"/>
  <c r="BQ269" i="1"/>
  <c r="BQ268" i="1"/>
  <c r="BQ267" i="1"/>
  <c r="BQ266" i="1"/>
  <c r="BQ265" i="1"/>
  <c r="BQ264" i="1"/>
  <c r="BQ263" i="1"/>
  <c r="BQ262" i="1"/>
  <c r="BQ261" i="1"/>
  <c r="BQ260" i="1"/>
  <c r="BQ259" i="1"/>
  <c r="BQ258" i="1"/>
  <c r="BQ257" i="1"/>
  <c r="BQ256" i="1"/>
  <c r="BQ255" i="1"/>
  <c r="BQ254" i="1"/>
  <c r="BQ253" i="1"/>
  <c r="BQ252" i="1"/>
  <c r="BQ251" i="1"/>
  <c r="BQ250" i="1"/>
  <c r="BQ249" i="1"/>
  <c r="BQ248" i="1"/>
  <c r="BQ247" i="1"/>
  <c r="BQ246" i="1"/>
  <c r="BQ245" i="1"/>
  <c r="BQ244" i="1"/>
  <c r="BQ243" i="1"/>
  <c r="BQ242" i="1"/>
  <c r="BQ241" i="1"/>
  <c r="BQ240" i="1"/>
  <c r="BQ239" i="1"/>
  <c r="BQ238" i="1"/>
  <c r="BQ237" i="1"/>
  <c r="BQ236" i="1"/>
  <c r="BQ235" i="1"/>
  <c r="BQ234" i="1"/>
  <c r="BQ233" i="1"/>
  <c r="BQ232" i="1"/>
  <c r="BQ231" i="1"/>
  <c r="BQ230" i="1"/>
  <c r="BQ229" i="1"/>
  <c r="BQ228" i="1"/>
  <c r="BQ227" i="1"/>
  <c r="BQ226" i="1"/>
  <c r="BQ225" i="1"/>
  <c r="BQ224" i="1"/>
  <c r="BQ223" i="1"/>
  <c r="BQ222" i="1"/>
  <c r="BQ221" i="1"/>
  <c r="BQ220" i="1"/>
  <c r="BQ219" i="1"/>
  <c r="BQ218" i="1"/>
  <c r="BQ217" i="1"/>
  <c r="BQ216" i="1"/>
  <c r="BQ215" i="1"/>
  <c r="BQ214" i="1"/>
  <c r="BQ213" i="1"/>
  <c r="BQ212" i="1"/>
  <c r="BQ211" i="1"/>
  <c r="BQ210" i="1"/>
  <c r="BQ209" i="1"/>
  <c r="BQ208" i="1"/>
  <c r="BQ207" i="1"/>
  <c r="BQ206" i="1"/>
  <c r="BQ205" i="1"/>
  <c r="BQ204" i="1"/>
  <c r="BQ203" i="1"/>
  <c r="BQ202" i="1"/>
  <c r="BQ201" i="1"/>
  <c r="BQ200" i="1"/>
  <c r="BQ199" i="1"/>
  <c r="BQ198" i="1"/>
  <c r="BQ197" i="1"/>
  <c r="BQ196" i="1"/>
  <c r="BQ195" i="1"/>
  <c r="BQ194" i="1"/>
  <c r="BQ193" i="1"/>
  <c r="BQ192" i="1"/>
  <c r="BQ191" i="1"/>
  <c r="BQ190" i="1"/>
  <c r="BQ189" i="1"/>
  <c r="BQ188" i="1"/>
  <c r="BQ187" i="1"/>
  <c r="BQ186" i="1"/>
  <c r="BQ185" i="1"/>
  <c r="BQ184" i="1"/>
  <c r="BQ183" i="1"/>
  <c r="BQ182" i="1"/>
  <c r="BQ181" i="1"/>
  <c r="BQ180" i="1"/>
  <c r="BQ179" i="1"/>
  <c r="BQ178" i="1"/>
  <c r="BQ177" i="1"/>
  <c r="BQ176" i="1"/>
  <c r="BQ175" i="1"/>
  <c r="BQ174" i="1"/>
  <c r="BQ173" i="1"/>
  <c r="BQ172" i="1"/>
  <c r="BQ171" i="1"/>
  <c r="BQ170" i="1"/>
  <c r="BQ169" i="1"/>
  <c r="BQ168" i="1"/>
  <c r="BQ167" i="1"/>
  <c r="BQ166" i="1"/>
  <c r="BQ165" i="1"/>
  <c r="BQ164" i="1"/>
  <c r="BQ163" i="1"/>
  <c r="BQ162" i="1"/>
  <c r="BQ161" i="1"/>
  <c r="BQ160" i="1"/>
  <c r="BP295" i="1"/>
  <c r="BP294" i="1"/>
  <c r="BP293" i="1"/>
  <c r="BP292" i="1"/>
  <c r="BP291" i="1"/>
  <c r="BP290" i="1"/>
  <c r="BP289" i="1"/>
  <c r="BP288" i="1"/>
  <c r="BP287" i="1"/>
  <c r="BP286" i="1"/>
  <c r="BP285" i="1"/>
  <c r="BP284" i="1"/>
  <c r="BP283" i="1"/>
  <c r="BP282" i="1"/>
  <c r="BP281" i="1"/>
  <c r="BP280" i="1"/>
  <c r="BP279" i="1"/>
  <c r="BP278" i="1"/>
  <c r="BP277" i="1"/>
  <c r="BP276" i="1"/>
  <c r="BP275" i="1"/>
  <c r="BP274" i="1"/>
  <c r="BP273" i="1"/>
  <c r="BP272" i="1"/>
  <c r="BP271" i="1"/>
  <c r="BP270" i="1"/>
  <c r="BP269" i="1"/>
  <c r="BP268" i="1"/>
  <c r="BP267" i="1"/>
  <c r="BP266" i="1"/>
  <c r="BP265" i="1"/>
  <c r="BP264" i="1"/>
  <c r="BP263" i="1"/>
  <c r="BP262" i="1"/>
  <c r="BP261" i="1"/>
  <c r="BP260" i="1"/>
  <c r="BP259" i="1"/>
  <c r="BP258" i="1"/>
  <c r="BP257" i="1"/>
  <c r="BP256" i="1"/>
  <c r="BP255" i="1"/>
  <c r="BP254" i="1"/>
  <c r="BP253" i="1"/>
  <c r="BP252" i="1"/>
  <c r="BP251" i="1"/>
  <c r="BP250" i="1"/>
  <c r="BP249" i="1"/>
  <c r="BP248" i="1"/>
  <c r="BP247" i="1"/>
  <c r="BP246" i="1"/>
  <c r="BP245" i="1"/>
  <c r="BP244" i="1"/>
  <c r="BP243" i="1"/>
  <c r="BP242" i="1"/>
  <c r="BP241" i="1"/>
  <c r="BP240" i="1"/>
  <c r="BP239" i="1"/>
  <c r="BP238" i="1"/>
  <c r="BP237" i="1"/>
  <c r="BP236" i="1"/>
  <c r="BP235" i="1"/>
  <c r="BP234" i="1"/>
  <c r="BP233" i="1"/>
  <c r="BP232" i="1"/>
  <c r="BP231" i="1"/>
  <c r="BP230" i="1"/>
  <c r="BP229" i="1"/>
  <c r="BP228" i="1"/>
  <c r="BP227" i="1"/>
  <c r="BP226" i="1"/>
  <c r="BP225" i="1"/>
  <c r="BP224" i="1"/>
  <c r="BP223" i="1"/>
  <c r="BP222" i="1"/>
  <c r="BP221" i="1"/>
  <c r="BP220" i="1"/>
  <c r="BP219" i="1"/>
  <c r="BP218" i="1"/>
  <c r="BP217" i="1"/>
  <c r="BP216" i="1"/>
  <c r="BP215" i="1"/>
  <c r="BP214" i="1"/>
  <c r="BP213" i="1"/>
  <c r="BP212" i="1"/>
  <c r="BP211" i="1"/>
  <c r="BP210" i="1"/>
  <c r="BP209" i="1"/>
  <c r="BP208" i="1"/>
  <c r="BP207" i="1"/>
  <c r="BP206" i="1"/>
  <c r="BP205" i="1"/>
  <c r="BP204" i="1"/>
  <c r="BP203" i="1"/>
  <c r="BP202" i="1"/>
  <c r="BP201" i="1"/>
  <c r="BP200" i="1"/>
  <c r="BP199" i="1"/>
  <c r="BP198" i="1"/>
  <c r="BP197" i="1"/>
  <c r="BP196" i="1"/>
  <c r="BP195" i="1"/>
  <c r="BP194" i="1"/>
  <c r="BP193" i="1"/>
  <c r="BP192" i="1"/>
  <c r="BP191" i="1"/>
  <c r="BP190" i="1"/>
  <c r="BP189" i="1"/>
  <c r="BP188" i="1"/>
  <c r="BP187" i="1"/>
  <c r="BP186" i="1"/>
  <c r="BP185" i="1"/>
  <c r="BP184" i="1"/>
  <c r="BP183" i="1"/>
  <c r="BP182" i="1"/>
  <c r="BP181" i="1"/>
  <c r="BP180" i="1"/>
  <c r="BP179" i="1"/>
  <c r="BP178" i="1"/>
  <c r="BP177" i="1"/>
  <c r="BP176" i="1"/>
  <c r="BP175" i="1"/>
  <c r="BP174" i="1"/>
  <c r="BP173" i="1"/>
  <c r="BP172" i="1"/>
  <c r="BP171" i="1"/>
  <c r="BP170" i="1"/>
  <c r="BP169" i="1"/>
  <c r="BP168" i="1"/>
  <c r="BP167" i="1"/>
  <c r="BP166" i="1"/>
  <c r="BP165" i="1"/>
  <c r="BP164" i="1"/>
  <c r="BP163" i="1"/>
  <c r="BP162" i="1"/>
  <c r="BP161" i="1"/>
  <c r="BP160" i="1"/>
  <c r="BO295" i="1"/>
  <c r="BO294" i="1"/>
  <c r="BO293" i="1"/>
  <c r="BO292" i="1"/>
  <c r="BO291" i="1"/>
  <c r="BO290" i="1"/>
  <c r="BO289" i="1"/>
  <c r="BO288" i="1"/>
  <c r="BO287" i="1"/>
  <c r="BO286" i="1"/>
  <c r="BO285" i="1"/>
  <c r="BO284" i="1"/>
  <c r="BO283" i="1"/>
  <c r="BO282" i="1"/>
  <c r="BO281" i="1"/>
  <c r="BO280" i="1"/>
  <c r="BO279" i="1"/>
  <c r="BO278" i="1"/>
  <c r="BO277" i="1"/>
  <c r="BO276" i="1"/>
  <c r="BO275" i="1"/>
  <c r="BO274" i="1"/>
  <c r="BO273" i="1"/>
  <c r="BO272" i="1"/>
  <c r="BO271" i="1"/>
  <c r="BO270" i="1"/>
  <c r="BO269" i="1"/>
  <c r="BO268" i="1"/>
  <c r="BO267" i="1"/>
  <c r="BO266" i="1"/>
  <c r="BO265" i="1"/>
  <c r="BO264" i="1"/>
  <c r="BO263" i="1"/>
  <c r="BO262" i="1"/>
  <c r="BO261" i="1"/>
  <c r="BO260" i="1"/>
  <c r="BO259" i="1"/>
  <c r="BO258" i="1"/>
  <c r="BO257" i="1"/>
  <c r="BO256" i="1"/>
  <c r="BO255" i="1"/>
  <c r="BO254" i="1"/>
  <c r="BO253" i="1"/>
  <c r="BO252" i="1"/>
  <c r="BO251" i="1"/>
  <c r="BO250" i="1"/>
  <c r="BO249" i="1"/>
  <c r="BO248" i="1"/>
  <c r="BO247" i="1"/>
  <c r="BO246" i="1"/>
  <c r="BO245" i="1"/>
  <c r="BO244" i="1"/>
  <c r="BO243" i="1"/>
  <c r="BO242" i="1"/>
  <c r="BO241" i="1"/>
  <c r="BO240" i="1"/>
  <c r="BO239" i="1"/>
  <c r="BO238" i="1"/>
  <c r="BO237" i="1"/>
  <c r="BO236" i="1"/>
  <c r="BO235" i="1"/>
  <c r="BO234" i="1"/>
  <c r="BO233" i="1"/>
  <c r="BO232" i="1"/>
  <c r="BO231" i="1"/>
  <c r="BO230" i="1"/>
  <c r="BO229" i="1"/>
  <c r="BO228" i="1"/>
  <c r="BO227" i="1"/>
  <c r="BO226" i="1"/>
  <c r="BO225" i="1"/>
  <c r="BO224" i="1"/>
  <c r="BO223" i="1"/>
  <c r="BO222" i="1"/>
  <c r="BO221" i="1"/>
  <c r="BO220" i="1"/>
  <c r="BO219" i="1"/>
  <c r="BO218" i="1"/>
  <c r="BO217" i="1"/>
  <c r="BO216" i="1"/>
  <c r="BO215" i="1"/>
  <c r="BO214" i="1"/>
  <c r="BO213" i="1"/>
  <c r="BO212" i="1"/>
  <c r="BO211" i="1"/>
  <c r="BO210" i="1"/>
  <c r="BO209" i="1"/>
  <c r="BO208" i="1"/>
  <c r="BO207" i="1"/>
  <c r="BO206" i="1"/>
  <c r="BO205" i="1"/>
  <c r="BO204" i="1"/>
  <c r="BO203" i="1"/>
  <c r="BO202" i="1"/>
  <c r="BO201" i="1"/>
  <c r="BO200" i="1"/>
  <c r="BO199" i="1"/>
  <c r="BO198" i="1"/>
  <c r="BO197" i="1"/>
  <c r="BO196" i="1"/>
  <c r="BO195" i="1"/>
  <c r="BO194" i="1"/>
  <c r="BO193" i="1"/>
  <c r="BO192" i="1"/>
  <c r="BO191" i="1"/>
  <c r="BO190" i="1"/>
  <c r="BO189" i="1"/>
  <c r="BO188" i="1"/>
  <c r="BO187" i="1"/>
  <c r="BO186" i="1"/>
  <c r="BO185" i="1"/>
  <c r="BO184" i="1"/>
  <c r="BO183" i="1"/>
  <c r="BO182" i="1"/>
  <c r="BO181" i="1"/>
  <c r="BO180" i="1"/>
  <c r="BO179" i="1"/>
  <c r="BO178" i="1"/>
  <c r="BO177" i="1"/>
  <c r="BO176" i="1"/>
  <c r="BO175" i="1"/>
  <c r="BO174" i="1"/>
  <c r="BO173" i="1"/>
  <c r="BO172" i="1"/>
  <c r="BO171" i="1"/>
  <c r="BO170" i="1"/>
  <c r="BO169" i="1"/>
  <c r="BO168" i="1"/>
  <c r="BO167" i="1"/>
  <c r="BO166" i="1"/>
  <c r="BO165" i="1"/>
  <c r="BO164" i="1"/>
  <c r="BO163" i="1"/>
  <c r="BO162" i="1"/>
  <c r="BO161" i="1"/>
  <c r="BO160" i="1"/>
  <c r="BN295" i="1"/>
  <c r="BN294" i="1"/>
  <c r="BN293" i="1"/>
  <c r="BN292" i="1"/>
  <c r="BN291" i="1"/>
  <c r="BN290" i="1"/>
  <c r="BN289" i="1"/>
  <c r="BN288" i="1"/>
  <c r="BN287" i="1"/>
  <c r="BN286" i="1"/>
  <c r="BN285" i="1"/>
  <c r="BN284" i="1"/>
  <c r="BN283" i="1"/>
  <c r="BN282" i="1"/>
  <c r="BN281" i="1"/>
  <c r="BN280" i="1"/>
  <c r="BN279" i="1"/>
  <c r="BN278" i="1"/>
  <c r="BN277" i="1"/>
  <c r="BN276" i="1"/>
  <c r="BN275" i="1"/>
  <c r="BN274" i="1"/>
  <c r="BN273" i="1"/>
  <c r="BN272" i="1"/>
  <c r="BN271" i="1"/>
  <c r="BN270" i="1"/>
  <c r="BN269" i="1"/>
  <c r="BN268" i="1"/>
  <c r="BN267" i="1"/>
  <c r="BN266" i="1"/>
  <c r="BN265" i="1"/>
  <c r="BN264" i="1"/>
  <c r="BN263" i="1"/>
  <c r="BN262" i="1"/>
  <c r="BN261" i="1"/>
  <c r="BN260" i="1"/>
  <c r="BN259" i="1"/>
  <c r="BN258" i="1"/>
  <c r="BN257" i="1"/>
  <c r="BN256" i="1"/>
  <c r="BN255" i="1"/>
  <c r="BN254" i="1"/>
  <c r="BN253" i="1"/>
  <c r="BN252" i="1"/>
  <c r="BN251" i="1"/>
  <c r="BN250" i="1"/>
  <c r="BN249" i="1"/>
  <c r="BN248" i="1"/>
  <c r="BN247" i="1"/>
  <c r="BN246" i="1"/>
  <c r="BN245" i="1"/>
  <c r="BN244" i="1"/>
  <c r="BN243" i="1"/>
  <c r="BN242" i="1"/>
  <c r="BN241" i="1"/>
  <c r="BN240" i="1"/>
  <c r="BN239" i="1"/>
  <c r="BN238" i="1"/>
  <c r="BN237" i="1"/>
  <c r="BN236" i="1"/>
  <c r="BN235" i="1"/>
  <c r="BN234" i="1"/>
  <c r="BN233" i="1"/>
  <c r="BN232" i="1"/>
  <c r="BN231" i="1"/>
  <c r="BN230" i="1"/>
  <c r="BN229" i="1"/>
  <c r="BN228" i="1"/>
  <c r="BN227" i="1"/>
  <c r="BN226" i="1"/>
  <c r="BN225" i="1"/>
  <c r="BN224" i="1"/>
  <c r="BN223" i="1"/>
  <c r="BN222" i="1"/>
  <c r="BN221" i="1"/>
  <c r="BN220" i="1"/>
  <c r="BN219" i="1"/>
  <c r="BN218" i="1"/>
  <c r="BN217" i="1"/>
  <c r="BN216" i="1"/>
  <c r="BN215" i="1"/>
  <c r="BN214" i="1"/>
  <c r="BN213" i="1"/>
  <c r="BN212" i="1"/>
  <c r="BN211" i="1"/>
  <c r="BN210" i="1"/>
  <c r="BN209" i="1"/>
  <c r="BN208" i="1"/>
  <c r="BN207" i="1"/>
  <c r="BN206" i="1"/>
  <c r="BN205" i="1"/>
  <c r="BN204" i="1"/>
  <c r="BN203" i="1"/>
  <c r="BN202" i="1"/>
  <c r="BN201" i="1"/>
  <c r="BN200" i="1"/>
  <c r="BN199" i="1"/>
  <c r="BN198" i="1"/>
  <c r="BN197" i="1"/>
  <c r="BN196" i="1"/>
  <c r="BN195" i="1"/>
  <c r="BN194" i="1"/>
  <c r="BN193" i="1"/>
  <c r="BN192" i="1"/>
  <c r="BN191" i="1"/>
  <c r="BN190" i="1"/>
  <c r="BN189" i="1"/>
  <c r="BN188" i="1"/>
  <c r="BN187" i="1"/>
  <c r="BN186" i="1"/>
  <c r="BN185" i="1"/>
  <c r="BN184" i="1"/>
  <c r="BN183" i="1"/>
  <c r="BN182" i="1"/>
  <c r="BN181" i="1"/>
  <c r="BN180" i="1"/>
  <c r="BN179" i="1"/>
  <c r="BN178" i="1"/>
  <c r="BN177" i="1"/>
  <c r="BN176" i="1"/>
  <c r="BN175" i="1"/>
  <c r="BN174" i="1"/>
  <c r="BN173" i="1"/>
  <c r="BN172" i="1"/>
  <c r="BN171" i="1"/>
  <c r="BN170" i="1"/>
  <c r="BN169" i="1"/>
  <c r="BN168" i="1"/>
  <c r="BN167" i="1"/>
  <c r="BN166" i="1"/>
  <c r="BN165" i="1"/>
  <c r="BN164" i="1"/>
  <c r="BN163" i="1"/>
  <c r="BN162" i="1"/>
  <c r="BN161" i="1"/>
  <c r="BN160" i="1"/>
  <c r="BM295" i="1"/>
  <c r="BM294" i="1"/>
  <c r="BM293" i="1"/>
  <c r="BM292" i="1"/>
  <c r="BM291" i="1"/>
  <c r="BM290" i="1"/>
  <c r="BM289" i="1"/>
  <c r="BM288" i="1"/>
  <c r="BM287" i="1"/>
  <c r="BM286" i="1"/>
  <c r="BM285" i="1"/>
  <c r="BM284" i="1"/>
  <c r="BM283" i="1"/>
  <c r="BM282" i="1"/>
  <c r="BM281" i="1"/>
  <c r="BM280" i="1"/>
  <c r="BM279" i="1"/>
  <c r="BM278" i="1"/>
  <c r="BM277" i="1"/>
  <c r="BM276" i="1"/>
  <c r="BM275" i="1"/>
  <c r="BM274" i="1"/>
  <c r="BM273" i="1"/>
  <c r="BM272" i="1"/>
  <c r="BM271" i="1"/>
  <c r="BM270" i="1"/>
  <c r="BM269" i="1"/>
  <c r="BM268" i="1"/>
  <c r="BM267" i="1"/>
  <c r="BM266" i="1"/>
  <c r="BM265" i="1"/>
  <c r="BM264" i="1"/>
  <c r="BM263" i="1"/>
  <c r="BM262" i="1"/>
  <c r="BM261" i="1"/>
  <c r="BM260" i="1"/>
  <c r="BM259" i="1"/>
  <c r="BM258" i="1"/>
  <c r="BM257" i="1"/>
  <c r="BM256" i="1"/>
  <c r="BM255" i="1"/>
  <c r="BM254" i="1"/>
  <c r="BM253" i="1"/>
  <c r="BM252" i="1"/>
  <c r="BM251" i="1"/>
  <c r="BM250" i="1"/>
  <c r="BM249" i="1"/>
  <c r="BM248" i="1"/>
  <c r="BM247" i="1"/>
  <c r="BM246" i="1"/>
  <c r="BM245" i="1"/>
  <c r="BM244" i="1"/>
  <c r="BM243" i="1"/>
  <c r="BM242" i="1"/>
  <c r="BM241" i="1"/>
  <c r="BM240" i="1"/>
  <c r="BM239" i="1"/>
  <c r="BM238" i="1"/>
  <c r="BM237" i="1"/>
  <c r="BM236" i="1"/>
  <c r="BM235" i="1"/>
  <c r="BM234" i="1"/>
  <c r="BM233" i="1"/>
  <c r="BM232" i="1"/>
  <c r="BM231" i="1"/>
  <c r="BM230" i="1"/>
  <c r="BM229" i="1"/>
  <c r="BM228" i="1"/>
  <c r="BM227" i="1"/>
  <c r="BM226" i="1"/>
  <c r="BM225" i="1"/>
  <c r="BM224" i="1"/>
  <c r="BM223" i="1"/>
  <c r="BM222" i="1"/>
  <c r="BM221" i="1"/>
  <c r="BM220" i="1"/>
  <c r="BM219" i="1"/>
  <c r="BM218" i="1"/>
  <c r="BM217" i="1"/>
  <c r="BM216" i="1"/>
  <c r="BM215" i="1"/>
  <c r="BM214" i="1"/>
  <c r="BM213" i="1"/>
  <c r="BM212" i="1"/>
  <c r="BM211" i="1"/>
  <c r="BM210" i="1"/>
  <c r="BM209" i="1"/>
  <c r="BM208" i="1"/>
  <c r="BM207" i="1"/>
  <c r="BM206" i="1"/>
  <c r="BM205" i="1"/>
  <c r="BM204" i="1"/>
  <c r="BM203" i="1"/>
  <c r="BM202" i="1"/>
  <c r="BM201" i="1"/>
  <c r="BM200" i="1"/>
  <c r="BM199" i="1"/>
  <c r="BM198" i="1"/>
  <c r="BM197" i="1"/>
  <c r="BM196" i="1"/>
  <c r="BM195" i="1"/>
  <c r="BM194" i="1"/>
  <c r="BM193" i="1"/>
  <c r="BM192" i="1"/>
  <c r="BM191" i="1"/>
  <c r="BM190" i="1"/>
  <c r="BM189" i="1"/>
  <c r="BM188" i="1"/>
  <c r="BM187" i="1"/>
  <c r="BM186" i="1"/>
  <c r="BM185" i="1"/>
  <c r="BM184" i="1"/>
  <c r="BM183" i="1"/>
  <c r="BM182" i="1"/>
  <c r="BM181" i="1"/>
  <c r="BM180" i="1"/>
  <c r="BM179" i="1"/>
  <c r="BM178" i="1"/>
  <c r="BM177" i="1"/>
  <c r="BM176" i="1"/>
  <c r="BM175" i="1"/>
  <c r="BM174" i="1"/>
  <c r="BM173" i="1"/>
  <c r="BM172" i="1"/>
  <c r="BM171" i="1"/>
  <c r="BM170" i="1"/>
  <c r="BM169" i="1"/>
  <c r="BM168" i="1"/>
  <c r="BM167" i="1"/>
  <c r="BM166" i="1"/>
  <c r="BM165" i="1"/>
  <c r="BM164" i="1"/>
  <c r="BM163" i="1"/>
  <c r="BM162" i="1"/>
  <c r="BM161" i="1"/>
  <c r="BM160" i="1"/>
  <c r="BL295" i="1"/>
  <c r="BL294" i="1"/>
  <c r="BL293" i="1"/>
  <c r="BL292" i="1"/>
  <c r="BL291" i="1"/>
  <c r="BL290" i="1"/>
  <c r="BL289" i="1"/>
  <c r="BL288" i="1"/>
  <c r="BL287" i="1"/>
  <c r="BL286" i="1"/>
  <c r="BL285" i="1"/>
  <c r="BL284" i="1"/>
  <c r="BL283" i="1"/>
  <c r="BL282" i="1"/>
  <c r="BL281" i="1"/>
  <c r="BL280" i="1"/>
  <c r="BL279" i="1"/>
  <c r="BL278" i="1"/>
  <c r="BL277" i="1"/>
  <c r="BL276" i="1"/>
  <c r="BL275" i="1"/>
  <c r="BL274" i="1"/>
  <c r="BL273" i="1"/>
  <c r="BL272" i="1"/>
  <c r="BL271" i="1"/>
  <c r="BL270" i="1"/>
  <c r="BL269" i="1"/>
  <c r="BL268" i="1"/>
  <c r="BL267" i="1"/>
  <c r="BL266" i="1"/>
  <c r="BL265" i="1"/>
  <c r="BL264" i="1"/>
  <c r="BL263" i="1"/>
  <c r="BL262" i="1"/>
  <c r="BL261" i="1"/>
  <c r="BL260" i="1"/>
  <c r="BL259" i="1"/>
  <c r="BL258" i="1"/>
  <c r="BL257" i="1"/>
  <c r="BL256" i="1"/>
  <c r="BL255" i="1"/>
  <c r="BL254" i="1"/>
  <c r="BL253" i="1"/>
  <c r="BL252" i="1"/>
  <c r="BL251" i="1"/>
  <c r="BL250" i="1"/>
  <c r="BL249" i="1"/>
  <c r="BL248" i="1"/>
  <c r="BL247" i="1"/>
  <c r="BL246" i="1"/>
  <c r="BL245" i="1"/>
  <c r="BL244" i="1"/>
  <c r="BL243" i="1"/>
  <c r="BL242" i="1"/>
  <c r="BL241" i="1"/>
  <c r="BL240" i="1"/>
  <c r="BL239" i="1"/>
  <c r="BL238" i="1"/>
  <c r="BL237" i="1"/>
  <c r="BL236" i="1"/>
  <c r="BL235" i="1"/>
  <c r="BL234" i="1"/>
  <c r="BL233" i="1"/>
  <c r="BL232" i="1"/>
  <c r="BL231" i="1"/>
  <c r="BL230" i="1"/>
  <c r="BL229" i="1"/>
  <c r="BL228" i="1"/>
  <c r="BL227" i="1"/>
  <c r="BL226" i="1"/>
  <c r="BL225" i="1"/>
  <c r="BL224" i="1"/>
  <c r="BL223" i="1"/>
  <c r="BL222" i="1"/>
  <c r="BL221" i="1"/>
  <c r="BL220" i="1"/>
  <c r="BL219" i="1"/>
  <c r="BL218" i="1"/>
  <c r="BL217" i="1"/>
  <c r="BL216" i="1"/>
  <c r="BL215" i="1"/>
  <c r="BL214" i="1"/>
  <c r="BL213" i="1"/>
  <c r="BL212" i="1"/>
  <c r="BL211" i="1"/>
  <c r="BL210" i="1"/>
  <c r="BL209" i="1"/>
  <c r="BL208" i="1"/>
  <c r="BL207" i="1"/>
  <c r="BL206" i="1"/>
  <c r="BL205" i="1"/>
  <c r="BL204" i="1"/>
  <c r="BL203" i="1"/>
  <c r="BL202" i="1"/>
  <c r="BL201" i="1"/>
  <c r="BL200" i="1"/>
  <c r="BL199" i="1"/>
  <c r="BL198" i="1"/>
  <c r="BL197" i="1"/>
  <c r="BL196" i="1"/>
  <c r="BL195" i="1"/>
  <c r="BL194" i="1"/>
  <c r="BL193" i="1"/>
  <c r="BL192" i="1"/>
  <c r="BL191" i="1"/>
  <c r="BL190" i="1"/>
  <c r="BL189" i="1"/>
  <c r="BL188" i="1"/>
  <c r="BL187" i="1"/>
  <c r="BL186" i="1"/>
  <c r="BL185" i="1"/>
  <c r="BL184" i="1"/>
  <c r="BL183" i="1"/>
  <c r="BL182" i="1"/>
  <c r="BL181" i="1"/>
  <c r="BL180" i="1"/>
  <c r="BL179" i="1"/>
  <c r="BL178" i="1"/>
  <c r="BL177" i="1"/>
  <c r="BL176" i="1"/>
  <c r="BL175" i="1"/>
  <c r="BL174" i="1"/>
  <c r="BL173" i="1"/>
  <c r="BL172" i="1"/>
  <c r="BL171" i="1"/>
  <c r="BL170" i="1"/>
  <c r="BL169" i="1"/>
  <c r="BL168" i="1"/>
  <c r="BL167" i="1"/>
  <c r="BL166" i="1"/>
  <c r="BL165" i="1"/>
  <c r="BL164" i="1"/>
  <c r="BL163" i="1"/>
  <c r="BL162" i="1"/>
  <c r="BL161" i="1"/>
  <c r="BL160" i="1"/>
  <c r="BK295" i="1"/>
  <c r="BK294" i="1"/>
  <c r="BK293" i="1"/>
  <c r="BK292" i="1"/>
  <c r="BK291" i="1"/>
  <c r="BK290" i="1"/>
  <c r="BK289" i="1"/>
  <c r="BK288" i="1"/>
  <c r="BK287" i="1"/>
  <c r="BK286" i="1"/>
  <c r="BK285" i="1"/>
  <c r="BK284" i="1"/>
  <c r="BK283" i="1"/>
  <c r="BK282" i="1"/>
  <c r="BK281" i="1"/>
  <c r="BK280" i="1"/>
  <c r="BK279" i="1"/>
  <c r="BK278" i="1"/>
  <c r="BK277" i="1"/>
  <c r="BK276" i="1"/>
  <c r="BK275" i="1"/>
  <c r="BK274" i="1"/>
  <c r="BK273" i="1"/>
  <c r="BK272" i="1"/>
  <c r="BK271" i="1"/>
  <c r="BK270" i="1"/>
  <c r="BK269" i="1"/>
  <c r="BK268" i="1"/>
  <c r="BK267" i="1"/>
  <c r="BK266" i="1"/>
  <c r="BK265" i="1"/>
  <c r="BK264" i="1"/>
  <c r="BK263" i="1"/>
  <c r="BK262" i="1"/>
  <c r="BK261" i="1"/>
  <c r="BK260" i="1"/>
  <c r="BK259" i="1"/>
  <c r="BK258" i="1"/>
  <c r="BK257" i="1"/>
  <c r="BK256" i="1"/>
  <c r="BK255" i="1"/>
  <c r="BK254" i="1"/>
  <c r="BK253" i="1"/>
  <c r="BK252" i="1"/>
  <c r="BK251" i="1"/>
  <c r="BK250" i="1"/>
  <c r="BK249" i="1"/>
  <c r="BK248" i="1"/>
  <c r="BK247" i="1"/>
  <c r="BK246" i="1"/>
  <c r="BK245" i="1"/>
  <c r="BK244" i="1"/>
  <c r="BK243" i="1"/>
  <c r="BK242" i="1"/>
  <c r="BK241" i="1"/>
  <c r="BK240" i="1"/>
  <c r="BK239" i="1"/>
  <c r="BK238" i="1"/>
  <c r="BK237" i="1"/>
  <c r="BK236" i="1"/>
  <c r="BK235" i="1"/>
  <c r="BK234" i="1"/>
  <c r="BK233" i="1"/>
  <c r="BK232" i="1"/>
  <c r="BK231" i="1"/>
  <c r="BK230" i="1"/>
  <c r="BK229" i="1"/>
  <c r="BK228" i="1"/>
  <c r="BK227" i="1"/>
  <c r="BK226" i="1"/>
  <c r="BK225" i="1"/>
  <c r="BK224" i="1"/>
  <c r="BK223" i="1"/>
  <c r="BK222" i="1"/>
  <c r="BK221" i="1"/>
  <c r="BK220" i="1"/>
  <c r="BK219" i="1"/>
  <c r="BK218" i="1"/>
  <c r="BK217" i="1"/>
  <c r="BK216" i="1"/>
  <c r="BK215" i="1"/>
  <c r="BK214" i="1"/>
  <c r="BK213" i="1"/>
  <c r="BK212" i="1"/>
  <c r="BK211" i="1"/>
  <c r="BK210" i="1"/>
  <c r="BK209" i="1"/>
  <c r="BK208" i="1"/>
  <c r="BK207" i="1"/>
  <c r="BK206" i="1"/>
  <c r="BK205" i="1"/>
  <c r="BK204" i="1"/>
  <c r="BK203" i="1"/>
  <c r="BK202" i="1"/>
  <c r="BK201" i="1"/>
  <c r="BK200" i="1"/>
  <c r="BK199" i="1"/>
  <c r="BK198" i="1"/>
  <c r="BK197" i="1"/>
  <c r="BK196" i="1"/>
  <c r="BK195" i="1"/>
  <c r="BK194" i="1"/>
  <c r="BK193" i="1"/>
  <c r="BK192" i="1"/>
  <c r="BK191" i="1"/>
  <c r="BK190" i="1"/>
  <c r="BK189" i="1"/>
  <c r="BK188" i="1"/>
  <c r="BK187" i="1"/>
  <c r="BK186" i="1"/>
  <c r="BK185" i="1"/>
  <c r="BK184" i="1"/>
  <c r="BK183" i="1"/>
  <c r="BK182" i="1"/>
  <c r="BK181" i="1"/>
  <c r="BK180" i="1"/>
  <c r="BK179" i="1"/>
  <c r="BK178" i="1"/>
  <c r="BK177" i="1"/>
  <c r="BK176" i="1"/>
  <c r="BK175" i="1"/>
  <c r="BK174" i="1"/>
  <c r="BK173" i="1"/>
  <c r="BK172" i="1"/>
  <c r="BK171" i="1"/>
  <c r="BK170" i="1"/>
  <c r="BK169" i="1"/>
  <c r="BK168" i="1"/>
  <c r="BK167" i="1"/>
  <c r="BK166" i="1"/>
  <c r="BK165" i="1"/>
  <c r="BK164" i="1"/>
  <c r="BK163" i="1"/>
  <c r="BK162" i="1"/>
  <c r="BK161" i="1"/>
  <c r="BK160" i="1"/>
  <c r="BJ295" i="1"/>
  <c r="BJ294" i="1"/>
  <c r="BJ293" i="1"/>
  <c r="BJ292" i="1"/>
  <c r="BJ291" i="1"/>
  <c r="BJ290" i="1"/>
  <c r="BJ289" i="1"/>
  <c r="BJ288" i="1"/>
  <c r="BJ287" i="1"/>
  <c r="BJ286" i="1"/>
  <c r="BJ285" i="1"/>
  <c r="BJ284" i="1"/>
  <c r="BJ283" i="1"/>
  <c r="BJ282" i="1"/>
  <c r="BJ281" i="1"/>
  <c r="BJ280" i="1"/>
  <c r="BJ279" i="1"/>
  <c r="BJ278" i="1"/>
  <c r="BJ277" i="1"/>
  <c r="BJ276" i="1"/>
  <c r="BJ275" i="1"/>
  <c r="BJ274" i="1"/>
  <c r="BJ273" i="1"/>
  <c r="BJ272" i="1"/>
  <c r="BJ271" i="1"/>
  <c r="BJ270" i="1"/>
  <c r="BJ269" i="1"/>
  <c r="BJ268" i="1"/>
  <c r="BJ267" i="1"/>
  <c r="BJ266" i="1"/>
  <c r="BJ265" i="1"/>
  <c r="BJ264" i="1"/>
  <c r="BJ263" i="1"/>
  <c r="BJ262" i="1"/>
  <c r="BJ261" i="1"/>
  <c r="BJ260" i="1"/>
  <c r="BJ259" i="1"/>
  <c r="BJ258" i="1"/>
  <c r="BJ257" i="1"/>
  <c r="BJ256" i="1"/>
  <c r="BJ255" i="1"/>
  <c r="BJ254" i="1"/>
  <c r="BJ253" i="1"/>
  <c r="BJ252" i="1"/>
  <c r="BJ251" i="1"/>
  <c r="BJ250" i="1"/>
  <c r="BJ249" i="1"/>
  <c r="BJ248" i="1"/>
  <c r="BJ247" i="1"/>
  <c r="BJ246" i="1"/>
  <c r="BJ245" i="1"/>
  <c r="BJ244" i="1"/>
  <c r="BJ243" i="1"/>
  <c r="BJ242" i="1"/>
  <c r="BJ241" i="1"/>
  <c r="BJ240" i="1"/>
  <c r="BJ239" i="1"/>
  <c r="BJ238" i="1"/>
  <c r="BJ237" i="1"/>
  <c r="BJ236" i="1"/>
  <c r="BJ235" i="1"/>
  <c r="BJ234" i="1"/>
  <c r="BJ233" i="1"/>
  <c r="BJ232" i="1"/>
  <c r="BJ231" i="1"/>
  <c r="BJ230" i="1"/>
  <c r="BJ229" i="1"/>
  <c r="BJ228" i="1"/>
  <c r="BJ227" i="1"/>
  <c r="BJ226" i="1"/>
  <c r="BJ225" i="1"/>
  <c r="BJ224" i="1"/>
  <c r="BJ223" i="1"/>
  <c r="BJ222" i="1"/>
  <c r="BJ221" i="1"/>
  <c r="BJ220" i="1"/>
  <c r="BJ219" i="1"/>
  <c r="BJ218" i="1"/>
  <c r="BJ217" i="1"/>
  <c r="BJ216" i="1"/>
  <c r="BJ215" i="1"/>
  <c r="BJ214" i="1"/>
  <c r="BJ213" i="1"/>
  <c r="BJ212" i="1"/>
  <c r="BJ211" i="1"/>
  <c r="BJ210" i="1"/>
  <c r="BJ209" i="1"/>
  <c r="BJ208" i="1"/>
  <c r="BJ207" i="1"/>
  <c r="BJ206" i="1"/>
  <c r="BJ205" i="1"/>
  <c r="BJ204" i="1"/>
  <c r="BJ203" i="1"/>
  <c r="BJ202" i="1"/>
  <c r="BJ201" i="1"/>
  <c r="BJ200" i="1"/>
  <c r="BJ199" i="1"/>
  <c r="BJ198" i="1"/>
  <c r="BJ197" i="1"/>
  <c r="BJ196" i="1"/>
  <c r="BJ195" i="1"/>
  <c r="BJ194" i="1"/>
  <c r="BJ193" i="1"/>
  <c r="BJ192" i="1"/>
  <c r="BJ191" i="1"/>
  <c r="BJ190" i="1"/>
  <c r="BJ189" i="1"/>
  <c r="BJ188" i="1"/>
  <c r="BJ187" i="1"/>
  <c r="BJ186" i="1"/>
  <c r="BJ185" i="1"/>
  <c r="BJ184" i="1"/>
  <c r="BJ183" i="1"/>
  <c r="BJ182" i="1"/>
  <c r="BJ181" i="1"/>
  <c r="BJ180" i="1"/>
  <c r="BJ179" i="1"/>
  <c r="BJ178" i="1"/>
  <c r="BJ177" i="1"/>
  <c r="BJ176" i="1"/>
  <c r="BJ175" i="1"/>
  <c r="BJ174" i="1"/>
  <c r="BJ173" i="1"/>
  <c r="BJ172" i="1"/>
  <c r="BJ171" i="1"/>
  <c r="BJ170" i="1"/>
  <c r="BJ169" i="1"/>
  <c r="BJ168" i="1"/>
  <c r="BJ167" i="1"/>
  <c r="BJ166" i="1"/>
  <c r="BJ165" i="1"/>
  <c r="BJ164" i="1"/>
  <c r="BJ163" i="1"/>
  <c r="BJ162" i="1"/>
  <c r="BJ161" i="1"/>
  <c r="BJ160" i="1"/>
  <c r="BI295" i="1"/>
  <c r="BI294" i="1"/>
  <c r="BI293" i="1"/>
  <c r="BI292" i="1"/>
  <c r="BI291" i="1"/>
  <c r="BI290" i="1"/>
  <c r="BI289" i="1"/>
  <c r="BI288" i="1"/>
  <c r="BI287" i="1"/>
  <c r="BI286" i="1"/>
  <c r="BI285" i="1"/>
  <c r="BI284" i="1"/>
  <c r="BI283" i="1"/>
  <c r="BI282" i="1"/>
  <c r="BI281" i="1"/>
  <c r="BI280" i="1"/>
  <c r="BI279" i="1"/>
  <c r="BI278" i="1"/>
  <c r="BI277" i="1"/>
  <c r="BI276" i="1"/>
  <c r="BI275" i="1"/>
  <c r="BI274" i="1"/>
  <c r="BI273" i="1"/>
  <c r="BI272" i="1"/>
  <c r="BI271" i="1"/>
  <c r="BI270" i="1"/>
  <c r="BI269" i="1"/>
  <c r="BI268" i="1"/>
  <c r="BI267" i="1"/>
  <c r="BI266" i="1"/>
  <c r="BI265" i="1"/>
  <c r="BI264" i="1"/>
  <c r="BI263" i="1"/>
  <c r="BI262" i="1"/>
  <c r="BI261" i="1"/>
  <c r="BI260" i="1"/>
  <c r="BI259" i="1"/>
  <c r="BI258" i="1"/>
  <c r="BI257" i="1"/>
  <c r="BI256" i="1"/>
  <c r="BI255" i="1"/>
  <c r="BI254" i="1"/>
  <c r="BI253" i="1"/>
  <c r="BI252" i="1"/>
  <c r="BI251" i="1"/>
  <c r="BI250" i="1"/>
  <c r="BI249" i="1"/>
  <c r="BI248" i="1"/>
  <c r="BI247" i="1"/>
  <c r="BI246" i="1"/>
  <c r="BI245" i="1"/>
  <c r="BI244" i="1"/>
  <c r="BI243" i="1"/>
  <c r="BI242" i="1"/>
  <c r="BI241" i="1"/>
  <c r="BI240" i="1"/>
  <c r="BI239" i="1"/>
  <c r="BI238" i="1"/>
  <c r="BI237" i="1"/>
  <c r="BI236" i="1"/>
  <c r="BI235" i="1"/>
  <c r="BI234" i="1"/>
  <c r="BI233" i="1"/>
  <c r="BI232" i="1"/>
  <c r="BI231" i="1"/>
  <c r="BI230" i="1"/>
  <c r="BI229" i="1"/>
  <c r="BI228" i="1"/>
  <c r="BI227" i="1"/>
  <c r="BI226" i="1"/>
  <c r="BI225" i="1"/>
  <c r="BI224" i="1"/>
  <c r="BI223" i="1"/>
  <c r="BI222" i="1"/>
  <c r="BI221" i="1"/>
  <c r="BI220" i="1"/>
  <c r="BI219" i="1"/>
  <c r="BI218" i="1"/>
  <c r="BI217" i="1"/>
  <c r="BI216" i="1"/>
  <c r="BI215" i="1"/>
  <c r="BI214" i="1"/>
  <c r="BI213" i="1"/>
  <c r="BI212" i="1"/>
  <c r="BI211" i="1"/>
  <c r="BI210" i="1"/>
  <c r="BI209" i="1"/>
  <c r="BI208" i="1"/>
  <c r="BI207" i="1"/>
  <c r="BI206" i="1"/>
  <c r="BI205" i="1"/>
  <c r="BI204" i="1"/>
  <c r="BI203" i="1"/>
  <c r="BI202" i="1"/>
  <c r="BI201" i="1"/>
  <c r="BI200" i="1"/>
  <c r="BI199" i="1"/>
  <c r="BI198" i="1"/>
  <c r="BI197" i="1"/>
  <c r="BI196" i="1"/>
  <c r="BI195" i="1"/>
  <c r="BI194" i="1"/>
  <c r="BI193" i="1"/>
  <c r="BI192" i="1"/>
  <c r="BI191" i="1"/>
  <c r="BI190" i="1"/>
  <c r="BI189" i="1"/>
  <c r="BI188" i="1"/>
  <c r="BI187" i="1"/>
  <c r="BI186" i="1"/>
  <c r="BI185" i="1"/>
  <c r="BI184" i="1"/>
  <c r="BI183" i="1"/>
  <c r="BI182" i="1"/>
  <c r="BI181" i="1"/>
  <c r="BI180" i="1"/>
  <c r="BI179" i="1"/>
  <c r="BI178" i="1"/>
  <c r="BI177" i="1"/>
  <c r="BI176" i="1"/>
  <c r="BI175" i="1"/>
  <c r="BI174" i="1"/>
  <c r="BI173" i="1"/>
  <c r="BI172" i="1"/>
  <c r="BI171" i="1"/>
  <c r="BI170" i="1"/>
  <c r="BI169" i="1"/>
  <c r="BI168" i="1"/>
  <c r="BI167" i="1"/>
  <c r="BI166" i="1"/>
  <c r="BI165" i="1"/>
  <c r="BI164" i="1"/>
  <c r="BI163" i="1"/>
  <c r="BI162" i="1"/>
  <c r="BI161" i="1"/>
  <c r="BI160" i="1"/>
  <c r="BH295" i="1"/>
  <c r="BH294" i="1"/>
  <c r="BH293" i="1"/>
  <c r="BH292" i="1"/>
  <c r="BH291" i="1"/>
  <c r="BH290" i="1"/>
  <c r="BH289" i="1"/>
  <c r="BH288" i="1"/>
  <c r="BH287" i="1"/>
  <c r="BH286" i="1"/>
  <c r="BH285" i="1"/>
  <c r="BH284" i="1"/>
  <c r="BH283" i="1"/>
  <c r="BH282" i="1"/>
  <c r="BH281" i="1"/>
  <c r="BH280" i="1"/>
  <c r="BH279" i="1"/>
  <c r="BH278" i="1"/>
  <c r="BH277" i="1"/>
  <c r="BH276" i="1"/>
  <c r="BH275" i="1"/>
  <c r="BH274" i="1"/>
  <c r="BH273" i="1"/>
  <c r="BH272" i="1"/>
  <c r="BH271" i="1"/>
  <c r="BH270" i="1"/>
  <c r="BH269" i="1"/>
  <c r="BH268" i="1"/>
  <c r="BH267" i="1"/>
  <c r="BH266" i="1"/>
  <c r="BH265" i="1"/>
  <c r="BH264" i="1"/>
  <c r="BH263" i="1"/>
  <c r="BH262" i="1"/>
  <c r="BH261" i="1"/>
  <c r="BH260" i="1"/>
  <c r="BH259" i="1"/>
  <c r="BH258" i="1"/>
  <c r="BH257" i="1"/>
  <c r="BH256" i="1"/>
  <c r="BH255" i="1"/>
  <c r="BH254" i="1"/>
  <c r="BH253" i="1"/>
  <c r="BH252" i="1"/>
  <c r="BH251" i="1"/>
  <c r="BH250" i="1"/>
  <c r="BH249" i="1"/>
  <c r="BH248" i="1"/>
  <c r="BH247" i="1"/>
  <c r="BH246" i="1"/>
  <c r="BH245" i="1"/>
  <c r="BH244" i="1"/>
  <c r="BH243" i="1"/>
  <c r="BH242" i="1"/>
  <c r="BH241" i="1"/>
  <c r="BH240" i="1"/>
  <c r="BH239" i="1"/>
  <c r="BH238" i="1"/>
  <c r="BH237" i="1"/>
  <c r="BH236" i="1"/>
  <c r="BH235" i="1"/>
  <c r="BH234" i="1"/>
  <c r="BH233" i="1"/>
  <c r="BH232" i="1"/>
  <c r="BH231" i="1"/>
  <c r="BH230" i="1"/>
  <c r="BH229" i="1"/>
  <c r="BH228" i="1"/>
  <c r="BH227" i="1"/>
  <c r="BH226" i="1"/>
  <c r="BH225" i="1"/>
  <c r="BH224" i="1"/>
  <c r="BH223" i="1"/>
  <c r="BH222" i="1"/>
  <c r="BH221" i="1"/>
  <c r="BH220" i="1"/>
  <c r="BH219" i="1"/>
  <c r="BH218" i="1"/>
  <c r="BH217" i="1"/>
  <c r="BH216" i="1"/>
  <c r="BH215" i="1"/>
  <c r="BH214" i="1"/>
  <c r="BH213" i="1"/>
  <c r="BH212" i="1"/>
  <c r="BH211" i="1"/>
  <c r="BH210" i="1"/>
  <c r="BH209" i="1"/>
  <c r="BH208" i="1"/>
  <c r="BH207" i="1"/>
  <c r="BH206" i="1"/>
  <c r="BH205" i="1"/>
  <c r="BH204" i="1"/>
  <c r="BH203" i="1"/>
  <c r="BH202" i="1"/>
  <c r="BH201" i="1"/>
  <c r="BH200" i="1"/>
  <c r="BH199" i="1"/>
  <c r="BH198" i="1"/>
  <c r="BH197" i="1"/>
  <c r="BH196" i="1"/>
  <c r="BH195" i="1"/>
  <c r="BH194" i="1"/>
  <c r="BH193" i="1"/>
  <c r="BH192" i="1"/>
  <c r="BH191" i="1"/>
  <c r="BH190" i="1"/>
  <c r="BH189" i="1"/>
  <c r="BH188" i="1"/>
  <c r="BH187" i="1"/>
  <c r="BH186" i="1"/>
  <c r="BH185" i="1"/>
  <c r="BH184" i="1"/>
  <c r="BH183" i="1"/>
  <c r="BH182" i="1"/>
  <c r="BH181" i="1"/>
  <c r="BH180" i="1"/>
  <c r="BH179" i="1"/>
  <c r="BH178" i="1"/>
  <c r="BH177" i="1"/>
  <c r="BH176" i="1"/>
  <c r="BH175" i="1"/>
  <c r="BH174" i="1"/>
  <c r="BH173" i="1"/>
  <c r="BH172" i="1"/>
  <c r="BH171" i="1"/>
  <c r="BH170" i="1"/>
  <c r="BH169" i="1"/>
  <c r="BH168" i="1"/>
  <c r="BH167" i="1"/>
  <c r="BH166" i="1"/>
  <c r="BH165" i="1"/>
  <c r="BH164" i="1"/>
  <c r="BH163" i="1"/>
  <c r="BH162" i="1"/>
  <c r="BH161" i="1"/>
  <c r="BH160" i="1"/>
  <c r="BG295" i="1"/>
  <c r="BG294" i="1"/>
  <c r="BG293" i="1"/>
  <c r="BG292" i="1"/>
  <c r="BG291" i="1"/>
  <c r="BG290" i="1"/>
  <c r="BG289" i="1"/>
  <c r="BG288" i="1"/>
  <c r="BG287" i="1"/>
  <c r="BG286" i="1"/>
  <c r="BG285" i="1"/>
  <c r="BG284" i="1"/>
  <c r="BG283" i="1"/>
  <c r="BG282" i="1"/>
  <c r="BG281" i="1"/>
  <c r="BG280" i="1"/>
  <c r="BG279" i="1"/>
  <c r="BG278" i="1"/>
  <c r="BG277" i="1"/>
  <c r="BG276" i="1"/>
  <c r="BG275" i="1"/>
  <c r="BG274" i="1"/>
  <c r="BG273" i="1"/>
  <c r="BG272" i="1"/>
  <c r="BG271" i="1"/>
  <c r="BG270" i="1"/>
  <c r="BG269" i="1"/>
  <c r="BG268" i="1"/>
  <c r="BG267" i="1"/>
  <c r="BG266" i="1"/>
  <c r="BG265" i="1"/>
  <c r="BG264" i="1"/>
  <c r="BG263" i="1"/>
  <c r="BG262" i="1"/>
  <c r="BG261" i="1"/>
  <c r="BG260" i="1"/>
  <c r="BG259" i="1"/>
  <c r="BG258" i="1"/>
  <c r="BG257" i="1"/>
  <c r="BG256" i="1"/>
  <c r="BG255" i="1"/>
  <c r="BG254" i="1"/>
  <c r="BG253" i="1"/>
  <c r="BG252" i="1"/>
  <c r="BG251" i="1"/>
  <c r="BG250" i="1"/>
  <c r="BG249" i="1"/>
  <c r="BG248" i="1"/>
  <c r="BG247" i="1"/>
  <c r="BG246" i="1"/>
  <c r="BG245" i="1"/>
  <c r="BG244" i="1"/>
  <c r="BG243" i="1"/>
  <c r="BG242" i="1"/>
  <c r="BG241" i="1"/>
  <c r="BG240" i="1"/>
  <c r="BG239" i="1"/>
  <c r="BG238" i="1"/>
  <c r="BG237" i="1"/>
  <c r="BG236" i="1"/>
  <c r="BG235" i="1"/>
  <c r="BG234" i="1"/>
  <c r="BG233" i="1"/>
  <c r="BG232" i="1"/>
  <c r="BG231" i="1"/>
  <c r="BG230" i="1"/>
  <c r="BG229" i="1"/>
  <c r="BG228" i="1"/>
  <c r="BG227" i="1"/>
  <c r="BG226" i="1"/>
  <c r="BG225" i="1"/>
  <c r="BG224" i="1"/>
  <c r="BG223" i="1"/>
  <c r="BG222" i="1"/>
  <c r="BG221" i="1"/>
  <c r="BG220" i="1"/>
  <c r="BG219" i="1"/>
  <c r="BG218" i="1"/>
  <c r="BG217" i="1"/>
  <c r="BG216" i="1"/>
  <c r="BG215" i="1"/>
  <c r="BG214" i="1"/>
  <c r="BG213" i="1"/>
  <c r="BG212" i="1"/>
  <c r="BG211" i="1"/>
  <c r="BG210" i="1"/>
  <c r="BG209" i="1"/>
  <c r="BG208" i="1"/>
  <c r="BG207" i="1"/>
  <c r="BG206" i="1"/>
  <c r="BG205" i="1"/>
  <c r="BG204" i="1"/>
  <c r="BG203" i="1"/>
  <c r="BG202" i="1"/>
  <c r="BG201" i="1"/>
  <c r="BG200" i="1"/>
  <c r="BG199" i="1"/>
  <c r="BG198" i="1"/>
  <c r="BG197" i="1"/>
  <c r="BG196" i="1"/>
  <c r="BG195" i="1"/>
  <c r="BG194" i="1"/>
  <c r="BG193" i="1"/>
  <c r="BG192" i="1"/>
  <c r="BG191" i="1"/>
  <c r="BG190" i="1"/>
  <c r="BG189" i="1"/>
  <c r="BG188" i="1"/>
  <c r="BG187" i="1"/>
  <c r="BG186" i="1"/>
  <c r="BG185" i="1"/>
  <c r="BG184" i="1"/>
  <c r="BG183" i="1"/>
  <c r="BG182" i="1"/>
  <c r="BG181" i="1"/>
  <c r="BG180" i="1"/>
  <c r="BG179" i="1"/>
  <c r="BG178" i="1"/>
  <c r="BG177" i="1"/>
  <c r="BG176" i="1"/>
  <c r="BG175" i="1"/>
  <c r="BG174" i="1"/>
  <c r="BG173" i="1"/>
  <c r="BG172" i="1"/>
  <c r="BG171" i="1"/>
  <c r="BG170" i="1"/>
  <c r="BG169" i="1"/>
  <c r="BG168" i="1"/>
  <c r="BG167" i="1"/>
  <c r="BG166" i="1"/>
  <c r="BG165" i="1"/>
  <c r="BG164" i="1"/>
  <c r="BG163" i="1"/>
  <c r="BG162" i="1"/>
  <c r="BG161" i="1"/>
  <c r="BG160" i="1"/>
  <c r="BF295" i="1"/>
  <c r="BF294" i="1"/>
  <c r="BF293" i="1"/>
  <c r="BF292" i="1"/>
  <c r="BF291" i="1"/>
  <c r="BF290" i="1"/>
  <c r="BF289" i="1"/>
  <c r="BF288" i="1"/>
  <c r="BF287" i="1"/>
  <c r="BF286" i="1"/>
  <c r="BF285" i="1"/>
  <c r="BF284" i="1"/>
  <c r="BF283" i="1"/>
  <c r="BF282" i="1"/>
  <c r="BF281" i="1"/>
  <c r="BF280" i="1"/>
  <c r="BF279" i="1"/>
  <c r="BF278" i="1"/>
  <c r="BF277" i="1"/>
  <c r="BF276" i="1"/>
  <c r="BF275" i="1"/>
  <c r="BF274" i="1"/>
  <c r="BF273" i="1"/>
  <c r="BF272" i="1"/>
  <c r="BF271" i="1"/>
  <c r="BF270" i="1"/>
  <c r="BF269" i="1"/>
  <c r="BF268" i="1"/>
  <c r="BF267" i="1"/>
  <c r="BF266" i="1"/>
  <c r="BF265" i="1"/>
  <c r="BF264" i="1"/>
  <c r="BF263" i="1"/>
  <c r="BF262" i="1"/>
  <c r="BF261" i="1"/>
  <c r="BF260" i="1"/>
  <c r="BF259" i="1"/>
  <c r="BF258" i="1"/>
  <c r="BF257" i="1"/>
  <c r="BF256" i="1"/>
  <c r="BF255" i="1"/>
  <c r="BF254" i="1"/>
  <c r="BF253" i="1"/>
  <c r="BF252" i="1"/>
  <c r="BF251" i="1"/>
  <c r="BF250" i="1"/>
  <c r="BF249" i="1"/>
  <c r="BF248" i="1"/>
  <c r="BF247" i="1"/>
  <c r="BF246" i="1"/>
  <c r="BF245" i="1"/>
  <c r="BF244" i="1"/>
  <c r="BF243" i="1"/>
  <c r="BF242" i="1"/>
  <c r="BF241" i="1"/>
  <c r="BF240" i="1"/>
  <c r="BF239" i="1"/>
  <c r="BF238" i="1"/>
  <c r="BF237" i="1"/>
  <c r="BF236" i="1"/>
  <c r="BF235" i="1"/>
  <c r="BF234" i="1"/>
  <c r="BF233" i="1"/>
  <c r="BF232" i="1"/>
  <c r="BF231" i="1"/>
  <c r="BF230" i="1"/>
  <c r="BF229" i="1"/>
  <c r="BF228" i="1"/>
  <c r="BF227" i="1"/>
  <c r="BF226" i="1"/>
  <c r="BF225" i="1"/>
  <c r="BF224" i="1"/>
  <c r="BF223" i="1"/>
  <c r="BF222" i="1"/>
  <c r="BF221" i="1"/>
  <c r="BF220" i="1"/>
  <c r="BF219" i="1"/>
  <c r="BF218" i="1"/>
  <c r="BF217" i="1"/>
  <c r="BF216" i="1"/>
  <c r="BF215" i="1"/>
  <c r="BF214" i="1"/>
  <c r="BF213" i="1"/>
  <c r="BF212" i="1"/>
  <c r="BF211" i="1"/>
  <c r="BF210" i="1"/>
  <c r="BF209" i="1"/>
  <c r="BF208" i="1"/>
  <c r="BF207" i="1"/>
  <c r="BF206" i="1"/>
  <c r="BF205" i="1"/>
  <c r="BF204" i="1"/>
  <c r="BF203" i="1"/>
  <c r="BF202" i="1"/>
  <c r="BF201" i="1"/>
  <c r="BF200" i="1"/>
  <c r="BF199" i="1"/>
  <c r="BF198" i="1"/>
  <c r="BF197" i="1"/>
  <c r="BF196" i="1"/>
  <c r="BF195" i="1"/>
  <c r="BF194" i="1"/>
  <c r="BF193" i="1"/>
  <c r="BF192" i="1"/>
  <c r="BF191" i="1"/>
  <c r="BF190" i="1"/>
  <c r="BF189" i="1"/>
  <c r="BF188" i="1"/>
  <c r="BF187" i="1"/>
  <c r="BF186" i="1"/>
  <c r="BF185" i="1"/>
  <c r="BF184" i="1"/>
  <c r="BF183" i="1"/>
  <c r="BF182" i="1"/>
  <c r="BF181" i="1"/>
  <c r="BF180" i="1"/>
  <c r="BF179" i="1"/>
  <c r="BF178" i="1"/>
  <c r="BF177" i="1"/>
  <c r="BF176" i="1"/>
  <c r="BF175" i="1"/>
  <c r="BF174" i="1"/>
  <c r="BF173" i="1"/>
  <c r="BF172" i="1"/>
  <c r="BF171" i="1"/>
  <c r="BF170" i="1"/>
  <c r="BF169" i="1"/>
  <c r="BF168" i="1"/>
  <c r="BF167" i="1"/>
  <c r="BF166" i="1"/>
  <c r="BF165" i="1"/>
  <c r="BF164" i="1"/>
  <c r="BF163" i="1"/>
  <c r="BF162" i="1"/>
  <c r="BF161" i="1"/>
  <c r="BF160" i="1"/>
  <c r="BE295" i="1"/>
  <c r="BE294" i="1"/>
  <c r="BE293" i="1"/>
  <c r="BE292" i="1"/>
  <c r="BE291" i="1"/>
  <c r="BE290" i="1"/>
  <c r="BE289" i="1"/>
  <c r="BE288" i="1"/>
  <c r="BE287" i="1"/>
  <c r="BE286" i="1"/>
  <c r="BE285" i="1"/>
  <c r="BE284" i="1"/>
  <c r="BE283" i="1"/>
  <c r="BE282" i="1"/>
  <c r="BE281" i="1"/>
  <c r="BE280" i="1"/>
  <c r="BE279" i="1"/>
  <c r="BE278" i="1"/>
  <c r="BE277" i="1"/>
  <c r="BE276" i="1"/>
  <c r="BE275" i="1"/>
  <c r="BE274" i="1"/>
  <c r="BE273" i="1"/>
  <c r="BE272" i="1"/>
  <c r="BE271" i="1"/>
  <c r="BE270" i="1"/>
  <c r="BE269" i="1"/>
  <c r="BE268" i="1"/>
  <c r="BE267" i="1"/>
  <c r="BE266" i="1"/>
  <c r="BE265" i="1"/>
  <c r="BE264" i="1"/>
  <c r="BE263" i="1"/>
  <c r="BE262" i="1"/>
  <c r="BE261" i="1"/>
  <c r="BE260" i="1"/>
  <c r="BE259" i="1"/>
  <c r="BE258" i="1"/>
  <c r="BE257" i="1"/>
  <c r="BE256" i="1"/>
  <c r="BE255" i="1"/>
  <c r="BE254" i="1"/>
  <c r="BE253" i="1"/>
  <c r="BE252" i="1"/>
  <c r="BE251" i="1"/>
  <c r="BE250" i="1"/>
  <c r="BE249" i="1"/>
  <c r="BE248" i="1"/>
  <c r="BE247" i="1"/>
  <c r="BE246" i="1"/>
  <c r="BE245" i="1"/>
  <c r="BE244" i="1"/>
  <c r="BE243" i="1"/>
  <c r="BE242" i="1"/>
  <c r="BE241" i="1"/>
  <c r="BE240" i="1"/>
  <c r="BE239" i="1"/>
  <c r="BE238" i="1"/>
  <c r="BE237" i="1"/>
  <c r="BE236" i="1"/>
  <c r="BE235" i="1"/>
  <c r="BE234" i="1"/>
  <c r="BE233" i="1"/>
  <c r="BE232" i="1"/>
  <c r="BE231" i="1"/>
  <c r="BE230" i="1"/>
  <c r="BE229" i="1"/>
  <c r="BE228" i="1"/>
  <c r="BE227" i="1"/>
  <c r="BE226" i="1"/>
  <c r="BE225" i="1"/>
  <c r="BE224" i="1"/>
  <c r="BE223" i="1"/>
  <c r="BE222" i="1"/>
  <c r="BE221" i="1"/>
  <c r="BE220" i="1"/>
  <c r="BE219" i="1"/>
  <c r="BE218" i="1"/>
  <c r="BE217" i="1"/>
  <c r="BE216" i="1"/>
  <c r="BE215" i="1"/>
  <c r="BE214" i="1"/>
  <c r="BE213" i="1"/>
  <c r="BE212" i="1"/>
  <c r="BE211" i="1"/>
  <c r="BE210" i="1"/>
  <c r="BE209" i="1"/>
  <c r="BE208" i="1"/>
  <c r="BE207" i="1"/>
  <c r="BE206" i="1"/>
  <c r="BE205" i="1"/>
  <c r="BE204" i="1"/>
  <c r="BE203" i="1"/>
  <c r="BE202" i="1"/>
  <c r="BE201" i="1"/>
  <c r="BE200" i="1"/>
  <c r="BE199" i="1"/>
  <c r="BE198" i="1"/>
  <c r="BE197" i="1"/>
  <c r="BE196" i="1"/>
  <c r="BE195" i="1"/>
  <c r="BE194" i="1"/>
  <c r="BE193" i="1"/>
  <c r="BE192" i="1"/>
  <c r="BE191" i="1"/>
  <c r="BE190" i="1"/>
  <c r="BE189" i="1"/>
  <c r="BE188" i="1"/>
  <c r="BE187" i="1"/>
  <c r="BE186" i="1"/>
  <c r="BE185" i="1"/>
  <c r="BE184" i="1"/>
  <c r="BE183" i="1"/>
  <c r="BE182" i="1"/>
  <c r="BE181" i="1"/>
  <c r="BE180" i="1"/>
  <c r="BE179" i="1"/>
  <c r="BE178" i="1"/>
  <c r="BE177" i="1"/>
  <c r="BE176" i="1"/>
  <c r="BE175" i="1"/>
  <c r="BE174" i="1"/>
  <c r="BE173" i="1"/>
  <c r="BE172" i="1"/>
  <c r="BE171" i="1"/>
  <c r="BE170" i="1"/>
  <c r="BE169" i="1"/>
  <c r="BE168" i="1"/>
  <c r="BE167" i="1"/>
  <c r="BE166" i="1"/>
  <c r="BE165" i="1"/>
  <c r="BE164" i="1"/>
  <c r="BE163" i="1"/>
  <c r="BE162" i="1"/>
  <c r="BE161" i="1"/>
  <c r="BE160" i="1"/>
  <c r="BD295" i="1"/>
  <c r="BD294" i="1"/>
  <c r="BD293" i="1"/>
  <c r="BD292" i="1"/>
  <c r="BD291" i="1"/>
  <c r="BD290" i="1"/>
  <c r="BD289" i="1"/>
  <c r="BD288" i="1"/>
  <c r="BD287" i="1"/>
  <c r="BD286" i="1"/>
  <c r="BD285" i="1"/>
  <c r="BD284" i="1"/>
  <c r="BD283" i="1"/>
  <c r="BD282" i="1"/>
  <c r="BD281" i="1"/>
  <c r="BD280" i="1"/>
  <c r="BD279" i="1"/>
  <c r="BD278" i="1"/>
  <c r="BD277" i="1"/>
  <c r="BD276" i="1"/>
  <c r="BD275" i="1"/>
  <c r="BD274" i="1"/>
  <c r="BD273" i="1"/>
  <c r="BD272" i="1"/>
  <c r="BD271" i="1"/>
  <c r="BD270" i="1"/>
  <c r="BD269" i="1"/>
  <c r="BD268" i="1"/>
  <c r="BD267" i="1"/>
  <c r="BD266" i="1"/>
  <c r="BD265" i="1"/>
  <c r="BD264" i="1"/>
  <c r="BD263" i="1"/>
  <c r="BD262" i="1"/>
  <c r="BD261" i="1"/>
  <c r="BD260" i="1"/>
  <c r="BD259" i="1"/>
  <c r="BD258" i="1"/>
  <c r="BD257" i="1"/>
  <c r="BD256" i="1"/>
  <c r="BD255" i="1"/>
  <c r="BD254" i="1"/>
  <c r="BD253" i="1"/>
  <c r="BD252" i="1"/>
  <c r="BD251" i="1"/>
  <c r="BD250" i="1"/>
  <c r="BD249" i="1"/>
  <c r="BD248" i="1"/>
  <c r="BD247" i="1"/>
  <c r="BD246" i="1"/>
  <c r="BD245" i="1"/>
  <c r="BD244" i="1"/>
  <c r="BD243" i="1"/>
  <c r="BD242" i="1"/>
  <c r="BD241" i="1"/>
  <c r="BD240" i="1"/>
  <c r="BD239" i="1"/>
  <c r="BD238" i="1"/>
  <c r="BD237" i="1"/>
  <c r="BD236" i="1"/>
  <c r="BD235" i="1"/>
  <c r="BD234" i="1"/>
  <c r="BD233" i="1"/>
  <c r="BD232" i="1"/>
  <c r="BD231" i="1"/>
  <c r="BD230" i="1"/>
  <c r="BD229" i="1"/>
  <c r="BD228" i="1"/>
  <c r="BD227" i="1"/>
  <c r="BD226" i="1"/>
  <c r="BD225" i="1"/>
  <c r="BD224" i="1"/>
  <c r="BD223" i="1"/>
  <c r="BD222" i="1"/>
  <c r="BD221" i="1"/>
  <c r="BD220" i="1"/>
  <c r="BD219" i="1"/>
  <c r="BD218" i="1"/>
  <c r="BD217" i="1"/>
  <c r="BD216" i="1"/>
  <c r="BD215" i="1"/>
  <c r="BD214" i="1"/>
  <c r="BD213" i="1"/>
  <c r="BD212" i="1"/>
  <c r="BD211" i="1"/>
  <c r="BD210" i="1"/>
  <c r="BD209" i="1"/>
  <c r="BD208" i="1"/>
  <c r="BD207" i="1"/>
  <c r="BD206" i="1"/>
  <c r="BD205" i="1"/>
  <c r="BD204" i="1"/>
  <c r="BD203" i="1"/>
  <c r="BD202" i="1"/>
  <c r="BD201" i="1"/>
  <c r="BD200" i="1"/>
  <c r="BD199" i="1"/>
  <c r="BD198" i="1"/>
  <c r="BD197" i="1"/>
  <c r="BD196" i="1"/>
  <c r="BD195" i="1"/>
  <c r="BD194" i="1"/>
  <c r="BD193" i="1"/>
  <c r="BD192" i="1"/>
  <c r="BD191" i="1"/>
  <c r="BD190" i="1"/>
  <c r="BD189" i="1"/>
  <c r="BD188" i="1"/>
  <c r="BD187" i="1"/>
  <c r="BD186" i="1"/>
  <c r="BD185" i="1"/>
  <c r="BD184" i="1"/>
  <c r="BD183" i="1"/>
  <c r="BD182" i="1"/>
  <c r="BD181" i="1"/>
  <c r="BD180" i="1"/>
  <c r="BD179" i="1"/>
  <c r="BD178" i="1"/>
  <c r="BD177" i="1"/>
  <c r="BD176" i="1"/>
  <c r="BD175" i="1"/>
  <c r="BD174" i="1"/>
  <c r="BD173" i="1"/>
  <c r="BD172" i="1"/>
  <c r="BD171" i="1"/>
  <c r="BD170" i="1"/>
  <c r="BD169" i="1"/>
  <c r="BD168" i="1"/>
  <c r="BD167" i="1"/>
  <c r="BD166" i="1"/>
  <c r="BD165" i="1"/>
  <c r="BD164" i="1"/>
  <c r="BD163" i="1"/>
  <c r="BD162" i="1"/>
  <c r="BD161" i="1"/>
  <c r="BD160" i="1"/>
  <c r="BC295" i="1"/>
  <c r="BC294" i="1"/>
  <c r="BC293" i="1"/>
  <c r="BC292" i="1"/>
  <c r="BC291" i="1"/>
  <c r="BC290" i="1"/>
  <c r="BC289" i="1"/>
  <c r="BC288" i="1"/>
  <c r="BC287" i="1"/>
  <c r="BC286" i="1"/>
  <c r="BC285" i="1"/>
  <c r="BC284" i="1"/>
  <c r="BC283" i="1"/>
  <c r="BC282" i="1"/>
  <c r="BC281" i="1"/>
  <c r="BC280" i="1"/>
  <c r="BC279" i="1"/>
  <c r="BC278" i="1"/>
  <c r="BC277" i="1"/>
  <c r="BC276" i="1"/>
  <c r="BC275" i="1"/>
  <c r="BC274" i="1"/>
  <c r="BC273" i="1"/>
  <c r="BC272" i="1"/>
  <c r="BC271" i="1"/>
  <c r="BC270" i="1"/>
  <c r="BC269" i="1"/>
  <c r="BC268" i="1"/>
  <c r="BC267" i="1"/>
  <c r="BC266" i="1"/>
  <c r="BC265" i="1"/>
  <c r="BC264" i="1"/>
  <c r="BC263" i="1"/>
  <c r="BC262" i="1"/>
  <c r="BC261" i="1"/>
  <c r="BC260" i="1"/>
  <c r="BC259" i="1"/>
  <c r="BC258" i="1"/>
  <c r="BC257" i="1"/>
  <c r="BC256" i="1"/>
  <c r="BC255" i="1"/>
  <c r="BC254" i="1"/>
  <c r="BC253" i="1"/>
  <c r="BC252" i="1"/>
  <c r="BC251" i="1"/>
  <c r="BC250" i="1"/>
  <c r="BC249" i="1"/>
  <c r="BC248" i="1"/>
  <c r="BC247" i="1"/>
  <c r="BC246" i="1"/>
  <c r="BC245" i="1"/>
  <c r="BC244" i="1"/>
  <c r="BC243" i="1"/>
  <c r="BC242" i="1"/>
  <c r="BC241" i="1"/>
  <c r="BC240" i="1"/>
  <c r="BC239" i="1"/>
  <c r="BC238" i="1"/>
  <c r="BC237" i="1"/>
  <c r="BC236" i="1"/>
  <c r="BC235" i="1"/>
  <c r="BC234" i="1"/>
  <c r="BC233" i="1"/>
  <c r="BC232" i="1"/>
  <c r="BC231" i="1"/>
  <c r="BC230" i="1"/>
  <c r="BC229" i="1"/>
  <c r="BC228" i="1"/>
  <c r="BC227" i="1"/>
  <c r="BC226" i="1"/>
  <c r="BC225" i="1"/>
  <c r="BC224" i="1"/>
  <c r="BC223" i="1"/>
  <c r="BC222" i="1"/>
  <c r="DI222" i="1" s="1"/>
  <c r="BC221" i="1"/>
  <c r="BC220" i="1"/>
  <c r="BC219" i="1"/>
  <c r="BC218" i="1"/>
  <c r="BC217" i="1"/>
  <c r="BC216" i="1"/>
  <c r="BC215" i="1"/>
  <c r="BC214" i="1"/>
  <c r="BC213" i="1"/>
  <c r="BC212" i="1"/>
  <c r="BC211" i="1"/>
  <c r="BC210" i="1"/>
  <c r="BC209" i="1"/>
  <c r="BC208" i="1"/>
  <c r="BC207" i="1"/>
  <c r="BC206" i="1"/>
  <c r="BC205" i="1"/>
  <c r="BC204" i="1"/>
  <c r="BC203" i="1"/>
  <c r="BC202" i="1"/>
  <c r="BC201" i="1"/>
  <c r="BC200" i="1"/>
  <c r="BC199" i="1"/>
  <c r="BC198" i="1"/>
  <c r="BC197" i="1"/>
  <c r="BC196" i="1"/>
  <c r="BC195" i="1"/>
  <c r="BC194" i="1"/>
  <c r="BC193" i="1"/>
  <c r="BC192" i="1"/>
  <c r="BC191" i="1"/>
  <c r="BC190" i="1"/>
  <c r="BC189" i="1"/>
  <c r="BC188" i="1"/>
  <c r="BC187" i="1"/>
  <c r="BC186" i="1"/>
  <c r="BC185" i="1"/>
  <c r="BC184" i="1"/>
  <c r="BC183" i="1"/>
  <c r="BC182" i="1"/>
  <c r="BC181" i="1"/>
  <c r="BC180" i="1"/>
  <c r="BC179" i="1"/>
  <c r="BC178" i="1"/>
  <c r="BC177" i="1"/>
  <c r="BC176" i="1"/>
  <c r="BC175" i="1"/>
  <c r="BC174" i="1"/>
  <c r="BC173" i="1"/>
  <c r="BC172" i="1"/>
  <c r="BC171" i="1"/>
  <c r="BC170" i="1"/>
  <c r="BC169" i="1"/>
  <c r="BC168" i="1"/>
  <c r="BC167" i="1"/>
  <c r="BC166" i="1"/>
  <c r="BC165" i="1"/>
  <c r="BC164" i="1"/>
  <c r="BC163" i="1"/>
  <c r="BC162" i="1"/>
  <c r="BC161" i="1"/>
  <c r="BC160" i="1"/>
  <c r="BB295" i="1"/>
  <c r="BB294" i="1"/>
  <c r="BB293" i="1"/>
  <c r="BB292" i="1"/>
  <c r="BB291" i="1"/>
  <c r="BB290" i="1"/>
  <c r="BB289" i="1"/>
  <c r="BB288" i="1"/>
  <c r="BB287" i="1"/>
  <c r="BB286" i="1"/>
  <c r="BB285" i="1"/>
  <c r="BB284" i="1"/>
  <c r="BB283" i="1"/>
  <c r="BB282" i="1"/>
  <c r="BB281" i="1"/>
  <c r="BB280" i="1"/>
  <c r="BB279" i="1"/>
  <c r="BB278" i="1"/>
  <c r="BB277" i="1"/>
  <c r="BB276" i="1"/>
  <c r="BB275" i="1"/>
  <c r="BB274" i="1"/>
  <c r="BB273" i="1"/>
  <c r="BB272" i="1"/>
  <c r="BB271" i="1"/>
  <c r="BB270" i="1"/>
  <c r="BB269" i="1"/>
  <c r="BB268" i="1"/>
  <c r="BB267" i="1"/>
  <c r="BB266" i="1"/>
  <c r="BB265" i="1"/>
  <c r="BB264" i="1"/>
  <c r="BB263" i="1"/>
  <c r="BB262" i="1"/>
  <c r="BB261" i="1"/>
  <c r="BB260" i="1"/>
  <c r="BB259" i="1"/>
  <c r="BB258" i="1"/>
  <c r="BB257" i="1"/>
  <c r="BB256" i="1"/>
  <c r="BB255" i="1"/>
  <c r="BB254" i="1"/>
  <c r="BB253" i="1"/>
  <c r="BB252" i="1"/>
  <c r="BB251" i="1"/>
  <c r="BB250" i="1"/>
  <c r="BB249" i="1"/>
  <c r="BB248" i="1"/>
  <c r="BB247" i="1"/>
  <c r="BB246" i="1"/>
  <c r="BB245" i="1"/>
  <c r="BB244" i="1"/>
  <c r="BB243" i="1"/>
  <c r="BB242" i="1"/>
  <c r="BB241" i="1"/>
  <c r="BB240" i="1"/>
  <c r="BB239" i="1"/>
  <c r="BB238" i="1"/>
  <c r="BB237" i="1"/>
  <c r="BB236" i="1"/>
  <c r="BB235" i="1"/>
  <c r="BB234" i="1"/>
  <c r="BB233" i="1"/>
  <c r="BB232" i="1"/>
  <c r="BB231" i="1"/>
  <c r="BB230" i="1"/>
  <c r="BB229" i="1"/>
  <c r="BB228" i="1"/>
  <c r="BB227" i="1"/>
  <c r="BB226" i="1"/>
  <c r="BB225" i="1"/>
  <c r="BB224" i="1"/>
  <c r="BB223" i="1"/>
  <c r="BB222" i="1"/>
  <c r="BB221" i="1"/>
  <c r="BB220" i="1"/>
  <c r="BB219" i="1"/>
  <c r="BB218" i="1"/>
  <c r="BB217" i="1"/>
  <c r="BB216" i="1"/>
  <c r="BB215" i="1"/>
  <c r="BB214" i="1"/>
  <c r="BB213" i="1"/>
  <c r="BB212" i="1"/>
  <c r="BB211" i="1"/>
  <c r="BB210" i="1"/>
  <c r="BB209" i="1"/>
  <c r="BB208" i="1"/>
  <c r="BB207" i="1"/>
  <c r="BB206" i="1"/>
  <c r="BB205" i="1"/>
  <c r="BB204" i="1"/>
  <c r="BB203" i="1"/>
  <c r="BB202" i="1"/>
  <c r="BB201" i="1"/>
  <c r="BB200" i="1"/>
  <c r="BB199" i="1"/>
  <c r="BB198" i="1"/>
  <c r="BB197" i="1"/>
  <c r="BB196" i="1"/>
  <c r="BB195" i="1"/>
  <c r="BB194" i="1"/>
  <c r="BB193" i="1"/>
  <c r="BB192" i="1"/>
  <c r="BB191" i="1"/>
  <c r="BB190" i="1"/>
  <c r="BB189" i="1"/>
  <c r="BB188" i="1"/>
  <c r="BB187" i="1"/>
  <c r="BB186" i="1"/>
  <c r="BB185" i="1"/>
  <c r="BB184" i="1"/>
  <c r="BB183" i="1"/>
  <c r="BB182" i="1"/>
  <c r="BB181" i="1"/>
  <c r="BB180" i="1"/>
  <c r="BB179" i="1"/>
  <c r="BB178" i="1"/>
  <c r="BB177" i="1"/>
  <c r="BB176" i="1"/>
  <c r="BB175" i="1"/>
  <c r="BB174" i="1"/>
  <c r="BB173" i="1"/>
  <c r="BB172" i="1"/>
  <c r="BB171" i="1"/>
  <c r="BB170" i="1"/>
  <c r="BB169" i="1"/>
  <c r="BB168" i="1"/>
  <c r="BB167" i="1"/>
  <c r="BB166" i="1"/>
  <c r="BB165" i="1"/>
  <c r="BB164" i="1"/>
  <c r="BB163" i="1"/>
  <c r="BB162" i="1"/>
  <c r="BB161" i="1"/>
  <c r="BB160" i="1"/>
  <c r="BA295" i="1"/>
  <c r="BA294" i="1"/>
  <c r="BA293" i="1"/>
  <c r="BA292" i="1"/>
  <c r="BA291" i="1"/>
  <c r="BA290" i="1"/>
  <c r="BA289" i="1"/>
  <c r="BA288" i="1"/>
  <c r="BA287" i="1"/>
  <c r="BA286" i="1"/>
  <c r="BA285" i="1"/>
  <c r="BA284" i="1"/>
  <c r="BA283" i="1"/>
  <c r="BA282" i="1"/>
  <c r="BA281" i="1"/>
  <c r="BA280" i="1"/>
  <c r="BA279" i="1"/>
  <c r="BA278" i="1"/>
  <c r="BA277" i="1"/>
  <c r="BA276" i="1"/>
  <c r="BA275" i="1"/>
  <c r="BA274" i="1"/>
  <c r="BA273" i="1"/>
  <c r="BA272" i="1"/>
  <c r="BA271" i="1"/>
  <c r="BA270" i="1"/>
  <c r="BA269" i="1"/>
  <c r="BA268" i="1"/>
  <c r="BA267" i="1"/>
  <c r="BA266" i="1"/>
  <c r="BA265" i="1"/>
  <c r="BA264" i="1"/>
  <c r="BA263" i="1"/>
  <c r="BA262" i="1"/>
  <c r="BA261" i="1"/>
  <c r="BA260" i="1"/>
  <c r="BA259" i="1"/>
  <c r="BA258" i="1"/>
  <c r="BA257" i="1"/>
  <c r="BA256" i="1"/>
  <c r="BA255" i="1"/>
  <c r="BA254" i="1"/>
  <c r="BA253" i="1"/>
  <c r="BA252" i="1"/>
  <c r="BA251" i="1"/>
  <c r="BA250" i="1"/>
  <c r="BA249" i="1"/>
  <c r="BA248" i="1"/>
  <c r="BA247" i="1"/>
  <c r="BA246" i="1"/>
  <c r="BA245" i="1"/>
  <c r="BA244" i="1"/>
  <c r="BA243" i="1"/>
  <c r="BA242" i="1"/>
  <c r="BA241" i="1"/>
  <c r="BA240" i="1"/>
  <c r="BA239" i="1"/>
  <c r="BA238" i="1"/>
  <c r="BA237" i="1"/>
  <c r="BA236" i="1"/>
  <c r="BA235" i="1"/>
  <c r="BA234" i="1"/>
  <c r="BA233" i="1"/>
  <c r="BA232" i="1"/>
  <c r="BA231" i="1"/>
  <c r="BA230" i="1"/>
  <c r="BA229" i="1"/>
  <c r="BA228" i="1"/>
  <c r="BA227" i="1"/>
  <c r="BA226" i="1"/>
  <c r="BA225" i="1"/>
  <c r="BA224" i="1"/>
  <c r="BA223" i="1"/>
  <c r="BA222" i="1"/>
  <c r="BA221" i="1"/>
  <c r="BA220" i="1"/>
  <c r="BA219" i="1"/>
  <c r="BA218" i="1"/>
  <c r="BA217" i="1"/>
  <c r="BA216" i="1"/>
  <c r="BA215" i="1"/>
  <c r="BA214" i="1"/>
  <c r="BA213" i="1"/>
  <c r="BA212" i="1"/>
  <c r="BA211" i="1"/>
  <c r="BA210" i="1"/>
  <c r="BA209" i="1"/>
  <c r="BA208" i="1"/>
  <c r="BA207" i="1"/>
  <c r="BA206" i="1"/>
  <c r="BA205" i="1"/>
  <c r="BA204" i="1"/>
  <c r="BA203" i="1"/>
  <c r="BA202" i="1"/>
  <c r="BA201" i="1"/>
  <c r="BA200" i="1"/>
  <c r="BA199" i="1"/>
  <c r="BA198" i="1"/>
  <c r="BA197" i="1"/>
  <c r="BA196" i="1"/>
  <c r="BA195" i="1"/>
  <c r="BA194" i="1"/>
  <c r="BA193" i="1"/>
  <c r="BA192" i="1"/>
  <c r="BA191" i="1"/>
  <c r="BA190" i="1"/>
  <c r="BA189" i="1"/>
  <c r="BA188" i="1"/>
  <c r="BA187" i="1"/>
  <c r="BA186" i="1"/>
  <c r="BA185" i="1"/>
  <c r="BA184" i="1"/>
  <c r="BA183" i="1"/>
  <c r="BA182" i="1"/>
  <c r="BA181" i="1"/>
  <c r="BA180" i="1"/>
  <c r="BA179" i="1"/>
  <c r="BA178" i="1"/>
  <c r="BA177" i="1"/>
  <c r="BA176" i="1"/>
  <c r="BA175" i="1"/>
  <c r="BA174" i="1"/>
  <c r="BA173" i="1"/>
  <c r="BA172" i="1"/>
  <c r="BA171" i="1"/>
  <c r="BA170" i="1"/>
  <c r="BA169" i="1"/>
  <c r="BA168" i="1"/>
  <c r="BA167" i="1"/>
  <c r="BA166" i="1"/>
  <c r="BA165" i="1"/>
  <c r="BA164" i="1"/>
  <c r="BA163" i="1"/>
  <c r="BA162" i="1"/>
  <c r="BA161" i="1"/>
  <c r="BA160"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Y295" i="1"/>
  <c r="AY294" i="1"/>
  <c r="AY293" i="1"/>
  <c r="AY292" i="1"/>
  <c r="AY291" i="1"/>
  <c r="AY290" i="1"/>
  <c r="AY289" i="1"/>
  <c r="AY288" i="1"/>
  <c r="AY287" i="1"/>
  <c r="AY286" i="1"/>
  <c r="AY285" i="1"/>
  <c r="AY284" i="1"/>
  <c r="AY283" i="1"/>
  <c r="AY282" i="1"/>
  <c r="AY281" i="1"/>
  <c r="AY280" i="1"/>
  <c r="AY279" i="1"/>
  <c r="AY278" i="1"/>
  <c r="AY277" i="1"/>
  <c r="AY276" i="1"/>
  <c r="AY275" i="1"/>
  <c r="AY274" i="1"/>
  <c r="AY273" i="1"/>
  <c r="AY272" i="1"/>
  <c r="AY271" i="1"/>
  <c r="AY270" i="1"/>
  <c r="AY269" i="1"/>
  <c r="AY268" i="1"/>
  <c r="AY267" i="1"/>
  <c r="AY266" i="1"/>
  <c r="AY265" i="1"/>
  <c r="AY264" i="1"/>
  <c r="AY263" i="1"/>
  <c r="AY262" i="1"/>
  <c r="AY261" i="1"/>
  <c r="AY260" i="1"/>
  <c r="AY259" i="1"/>
  <c r="AY258" i="1"/>
  <c r="AY257" i="1"/>
  <c r="AY256" i="1"/>
  <c r="AY255" i="1"/>
  <c r="AY254" i="1"/>
  <c r="AY253" i="1"/>
  <c r="AY252" i="1"/>
  <c r="AY251" i="1"/>
  <c r="AY250" i="1"/>
  <c r="AY249" i="1"/>
  <c r="AY248" i="1"/>
  <c r="AY247" i="1"/>
  <c r="AY246" i="1"/>
  <c r="AY245" i="1"/>
  <c r="AY244" i="1"/>
  <c r="AY243" i="1"/>
  <c r="AY242" i="1"/>
  <c r="AY241" i="1"/>
  <c r="AY240" i="1"/>
  <c r="AY239" i="1"/>
  <c r="AY238" i="1"/>
  <c r="AY237" i="1"/>
  <c r="AY236" i="1"/>
  <c r="AY235" i="1"/>
  <c r="AY234" i="1"/>
  <c r="AY233" i="1"/>
  <c r="AY232" i="1"/>
  <c r="AY231" i="1"/>
  <c r="AY230" i="1"/>
  <c r="AY229" i="1"/>
  <c r="AY228" i="1"/>
  <c r="AY227" i="1"/>
  <c r="AY226" i="1"/>
  <c r="AY225" i="1"/>
  <c r="AY224" i="1"/>
  <c r="AY223" i="1"/>
  <c r="AY222" i="1"/>
  <c r="AY221" i="1"/>
  <c r="AY220" i="1"/>
  <c r="AY219" i="1"/>
  <c r="AY218" i="1"/>
  <c r="AY217" i="1"/>
  <c r="AY216" i="1"/>
  <c r="AY215" i="1"/>
  <c r="AY214" i="1"/>
  <c r="AY213" i="1"/>
  <c r="AY212" i="1"/>
  <c r="AY211" i="1"/>
  <c r="AY210" i="1"/>
  <c r="AY209" i="1"/>
  <c r="AY208" i="1"/>
  <c r="AY207" i="1"/>
  <c r="AY206" i="1"/>
  <c r="AY205" i="1"/>
  <c r="AY204" i="1"/>
  <c r="AY203" i="1"/>
  <c r="AY202" i="1"/>
  <c r="AY201" i="1"/>
  <c r="AY200" i="1"/>
  <c r="AY199" i="1"/>
  <c r="AY198" i="1"/>
  <c r="AY197" i="1"/>
  <c r="AY196" i="1"/>
  <c r="AY195" i="1"/>
  <c r="AY194" i="1"/>
  <c r="AY193" i="1"/>
  <c r="AY192" i="1"/>
  <c r="AY191" i="1"/>
  <c r="AY190" i="1"/>
  <c r="AY189" i="1"/>
  <c r="AY188" i="1"/>
  <c r="AY187" i="1"/>
  <c r="AY186" i="1"/>
  <c r="AY185" i="1"/>
  <c r="AY184" i="1"/>
  <c r="AY183" i="1"/>
  <c r="AY182" i="1"/>
  <c r="AY181" i="1"/>
  <c r="AY180" i="1"/>
  <c r="AY179" i="1"/>
  <c r="AY178" i="1"/>
  <c r="AY177" i="1"/>
  <c r="AY176" i="1"/>
  <c r="AY175" i="1"/>
  <c r="AY174" i="1"/>
  <c r="AY173" i="1"/>
  <c r="AY172" i="1"/>
  <c r="AY171" i="1"/>
  <c r="AY170" i="1"/>
  <c r="AY169" i="1"/>
  <c r="AY168" i="1"/>
  <c r="AY167" i="1"/>
  <c r="AY166" i="1"/>
  <c r="AY165" i="1"/>
  <c r="AY164" i="1"/>
  <c r="AY163" i="1"/>
  <c r="AY162" i="1"/>
  <c r="AY161" i="1"/>
  <c r="AY160" i="1"/>
  <c r="AX292" i="1"/>
  <c r="AX291" i="1"/>
  <c r="AX290" i="1"/>
  <c r="AX289" i="1"/>
  <c r="AX288" i="1"/>
  <c r="AX287" i="1"/>
  <c r="AX286" i="1"/>
  <c r="AX271" i="1"/>
  <c r="AX270" i="1"/>
  <c r="AX269" i="1"/>
  <c r="AX268" i="1"/>
  <c r="AX267" i="1"/>
  <c r="AX266" i="1"/>
  <c r="AX265" i="1"/>
  <c r="AX264" i="1"/>
  <c r="AX263" i="1"/>
  <c r="AX262" i="1"/>
  <c r="AX261" i="1"/>
  <c r="AX260" i="1"/>
  <c r="AX259" i="1"/>
  <c r="AX258" i="1"/>
  <c r="AX257" i="1"/>
  <c r="AX256" i="1"/>
  <c r="AX255" i="1"/>
  <c r="AX254" i="1"/>
  <c r="AX253" i="1"/>
  <c r="AX252" i="1"/>
  <c r="AX251" i="1"/>
  <c r="AX250" i="1"/>
  <c r="AX249" i="1"/>
  <c r="AX248" i="1"/>
  <c r="AX247" i="1"/>
  <c r="AX246" i="1"/>
  <c r="AX245" i="1"/>
  <c r="AX244" i="1"/>
  <c r="AX243" i="1"/>
  <c r="AX242" i="1"/>
  <c r="AX241" i="1"/>
  <c r="AX240" i="1"/>
  <c r="AX239" i="1"/>
  <c r="AX238" i="1"/>
  <c r="AX237" i="1"/>
  <c r="AX236" i="1"/>
  <c r="AX235" i="1"/>
  <c r="AX234" i="1"/>
  <c r="AX233" i="1"/>
  <c r="AX232" i="1"/>
  <c r="AX231" i="1"/>
  <c r="AX230" i="1"/>
  <c r="AX229" i="1"/>
  <c r="AX228" i="1"/>
  <c r="AX227" i="1"/>
  <c r="AX226" i="1"/>
  <c r="AX225" i="1"/>
  <c r="AX224" i="1"/>
  <c r="AX223" i="1"/>
  <c r="AX222" i="1"/>
  <c r="AX221" i="1"/>
  <c r="AX220" i="1"/>
  <c r="AX219" i="1"/>
  <c r="AX218" i="1"/>
  <c r="AX203" i="1"/>
  <c r="AX202" i="1"/>
  <c r="AX201" i="1"/>
  <c r="AX199" i="1"/>
  <c r="AX194" i="1"/>
  <c r="AX193" i="1"/>
  <c r="AX192" i="1"/>
  <c r="AX191" i="1"/>
  <c r="AX190" i="1"/>
  <c r="AX189" i="1"/>
  <c r="AX188" i="1"/>
  <c r="AW292" i="1"/>
  <c r="AW291" i="1"/>
  <c r="AW290" i="1"/>
  <c r="AW289" i="1"/>
  <c r="AW288" i="1"/>
  <c r="AW287" i="1"/>
  <c r="AW286" i="1"/>
  <c r="AW271" i="1"/>
  <c r="AW270" i="1"/>
  <c r="AW269" i="1"/>
  <c r="AW268" i="1"/>
  <c r="AW267" i="1"/>
  <c r="AW266" i="1"/>
  <c r="AW265" i="1"/>
  <c r="AW264" i="1"/>
  <c r="AW263" i="1"/>
  <c r="AW262" i="1"/>
  <c r="AW261" i="1"/>
  <c r="AW260" i="1"/>
  <c r="AW259" i="1"/>
  <c r="AW258" i="1"/>
  <c r="AW257" i="1"/>
  <c r="AW256" i="1"/>
  <c r="AW255" i="1"/>
  <c r="AW254" i="1"/>
  <c r="AW253" i="1"/>
  <c r="AW252" i="1"/>
  <c r="AW251" i="1"/>
  <c r="AW250" i="1"/>
  <c r="AW249" i="1"/>
  <c r="AW248" i="1"/>
  <c r="AW247" i="1"/>
  <c r="AW246" i="1"/>
  <c r="AW245" i="1"/>
  <c r="AW244" i="1"/>
  <c r="AW243" i="1"/>
  <c r="AW242" i="1"/>
  <c r="AW241" i="1"/>
  <c r="AW240" i="1"/>
  <c r="AW239" i="1"/>
  <c r="AW238" i="1"/>
  <c r="AW237" i="1"/>
  <c r="AW236" i="1"/>
  <c r="AW235" i="1"/>
  <c r="AW234" i="1"/>
  <c r="AW233" i="1"/>
  <c r="AW232" i="1"/>
  <c r="AW231" i="1"/>
  <c r="AW230" i="1"/>
  <c r="AW229" i="1"/>
  <c r="AW228" i="1"/>
  <c r="AW227" i="1"/>
  <c r="AW226" i="1"/>
  <c r="AW225" i="1"/>
  <c r="AW224" i="1"/>
  <c r="AW223" i="1"/>
  <c r="AW222" i="1"/>
  <c r="AW221" i="1"/>
  <c r="AW220" i="1"/>
  <c r="AW219" i="1"/>
  <c r="AW218" i="1"/>
  <c r="AW203" i="1"/>
  <c r="AW202" i="1"/>
  <c r="AW201" i="1"/>
  <c r="AW199" i="1"/>
  <c r="AW194" i="1"/>
  <c r="AW193" i="1"/>
  <c r="AW192" i="1"/>
  <c r="AW191" i="1"/>
  <c r="AW190" i="1"/>
  <c r="AW189" i="1"/>
  <c r="AW188" i="1"/>
  <c r="AV295" i="1"/>
  <c r="AV294" i="1"/>
  <c r="AV293" i="1"/>
  <c r="AV292" i="1"/>
  <c r="AV291" i="1"/>
  <c r="AV290" i="1"/>
  <c r="AV289" i="1"/>
  <c r="AV288" i="1"/>
  <c r="AV287" i="1"/>
  <c r="AV286" i="1"/>
  <c r="AV285" i="1"/>
  <c r="AV284" i="1"/>
  <c r="AV283" i="1"/>
  <c r="AV282" i="1"/>
  <c r="AV281" i="1"/>
  <c r="AV280" i="1"/>
  <c r="AV279" i="1"/>
  <c r="AV278" i="1"/>
  <c r="AV277" i="1"/>
  <c r="AV276" i="1"/>
  <c r="AV275" i="1"/>
  <c r="AV274" i="1"/>
  <c r="AV273" i="1"/>
  <c r="AV272" i="1"/>
  <c r="AV271" i="1"/>
  <c r="AV270" i="1"/>
  <c r="AV269" i="1"/>
  <c r="AV268" i="1"/>
  <c r="AV267" i="1"/>
  <c r="AV266" i="1"/>
  <c r="AV265" i="1"/>
  <c r="AV264" i="1"/>
  <c r="AV263" i="1"/>
  <c r="AV262" i="1"/>
  <c r="AV261" i="1"/>
  <c r="AV260" i="1"/>
  <c r="AV259" i="1"/>
  <c r="AV258" i="1"/>
  <c r="AV257" i="1"/>
  <c r="AV256" i="1"/>
  <c r="AV255" i="1"/>
  <c r="AV254" i="1"/>
  <c r="AV253" i="1"/>
  <c r="AV252" i="1"/>
  <c r="AV251" i="1"/>
  <c r="AV250" i="1"/>
  <c r="AV249" i="1"/>
  <c r="AV248" i="1"/>
  <c r="AV247" i="1"/>
  <c r="AV246" i="1"/>
  <c r="AV245" i="1"/>
  <c r="AV244" i="1"/>
  <c r="AV243" i="1"/>
  <c r="AV242" i="1"/>
  <c r="AV241" i="1"/>
  <c r="AV240" i="1"/>
  <c r="AV239" i="1"/>
  <c r="AV238" i="1"/>
  <c r="AV237" i="1"/>
  <c r="AV236" i="1"/>
  <c r="AV235" i="1"/>
  <c r="AV234" i="1"/>
  <c r="AV233" i="1"/>
  <c r="AV232" i="1"/>
  <c r="AV231" i="1"/>
  <c r="AV230" i="1"/>
  <c r="AV229" i="1"/>
  <c r="AV228" i="1"/>
  <c r="AV227" i="1"/>
  <c r="AV226" i="1"/>
  <c r="AV225" i="1"/>
  <c r="AV224" i="1"/>
  <c r="AV223" i="1"/>
  <c r="AV222" i="1"/>
  <c r="AV221" i="1"/>
  <c r="AV220" i="1"/>
  <c r="AV219" i="1"/>
  <c r="AV218" i="1"/>
  <c r="AV217" i="1"/>
  <c r="AV216" i="1"/>
  <c r="AV215" i="1"/>
  <c r="AV214" i="1"/>
  <c r="AV213" i="1"/>
  <c r="AV212" i="1"/>
  <c r="AV211" i="1"/>
  <c r="AV210" i="1"/>
  <c r="AV209" i="1"/>
  <c r="AV208" i="1"/>
  <c r="AV207" i="1"/>
  <c r="AV206" i="1"/>
  <c r="AV205" i="1"/>
  <c r="AV204" i="1"/>
  <c r="AV203" i="1"/>
  <c r="AV202" i="1"/>
  <c r="AV201" i="1"/>
  <c r="AV200" i="1"/>
  <c r="AV199" i="1"/>
  <c r="AV198" i="1"/>
  <c r="AV197" i="1"/>
  <c r="AV196" i="1"/>
  <c r="AV195" i="1"/>
  <c r="AV194" i="1"/>
  <c r="AV193" i="1"/>
  <c r="AV192" i="1"/>
  <c r="AV191" i="1"/>
  <c r="AV190" i="1"/>
  <c r="AV189" i="1"/>
  <c r="AV188" i="1"/>
  <c r="AV187" i="1"/>
  <c r="AV186" i="1"/>
  <c r="AV185" i="1"/>
  <c r="AV184" i="1"/>
  <c r="AV183" i="1"/>
  <c r="AV182" i="1"/>
  <c r="AV181" i="1"/>
  <c r="AV180" i="1"/>
  <c r="AV179" i="1"/>
  <c r="AV178" i="1"/>
  <c r="AV177" i="1"/>
  <c r="AV176" i="1"/>
  <c r="AV175" i="1"/>
  <c r="AV174" i="1"/>
  <c r="AV173" i="1"/>
  <c r="AV172" i="1"/>
  <c r="AV171" i="1"/>
  <c r="AV170" i="1"/>
  <c r="AV169" i="1"/>
  <c r="AV168" i="1"/>
  <c r="AV167" i="1"/>
  <c r="AV166" i="1"/>
  <c r="AV165" i="1"/>
  <c r="AV164" i="1"/>
  <c r="AV163" i="1"/>
  <c r="AV162" i="1"/>
  <c r="AV161" i="1"/>
  <c r="AV160" i="1"/>
  <c r="AU295" i="1"/>
  <c r="AU294" i="1"/>
  <c r="AU293" i="1"/>
  <c r="AU292" i="1"/>
  <c r="AU291" i="1"/>
  <c r="AU290" i="1"/>
  <c r="AU289" i="1"/>
  <c r="AU288" i="1"/>
  <c r="AU287" i="1"/>
  <c r="AU286" i="1"/>
  <c r="AU285" i="1"/>
  <c r="AU284" i="1"/>
  <c r="AU283" i="1"/>
  <c r="AU282" i="1"/>
  <c r="AU281" i="1"/>
  <c r="AU280" i="1"/>
  <c r="AU279" i="1"/>
  <c r="AU278" i="1"/>
  <c r="AU277" i="1"/>
  <c r="AU276" i="1"/>
  <c r="AU275" i="1"/>
  <c r="AU274" i="1"/>
  <c r="AU273" i="1"/>
  <c r="AU272" i="1"/>
  <c r="AU271" i="1"/>
  <c r="AU270" i="1"/>
  <c r="AU269" i="1"/>
  <c r="AU268" i="1"/>
  <c r="AU267" i="1"/>
  <c r="AU266" i="1"/>
  <c r="AU265" i="1"/>
  <c r="AU264" i="1"/>
  <c r="AU263" i="1"/>
  <c r="AU262" i="1"/>
  <c r="AU261" i="1"/>
  <c r="AU260" i="1"/>
  <c r="AU259" i="1"/>
  <c r="AU258" i="1"/>
  <c r="AU257" i="1"/>
  <c r="AU256" i="1"/>
  <c r="AU255" i="1"/>
  <c r="AU254" i="1"/>
  <c r="AU253" i="1"/>
  <c r="AU252" i="1"/>
  <c r="AU251" i="1"/>
  <c r="AU250" i="1"/>
  <c r="AU249" i="1"/>
  <c r="AU248" i="1"/>
  <c r="AU247" i="1"/>
  <c r="AU246" i="1"/>
  <c r="AU245" i="1"/>
  <c r="AU244" i="1"/>
  <c r="AU243" i="1"/>
  <c r="AU242" i="1"/>
  <c r="AU241" i="1"/>
  <c r="AU240" i="1"/>
  <c r="AU239" i="1"/>
  <c r="AU238" i="1"/>
  <c r="AU237" i="1"/>
  <c r="AU236" i="1"/>
  <c r="AU235" i="1"/>
  <c r="AU234" i="1"/>
  <c r="AU233" i="1"/>
  <c r="AU232" i="1"/>
  <c r="AU231" i="1"/>
  <c r="AU230" i="1"/>
  <c r="AU229" i="1"/>
  <c r="AU228" i="1"/>
  <c r="AU227" i="1"/>
  <c r="AU226" i="1"/>
  <c r="AU225" i="1"/>
  <c r="AU224" i="1"/>
  <c r="AU223" i="1"/>
  <c r="AU222" i="1"/>
  <c r="AU221" i="1"/>
  <c r="AU220" i="1"/>
  <c r="AU219" i="1"/>
  <c r="AU218" i="1"/>
  <c r="AU217" i="1"/>
  <c r="AU216" i="1"/>
  <c r="AU215" i="1"/>
  <c r="AU214" i="1"/>
  <c r="AU213" i="1"/>
  <c r="AU212" i="1"/>
  <c r="AU211" i="1"/>
  <c r="AU210" i="1"/>
  <c r="AU209" i="1"/>
  <c r="AU208" i="1"/>
  <c r="AU207" i="1"/>
  <c r="AU206" i="1"/>
  <c r="AU205" i="1"/>
  <c r="AU204" i="1"/>
  <c r="AU203" i="1"/>
  <c r="AU202" i="1"/>
  <c r="AU201" i="1"/>
  <c r="AU200" i="1"/>
  <c r="AU199" i="1"/>
  <c r="AU196" i="1"/>
  <c r="AU195" i="1"/>
  <c r="AU194" i="1"/>
  <c r="DH194" i="1" s="1"/>
  <c r="AU193" i="1"/>
  <c r="AU189" i="1"/>
  <c r="AU188" i="1"/>
  <c r="AU187" i="1"/>
  <c r="AU186" i="1"/>
  <c r="AU185" i="1"/>
  <c r="AU184" i="1"/>
  <c r="AU183" i="1"/>
  <c r="AU182" i="1"/>
  <c r="AU178" i="1"/>
  <c r="AU177" i="1"/>
  <c r="AU176" i="1"/>
  <c r="AU175" i="1"/>
  <c r="AU174" i="1"/>
  <c r="AU173" i="1"/>
  <c r="AU172" i="1"/>
  <c r="AU171" i="1"/>
  <c r="AU170" i="1"/>
  <c r="AU169" i="1"/>
  <c r="AU168" i="1"/>
  <c r="AU167" i="1"/>
  <c r="AU166" i="1"/>
  <c r="AU165" i="1"/>
  <c r="AU164" i="1"/>
  <c r="AU163" i="1"/>
  <c r="AU162" i="1"/>
  <c r="AU161" i="1"/>
  <c r="AU160" i="1"/>
  <c r="AT295" i="1"/>
  <c r="AT294" i="1"/>
  <c r="AT293" i="1"/>
  <c r="AT292" i="1"/>
  <c r="AT291" i="1"/>
  <c r="AT290" i="1"/>
  <c r="AT289" i="1"/>
  <c r="AT288" i="1"/>
  <c r="AT287" i="1"/>
  <c r="AT286" i="1"/>
  <c r="AT285" i="1"/>
  <c r="AT284" i="1"/>
  <c r="AT283" i="1"/>
  <c r="AT282" i="1"/>
  <c r="AT281" i="1"/>
  <c r="AT280" i="1"/>
  <c r="AT279" i="1"/>
  <c r="AT278" i="1"/>
  <c r="AT277" i="1"/>
  <c r="AT276" i="1"/>
  <c r="AT275" i="1"/>
  <c r="AT274" i="1"/>
  <c r="AT273" i="1"/>
  <c r="AT272" i="1"/>
  <c r="AT271" i="1"/>
  <c r="AT270" i="1"/>
  <c r="AT269" i="1"/>
  <c r="AT268" i="1"/>
  <c r="AT267" i="1"/>
  <c r="AT266" i="1"/>
  <c r="AT265" i="1"/>
  <c r="AT264" i="1"/>
  <c r="AT263" i="1"/>
  <c r="AT262" i="1"/>
  <c r="AT261" i="1"/>
  <c r="AT260" i="1"/>
  <c r="AT259" i="1"/>
  <c r="AT258" i="1"/>
  <c r="AT257" i="1"/>
  <c r="AT256" i="1"/>
  <c r="AT255" i="1"/>
  <c r="AT254" i="1"/>
  <c r="AT253" i="1"/>
  <c r="AT252" i="1"/>
  <c r="AT251" i="1"/>
  <c r="AT250" i="1"/>
  <c r="AT249" i="1"/>
  <c r="AT248" i="1"/>
  <c r="AT247" i="1"/>
  <c r="AT246" i="1"/>
  <c r="AT245" i="1"/>
  <c r="AT244" i="1"/>
  <c r="AT243" i="1"/>
  <c r="AT242" i="1"/>
  <c r="AT241" i="1"/>
  <c r="AT240" i="1"/>
  <c r="AT239" i="1"/>
  <c r="AT238" i="1"/>
  <c r="AT237" i="1"/>
  <c r="AT236" i="1"/>
  <c r="AT235" i="1"/>
  <c r="AT234" i="1"/>
  <c r="AT233" i="1"/>
  <c r="AT232" i="1"/>
  <c r="AT231" i="1"/>
  <c r="AT230" i="1"/>
  <c r="AT229" i="1"/>
  <c r="AT228" i="1"/>
  <c r="AT227" i="1"/>
  <c r="AT226" i="1"/>
  <c r="AT225" i="1"/>
  <c r="AT224" i="1"/>
  <c r="AT223" i="1"/>
  <c r="AT222" i="1"/>
  <c r="AT221" i="1"/>
  <c r="AT220" i="1"/>
  <c r="AT219" i="1"/>
  <c r="AT218" i="1"/>
  <c r="AT217" i="1"/>
  <c r="AT216" i="1"/>
  <c r="AT215" i="1"/>
  <c r="AT214" i="1"/>
  <c r="AT213" i="1"/>
  <c r="AT212" i="1"/>
  <c r="AT211" i="1"/>
  <c r="AT210" i="1"/>
  <c r="AT209" i="1"/>
  <c r="AT208" i="1"/>
  <c r="AT207" i="1"/>
  <c r="AT206" i="1"/>
  <c r="AT205" i="1"/>
  <c r="AT204" i="1"/>
  <c r="AT203" i="1"/>
  <c r="AT202" i="1"/>
  <c r="AT201" i="1"/>
  <c r="AT200" i="1"/>
  <c r="AT199" i="1"/>
  <c r="AT198" i="1"/>
  <c r="AT197" i="1"/>
  <c r="AT196" i="1"/>
  <c r="AT195" i="1"/>
  <c r="AT194" i="1"/>
  <c r="AT193" i="1"/>
  <c r="AT192" i="1"/>
  <c r="AT191" i="1"/>
  <c r="AT190" i="1"/>
  <c r="AT189" i="1"/>
  <c r="AT188" i="1"/>
  <c r="AT187" i="1"/>
  <c r="AT186" i="1"/>
  <c r="AT185" i="1"/>
  <c r="AT184" i="1"/>
  <c r="AT183" i="1"/>
  <c r="AT182" i="1"/>
  <c r="AT181" i="1"/>
  <c r="AT180" i="1"/>
  <c r="AT179" i="1"/>
  <c r="AT178" i="1"/>
  <c r="AT177" i="1"/>
  <c r="AT176" i="1"/>
  <c r="AT175" i="1"/>
  <c r="AT174" i="1"/>
  <c r="AT173" i="1"/>
  <c r="AT172" i="1"/>
  <c r="AT171" i="1"/>
  <c r="AT170" i="1"/>
  <c r="AT169" i="1"/>
  <c r="AT168" i="1"/>
  <c r="AT167" i="1"/>
  <c r="AT166" i="1"/>
  <c r="AT165" i="1"/>
  <c r="AT164" i="1"/>
  <c r="AT163" i="1"/>
  <c r="AT162" i="1"/>
  <c r="AT161" i="1"/>
  <c r="AT160" i="1"/>
  <c r="AS295" i="1"/>
  <c r="AS294" i="1"/>
  <c r="AS293" i="1"/>
  <c r="AS292" i="1"/>
  <c r="AS291" i="1"/>
  <c r="AS290" i="1"/>
  <c r="AS289" i="1"/>
  <c r="AS288" i="1"/>
  <c r="AS287" i="1"/>
  <c r="AS286" i="1"/>
  <c r="AS285" i="1"/>
  <c r="AS284" i="1"/>
  <c r="AS283" i="1"/>
  <c r="AS282" i="1"/>
  <c r="AS281" i="1"/>
  <c r="AS280" i="1"/>
  <c r="AS279" i="1"/>
  <c r="AS278" i="1"/>
  <c r="AS277" i="1"/>
  <c r="AS276" i="1"/>
  <c r="AS275" i="1"/>
  <c r="AS274" i="1"/>
  <c r="AS273" i="1"/>
  <c r="AS272" i="1"/>
  <c r="AS271" i="1"/>
  <c r="AS270" i="1"/>
  <c r="AS269" i="1"/>
  <c r="AS268" i="1"/>
  <c r="AS267" i="1"/>
  <c r="AS266" i="1"/>
  <c r="AS265" i="1"/>
  <c r="AS264" i="1"/>
  <c r="AS263" i="1"/>
  <c r="AS262" i="1"/>
  <c r="AS261" i="1"/>
  <c r="AS260" i="1"/>
  <c r="AS259" i="1"/>
  <c r="AS258" i="1"/>
  <c r="AS257" i="1"/>
  <c r="AS256" i="1"/>
  <c r="AS255" i="1"/>
  <c r="AS254" i="1"/>
  <c r="AS253" i="1"/>
  <c r="AS252" i="1"/>
  <c r="AS251" i="1"/>
  <c r="AS250" i="1"/>
  <c r="AS249" i="1"/>
  <c r="AS248" i="1"/>
  <c r="AS247" i="1"/>
  <c r="AS246" i="1"/>
  <c r="AS245" i="1"/>
  <c r="AS244" i="1"/>
  <c r="AS243" i="1"/>
  <c r="AS242" i="1"/>
  <c r="AS241" i="1"/>
  <c r="AS240" i="1"/>
  <c r="AS239" i="1"/>
  <c r="AS238" i="1"/>
  <c r="AS237" i="1"/>
  <c r="AS236" i="1"/>
  <c r="AS235" i="1"/>
  <c r="AS234" i="1"/>
  <c r="AS233" i="1"/>
  <c r="AS232" i="1"/>
  <c r="AS231" i="1"/>
  <c r="AS230" i="1"/>
  <c r="AS229" i="1"/>
  <c r="AS228" i="1"/>
  <c r="AS227" i="1"/>
  <c r="AS226" i="1"/>
  <c r="AS225" i="1"/>
  <c r="AS224" i="1"/>
  <c r="AS223" i="1"/>
  <c r="AS222" i="1"/>
  <c r="AS221" i="1"/>
  <c r="AS220" i="1"/>
  <c r="AS219" i="1"/>
  <c r="AS218" i="1"/>
  <c r="AS217" i="1"/>
  <c r="AS216" i="1"/>
  <c r="AS215" i="1"/>
  <c r="AS214" i="1"/>
  <c r="AS213" i="1"/>
  <c r="AS212" i="1"/>
  <c r="AS211" i="1"/>
  <c r="AS210" i="1"/>
  <c r="AS209" i="1"/>
  <c r="AS208" i="1"/>
  <c r="AS207" i="1"/>
  <c r="AS206" i="1"/>
  <c r="AS205" i="1"/>
  <c r="AS204" i="1"/>
  <c r="AS203" i="1"/>
  <c r="AS202" i="1"/>
  <c r="AS201" i="1"/>
  <c r="AS200" i="1"/>
  <c r="AS199" i="1"/>
  <c r="AS198" i="1"/>
  <c r="AS197" i="1"/>
  <c r="AS196" i="1"/>
  <c r="AS195" i="1"/>
  <c r="AS194" i="1"/>
  <c r="AS193" i="1"/>
  <c r="AS192" i="1"/>
  <c r="AS191" i="1"/>
  <c r="AS190" i="1"/>
  <c r="AS189" i="1"/>
  <c r="AS188" i="1"/>
  <c r="AS187" i="1"/>
  <c r="AS186" i="1"/>
  <c r="AS185" i="1"/>
  <c r="AS184" i="1"/>
  <c r="AS183" i="1"/>
  <c r="AS182" i="1"/>
  <c r="AS181" i="1"/>
  <c r="AS180" i="1"/>
  <c r="AS179" i="1"/>
  <c r="AS178" i="1"/>
  <c r="AS177" i="1"/>
  <c r="AS176" i="1"/>
  <c r="AS175" i="1"/>
  <c r="AS174" i="1"/>
  <c r="AS173" i="1"/>
  <c r="AS172" i="1"/>
  <c r="AS171" i="1"/>
  <c r="AS170" i="1"/>
  <c r="AS169" i="1"/>
  <c r="AS168" i="1"/>
  <c r="AS167" i="1"/>
  <c r="AS166" i="1"/>
  <c r="AS165" i="1"/>
  <c r="AS164" i="1"/>
  <c r="AS163" i="1"/>
  <c r="AS162" i="1"/>
  <c r="AS161" i="1"/>
  <c r="AS160" i="1"/>
  <c r="AR295" i="1"/>
  <c r="AR294" i="1"/>
  <c r="AR293" i="1"/>
  <c r="AR292" i="1"/>
  <c r="AR291" i="1"/>
  <c r="AR290" i="1"/>
  <c r="AR289" i="1"/>
  <c r="AR288" i="1"/>
  <c r="AR287" i="1"/>
  <c r="AR286" i="1"/>
  <c r="AR285" i="1"/>
  <c r="AR284" i="1"/>
  <c r="AR283" i="1"/>
  <c r="AR282" i="1"/>
  <c r="AR281" i="1"/>
  <c r="AR280" i="1"/>
  <c r="AR279" i="1"/>
  <c r="AR278" i="1"/>
  <c r="AR277" i="1"/>
  <c r="AR276" i="1"/>
  <c r="AR275" i="1"/>
  <c r="AR274" i="1"/>
  <c r="AR273" i="1"/>
  <c r="AR272" i="1"/>
  <c r="AR271" i="1"/>
  <c r="AR270" i="1"/>
  <c r="AR269" i="1"/>
  <c r="AR268" i="1"/>
  <c r="AR267" i="1"/>
  <c r="AR266" i="1"/>
  <c r="AR265" i="1"/>
  <c r="AR264" i="1"/>
  <c r="AR263" i="1"/>
  <c r="AR262" i="1"/>
  <c r="AR261" i="1"/>
  <c r="AR260" i="1"/>
  <c r="AR259" i="1"/>
  <c r="AR258" i="1"/>
  <c r="AR257" i="1"/>
  <c r="AR256" i="1"/>
  <c r="AR255" i="1"/>
  <c r="AR254" i="1"/>
  <c r="AR253" i="1"/>
  <c r="AR252" i="1"/>
  <c r="AR251" i="1"/>
  <c r="AR250" i="1"/>
  <c r="AR249" i="1"/>
  <c r="AR248" i="1"/>
  <c r="AR247" i="1"/>
  <c r="AR246" i="1"/>
  <c r="AR245" i="1"/>
  <c r="AR244" i="1"/>
  <c r="AR243" i="1"/>
  <c r="AR242" i="1"/>
  <c r="AR241" i="1"/>
  <c r="AR240" i="1"/>
  <c r="AR239" i="1"/>
  <c r="AR238" i="1"/>
  <c r="AR237" i="1"/>
  <c r="AR236" i="1"/>
  <c r="AR235" i="1"/>
  <c r="AR234" i="1"/>
  <c r="AR233" i="1"/>
  <c r="AR232" i="1"/>
  <c r="AR231" i="1"/>
  <c r="AR230" i="1"/>
  <c r="AR229" i="1"/>
  <c r="AR228" i="1"/>
  <c r="AR227" i="1"/>
  <c r="AR226" i="1"/>
  <c r="AR225" i="1"/>
  <c r="AR224" i="1"/>
  <c r="AR223" i="1"/>
  <c r="AR222" i="1"/>
  <c r="AR221" i="1"/>
  <c r="AR220" i="1"/>
  <c r="AR219" i="1"/>
  <c r="AR218" i="1"/>
  <c r="AR217" i="1"/>
  <c r="AR216" i="1"/>
  <c r="AR215" i="1"/>
  <c r="AR214" i="1"/>
  <c r="AR213" i="1"/>
  <c r="AR212" i="1"/>
  <c r="AR211" i="1"/>
  <c r="AR210" i="1"/>
  <c r="AR209" i="1"/>
  <c r="AR208" i="1"/>
  <c r="AR207" i="1"/>
  <c r="AR206" i="1"/>
  <c r="AR205" i="1"/>
  <c r="AR204" i="1"/>
  <c r="AR203" i="1"/>
  <c r="AR202" i="1"/>
  <c r="AR201" i="1"/>
  <c r="AR200" i="1"/>
  <c r="AR199" i="1"/>
  <c r="AR198" i="1"/>
  <c r="AR197" i="1"/>
  <c r="AR196" i="1"/>
  <c r="AR195" i="1"/>
  <c r="AR194" i="1"/>
  <c r="AR193" i="1"/>
  <c r="AR192" i="1"/>
  <c r="AR191" i="1"/>
  <c r="AR190" i="1"/>
  <c r="AR189" i="1"/>
  <c r="AR188" i="1"/>
  <c r="AR187" i="1"/>
  <c r="AR186" i="1"/>
  <c r="AR185" i="1"/>
  <c r="AR184" i="1"/>
  <c r="AR183" i="1"/>
  <c r="AR182" i="1"/>
  <c r="AR181" i="1"/>
  <c r="AR180" i="1"/>
  <c r="AR178" i="1"/>
  <c r="AR177" i="1"/>
  <c r="AR176" i="1"/>
  <c r="AR175" i="1"/>
  <c r="AR174" i="1"/>
  <c r="AR173" i="1"/>
  <c r="AR172" i="1"/>
  <c r="AR171" i="1"/>
  <c r="AR170" i="1"/>
  <c r="AR169" i="1"/>
  <c r="AR168" i="1"/>
  <c r="AR167" i="1"/>
  <c r="AR166" i="1"/>
  <c r="AR165" i="1"/>
  <c r="AR164" i="1"/>
  <c r="AR163" i="1"/>
  <c r="AR162" i="1"/>
  <c r="AR161" i="1"/>
  <c r="AR160" i="1"/>
  <c r="AQ295" i="1"/>
  <c r="AQ294" i="1"/>
  <c r="AQ293" i="1"/>
  <c r="AQ292" i="1"/>
  <c r="AQ291" i="1"/>
  <c r="AQ290" i="1"/>
  <c r="AQ289" i="1"/>
  <c r="AQ288" i="1"/>
  <c r="AQ287" i="1"/>
  <c r="AQ286" i="1"/>
  <c r="AQ285" i="1"/>
  <c r="AQ284" i="1"/>
  <c r="AQ283" i="1"/>
  <c r="AQ282" i="1"/>
  <c r="AQ281" i="1"/>
  <c r="AQ280" i="1"/>
  <c r="AQ279" i="1"/>
  <c r="AQ278" i="1"/>
  <c r="AQ277" i="1"/>
  <c r="AQ276" i="1"/>
  <c r="AQ275" i="1"/>
  <c r="AQ274" i="1"/>
  <c r="AQ273" i="1"/>
  <c r="AQ272" i="1"/>
  <c r="AQ271" i="1"/>
  <c r="AQ270" i="1"/>
  <c r="AQ269" i="1"/>
  <c r="AQ268" i="1"/>
  <c r="AQ267" i="1"/>
  <c r="AQ266" i="1"/>
  <c r="AQ265" i="1"/>
  <c r="AQ264" i="1"/>
  <c r="AQ263" i="1"/>
  <c r="AQ262" i="1"/>
  <c r="AQ261" i="1"/>
  <c r="AQ260" i="1"/>
  <c r="AQ259" i="1"/>
  <c r="AQ258" i="1"/>
  <c r="AQ257" i="1"/>
  <c r="AQ256" i="1"/>
  <c r="AQ255" i="1"/>
  <c r="AQ254" i="1"/>
  <c r="AQ253" i="1"/>
  <c r="AQ252" i="1"/>
  <c r="AQ251" i="1"/>
  <c r="AQ250" i="1"/>
  <c r="AQ249" i="1"/>
  <c r="AQ248" i="1"/>
  <c r="AQ247" i="1"/>
  <c r="AQ246" i="1"/>
  <c r="AQ245" i="1"/>
  <c r="AQ244" i="1"/>
  <c r="AQ243" i="1"/>
  <c r="AQ242" i="1"/>
  <c r="AQ241" i="1"/>
  <c r="AQ240" i="1"/>
  <c r="AQ239" i="1"/>
  <c r="AQ238" i="1"/>
  <c r="AQ237" i="1"/>
  <c r="AQ236" i="1"/>
  <c r="AQ235" i="1"/>
  <c r="AQ234" i="1"/>
  <c r="AQ233" i="1"/>
  <c r="AQ232" i="1"/>
  <c r="AQ231" i="1"/>
  <c r="AQ230" i="1"/>
  <c r="AQ229" i="1"/>
  <c r="AQ228" i="1"/>
  <c r="AQ227" i="1"/>
  <c r="AQ226" i="1"/>
  <c r="AQ225" i="1"/>
  <c r="AQ224" i="1"/>
  <c r="AQ223" i="1"/>
  <c r="AQ222" i="1"/>
  <c r="AQ221" i="1"/>
  <c r="AQ220" i="1"/>
  <c r="AQ219" i="1"/>
  <c r="AQ218" i="1"/>
  <c r="AQ217" i="1"/>
  <c r="AQ216" i="1"/>
  <c r="AQ215" i="1"/>
  <c r="AQ214" i="1"/>
  <c r="AQ213" i="1"/>
  <c r="AQ212" i="1"/>
  <c r="AQ211" i="1"/>
  <c r="AQ210" i="1"/>
  <c r="AQ209" i="1"/>
  <c r="AQ208" i="1"/>
  <c r="AQ207" i="1"/>
  <c r="AQ206" i="1"/>
  <c r="AQ205" i="1"/>
  <c r="AQ204" i="1"/>
  <c r="AQ203" i="1"/>
  <c r="AQ202" i="1"/>
  <c r="AQ201" i="1"/>
  <c r="AQ200" i="1"/>
  <c r="AQ199" i="1"/>
  <c r="AQ198" i="1"/>
  <c r="AQ197" i="1"/>
  <c r="AQ196" i="1"/>
  <c r="AQ195" i="1"/>
  <c r="AQ194" i="1"/>
  <c r="AQ193" i="1"/>
  <c r="AQ192" i="1"/>
  <c r="AQ191" i="1"/>
  <c r="AQ190" i="1"/>
  <c r="AQ189" i="1"/>
  <c r="AQ188" i="1"/>
  <c r="AQ187" i="1"/>
  <c r="AQ186" i="1"/>
  <c r="AQ185" i="1"/>
  <c r="AQ184" i="1"/>
  <c r="AQ183" i="1"/>
  <c r="AQ182" i="1"/>
  <c r="AQ181" i="1"/>
  <c r="AQ180" i="1"/>
  <c r="AQ179" i="1"/>
  <c r="AQ178" i="1"/>
  <c r="AQ177" i="1"/>
  <c r="AQ176" i="1"/>
  <c r="AQ175" i="1"/>
  <c r="AQ174" i="1"/>
  <c r="AQ173" i="1"/>
  <c r="AQ172" i="1"/>
  <c r="AQ171" i="1"/>
  <c r="AQ170" i="1"/>
  <c r="AQ169" i="1"/>
  <c r="AQ168" i="1"/>
  <c r="AQ167" i="1"/>
  <c r="AQ166" i="1"/>
  <c r="AQ165" i="1"/>
  <c r="AQ164" i="1"/>
  <c r="AQ163" i="1"/>
  <c r="AQ162" i="1"/>
  <c r="AQ161" i="1"/>
  <c r="AQ160" i="1"/>
  <c r="AP295" i="1"/>
  <c r="AP294" i="1"/>
  <c r="AP293" i="1"/>
  <c r="AP292" i="1"/>
  <c r="AP291" i="1"/>
  <c r="AP290" i="1"/>
  <c r="AP289" i="1"/>
  <c r="AP288" i="1"/>
  <c r="AP287" i="1"/>
  <c r="AP286" i="1"/>
  <c r="AP285" i="1"/>
  <c r="AP284" i="1"/>
  <c r="AP283" i="1"/>
  <c r="AP282" i="1"/>
  <c r="AP281" i="1"/>
  <c r="AP280" i="1"/>
  <c r="AP279" i="1"/>
  <c r="AP278" i="1"/>
  <c r="AP277" i="1"/>
  <c r="AP276" i="1"/>
  <c r="AP275" i="1"/>
  <c r="AP274" i="1"/>
  <c r="AP273" i="1"/>
  <c r="AP272" i="1"/>
  <c r="AP271" i="1"/>
  <c r="AP270" i="1"/>
  <c r="AP269" i="1"/>
  <c r="AP268" i="1"/>
  <c r="AP267" i="1"/>
  <c r="AP266" i="1"/>
  <c r="AP265" i="1"/>
  <c r="AP264" i="1"/>
  <c r="AP263" i="1"/>
  <c r="AP262" i="1"/>
  <c r="AP261" i="1"/>
  <c r="AP260" i="1"/>
  <c r="AP259" i="1"/>
  <c r="AP258" i="1"/>
  <c r="AP257" i="1"/>
  <c r="AP256" i="1"/>
  <c r="AP255" i="1"/>
  <c r="AP254" i="1"/>
  <c r="AP253" i="1"/>
  <c r="AP252" i="1"/>
  <c r="AP251" i="1"/>
  <c r="AP250" i="1"/>
  <c r="AP249" i="1"/>
  <c r="AP248" i="1"/>
  <c r="AP247" i="1"/>
  <c r="AP246" i="1"/>
  <c r="AP245" i="1"/>
  <c r="AP244" i="1"/>
  <c r="AP243" i="1"/>
  <c r="AP242" i="1"/>
  <c r="AP241" i="1"/>
  <c r="AP240" i="1"/>
  <c r="AP239" i="1"/>
  <c r="AP238" i="1"/>
  <c r="AP237" i="1"/>
  <c r="AP236" i="1"/>
  <c r="AP235" i="1"/>
  <c r="AP234" i="1"/>
  <c r="AP233" i="1"/>
  <c r="AP232" i="1"/>
  <c r="AP231" i="1"/>
  <c r="AP230" i="1"/>
  <c r="AP229" i="1"/>
  <c r="AP228" i="1"/>
  <c r="AP227" i="1"/>
  <c r="AP226" i="1"/>
  <c r="AP225" i="1"/>
  <c r="AP224" i="1"/>
  <c r="AP223" i="1"/>
  <c r="AP222" i="1"/>
  <c r="AP221" i="1"/>
  <c r="AP220" i="1"/>
  <c r="AP219" i="1"/>
  <c r="AP218" i="1"/>
  <c r="AP217" i="1"/>
  <c r="AP216" i="1"/>
  <c r="AP215" i="1"/>
  <c r="AP214" i="1"/>
  <c r="AP213" i="1"/>
  <c r="AP212" i="1"/>
  <c r="AP211" i="1"/>
  <c r="AP210" i="1"/>
  <c r="AP209" i="1"/>
  <c r="AP208" i="1"/>
  <c r="AP207" i="1"/>
  <c r="AP206" i="1"/>
  <c r="AP205" i="1"/>
  <c r="AP204" i="1"/>
  <c r="AP203" i="1"/>
  <c r="AP202" i="1"/>
  <c r="AP201" i="1"/>
  <c r="AP200" i="1"/>
  <c r="AP199" i="1"/>
  <c r="AP198" i="1"/>
  <c r="AP197" i="1"/>
  <c r="AP196" i="1"/>
  <c r="AP195" i="1"/>
  <c r="AP194" i="1"/>
  <c r="AP193" i="1"/>
  <c r="AP192" i="1"/>
  <c r="AP191" i="1"/>
  <c r="AP190" i="1"/>
  <c r="AP189" i="1"/>
  <c r="AP188" i="1"/>
  <c r="AP187" i="1"/>
  <c r="AP186" i="1"/>
  <c r="AP185" i="1"/>
  <c r="AP184" i="1"/>
  <c r="AP183" i="1"/>
  <c r="AP182" i="1"/>
  <c r="AP181" i="1"/>
  <c r="AP180" i="1"/>
  <c r="AP179" i="1"/>
  <c r="AP178" i="1"/>
  <c r="AP177" i="1"/>
  <c r="AP176" i="1"/>
  <c r="AP175" i="1"/>
  <c r="AP174" i="1"/>
  <c r="AP173" i="1"/>
  <c r="AP172" i="1"/>
  <c r="AP171" i="1"/>
  <c r="AP170" i="1"/>
  <c r="AP169" i="1"/>
  <c r="AP168" i="1"/>
  <c r="AP167" i="1"/>
  <c r="AP166" i="1"/>
  <c r="AP165" i="1"/>
  <c r="AP164" i="1"/>
  <c r="AP163" i="1"/>
  <c r="AP162" i="1"/>
  <c r="AP161" i="1"/>
  <c r="AP160" i="1"/>
  <c r="AO295" i="1"/>
  <c r="AO294" i="1"/>
  <c r="AO293" i="1"/>
  <c r="AO292" i="1"/>
  <c r="AO291" i="1"/>
  <c r="AO290" i="1"/>
  <c r="AO289" i="1"/>
  <c r="AO288" i="1"/>
  <c r="AO287" i="1"/>
  <c r="AO286" i="1"/>
  <c r="AO285" i="1"/>
  <c r="AO284" i="1"/>
  <c r="AO283" i="1"/>
  <c r="AO282" i="1"/>
  <c r="AO281" i="1"/>
  <c r="AO280" i="1"/>
  <c r="AO279" i="1"/>
  <c r="AO278" i="1"/>
  <c r="AO277" i="1"/>
  <c r="AO276" i="1"/>
  <c r="AO275" i="1"/>
  <c r="AO274" i="1"/>
  <c r="AO273" i="1"/>
  <c r="AO272" i="1"/>
  <c r="AO271" i="1"/>
  <c r="AO270" i="1"/>
  <c r="AO269" i="1"/>
  <c r="AO268" i="1"/>
  <c r="AO267" i="1"/>
  <c r="AO266" i="1"/>
  <c r="AO265" i="1"/>
  <c r="AO264" i="1"/>
  <c r="AO263" i="1"/>
  <c r="AO262" i="1"/>
  <c r="AO261" i="1"/>
  <c r="AO260" i="1"/>
  <c r="AO259" i="1"/>
  <c r="AO258" i="1"/>
  <c r="AO257" i="1"/>
  <c r="AO256" i="1"/>
  <c r="AO255" i="1"/>
  <c r="AO254" i="1"/>
  <c r="AO253" i="1"/>
  <c r="AO252" i="1"/>
  <c r="AO251" i="1"/>
  <c r="AO250" i="1"/>
  <c r="AO249" i="1"/>
  <c r="AO248" i="1"/>
  <c r="AO247" i="1"/>
  <c r="AO246" i="1"/>
  <c r="AO245" i="1"/>
  <c r="AO244" i="1"/>
  <c r="AO243" i="1"/>
  <c r="AO242" i="1"/>
  <c r="AO241" i="1"/>
  <c r="AO240" i="1"/>
  <c r="AO239" i="1"/>
  <c r="AO238" i="1"/>
  <c r="AO237" i="1"/>
  <c r="AO236" i="1"/>
  <c r="AO235" i="1"/>
  <c r="AO234" i="1"/>
  <c r="AO233" i="1"/>
  <c r="AO232" i="1"/>
  <c r="AO231" i="1"/>
  <c r="AO230" i="1"/>
  <c r="AO229" i="1"/>
  <c r="AO228" i="1"/>
  <c r="AO227" i="1"/>
  <c r="AO226" i="1"/>
  <c r="AO225" i="1"/>
  <c r="AO224" i="1"/>
  <c r="AO223" i="1"/>
  <c r="AO222" i="1"/>
  <c r="AO221" i="1"/>
  <c r="AO220" i="1"/>
  <c r="AO219" i="1"/>
  <c r="AO218" i="1"/>
  <c r="AO217" i="1"/>
  <c r="AO216" i="1"/>
  <c r="AO215" i="1"/>
  <c r="AO214" i="1"/>
  <c r="AO213" i="1"/>
  <c r="AO212" i="1"/>
  <c r="AO211" i="1"/>
  <c r="AO210" i="1"/>
  <c r="AO209" i="1"/>
  <c r="AO208" i="1"/>
  <c r="AO207" i="1"/>
  <c r="AO206" i="1"/>
  <c r="AO205" i="1"/>
  <c r="AO204" i="1"/>
  <c r="AO203" i="1"/>
  <c r="AO202" i="1"/>
  <c r="AO201" i="1"/>
  <c r="AO200" i="1"/>
  <c r="AO199" i="1"/>
  <c r="AO198" i="1"/>
  <c r="AO197" i="1"/>
  <c r="AO196" i="1"/>
  <c r="AO195" i="1"/>
  <c r="AO194" i="1"/>
  <c r="AO193" i="1"/>
  <c r="AO192" i="1"/>
  <c r="AO191" i="1"/>
  <c r="AO190" i="1"/>
  <c r="AO189" i="1"/>
  <c r="AO188" i="1"/>
  <c r="AO187" i="1"/>
  <c r="AO186" i="1"/>
  <c r="AO185" i="1"/>
  <c r="AO184" i="1"/>
  <c r="AO183" i="1"/>
  <c r="AO182" i="1"/>
  <c r="AO181" i="1"/>
  <c r="AO180" i="1"/>
  <c r="AO179" i="1"/>
  <c r="AO178" i="1"/>
  <c r="AO177" i="1"/>
  <c r="AO176" i="1"/>
  <c r="AO175" i="1"/>
  <c r="AO174" i="1"/>
  <c r="AO173" i="1"/>
  <c r="AO172" i="1"/>
  <c r="AO171" i="1"/>
  <c r="AO170" i="1"/>
  <c r="AO169" i="1"/>
  <c r="AO168" i="1"/>
  <c r="AO167" i="1"/>
  <c r="AO166" i="1"/>
  <c r="AO165" i="1"/>
  <c r="AO164" i="1"/>
  <c r="AO163" i="1"/>
  <c r="AO162" i="1"/>
  <c r="AO161" i="1"/>
  <c r="AO160" i="1"/>
  <c r="AN295" i="1"/>
  <c r="AN294" i="1"/>
  <c r="AN293" i="1"/>
  <c r="AN292" i="1"/>
  <c r="AN291" i="1"/>
  <c r="AN290" i="1"/>
  <c r="AN289" i="1"/>
  <c r="AN288" i="1"/>
  <c r="AN287" i="1"/>
  <c r="AN286" i="1"/>
  <c r="AN285" i="1"/>
  <c r="AN284" i="1"/>
  <c r="AN283" i="1"/>
  <c r="AN282" i="1"/>
  <c r="AN281" i="1"/>
  <c r="AN280" i="1"/>
  <c r="AN279" i="1"/>
  <c r="AN278" i="1"/>
  <c r="AN277" i="1"/>
  <c r="AN276" i="1"/>
  <c r="AN275" i="1"/>
  <c r="AN274" i="1"/>
  <c r="AN273" i="1"/>
  <c r="AN272" i="1"/>
  <c r="AN271" i="1"/>
  <c r="AN270" i="1"/>
  <c r="AN269" i="1"/>
  <c r="AN268" i="1"/>
  <c r="AN267" i="1"/>
  <c r="AN266" i="1"/>
  <c r="AN265" i="1"/>
  <c r="AN264" i="1"/>
  <c r="AN263" i="1"/>
  <c r="AN262" i="1"/>
  <c r="AN261" i="1"/>
  <c r="AN260" i="1"/>
  <c r="AN259" i="1"/>
  <c r="AN258" i="1"/>
  <c r="AN257" i="1"/>
  <c r="AN256" i="1"/>
  <c r="AN255" i="1"/>
  <c r="AN254" i="1"/>
  <c r="AN253" i="1"/>
  <c r="AN252" i="1"/>
  <c r="AN251" i="1"/>
  <c r="AN250" i="1"/>
  <c r="AN249" i="1"/>
  <c r="AN248" i="1"/>
  <c r="AN247" i="1"/>
  <c r="AN246" i="1"/>
  <c r="AN245" i="1"/>
  <c r="AN244" i="1"/>
  <c r="AN243" i="1"/>
  <c r="AN242" i="1"/>
  <c r="AN241" i="1"/>
  <c r="AN240" i="1"/>
  <c r="AN239" i="1"/>
  <c r="AN238" i="1"/>
  <c r="AN237" i="1"/>
  <c r="AN236" i="1"/>
  <c r="AN235" i="1"/>
  <c r="AN234" i="1"/>
  <c r="AN233" i="1"/>
  <c r="AN232" i="1"/>
  <c r="AN231" i="1"/>
  <c r="AN230" i="1"/>
  <c r="AN229" i="1"/>
  <c r="AN228" i="1"/>
  <c r="AN227" i="1"/>
  <c r="AN226" i="1"/>
  <c r="AN225" i="1"/>
  <c r="AN224" i="1"/>
  <c r="AN223" i="1"/>
  <c r="AN222" i="1"/>
  <c r="AN221" i="1"/>
  <c r="AN220" i="1"/>
  <c r="AN219" i="1"/>
  <c r="AN218" i="1"/>
  <c r="AN217" i="1"/>
  <c r="AN216" i="1"/>
  <c r="AN215" i="1"/>
  <c r="AN214" i="1"/>
  <c r="AN213" i="1"/>
  <c r="AN212" i="1"/>
  <c r="AN211" i="1"/>
  <c r="AN210" i="1"/>
  <c r="AN209" i="1"/>
  <c r="AN208" i="1"/>
  <c r="AN207" i="1"/>
  <c r="AN206" i="1"/>
  <c r="AN205" i="1"/>
  <c r="AN204" i="1"/>
  <c r="AN203" i="1"/>
  <c r="AN202" i="1"/>
  <c r="AN201" i="1"/>
  <c r="AN200" i="1"/>
  <c r="AN199" i="1"/>
  <c r="AN198" i="1"/>
  <c r="AN197" i="1"/>
  <c r="AN196" i="1"/>
  <c r="AN195" i="1"/>
  <c r="AN194" i="1"/>
  <c r="AN193" i="1"/>
  <c r="AN192" i="1"/>
  <c r="AN191" i="1"/>
  <c r="AN190" i="1"/>
  <c r="AN189" i="1"/>
  <c r="AN188" i="1"/>
  <c r="AN187" i="1"/>
  <c r="AN186" i="1"/>
  <c r="AN185" i="1"/>
  <c r="AN184" i="1"/>
  <c r="AN183" i="1"/>
  <c r="AN182" i="1"/>
  <c r="AN181" i="1"/>
  <c r="AN180" i="1"/>
  <c r="AN179" i="1"/>
  <c r="AN178" i="1"/>
  <c r="AN177" i="1"/>
  <c r="AN176" i="1"/>
  <c r="AN175" i="1"/>
  <c r="AN174" i="1"/>
  <c r="AN173" i="1"/>
  <c r="AN172" i="1"/>
  <c r="AN171" i="1"/>
  <c r="AN170" i="1"/>
  <c r="AN169" i="1"/>
  <c r="AN168" i="1"/>
  <c r="AN167" i="1"/>
  <c r="AN166" i="1"/>
  <c r="AN165" i="1"/>
  <c r="AN164" i="1"/>
  <c r="AN163" i="1"/>
  <c r="AN162" i="1"/>
  <c r="AN161" i="1"/>
  <c r="AN160" i="1"/>
  <c r="AM295" i="1"/>
  <c r="AM294" i="1"/>
  <c r="AM293" i="1"/>
  <c r="AM292" i="1"/>
  <c r="AM291" i="1"/>
  <c r="AM290" i="1"/>
  <c r="AM289" i="1"/>
  <c r="AM288" i="1"/>
  <c r="AM287" i="1"/>
  <c r="AM286" i="1"/>
  <c r="AM285" i="1"/>
  <c r="AM284" i="1"/>
  <c r="AM283" i="1"/>
  <c r="AM282" i="1"/>
  <c r="AM281" i="1"/>
  <c r="AM280" i="1"/>
  <c r="AM279" i="1"/>
  <c r="AM278" i="1"/>
  <c r="AM277" i="1"/>
  <c r="AM276" i="1"/>
  <c r="AM275" i="1"/>
  <c r="AM274" i="1"/>
  <c r="AM273" i="1"/>
  <c r="AM272" i="1"/>
  <c r="AM271" i="1"/>
  <c r="AM270" i="1"/>
  <c r="AM269" i="1"/>
  <c r="AM268" i="1"/>
  <c r="AM267" i="1"/>
  <c r="AM266" i="1"/>
  <c r="AM265" i="1"/>
  <c r="AM264" i="1"/>
  <c r="AM263" i="1"/>
  <c r="AM262" i="1"/>
  <c r="AM261" i="1"/>
  <c r="AM260" i="1"/>
  <c r="AM259" i="1"/>
  <c r="AM258" i="1"/>
  <c r="AM257" i="1"/>
  <c r="AM256" i="1"/>
  <c r="AM255" i="1"/>
  <c r="AM254" i="1"/>
  <c r="AM253" i="1"/>
  <c r="AM252" i="1"/>
  <c r="AM251" i="1"/>
  <c r="AM250" i="1"/>
  <c r="AM249" i="1"/>
  <c r="AM248" i="1"/>
  <c r="AM247" i="1"/>
  <c r="AM246" i="1"/>
  <c r="AM245" i="1"/>
  <c r="AM244" i="1"/>
  <c r="AM243" i="1"/>
  <c r="AM242" i="1"/>
  <c r="AM241" i="1"/>
  <c r="AM240" i="1"/>
  <c r="AM239" i="1"/>
  <c r="AM238" i="1"/>
  <c r="AM237" i="1"/>
  <c r="AM236" i="1"/>
  <c r="AM235" i="1"/>
  <c r="AM234" i="1"/>
  <c r="AM233" i="1"/>
  <c r="AM232" i="1"/>
  <c r="AM231" i="1"/>
  <c r="AM230" i="1"/>
  <c r="AM229" i="1"/>
  <c r="AM228" i="1"/>
  <c r="AM227" i="1"/>
  <c r="AM226" i="1"/>
  <c r="AM225" i="1"/>
  <c r="AM224" i="1"/>
  <c r="AM223" i="1"/>
  <c r="AM222" i="1"/>
  <c r="AM221" i="1"/>
  <c r="AM220" i="1"/>
  <c r="AM219" i="1"/>
  <c r="AM218" i="1"/>
  <c r="AM217" i="1"/>
  <c r="AM216" i="1"/>
  <c r="AM215" i="1"/>
  <c r="AM214" i="1"/>
  <c r="AM213" i="1"/>
  <c r="AM212" i="1"/>
  <c r="AM211" i="1"/>
  <c r="AM210" i="1"/>
  <c r="AM209" i="1"/>
  <c r="AM208" i="1"/>
  <c r="AM207" i="1"/>
  <c r="AM206" i="1"/>
  <c r="AM205" i="1"/>
  <c r="AM204" i="1"/>
  <c r="AM203" i="1"/>
  <c r="AM202" i="1"/>
  <c r="AM201" i="1"/>
  <c r="AM200" i="1"/>
  <c r="AM199" i="1"/>
  <c r="AM198" i="1"/>
  <c r="AM197" i="1"/>
  <c r="AM196" i="1"/>
  <c r="AM195" i="1"/>
  <c r="AM194" i="1"/>
  <c r="AM193" i="1"/>
  <c r="AM192" i="1"/>
  <c r="AM191" i="1"/>
  <c r="AM190" i="1"/>
  <c r="AM189" i="1"/>
  <c r="AM188" i="1"/>
  <c r="AM187" i="1"/>
  <c r="AM186" i="1"/>
  <c r="AM185" i="1"/>
  <c r="AM184" i="1"/>
  <c r="AM183" i="1"/>
  <c r="AM182" i="1"/>
  <c r="AM181" i="1"/>
  <c r="AM180" i="1"/>
  <c r="AM179" i="1"/>
  <c r="AM178" i="1"/>
  <c r="AM177" i="1"/>
  <c r="AM176" i="1"/>
  <c r="AM175" i="1"/>
  <c r="AM174" i="1"/>
  <c r="AM173" i="1"/>
  <c r="AM172" i="1"/>
  <c r="AM171" i="1"/>
  <c r="AM170" i="1"/>
  <c r="AM169" i="1"/>
  <c r="AM168" i="1"/>
  <c r="AM167" i="1"/>
  <c r="AM166" i="1"/>
  <c r="AM165" i="1"/>
  <c r="AM164" i="1"/>
  <c r="AM163" i="1"/>
  <c r="AM162" i="1"/>
  <c r="AM161" i="1"/>
  <c r="AM160" i="1"/>
  <c r="AL295" i="1"/>
  <c r="AL294" i="1"/>
  <c r="AL293" i="1"/>
  <c r="AL292" i="1"/>
  <c r="AL291" i="1"/>
  <c r="AL290" i="1"/>
  <c r="AL289" i="1"/>
  <c r="AL288" i="1"/>
  <c r="AL287" i="1"/>
  <c r="AL286" i="1"/>
  <c r="AL285" i="1"/>
  <c r="AL284" i="1"/>
  <c r="AL283" i="1"/>
  <c r="AL282" i="1"/>
  <c r="AL281" i="1"/>
  <c r="AL280" i="1"/>
  <c r="AL279" i="1"/>
  <c r="AL278" i="1"/>
  <c r="AL277" i="1"/>
  <c r="AL276" i="1"/>
  <c r="AL275" i="1"/>
  <c r="AL274" i="1"/>
  <c r="AL273" i="1"/>
  <c r="AL272" i="1"/>
  <c r="AL271" i="1"/>
  <c r="AL270" i="1"/>
  <c r="AL269" i="1"/>
  <c r="AL268" i="1"/>
  <c r="AL267" i="1"/>
  <c r="AL266" i="1"/>
  <c r="AL265" i="1"/>
  <c r="AL264" i="1"/>
  <c r="AL263" i="1"/>
  <c r="AL262" i="1"/>
  <c r="AL261" i="1"/>
  <c r="AL260" i="1"/>
  <c r="AL259" i="1"/>
  <c r="AL258" i="1"/>
  <c r="AL257" i="1"/>
  <c r="AL256" i="1"/>
  <c r="AL255" i="1"/>
  <c r="AL254" i="1"/>
  <c r="AL253" i="1"/>
  <c r="AL252" i="1"/>
  <c r="AL251" i="1"/>
  <c r="AL250" i="1"/>
  <c r="AL249" i="1"/>
  <c r="AL248" i="1"/>
  <c r="AL247" i="1"/>
  <c r="AL246" i="1"/>
  <c r="AL245" i="1"/>
  <c r="AL244" i="1"/>
  <c r="AL243" i="1"/>
  <c r="AL242" i="1"/>
  <c r="AL241" i="1"/>
  <c r="AL240" i="1"/>
  <c r="AL239" i="1"/>
  <c r="AL238" i="1"/>
  <c r="AL237" i="1"/>
  <c r="AL236" i="1"/>
  <c r="AL235" i="1"/>
  <c r="AL234" i="1"/>
  <c r="AL233" i="1"/>
  <c r="AL232" i="1"/>
  <c r="AL231" i="1"/>
  <c r="AL230" i="1"/>
  <c r="AL229" i="1"/>
  <c r="AL228" i="1"/>
  <c r="AL227" i="1"/>
  <c r="AL226" i="1"/>
  <c r="AL225" i="1"/>
  <c r="AL224" i="1"/>
  <c r="AL223" i="1"/>
  <c r="AL222" i="1"/>
  <c r="AL221" i="1"/>
  <c r="AL220" i="1"/>
  <c r="AL219" i="1"/>
  <c r="AL218" i="1"/>
  <c r="AL217" i="1"/>
  <c r="AL216" i="1"/>
  <c r="AL215" i="1"/>
  <c r="AL214" i="1"/>
  <c r="AL213" i="1"/>
  <c r="AL212" i="1"/>
  <c r="AL211" i="1"/>
  <c r="AL210" i="1"/>
  <c r="AL209" i="1"/>
  <c r="AL208" i="1"/>
  <c r="AL207" i="1"/>
  <c r="AL206" i="1"/>
  <c r="AL205" i="1"/>
  <c r="AL204" i="1"/>
  <c r="AL203" i="1"/>
  <c r="AL202" i="1"/>
  <c r="AL201" i="1"/>
  <c r="AL200" i="1"/>
  <c r="AL199" i="1"/>
  <c r="AL198" i="1"/>
  <c r="AL197" i="1"/>
  <c r="AL196" i="1"/>
  <c r="AL195" i="1"/>
  <c r="AL194" i="1"/>
  <c r="AL193" i="1"/>
  <c r="AL192" i="1"/>
  <c r="AL191" i="1"/>
  <c r="AL190" i="1"/>
  <c r="AL189" i="1"/>
  <c r="AL188" i="1"/>
  <c r="AL187" i="1"/>
  <c r="AL186" i="1"/>
  <c r="AL185" i="1"/>
  <c r="AL184" i="1"/>
  <c r="AL183" i="1"/>
  <c r="AL182" i="1"/>
  <c r="AL181" i="1"/>
  <c r="AL180" i="1"/>
  <c r="AL179" i="1"/>
  <c r="AL178" i="1"/>
  <c r="AL177" i="1"/>
  <c r="AL176" i="1"/>
  <c r="AL175" i="1"/>
  <c r="AL174" i="1"/>
  <c r="AL173" i="1"/>
  <c r="AL172" i="1"/>
  <c r="AL171" i="1"/>
  <c r="AL170" i="1"/>
  <c r="AL169" i="1"/>
  <c r="AL168" i="1"/>
  <c r="AL167" i="1"/>
  <c r="AL166" i="1"/>
  <c r="AL165" i="1"/>
  <c r="AL164" i="1"/>
  <c r="AL163" i="1"/>
  <c r="AL162" i="1"/>
  <c r="AL161" i="1"/>
  <c r="AL160" i="1"/>
  <c r="AK295" i="1"/>
  <c r="AK294" i="1"/>
  <c r="AK293" i="1"/>
  <c r="AK292" i="1"/>
  <c r="AK291" i="1"/>
  <c r="AK290" i="1"/>
  <c r="AK289" i="1"/>
  <c r="AK288" i="1"/>
  <c r="AK287" i="1"/>
  <c r="AK286" i="1"/>
  <c r="AK285" i="1"/>
  <c r="AK284" i="1"/>
  <c r="AK283" i="1"/>
  <c r="AK282" i="1"/>
  <c r="AK281" i="1"/>
  <c r="AK280" i="1"/>
  <c r="AK279" i="1"/>
  <c r="AK278" i="1"/>
  <c r="AK277" i="1"/>
  <c r="AK276" i="1"/>
  <c r="AK275" i="1"/>
  <c r="AK274" i="1"/>
  <c r="AK273" i="1"/>
  <c r="AK272" i="1"/>
  <c r="AK271" i="1"/>
  <c r="AK270" i="1"/>
  <c r="AK269" i="1"/>
  <c r="AK268" i="1"/>
  <c r="AK267" i="1"/>
  <c r="AK266" i="1"/>
  <c r="AK265" i="1"/>
  <c r="AK264" i="1"/>
  <c r="AK263" i="1"/>
  <c r="AK262" i="1"/>
  <c r="AK261" i="1"/>
  <c r="AK260" i="1"/>
  <c r="AK259" i="1"/>
  <c r="AK258" i="1"/>
  <c r="AK257" i="1"/>
  <c r="AK256" i="1"/>
  <c r="AK255" i="1"/>
  <c r="AK254" i="1"/>
  <c r="AK253" i="1"/>
  <c r="AK252" i="1"/>
  <c r="AK251" i="1"/>
  <c r="AK250" i="1"/>
  <c r="AK249" i="1"/>
  <c r="AK248" i="1"/>
  <c r="AK247" i="1"/>
  <c r="AK246" i="1"/>
  <c r="AK245" i="1"/>
  <c r="AK244" i="1"/>
  <c r="AK243" i="1"/>
  <c r="AK242" i="1"/>
  <c r="AK241" i="1"/>
  <c r="AK240" i="1"/>
  <c r="AK239" i="1"/>
  <c r="AK238" i="1"/>
  <c r="AK237" i="1"/>
  <c r="AK236" i="1"/>
  <c r="AK235" i="1"/>
  <c r="AK234" i="1"/>
  <c r="AK233" i="1"/>
  <c r="AK232" i="1"/>
  <c r="AK231" i="1"/>
  <c r="AK230" i="1"/>
  <c r="AK229" i="1"/>
  <c r="AK228" i="1"/>
  <c r="AK227" i="1"/>
  <c r="AK226" i="1"/>
  <c r="AK225" i="1"/>
  <c r="AK224" i="1"/>
  <c r="AK223" i="1"/>
  <c r="AK222" i="1"/>
  <c r="AK221" i="1"/>
  <c r="AK220" i="1"/>
  <c r="AK219" i="1"/>
  <c r="AK218" i="1"/>
  <c r="AK217" i="1"/>
  <c r="AK216" i="1"/>
  <c r="AK215" i="1"/>
  <c r="AK214" i="1"/>
  <c r="AK213" i="1"/>
  <c r="AK212" i="1"/>
  <c r="AK211" i="1"/>
  <c r="AK210" i="1"/>
  <c r="AK209" i="1"/>
  <c r="AK208" i="1"/>
  <c r="AK207" i="1"/>
  <c r="AK206" i="1"/>
  <c r="AK205" i="1"/>
  <c r="AK204" i="1"/>
  <c r="AK203" i="1"/>
  <c r="AK202" i="1"/>
  <c r="AK201" i="1"/>
  <c r="AK200" i="1"/>
  <c r="AK199" i="1"/>
  <c r="AK198" i="1"/>
  <c r="AK197" i="1"/>
  <c r="AK196" i="1"/>
  <c r="AK195" i="1"/>
  <c r="AK194" i="1"/>
  <c r="AK193" i="1"/>
  <c r="AK192" i="1"/>
  <c r="AK191" i="1"/>
  <c r="AK190" i="1"/>
  <c r="AK189" i="1"/>
  <c r="AK188" i="1"/>
  <c r="AK187" i="1"/>
  <c r="AK186" i="1"/>
  <c r="AK185" i="1"/>
  <c r="AK184" i="1"/>
  <c r="AK183" i="1"/>
  <c r="AK182" i="1"/>
  <c r="AK181" i="1"/>
  <c r="AK180" i="1"/>
  <c r="AK179" i="1"/>
  <c r="AK178" i="1"/>
  <c r="AK177" i="1"/>
  <c r="AK176" i="1"/>
  <c r="AK175" i="1"/>
  <c r="AK174" i="1"/>
  <c r="AK173" i="1"/>
  <c r="AK172" i="1"/>
  <c r="AK171" i="1"/>
  <c r="AK170" i="1"/>
  <c r="AK169" i="1"/>
  <c r="AK168" i="1"/>
  <c r="AK167" i="1"/>
  <c r="AK166" i="1"/>
  <c r="AK165" i="1"/>
  <c r="AK164" i="1"/>
  <c r="AK163" i="1"/>
  <c r="AK162" i="1"/>
  <c r="AK161" i="1"/>
  <c r="AK160" i="1"/>
  <c r="AJ295" i="1"/>
  <c r="AJ294" i="1"/>
  <c r="AJ293" i="1"/>
  <c r="AJ292" i="1"/>
  <c r="AJ291" i="1"/>
  <c r="AJ290" i="1"/>
  <c r="AJ289" i="1"/>
  <c r="AJ288" i="1"/>
  <c r="AJ287" i="1"/>
  <c r="AJ286" i="1"/>
  <c r="AJ285" i="1"/>
  <c r="AJ284" i="1"/>
  <c r="AJ283" i="1"/>
  <c r="AJ282" i="1"/>
  <c r="AJ281" i="1"/>
  <c r="AJ280" i="1"/>
  <c r="AJ279" i="1"/>
  <c r="AJ278" i="1"/>
  <c r="AJ277" i="1"/>
  <c r="AJ276" i="1"/>
  <c r="AJ275" i="1"/>
  <c r="AJ274" i="1"/>
  <c r="AJ273" i="1"/>
  <c r="AJ272" i="1"/>
  <c r="AJ271" i="1"/>
  <c r="AJ270" i="1"/>
  <c r="AJ269" i="1"/>
  <c r="AJ268" i="1"/>
  <c r="AJ267" i="1"/>
  <c r="AJ266" i="1"/>
  <c r="AJ265" i="1"/>
  <c r="AJ264" i="1"/>
  <c r="AJ263" i="1"/>
  <c r="AJ262" i="1"/>
  <c r="AJ261" i="1"/>
  <c r="AJ260" i="1"/>
  <c r="AJ259" i="1"/>
  <c r="AJ258" i="1"/>
  <c r="AJ257" i="1"/>
  <c r="AJ256" i="1"/>
  <c r="AJ255" i="1"/>
  <c r="AJ254" i="1"/>
  <c r="AJ253" i="1"/>
  <c r="AJ252" i="1"/>
  <c r="AJ251" i="1"/>
  <c r="AJ250" i="1"/>
  <c r="AJ249" i="1"/>
  <c r="AJ248" i="1"/>
  <c r="AJ247" i="1"/>
  <c r="AJ246" i="1"/>
  <c r="AJ245" i="1"/>
  <c r="AJ244" i="1"/>
  <c r="AJ243" i="1"/>
  <c r="AJ242" i="1"/>
  <c r="AJ241" i="1"/>
  <c r="AJ240" i="1"/>
  <c r="AJ239" i="1"/>
  <c r="AJ238" i="1"/>
  <c r="AJ237" i="1"/>
  <c r="AJ236" i="1"/>
  <c r="AJ235" i="1"/>
  <c r="AJ234" i="1"/>
  <c r="AJ233" i="1"/>
  <c r="AJ232" i="1"/>
  <c r="AJ231" i="1"/>
  <c r="AJ230" i="1"/>
  <c r="AJ229" i="1"/>
  <c r="AJ228" i="1"/>
  <c r="AJ227" i="1"/>
  <c r="AJ226" i="1"/>
  <c r="AJ225" i="1"/>
  <c r="AJ224" i="1"/>
  <c r="AJ223" i="1"/>
  <c r="AJ222" i="1"/>
  <c r="AJ221" i="1"/>
  <c r="AJ220" i="1"/>
  <c r="AJ219" i="1"/>
  <c r="AJ218" i="1"/>
  <c r="AJ217" i="1"/>
  <c r="AJ216" i="1"/>
  <c r="AJ215" i="1"/>
  <c r="AJ214" i="1"/>
  <c r="AJ213" i="1"/>
  <c r="AJ212" i="1"/>
  <c r="AJ211" i="1"/>
  <c r="AJ210" i="1"/>
  <c r="AJ209" i="1"/>
  <c r="AJ208" i="1"/>
  <c r="AJ207" i="1"/>
  <c r="AJ206" i="1"/>
  <c r="AJ205" i="1"/>
  <c r="AJ204" i="1"/>
  <c r="AJ203" i="1"/>
  <c r="AJ202" i="1"/>
  <c r="AJ201" i="1"/>
  <c r="AJ200" i="1"/>
  <c r="AJ199" i="1"/>
  <c r="AJ198" i="1"/>
  <c r="AJ197" i="1"/>
  <c r="AJ196" i="1"/>
  <c r="AJ195" i="1"/>
  <c r="AJ194" i="1"/>
  <c r="AJ193" i="1"/>
  <c r="AJ192" i="1"/>
  <c r="AJ191" i="1"/>
  <c r="AJ190" i="1"/>
  <c r="AJ189" i="1"/>
  <c r="AJ188" i="1"/>
  <c r="AJ187" i="1"/>
  <c r="AJ186" i="1"/>
  <c r="AJ185" i="1"/>
  <c r="AJ184" i="1"/>
  <c r="AJ183" i="1"/>
  <c r="AJ182" i="1"/>
  <c r="AJ181" i="1"/>
  <c r="AJ180" i="1"/>
  <c r="AJ179" i="1"/>
  <c r="AJ178" i="1"/>
  <c r="AJ177" i="1"/>
  <c r="AJ176" i="1"/>
  <c r="AJ175" i="1"/>
  <c r="AJ174" i="1"/>
  <c r="AJ173" i="1"/>
  <c r="AJ172" i="1"/>
  <c r="AJ171" i="1"/>
  <c r="AJ170" i="1"/>
  <c r="AJ169" i="1"/>
  <c r="AJ168" i="1"/>
  <c r="AJ167" i="1"/>
  <c r="AJ166" i="1"/>
  <c r="AJ165" i="1"/>
  <c r="AJ164" i="1"/>
  <c r="AJ163" i="1"/>
  <c r="AJ162" i="1"/>
  <c r="AJ161" i="1"/>
  <c r="AJ160" i="1"/>
  <c r="AI295" i="1"/>
  <c r="AI294" i="1"/>
  <c r="AI293" i="1"/>
  <c r="AI292" i="1"/>
  <c r="AI291" i="1"/>
  <c r="AI290" i="1"/>
  <c r="AI289" i="1"/>
  <c r="AI288" i="1"/>
  <c r="AI287" i="1"/>
  <c r="AI286" i="1"/>
  <c r="AI285" i="1"/>
  <c r="AI284" i="1"/>
  <c r="AI283" i="1"/>
  <c r="AI282" i="1"/>
  <c r="AI281" i="1"/>
  <c r="AI280" i="1"/>
  <c r="AI279" i="1"/>
  <c r="AI278" i="1"/>
  <c r="AI277" i="1"/>
  <c r="AI276" i="1"/>
  <c r="AI275" i="1"/>
  <c r="AI274" i="1"/>
  <c r="AI273" i="1"/>
  <c r="AI272" i="1"/>
  <c r="AI271" i="1"/>
  <c r="AI270" i="1"/>
  <c r="AI269" i="1"/>
  <c r="AI268" i="1"/>
  <c r="AI267" i="1"/>
  <c r="AI266" i="1"/>
  <c r="AI265" i="1"/>
  <c r="AI264" i="1"/>
  <c r="AI263" i="1"/>
  <c r="AI262" i="1"/>
  <c r="AI261" i="1"/>
  <c r="AI260" i="1"/>
  <c r="AI259" i="1"/>
  <c r="AI258" i="1"/>
  <c r="AI257" i="1"/>
  <c r="AI256" i="1"/>
  <c r="AI255" i="1"/>
  <c r="AI254" i="1"/>
  <c r="AI253" i="1"/>
  <c r="AI252" i="1"/>
  <c r="AI251" i="1"/>
  <c r="AI250" i="1"/>
  <c r="AI249" i="1"/>
  <c r="AI248" i="1"/>
  <c r="AI247" i="1"/>
  <c r="AI246" i="1"/>
  <c r="AI245" i="1"/>
  <c r="AI244" i="1"/>
  <c r="AI243" i="1"/>
  <c r="AI242" i="1"/>
  <c r="AI241" i="1"/>
  <c r="AI240" i="1"/>
  <c r="AI239" i="1"/>
  <c r="AI238" i="1"/>
  <c r="AI237" i="1"/>
  <c r="AI236" i="1"/>
  <c r="AI235" i="1"/>
  <c r="AI234" i="1"/>
  <c r="AI233" i="1"/>
  <c r="AI232" i="1"/>
  <c r="AI231" i="1"/>
  <c r="AI230" i="1"/>
  <c r="AI229" i="1"/>
  <c r="AI228" i="1"/>
  <c r="AI227" i="1"/>
  <c r="AI226" i="1"/>
  <c r="AI225" i="1"/>
  <c r="AI224" i="1"/>
  <c r="AI223" i="1"/>
  <c r="AI222" i="1"/>
  <c r="AI221" i="1"/>
  <c r="AI220" i="1"/>
  <c r="AI219" i="1"/>
  <c r="AI218" i="1"/>
  <c r="AI217" i="1"/>
  <c r="AI216" i="1"/>
  <c r="AI215" i="1"/>
  <c r="AI214" i="1"/>
  <c r="AI213" i="1"/>
  <c r="AI212" i="1"/>
  <c r="AI211" i="1"/>
  <c r="AI210" i="1"/>
  <c r="AI209" i="1"/>
  <c r="AI208" i="1"/>
  <c r="AI207" i="1"/>
  <c r="AI206" i="1"/>
  <c r="AI205" i="1"/>
  <c r="AI204" i="1"/>
  <c r="AI203" i="1"/>
  <c r="AI202" i="1"/>
  <c r="AI201" i="1"/>
  <c r="AI200" i="1"/>
  <c r="AI199" i="1"/>
  <c r="AI198" i="1"/>
  <c r="AI197" i="1"/>
  <c r="AI196" i="1"/>
  <c r="AI195" i="1"/>
  <c r="AI194" i="1"/>
  <c r="AI193" i="1"/>
  <c r="AI192" i="1"/>
  <c r="AI191" i="1"/>
  <c r="AI190" i="1"/>
  <c r="AI189" i="1"/>
  <c r="AI188" i="1"/>
  <c r="AI187" i="1"/>
  <c r="AI186" i="1"/>
  <c r="AI185" i="1"/>
  <c r="AI184" i="1"/>
  <c r="AI183" i="1"/>
  <c r="AI182" i="1"/>
  <c r="AI181" i="1"/>
  <c r="AI179" i="1"/>
  <c r="AI178" i="1"/>
  <c r="AI177" i="1"/>
  <c r="AI176" i="1"/>
  <c r="AI175" i="1"/>
  <c r="AI174" i="1"/>
  <c r="AI173" i="1"/>
  <c r="AI172" i="1"/>
  <c r="AI171" i="1"/>
  <c r="AI170" i="1"/>
  <c r="AI169" i="1"/>
  <c r="AI168" i="1"/>
  <c r="AI167" i="1"/>
  <c r="AI166" i="1"/>
  <c r="AI165" i="1"/>
  <c r="AI164" i="1"/>
  <c r="AI163" i="1"/>
  <c r="AI162" i="1"/>
  <c r="AI161" i="1"/>
  <c r="AI160"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G295" i="1"/>
  <c r="AG294" i="1"/>
  <c r="AG293" i="1"/>
  <c r="AG292" i="1"/>
  <c r="AG291" i="1"/>
  <c r="AG290" i="1"/>
  <c r="AG289" i="1"/>
  <c r="AG288" i="1"/>
  <c r="AG287" i="1"/>
  <c r="AG286" i="1"/>
  <c r="AG285" i="1"/>
  <c r="AG284" i="1"/>
  <c r="AG283" i="1"/>
  <c r="AG282" i="1"/>
  <c r="AG281" i="1"/>
  <c r="AG280" i="1"/>
  <c r="AG279" i="1"/>
  <c r="AG278" i="1"/>
  <c r="AG277" i="1"/>
  <c r="AG276" i="1"/>
  <c r="AG275" i="1"/>
  <c r="AG274" i="1"/>
  <c r="AG273" i="1"/>
  <c r="AG272" i="1"/>
  <c r="AG271" i="1"/>
  <c r="AG270" i="1"/>
  <c r="AG269" i="1"/>
  <c r="AG268" i="1"/>
  <c r="AG267" i="1"/>
  <c r="AG266" i="1"/>
  <c r="AG265" i="1"/>
  <c r="AG264" i="1"/>
  <c r="AG263" i="1"/>
  <c r="AG262" i="1"/>
  <c r="AG261" i="1"/>
  <c r="AG260" i="1"/>
  <c r="AG259" i="1"/>
  <c r="AG258" i="1"/>
  <c r="AG257" i="1"/>
  <c r="AG256" i="1"/>
  <c r="AG255" i="1"/>
  <c r="AG254" i="1"/>
  <c r="AG253" i="1"/>
  <c r="AG252" i="1"/>
  <c r="AG251" i="1"/>
  <c r="AG250" i="1"/>
  <c r="AG249" i="1"/>
  <c r="AG248" i="1"/>
  <c r="AG247" i="1"/>
  <c r="AG246" i="1"/>
  <c r="AG245" i="1"/>
  <c r="AG244" i="1"/>
  <c r="AG243" i="1"/>
  <c r="AG242" i="1"/>
  <c r="AG241" i="1"/>
  <c r="AG240" i="1"/>
  <c r="AG239" i="1"/>
  <c r="AG238" i="1"/>
  <c r="AG237" i="1"/>
  <c r="AG236" i="1"/>
  <c r="AG235" i="1"/>
  <c r="AG234" i="1"/>
  <c r="AG233" i="1"/>
  <c r="AG232" i="1"/>
  <c r="AG231" i="1"/>
  <c r="AG230" i="1"/>
  <c r="AG229" i="1"/>
  <c r="AG228" i="1"/>
  <c r="AG227" i="1"/>
  <c r="AG226" i="1"/>
  <c r="AG225" i="1"/>
  <c r="AG224" i="1"/>
  <c r="AG223" i="1"/>
  <c r="AG222" i="1"/>
  <c r="AG221" i="1"/>
  <c r="AG220" i="1"/>
  <c r="AG219" i="1"/>
  <c r="AG218" i="1"/>
  <c r="AG217" i="1"/>
  <c r="AG216" i="1"/>
  <c r="AG215" i="1"/>
  <c r="AG214" i="1"/>
  <c r="AG213" i="1"/>
  <c r="AG212" i="1"/>
  <c r="AG211" i="1"/>
  <c r="AG210" i="1"/>
  <c r="AG209" i="1"/>
  <c r="AG208" i="1"/>
  <c r="AG207" i="1"/>
  <c r="AG206" i="1"/>
  <c r="AG205" i="1"/>
  <c r="AG204" i="1"/>
  <c r="AG203" i="1"/>
  <c r="AG202" i="1"/>
  <c r="AG201" i="1"/>
  <c r="AG200" i="1"/>
  <c r="AG199" i="1"/>
  <c r="AG198" i="1"/>
  <c r="AG197" i="1"/>
  <c r="AG196" i="1"/>
  <c r="AG195" i="1"/>
  <c r="AG194" i="1"/>
  <c r="AG193" i="1"/>
  <c r="AG192" i="1"/>
  <c r="AG191" i="1"/>
  <c r="AG190" i="1"/>
  <c r="AG189" i="1"/>
  <c r="AG188" i="1"/>
  <c r="AG187" i="1"/>
  <c r="AG186" i="1"/>
  <c r="AG185" i="1"/>
  <c r="AG184" i="1"/>
  <c r="AG183" i="1"/>
  <c r="AG182" i="1"/>
  <c r="AG181" i="1"/>
  <c r="AG180" i="1"/>
  <c r="AG179" i="1"/>
  <c r="AG178" i="1"/>
  <c r="AG177" i="1"/>
  <c r="AG176" i="1"/>
  <c r="AG175" i="1"/>
  <c r="AG174" i="1"/>
  <c r="AG173" i="1"/>
  <c r="AG172" i="1"/>
  <c r="AG171" i="1"/>
  <c r="AG170" i="1"/>
  <c r="AG169" i="1"/>
  <c r="AG168" i="1"/>
  <c r="AG167" i="1"/>
  <c r="AG166" i="1"/>
  <c r="AG165" i="1"/>
  <c r="AG164" i="1"/>
  <c r="AG163" i="1"/>
  <c r="AG162" i="1"/>
  <c r="AG161" i="1"/>
  <c r="AG160" i="1"/>
  <c r="AF295" i="1"/>
  <c r="AF294" i="1"/>
  <c r="AF293" i="1"/>
  <c r="AF292" i="1"/>
  <c r="AF291" i="1"/>
  <c r="AF290" i="1"/>
  <c r="AF289" i="1"/>
  <c r="AF288" i="1"/>
  <c r="AF287" i="1"/>
  <c r="AF286" i="1"/>
  <c r="AF285" i="1"/>
  <c r="AF284" i="1"/>
  <c r="AF283" i="1"/>
  <c r="AF282" i="1"/>
  <c r="AF281" i="1"/>
  <c r="AF280" i="1"/>
  <c r="AF279" i="1"/>
  <c r="AF278" i="1"/>
  <c r="AF277" i="1"/>
  <c r="AF276" i="1"/>
  <c r="AF275" i="1"/>
  <c r="AF274" i="1"/>
  <c r="AF273" i="1"/>
  <c r="AF272" i="1"/>
  <c r="AF271" i="1"/>
  <c r="AF270" i="1"/>
  <c r="AF269" i="1"/>
  <c r="AF268" i="1"/>
  <c r="AF267" i="1"/>
  <c r="AF266" i="1"/>
  <c r="AF265" i="1"/>
  <c r="AF264" i="1"/>
  <c r="AF263" i="1"/>
  <c r="AF262" i="1"/>
  <c r="AF261" i="1"/>
  <c r="AF260" i="1"/>
  <c r="AF259" i="1"/>
  <c r="AF258" i="1"/>
  <c r="AF257" i="1"/>
  <c r="AF256" i="1"/>
  <c r="AF255" i="1"/>
  <c r="AF254" i="1"/>
  <c r="AF253" i="1"/>
  <c r="AF252" i="1"/>
  <c r="AF251" i="1"/>
  <c r="AF250" i="1"/>
  <c r="AF249" i="1"/>
  <c r="AF248" i="1"/>
  <c r="AF247" i="1"/>
  <c r="AF246" i="1"/>
  <c r="AF245" i="1"/>
  <c r="AF244" i="1"/>
  <c r="AF243" i="1"/>
  <c r="AF242" i="1"/>
  <c r="AF241" i="1"/>
  <c r="AF240" i="1"/>
  <c r="AF239" i="1"/>
  <c r="AF238" i="1"/>
  <c r="AF237" i="1"/>
  <c r="AF236" i="1"/>
  <c r="AF235" i="1"/>
  <c r="AF234" i="1"/>
  <c r="AF233" i="1"/>
  <c r="AF232" i="1"/>
  <c r="AF231" i="1"/>
  <c r="AF230" i="1"/>
  <c r="AF229" i="1"/>
  <c r="AF228" i="1"/>
  <c r="AF227" i="1"/>
  <c r="AF226" i="1"/>
  <c r="AF225" i="1"/>
  <c r="AF224" i="1"/>
  <c r="AF223" i="1"/>
  <c r="AF222" i="1"/>
  <c r="AF221" i="1"/>
  <c r="AF220" i="1"/>
  <c r="AF219" i="1"/>
  <c r="AF218" i="1"/>
  <c r="AF217" i="1"/>
  <c r="AF216" i="1"/>
  <c r="AF215" i="1"/>
  <c r="AF214" i="1"/>
  <c r="AF213" i="1"/>
  <c r="AF212" i="1"/>
  <c r="AF211" i="1"/>
  <c r="AF210" i="1"/>
  <c r="AF209" i="1"/>
  <c r="AF208" i="1"/>
  <c r="AF207" i="1"/>
  <c r="AF206" i="1"/>
  <c r="AF205" i="1"/>
  <c r="AF204" i="1"/>
  <c r="AF203" i="1"/>
  <c r="AF202" i="1"/>
  <c r="AF201" i="1"/>
  <c r="AF200" i="1"/>
  <c r="AF199" i="1"/>
  <c r="AF198" i="1"/>
  <c r="AF197" i="1"/>
  <c r="AF196" i="1"/>
  <c r="AF195" i="1"/>
  <c r="AF194" i="1"/>
  <c r="AF193" i="1"/>
  <c r="AF192" i="1"/>
  <c r="AF191" i="1"/>
  <c r="AF190" i="1"/>
  <c r="AF189" i="1"/>
  <c r="AF188" i="1"/>
  <c r="AF187" i="1"/>
  <c r="AF186" i="1"/>
  <c r="AF185" i="1"/>
  <c r="AF184" i="1"/>
  <c r="AF183" i="1"/>
  <c r="AF182" i="1"/>
  <c r="AF181" i="1"/>
  <c r="AF180" i="1"/>
  <c r="AF179" i="1"/>
  <c r="AF178" i="1"/>
  <c r="AF177" i="1"/>
  <c r="AF176" i="1"/>
  <c r="AF175" i="1"/>
  <c r="AF174" i="1"/>
  <c r="AF173" i="1"/>
  <c r="AF172" i="1"/>
  <c r="AF171" i="1"/>
  <c r="AF170" i="1"/>
  <c r="AF169" i="1"/>
  <c r="AF168" i="1"/>
  <c r="AF167" i="1"/>
  <c r="AF166" i="1"/>
  <c r="AF165" i="1"/>
  <c r="AF164" i="1"/>
  <c r="AF163" i="1"/>
  <c r="AF162" i="1"/>
  <c r="AF161" i="1"/>
  <c r="AF160" i="1"/>
  <c r="AE295" i="1"/>
  <c r="AE294" i="1"/>
  <c r="AE293" i="1"/>
  <c r="AE292" i="1"/>
  <c r="AE291" i="1"/>
  <c r="AE290" i="1"/>
  <c r="AE289" i="1"/>
  <c r="AE288" i="1"/>
  <c r="AE287" i="1"/>
  <c r="AE286" i="1"/>
  <c r="AE285" i="1"/>
  <c r="AE284" i="1"/>
  <c r="AE283" i="1"/>
  <c r="AE282" i="1"/>
  <c r="AE281" i="1"/>
  <c r="AE280" i="1"/>
  <c r="AE279" i="1"/>
  <c r="AE278" i="1"/>
  <c r="AE277" i="1"/>
  <c r="AE276" i="1"/>
  <c r="AE275" i="1"/>
  <c r="AE274" i="1"/>
  <c r="AE273" i="1"/>
  <c r="AE272" i="1"/>
  <c r="AE271" i="1"/>
  <c r="AE270" i="1"/>
  <c r="AE269" i="1"/>
  <c r="AE268" i="1"/>
  <c r="AE267" i="1"/>
  <c r="AE266" i="1"/>
  <c r="AE265" i="1"/>
  <c r="AE264" i="1"/>
  <c r="AE263" i="1"/>
  <c r="AE262" i="1"/>
  <c r="AE261" i="1"/>
  <c r="AE260" i="1"/>
  <c r="AE259" i="1"/>
  <c r="AE258" i="1"/>
  <c r="AE257" i="1"/>
  <c r="AE256" i="1"/>
  <c r="AE255" i="1"/>
  <c r="AE254" i="1"/>
  <c r="AE253" i="1"/>
  <c r="AE252" i="1"/>
  <c r="AE251" i="1"/>
  <c r="AE250" i="1"/>
  <c r="AE249" i="1"/>
  <c r="AE248" i="1"/>
  <c r="AE247" i="1"/>
  <c r="AE246" i="1"/>
  <c r="AE245" i="1"/>
  <c r="AE244" i="1"/>
  <c r="AE243" i="1"/>
  <c r="AE242" i="1"/>
  <c r="AE241" i="1"/>
  <c r="AE240" i="1"/>
  <c r="AE239" i="1"/>
  <c r="AE238" i="1"/>
  <c r="AE237" i="1"/>
  <c r="AE236" i="1"/>
  <c r="AE235" i="1"/>
  <c r="AE234" i="1"/>
  <c r="AE233" i="1"/>
  <c r="AE232" i="1"/>
  <c r="AE231" i="1"/>
  <c r="AE230" i="1"/>
  <c r="AE229" i="1"/>
  <c r="AE228" i="1"/>
  <c r="AE227" i="1"/>
  <c r="AE226" i="1"/>
  <c r="AE225" i="1"/>
  <c r="AE224" i="1"/>
  <c r="AE223" i="1"/>
  <c r="AE222" i="1"/>
  <c r="AE221" i="1"/>
  <c r="AE220" i="1"/>
  <c r="AE219" i="1"/>
  <c r="AE218" i="1"/>
  <c r="AE217" i="1"/>
  <c r="AE216" i="1"/>
  <c r="AE215" i="1"/>
  <c r="AE214" i="1"/>
  <c r="AE213" i="1"/>
  <c r="AE212" i="1"/>
  <c r="AE211" i="1"/>
  <c r="AE210" i="1"/>
  <c r="AE209" i="1"/>
  <c r="AE208" i="1"/>
  <c r="AE207" i="1"/>
  <c r="AE206" i="1"/>
  <c r="AE205" i="1"/>
  <c r="AE204" i="1"/>
  <c r="AE203" i="1"/>
  <c r="AE202" i="1"/>
  <c r="AE201" i="1"/>
  <c r="AE200" i="1"/>
  <c r="AE199" i="1"/>
  <c r="AE198" i="1"/>
  <c r="AE197" i="1"/>
  <c r="AE196" i="1"/>
  <c r="AE195" i="1"/>
  <c r="AE194" i="1"/>
  <c r="AE193" i="1"/>
  <c r="AE192" i="1"/>
  <c r="AE191" i="1"/>
  <c r="AE190" i="1"/>
  <c r="AE189" i="1"/>
  <c r="AE188" i="1"/>
  <c r="AE187" i="1"/>
  <c r="AE186" i="1"/>
  <c r="AE185" i="1"/>
  <c r="AE184" i="1"/>
  <c r="AE183" i="1"/>
  <c r="AE182" i="1"/>
  <c r="AE179" i="1"/>
  <c r="AE178" i="1"/>
  <c r="AE177" i="1"/>
  <c r="AE176" i="1"/>
  <c r="AE175" i="1"/>
  <c r="AE174" i="1"/>
  <c r="AE173" i="1"/>
  <c r="AE172" i="1"/>
  <c r="AE171" i="1"/>
  <c r="AE170" i="1"/>
  <c r="AE169" i="1"/>
  <c r="AE168" i="1"/>
  <c r="AE167" i="1"/>
  <c r="AE166" i="1"/>
  <c r="AE165" i="1"/>
  <c r="AE164" i="1"/>
  <c r="AE163" i="1"/>
  <c r="AE162" i="1"/>
  <c r="AE161" i="1"/>
  <c r="AE160"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0" i="1"/>
  <c r="AD179" i="1"/>
  <c r="AD178" i="1"/>
  <c r="AD177" i="1"/>
  <c r="AD176" i="1"/>
  <c r="AD175" i="1"/>
  <c r="AD174" i="1"/>
  <c r="AD173" i="1"/>
  <c r="AD172" i="1"/>
  <c r="AD171" i="1"/>
  <c r="AD170" i="1"/>
  <c r="AD169" i="1"/>
  <c r="AD168" i="1"/>
  <c r="AD167" i="1"/>
  <c r="AD166" i="1"/>
  <c r="AD165" i="1"/>
  <c r="AD164" i="1"/>
  <c r="AD163" i="1"/>
  <c r="AD162" i="1"/>
  <c r="AD161" i="1"/>
  <c r="AD160" i="1"/>
  <c r="AC295" i="1"/>
  <c r="AC294" i="1"/>
  <c r="AC293" i="1"/>
  <c r="AC292" i="1"/>
  <c r="AC291" i="1"/>
  <c r="AC290" i="1"/>
  <c r="AC289" i="1"/>
  <c r="AC288" i="1"/>
  <c r="AC287" i="1"/>
  <c r="AC286" i="1"/>
  <c r="AC285" i="1"/>
  <c r="AC284" i="1"/>
  <c r="AC283" i="1"/>
  <c r="AC282" i="1"/>
  <c r="AC281" i="1"/>
  <c r="AC280" i="1"/>
  <c r="AC279" i="1"/>
  <c r="AC278" i="1"/>
  <c r="AC277" i="1"/>
  <c r="AC276" i="1"/>
  <c r="AC275" i="1"/>
  <c r="AC274" i="1"/>
  <c r="AC273" i="1"/>
  <c r="AC272" i="1"/>
  <c r="AC271" i="1"/>
  <c r="AC270" i="1"/>
  <c r="AC269" i="1"/>
  <c r="AC268" i="1"/>
  <c r="AC267" i="1"/>
  <c r="AC266" i="1"/>
  <c r="AC265" i="1"/>
  <c r="AC264" i="1"/>
  <c r="AC263" i="1"/>
  <c r="AC262" i="1"/>
  <c r="AC261" i="1"/>
  <c r="AC260" i="1"/>
  <c r="AC259" i="1"/>
  <c r="AC258" i="1"/>
  <c r="AC257" i="1"/>
  <c r="AC256" i="1"/>
  <c r="AC255" i="1"/>
  <c r="AC254" i="1"/>
  <c r="AC253" i="1"/>
  <c r="AC252" i="1"/>
  <c r="AC251" i="1"/>
  <c r="AC250" i="1"/>
  <c r="AC249" i="1"/>
  <c r="AC248" i="1"/>
  <c r="AC247" i="1"/>
  <c r="AC246" i="1"/>
  <c r="AC245" i="1"/>
  <c r="AC244" i="1"/>
  <c r="AC243" i="1"/>
  <c r="AC242" i="1"/>
  <c r="AC241" i="1"/>
  <c r="AC240" i="1"/>
  <c r="AC239" i="1"/>
  <c r="AC238" i="1"/>
  <c r="AC237" i="1"/>
  <c r="AC236" i="1"/>
  <c r="AC235" i="1"/>
  <c r="AC234" i="1"/>
  <c r="AC233" i="1"/>
  <c r="AC232" i="1"/>
  <c r="AC231" i="1"/>
  <c r="AC230" i="1"/>
  <c r="AC229" i="1"/>
  <c r="AC228" i="1"/>
  <c r="AC227" i="1"/>
  <c r="AC226" i="1"/>
  <c r="AC225" i="1"/>
  <c r="AC224" i="1"/>
  <c r="AC223" i="1"/>
  <c r="AC222" i="1"/>
  <c r="AC221" i="1"/>
  <c r="AC220" i="1"/>
  <c r="AC219" i="1"/>
  <c r="AC218" i="1"/>
  <c r="AC217" i="1"/>
  <c r="AC216" i="1"/>
  <c r="AC215" i="1"/>
  <c r="AC214" i="1"/>
  <c r="AC213" i="1"/>
  <c r="AC212" i="1"/>
  <c r="AC211" i="1"/>
  <c r="AC210" i="1"/>
  <c r="AC209" i="1"/>
  <c r="AC208" i="1"/>
  <c r="AC207" i="1"/>
  <c r="AC206" i="1"/>
  <c r="AC205" i="1"/>
  <c r="AC204" i="1"/>
  <c r="AC203" i="1"/>
  <c r="AC202" i="1"/>
  <c r="AC201" i="1"/>
  <c r="AC200" i="1"/>
  <c r="AC199" i="1"/>
  <c r="AC198" i="1"/>
  <c r="AC197" i="1"/>
  <c r="AC196" i="1"/>
  <c r="AC195" i="1"/>
  <c r="AC194" i="1"/>
  <c r="AC193" i="1"/>
  <c r="AC192" i="1"/>
  <c r="AC191" i="1"/>
  <c r="AC190" i="1"/>
  <c r="AC189" i="1"/>
  <c r="AC188" i="1"/>
  <c r="AC187" i="1"/>
  <c r="AC186" i="1"/>
  <c r="AC185" i="1"/>
  <c r="AC184" i="1"/>
  <c r="AC183" i="1"/>
  <c r="AC182" i="1"/>
  <c r="AC181" i="1"/>
  <c r="AC180" i="1"/>
  <c r="AC179" i="1"/>
  <c r="AC178" i="1"/>
  <c r="AC177" i="1"/>
  <c r="AC176" i="1"/>
  <c r="AC175" i="1"/>
  <c r="AC174" i="1"/>
  <c r="AC173" i="1"/>
  <c r="AC172" i="1"/>
  <c r="AC171" i="1"/>
  <c r="AC170" i="1"/>
  <c r="AC169" i="1"/>
  <c r="AC168" i="1"/>
  <c r="AC167" i="1"/>
  <c r="AC166" i="1"/>
  <c r="AC165" i="1"/>
  <c r="AC164" i="1"/>
  <c r="AC163" i="1"/>
  <c r="AC162" i="1"/>
  <c r="AC161" i="1"/>
  <c r="AC160"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A295" i="1"/>
  <c r="AA294" i="1"/>
  <c r="AA293" i="1"/>
  <c r="AA292" i="1"/>
  <c r="AA291" i="1"/>
  <c r="AA290" i="1"/>
  <c r="AA289" i="1"/>
  <c r="AA288" i="1"/>
  <c r="AA287" i="1"/>
  <c r="AA286" i="1"/>
  <c r="AA285" i="1"/>
  <c r="AA284" i="1"/>
  <c r="AA283" i="1"/>
  <c r="AA282" i="1"/>
  <c r="AA281" i="1"/>
  <c r="AA280" i="1"/>
  <c r="AA279" i="1"/>
  <c r="AA278" i="1"/>
  <c r="AA277" i="1"/>
  <c r="AA276" i="1"/>
  <c r="AA275" i="1"/>
  <c r="AA274" i="1"/>
  <c r="AA273" i="1"/>
  <c r="AA272" i="1"/>
  <c r="AA271" i="1"/>
  <c r="AA270" i="1"/>
  <c r="AA269" i="1"/>
  <c r="AA268" i="1"/>
  <c r="AA267" i="1"/>
  <c r="AA266" i="1"/>
  <c r="AA265" i="1"/>
  <c r="AA264" i="1"/>
  <c r="AA263" i="1"/>
  <c r="AA262" i="1"/>
  <c r="AA261" i="1"/>
  <c r="AA260" i="1"/>
  <c r="AA259" i="1"/>
  <c r="AA258" i="1"/>
  <c r="AA257" i="1"/>
  <c r="AA256" i="1"/>
  <c r="AA255" i="1"/>
  <c r="AA254" i="1"/>
  <c r="AA253" i="1"/>
  <c r="AA252" i="1"/>
  <c r="AA251" i="1"/>
  <c r="AA250" i="1"/>
  <c r="AA249" i="1"/>
  <c r="AA248" i="1"/>
  <c r="AA247" i="1"/>
  <c r="AA246" i="1"/>
  <c r="AA245" i="1"/>
  <c r="AA244" i="1"/>
  <c r="AA243" i="1"/>
  <c r="AA242" i="1"/>
  <c r="AA241" i="1"/>
  <c r="AA240" i="1"/>
  <c r="AA239" i="1"/>
  <c r="AA238" i="1"/>
  <c r="AA237" i="1"/>
  <c r="AA236" i="1"/>
  <c r="AA235" i="1"/>
  <c r="AA234" i="1"/>
  <c r="AA233" i="1"/>
  <c r="AA232" i="1"/>
  <c r="AA231" i="1"/>
  <c r="AA230" i="1"/>
  <c r="AA229" i="1"/>
  <c r="AA228" i="1"/>
  <c r="AA227" i="1"/>
  <c r="AA226" i="1"/>
  <c r="AA225" i="1"/>
  <c r="AA224" i="1"/>
  <c r="AA223" i="1"/>
  <c r="AA222" i="1"/>
  <c r="AA221" i="1"/>
  <c r="AA220" i="1"/>
  <c r="AA219" i="1"/>
  <c r="AA218" i="1"/>
  <c r="AA217" i="1"/>
  <c r="AA216" i="1"/>
  <c r="AA215" i="1"/>
  <c r="AA214" i="1"/>
  <c r="AA213" i="1"/>
  <c r="AA212" i="1"/>
  <c r="AA211" i="1"/>
  <c r="AA210" i="1"/>
  <c r="AA209" i="1"/>
  <c r="AA208" i="1"/>
  <c r="AA207" i="1"/>
  <c r="AA206" i="1"/>
  <c r="AA205" i="1"/>
  <c r="AA204" i="1"/>
  <c r="AA203" i="1"/>
  <c r="AA202" i="1"/>
  <c r="AA201" i="1"/>
  <c r="AA200" i="1"/>
  <c r="AA199" i="1"/>
  <c r="AA198" i="1"/>
  <c r="AA197" i="1"/>
  <c r="AA196" i="1"/>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W295" i="1"/>
  <c r="W294" i="1"/>
  <c r="W293" i="1"/>
  <c r="W292" i="1"/>
  <c r="W291" i="1"/>
  <c r="W290" i="1"/>
  <c r="W289" i="1"/>
  <c r="W288" i="1"/>
  <c r="W287" i="1"/>
  <c r="W286" i="1"/>
  <c r="W285" i="1"/>
  <c r="W284" i="1"/>
  <c r="W283" i="1"/>
  <c r="W282" i="1"/>
  <c r="W281" i="1"/>
  <c r="W280" i="1"/>
  <c r="W279" i="1"/>
  <c r="W278" i="1"/>
  <c r="W277" i="1"/>
  <c r="W276" i="1"/>
  <c r="W275" i="1"/>
  <c r="W274" i="1"/>
  <c r="W273" i="1"/>
  <c r="W272" i="1"/>
  <c r="W271" i="1"/>
  <c r="W270" i="1"/>
  <c r="W269" i="1"/>
  <c r="W268" i="1"/>
  <c r="W267" i="1"/>
  <c r="W266" i="1"/>
  <c r="W265" i="1"/>
  <c r="W264" i="1"/>
  <c r="W263" i="1"/>
  <c r="W262" i="1"/>
  <c r="W261" i="1"/>
  <c r="W260" i="1"/>
  <c r="W259" i="1"/>
  <c r="W258" i="1"/>
  <c r="W257" i="1"/>
  <c r="W256" i="1"/>
  <c r="W255" i="1"/>
  <c r="W254" i="1"/>
  <c r="W253" i="1"/>
  <c r="W252" i="1"/>
  <c r="W251" i="1"/>
  <c r="W250" i="1"/>
  <c r="W249" i="1"/>
  <c r="W248" i="1"/>
  <c r="W247" i="1"/>
  <c r="W246" i="1"/>
  <c r="W245" i="1"/>
  <c r="W244" i="1"/>
  <c r="W243" i="1"/>
  <c r="W242" i="1"/>
  <c r="W241" i="1"/>
  <c r="W240" i="1"/>
  <c r="W239" i="1"/>
  <c r="W238" i="1"/>
  <c r="W237" i="1"/>
  <c r="W236" i="1"/>
  <c r="W235" i="1"/>
  <c r="W234" i="1"/>
  <c r="W233" i="1"/>
  <c r="W232" i="1"/>
  <c r="W231" i="1"/>
  <c r="W230" i="1"/>
  <c r="W229" i="1"/>
  <c r="W228"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V295" i="1"/>
  <c r="V294" i="1"/>
  <c r="V293" i="1"/>
  <c r="V292" i="1"/>
  <c r="V291" i="1"/>
  <c r="V290" i="1"/>
  <c r="V289" i="1"/>
  <c r="V288" i="1"/>
  <c r="V287" i="1"/>
  <c r="V286" i="1"/>
  <c r="V285" i="1"/>
  <c r="V284" i="1"/>
  <c r="V283" i="1"/>
  <c r="V282" i="1"/>
  <c r="V281" i="1"/>
  <c r="V280" i="1"/>
  <c r="V279" i="1"/>
  <c r="V278" i="1"/>
  <c r="V277" i="1"/>
  <c r="V276" i="1"/>
  <c r="V275" i="1"/>
  <c r="V274" i="1"/>
  <c r="V273" i="1"/>
  <c r="V272" i="1"/>
  <c r="V271" i="1"/>
  <c r="V270" i="1"/>
  <c r="V269" i="1"/>
  <c r="V268" i="1"/>
  <c r="V267" i="1"/>
  <c r="V266" i="1"/>
  <c r="V265" i="1"/>
  <c r="V264" i="1"/>
  <c r="V263" i="1"/>
  <c r="V262" i="1"/>
  <c r="V261" i="1"/>
  <c r="V260" i="1"/>
  <c r="V259" i="1"/>
  <c r="V258" i="1"/>
  <c r="V257" i="1"/>
  <c r="V256" i="1"/>
  <c r="V255" i="1"/>
  <c r="V254" i="1"/>
  <c r="V253" i="1"/>
  <c r="V252" i="1"/>
  <c r="V251" i="1"/>
  <c r="V250" i="1"/>
  <c r="V249" i="1"/>
  <c r="V248" i="1"/>
  <c r="V247" i="1"/>
  <c r="V246" i="1"/>
  <c r="V245" i="1"/>
  <c r="V244" i="1"/>
  <c r="V243" i="1"/>
  <c r="V242" i="1"/>
  <c r="V241" i="1"/>
  <c r="V240" i="1"/>
  <c r="V239" i="1"/>
  <c r="V238" i="1"/>
  <c r="V237" i="1"/>
  <c r="V236" i="1"/>
  <c r="V235" i="1"/>
  <c r="V234" i="1"/>
  <c r="V233" i="1"/>
  <c r="V232" i="1"/>
  <c r="V231" i="1"/>
  <c r="V230" i="1"/>
  <c r="V229" i="1"/>
  <c r="V228" i="1"/>
  <c r="V227" i="1"/>
  <c r="V226" i="1"/>
  <c r="V225" i="1"/>
  <c r="V224" i="1"/>
  <c r="V223" i="1"/>
  <c r="V222" i="1"/>
  <c r="V221" i="1"/>
  <c r="V220" i="1"/>
  <c r="V219" i="1"/>
  <c r="V218" i="1"/>
  <c r="V217" i="1"/>
  <c r="V216" i="1"/>
  <c r="V215" i="1"/>
  <c r="V214" i="1"/>
  <c r="V213" i="1"/>
  <c r="V212" i="1"/>
  <c r="V211" i="1"/>
  <c r="V210" i="1"/>
  <c r="V209" i="1"/>
  <c r="V208" i="1"/>
  <c r="V207"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U295" i="1"/>
  <c r="U294" i="1"/>
  <c r="U293" i="1"/>
  <c r="U292" i="1"/>
  <c r="U291" i="1"/>
  <c r="U290" i="1"/>
  <c r="U289" i="1"/>
  <c r="U288" i="1"/>
  <c r="U287" i="1"/>
  <c r="U286" i="1"/>
  <c r="U285" i="1"/>
  <c r="U284" i="1"/>
  <c r="U283" i="1"/>
  <c r="U282" i="1"/>
  <c r="U281" i="1"/>
  <c r="U280" i="1"/>
  <c r="U279" i="1"/>
  <c r="U278" i="1"/>
  <c r="U277" i="1"/>
  <c r="U276" i="1"/>
  <c r="U275" i="1"/>
  <c r="U274" i="1"/>
  <c r="U273" i="1"/>
  <c r="U272" i="1"/>
  <c r="U271" i="1"/>
  <c r="U270" i="1"/>
  <c r="U269" i="1"/>
  <c r="U268" i="1"/>
  <c r="U267" i="1"/>
  <c r="U266" i="1"/>
  <c r="U265" i="1"/>
  <c r="U264" i="1"/>
  <c r="U263" i="1"/>
  <c r="U262" i="1"/>
  <c r="U261" i="1"/>
  <c r="U260" i="1"/>
  <c r="U259" i="1"/>
  <c r="U258" i="1"/>
  <c r="U257" i="1"/>
  <c r="U256" i="1"/>
  <c r="U255" i="1"/>
  <c r="U254" i="1"/>
  <c r="U253" i="1"/>
  <c r="U252" i="1"/>
  <c r="U251" i="1"/>
  <c r="U250" i="1"/>
  <c r="U249" i="1"/>
  <c r="U248" i="1"/>
  <c r="U247" i="1"/>
  <c r="U246" i="1"/>
  <c r="U245"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78" i="1"/>
  <c r="N177" i="1"/>
  <c r="N176" i="1"/>
  <c r="N175" i="1"/>
  <c r="N174" i="1"/>
  <c r="N173" i="1"/>
  <c r="N172" i="1"/>
  <c r="N171" i="1"/>
  <c r="N170" i="1"/>
  <c r="N169" i="1"/>
  <c r="N168" i="1"/>
  <c r="N167" i="1"/>
  <c r="N166" i="1"/>
  <c r="N165" i="1"/>
  <c r="N164" i="1"/>
  <c r="N163" i="1"/>
  <c r="N162" i="1"/>
  <c r="N161" i="1"/>
  <c r="N160"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78" i="1"/>
  <c r="M177" i="1"/>
  <c r="M176" i="1"/>
  <c r="M175" i="1"/>
  <c r="M174" i="1"/>
  <c r="M173" i="1"/>
  <c r="M172" i="1"/>
  <c r="M171" i="1"/>
  <c r="M170" i="1"/>
  <c r="M169" i="1"/>
  <c r="M168" i="1"/>
  <c r="M167" i="1"/>
  <c r="M166" i="1"/>
  <c r="M165" i="1"/>
  <c r="M164" i="1"/>
  <c r="M163" i="1"/>
  <c r="M162" i="1"/>
  <c r="M161" i="1"/>
  <c r="M160"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I295" i="1"/>
  <c r="I294" i="1"/>
  <c r="I293" i="1"/>
  <c r="I292" i="1"/>
  <c r="I291" i="1"/>
  <c r="I290" i="1"/>
  <c r="I289" i="1"/>
  <c r="I288" i="1"/>
  <c r="I287" i="1"/>
  <c r="I286" i="1"/>
  <c r="I285" i="1"/>
  <c r="I284" i="1"/>
  <c r="I283" i="1"/>
  <c r="I282" i="1"/>
  <c r="I281" i="1"/>
  <c r="I280" i="1"/>
  <c r="I279" i="1"/>
  <c r="I278" i="1"/>
  <c r="I277" i="1"/>
  <c r="I276" i="1"/>
  <c r="I275" i="1"/>
  <c r="I274" i="1"/>
  <c r="I273" i="1"/>
  <c r="I272" i="1"/>
  <c r="I271" i="1"/>
  <c r="I270" i="1"/>
  <c r="I269" i="1"/>
  <c r="I268" i="1"/>
  <c r="I267" i="1"/>
  <c r="I266" i="1"/>
  <c r="I265" i="1"/>
  <c r="I264" i="1"/>
  <c r="I263" i="1"/>
  <c r="I262" i="1"/>
  <c r="I261" i="1"/>
  <c r="I260" i="1"/>
  <c r="I259" i="1"/>
  <c r="I258" i="1"/>
  <c r="I257" i="1"/>
  <c r="I256" i="1"/>
  <c r="I255" i="1"/>
  <c r="I254" i="1"/>
  <c r="I253" i="1"/>
  <c r="I252" i="1"/>
  <c r="I251" i="1"/>
  <c r="I250" i="1"/>
  <c r="I249" i="1"/>
  <c r="I248" i="1"/>
  <c r="I247" i="1"/>
  <c r="I246" i="1"/>
  <c r="I245" i="1"/>
  <c r="I244" i="1"/>
  <c r="I243" i="1"/>
  <c r="I242" i="1"/>
  <c r="I241" i="1"/>
  <c r="I240" i="1"/>
  <c r="I239" i="1"/>
  <c r="I238" i="1"/>
  <c r="I237" i="1"/>
  <c r="I236" i="1"/>
  <c r="I235" i="1"/>
  <c r="I234" i="1"/>
  <c r="I233" i="1"/>
  <c r="I232" i="1"/>
  <c r="I231" i="1"/>
  <c r="I230" i="1"/>
  <c r="I229" i="1"/>
  <c r="I228" i="1"/>
  <c r="I227" i="1"/>
  <c r="I226" i="1"/>
  <c r="I225" i="1"/>
  <c r="I224" i="1"/>
  <c r="I223" i="1"/>
  <c r="I222" i="1"/>
  <c r="I221" i="1"/>
  <c r="I220" i="1"/>
  <c r="I219" i="1"/>
  <c r="I218" i="1"/>
  <c r="I217" i="1"/>
  <c r="I216" i="1"/>
  <c r="I215" i="1"/>
  <c r="I214" i="1"/>
  <c r="I213" i="1"/>
  <c r="I212" i="1"/>
  <c r="I211" i="1"/>
  <c r="I210" i="1"/>
  <c r="I209" i="1"/>
  <c r="I208" i="1"/>
  <c r="I207" i="1"/>
  <c r="I206" i="1"/>
  <c r="I205" i="1"/>
  <c r="I204" i="1"/>
  <c r="I203" i="1"/>
  <c r="I202" i="1"/>
  <c r="I201" i="1"/>
  <c r="I200" i="1"/>
  <c r="I199" i="1"/>
  <c r="I198" i="1"/>
  <c r="I197" i="1"/>
  <c r="I196" i="1"/>
  <c r="I195" i="1"/>
  <c r="I194" i="1"/>
  <c r="I193" i="1"/>
  <c r="I192" i="1"/>
  <c r="I191" i="1"/>
  <c r="I190" i="1"/>
  <c r="I189" i="1"/>
  <c r="I188" i="1"/>
  <c r="I187" i="1"/>
  <c r="I186" i="1"/>
  <c r="I185" i="1"/>
  <c r="I184" i="1"/>
  <c r="I183" i="1"/>
  <c r="I182" i="1"/>
  <c r="I181" i="1"/>
  <c r="I180" i="1"/>
  <c r="I179" i="1"/>
  <c r="I178" i="1"/>
  <c r="I177" i="1"/>
  <c r="I176" i="1"/>
  <c r="I175" i="1"/>
  <c r="I174" i="1"/>
  <c r="I173" i="1"/>
  <c r="I172" i="1"/>
  <c r="I171" i="1"/>
  <c r="I170" i="1"/>
  <c r="I169" i="1"/>
  <c r="I168" i="1"/>
  <c r="I167" i="1"/>
  <c r="I166" i="1"/>
  <c r="I165" i="1"/>
  <c r="I164" i="1"/>
  <c r="I163" i="1"/>
  <c r="I162" i="1"/>
  <c r="I161" i="1"/>
  <c r="I160"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G295" i="1"/>
  <c r="G294" i="1"/>
  <c r="G293"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AE50" i="4"/>
  <c r="AE49" i="4"/>
  <c r="D31" i="20"/>
  <c r="AE44" i="4"/>
  <c r="AE43" i="4"/>
  <c r="AE42" i="4"/>
  <c r="AE41" i="4"/>
  <c r="AE40" i="4"/>
  <c r="AE39" i="4"/>
  <c r="AE38" i="4"/>
  <c r="AE37" i="4"/>
  <c r="AE36" i="4"/>
  <c r="AE35" i="4"/>
  <c r="AE34" i="4"/>
  <c r="AE33" i="4"/>
  <c r="AE32" i="4"/>
  <c r="AE31" i="4"/>
  <c r="AE30" i="4"/>
  <c r="AD44" i="4"/>
  <c r="AD42" i="4"/>
  <c r="AD41" i="4"/>
  <c r="AD40" i="4"/>
  <c r="AD39" i="4"/>
  <c r="AD38" i="4"/>
  <c r="AD37" i="4"/>
  <c r="AD36" i="4"/>
  <c r="AD35" i="4"/>
  <c r="AD34" i="4"/>
  <c r="AD33" i="4"/>
  <c r="AD32" i="4"/>
  <c r="AD31" i="4"/>
  <c r="AD30" i="4"/>
  <c r="AC44" i="4"/>
  <c r="AC42" i="4"/>
  <c r="AC41" i="4"/>
  <c r="AC40" i="4"/>
  <c r="AC39" i="4"/>
  <c r="AC38" i="4"/>
  <c r="AC37" i="4"/>
  <c r="AC36" i="4"/>
  <c r="AC35" i="4"/>
  <c r="AC34" i="4"/>
  <c r="AC33" i="4"/>
  <c r="AC32" i="4"/>
  <c r="AC31" i="4"/>
  <c r="AC30" i="4"/>
  <c r="AB44" i="4"/>
  <c r="AB42" i="4"/>
  <c r="AB41" i="4"/>
  <c r="AB40" i="4"/>
  <c r="AB39" i="4"/>
  <c r="AB38" i="4"/>
  <c r="AB37" i="4"/>
  <c r="AB36" i="4"/>
  <c r="AB35" i="4"/>
  <c r="AB34" i="4"/>
  <c r="AB33" i="4"/>
  <c r="AB32" i="4"/>
  <c r="AB31" i="4"/>
  <c r="AB30" i="4"/>
  <c r="AA44" i="4"/>
  <c r="AA43" i="4"/>
  <c r="AA41" i="4"/>
  <c r="AA40" i="4"/>
  <c r="AA39" i="4"/>
  <c r="AA38" i="4"/>
  <c r="AA37" i="4"/>
  <c r="AA36" i="4"/>
  <c r="AA35" i="4"/>
  <c r="AA34" i="4"/>
  <c r="AA33" i="4"/>
  <c r="AA32" i="4"/>
  <c r="AA31" i="4"/>
  <c r="AA30" i="4"/>
  <c r="Z44" i="4"/>
  <c r="Z43" i="4"/>
  <c r="Z41" i="4"/>
  <c r="Z40" i="4"/>
  <c r="Z39" i="4"/>
  <c r="Z38" i="4"/>
  <c r="Z37" i="4"/>
  <c r="Z36" i="4"/>
  <c r="Z35" i="4"/>
  <c r="Z34" i="4"/>
  <c r="Z33" i="4"/>
  <c r="Z32" i="4"/>
  <c r="Z31" i="4"/>
  <c r="Z30" i="4"/>
  <c r="Y44" i="4"/>
  <c r="Y43" i="4"/>
  <c r="Y41" i="4"/>
  <c r="Y40" i="4"/>
  <c r="Y39" i="4"/>
  <c r="Y38" i="4"/>
  <c r="Y37" i="4"/>
  <c r="Y36" i="4"/>
  <c r="Y35" i="4"/>
  <c r="Y34" i="4"/>
  <c r="Y33" i="4"/>
  <c r="Y32" i="4"/>
  <c r="Y31" i="4"/>
  <c r="Y30" i="4"/>
  <c r="X50" i="4"/>
  <c r="X49" i="4"/>
  <c r="D24" i="20"/>
  <c r="X44" i="4"/>
  <c r="X43" i="4"/>
  <c r="X42" i="4"/>
  <c r="X41" i="4"/>
  <c r="X40" i="4"/>
  <c r="X39" i="4"/>
  <c r="X38" i="4"/>
  <c r="X37" i="4"/>
  <c r="X36" i="4"/>
  <c r="X35" i="4"/>
  <c r="X34" i="4"/>
  <c r="X33" i="4"/>
  <c r="X32" i="4"/>
  <c r="X31" i="4"/>
  <c r="X30" i="4"/>
  <c r="W50" i="4"/>
  <c r="W49" i="4"/>
  <c r="D23" i="20"/>
  <c r="W44" i="4"/>
  <c r="W43" i="4"/>
  <c r="W42" i="4"/>
  <c r="W41" i="4"/>
  <c r="W40" i="4"/>
  <c r="W39" i="4"/>
  <c r="W38" i="4"/>
  <c r="W37" i="4"/>
  <c r="W36" i="4"/>
  <c r="W35" i="4"/>
  <c r="W34" i="4"/>
  <c r="W33" i="4"/>
  <c r="W32" i="4"/>
  <c r="W31" i="4"/>
  <c r="W30" i="4"/>
  <c r="V50" i="4"/>
  <c r="V49" i="4"/>
  <c r="D22" i="20"/>
  <c r="V44" i="4"/>
  <c r="V43" i="4"/>
  <c r="V42" i="4"/>
  <c r="V41" i="4"/>
  <c r="V40" i="4"/>
  <c r="V39" i="4"/>
  <c r="V38" i="4"/>
  <c r="V37" i="4"/>
  <c r="V36" i="4"/>
  <c r="V35" i="4"/>
  <c r="V34" i="4"/>
  <c r="V33" i="4"/>
  <c r="V32" i="4"/>
  <c r="V31" i="4"/>
  <c r="V30" i="4"/>
  <c r="U50" i="4"/>
  <c r="U49" i="4"/>
  <c r="D21" i="20"/>
  <c r="U44" i="4"/>
  <c r="U43" i="4"/>
  <c r="U42" i="4"/>
  <c r="U41" i="4"/>
  <c r="U40" i="4"/>
  <c r="U39" i="4"/>
  <c r="U38" i="4"/>
  <c r="U37" i="4"/>
  <c r="U36" i="4"/>
  <c r="U35" i="4"/>
  <c r="U34" i="4"/>
  <c r="U33" i="4"/>
  <c r="U32" i="4"/>
  <c r="U31" i="4"/>
  <c r="U30" i="4"/>
  <c r="T50" i="4"/>
  <c r="T49" i="4"/>
  <c r="D20" i="20"/>
  <c r="T44" i="4"/>
  <c r="T43" i="4"/>
  <c r="T42" i="4"/>
  <c r="T41" i="4"/>
  <c r="T40" i="4"/>
  <c r="T39" i="4"/>
  <c r="T38" i="4"/>
  <c r="T37" i="4"/>
  <c r="T36" i="4"/>
  <c r="T35" i="4"/>
  <c r="T34" i="4"/>
  <c r="T33" i="4"/>
  <c r="T32" i="4"/>
  <c r="T31" i="4"/>
  <c r="T30" i="4"/>
  <c r="S44" i="4"/>
  <c r="S43" i="4"/>
  <c r="S42" i="4"/>
  <c r="S41" i="4"/>
  <c r="S40" i="4"/>
  <c r="S39" i="4"/>
  <c r="S38" i="4"/>
  <c r="S37" i="4"/>
  <c r="S35" i="4"/>
  <c r="S34" i="4"/>
  <c r="S33" i="4"/>
  <c r="S32" i="4"/>
  <c r="S31" i="4"/>
  <c r="S30" i="4"/>
  <c r="R44" i="4"/>
  <c r="R43" i="4"/>
  <c r="R42" i="4"/>
  <c r="R41" i="4"/>
  <c r="R40" i="4"/>
  <c r="R39" i="4"/>
  <c r="R38" i="4"/>
  <c r="R37" i="4"/>
  <c r="R35" i="4"/>
  <c r="R34" i="4"/>
  <c r="R33" i="4"/>
  <c r="R32" i="4"/>
  <c r="R31" i="4"/>
  <c r="R30" i="4"/>
  <c r="Q44" i="4"/>
  <c r="Q43" i="4"/>
  <c r="Q42" i="4"/>
  <c r="Q41" i="4"/>
  <c r="Q40" i="4"/>
  <c r="Q39" i="4"/>
  <c r="Q38" i="4"/>
  <c r="Q37" i="4"/>
  <c r="Q36" i="4"/>
  <c r="Q34" i="4"/>
  <c r="Q33" i="4"/>
  <c r="Q32" i="4"/>
  <c r="Q31" i="4"/>
  <c r="Q30" i="4"/>
  <c r="P44" i="4"/>
  <c r="P43" i="4"/>
  <c r="P42" i="4"/>
  <c r="P41" i="4"/>
  <c r="P40" i="4"/>
  <c r="P39" i="4"/>
  <c r="P38" i="4"/>
  <c r="P37" i="4"/>
  <c r="P36" i="4"/>
  <c r="P34" i="4"/>
  <c r="P33" i="4"/>
  <c r="P32" i="4"/>
  <c r="P31" i="4"/>
  <c r="P30" i="4"/>
  <c r="O44" i="4"/>
  <c r="O43" i="4"/>
  <c r="O42" i="4"/>
  <c r="O41" i="4"/>
  <c r="O40" i="4"/>
  <c r="O39" i="4"/>
  <c r="O38" i="4"/>
  <c r="O37" i="4"/>
  <c r="O36" i="4"/>
  <c r="O34" i="4"/>
  <c r="O33" i="4"/>
  <c r="O32" i="4"/>
  <c r="O31" i="4"/>
  <c r="O30" i="4"/>
  <c r="N44" i="4"/>
  <c r="N43" i="4"/>
  <c r="N42" i="4"/>
  <c r="N41" i="4"/>
  <c r="N40" i="4"/>
  <c r="N39" i="4"/>
  <c r="N38" i="4"/>
  <c r="N37" i="4"/>
  <c r="N36" i="4"/>
  <c r="N34" i="4"/>
  <c r="N33" i="4"/>
  <c r="N32" i="4"/>
  <c r="N31" i="4"/>
  <c r="N30" i="4"/>
  <c r="M44" i="4"/>
  <c r="M43" i="4"/>
  <c r="M42" i="4"/>
  <c r="M41" i="4"/>
  <c r="M40" i="4"/>
  <c r="M39" i="4"/>
  <c r="M38" i="4"/>
  <c r="M37" i="4"/>
  <c r="M36" i="4"/>
  <c r="M35" i="4"/>
  <c r="M33" i="4"/>
  <c r="M32" i="4"/>
  <c r="M31" i="4"/>
  <c r="M30" i="4"/>
  <c r="L44" i="4"/>
  <c r="L43" i="4"/>
  <c r="L42" i="4"/>
  <c r="L41" i="4"/>
  <c r="L40" i="4"/>
  <c r="L39" i="4"/>
  <c r="L38" i="4"/>
  <c r="L37" i="4"/>
  <c r="L36" i="4"/>
  <c r="L35" i="4"/>
  <c r="L33" i="4"/>
  <c r="L32" i="4"/>
  <c r="L31" i="4"/>
  <c r="L30" i="4"/>
  <c r="K44" i="4"/>
  <c r="K43" i="4"/>
  <c r="K42" i="4"/>
  <c r="K41" i="4"/>
  <c r="K40" i="4"/>
  <c r="K39" i="4"/>
  <c r="K38" i="4"/>
  <c r="K37" i="4"/>
  <c r="K36" i="4"/>
  <c r="K35" i="4"/>
  <c r="K33" i="4"/>
  <c r="K32" i="4"/>
  <c r="K31" i="4"/>
  <c r="K30" i="4"/>
  <c r="J50" i="4"/>
  <c r="J49" i="4"/>
  <c r="D10" i="20"/>
  <c r="J44" i="4"/>
  <c r="J43" i="4"/>
  <c r="J42" i="4"/>
  <c r="J41" i="4"/>
  <c r="J40" i="4"/>
  <c r="J39" i="4"/>
  <c r="J38" i="4"/>
  <c r="J37" i="4"/>
  <c r="J36" i="4"/>
  <c r="J35" i="4"/>
  <c r="J34" i="4"/>
  <c r="J33" i="4"/>
  <c r="J32" i="4"/>
  <c r="J31" i="4"/>
  <c r="J30" i="4"/>
  <c r="I44" i="4"/>
  <c r="I43" i="4"/>
  <c r="I42" i="4"/>
  <c r="I41" i="4"/>
  <c r="I40" i="4"/>
  <c r="I39" i="4"/>
  <c r="I38" i="4"/>
  <c r="I37" i="4"/>
  <c r="I36" i="4"/>
  <c r="I35" i="4"/>
  <c r="I34" i="4"/>
  <c r="I33" i="4"/>
  <c r="I31" i="4"/>
  <c r="I30" i="4"/>
  <c r="H44" i="4"/>
  <c r="H43" i="4"/>
  <c r="H42" i="4"/>
  <c r="H41" i="4"/>
  <c r="H40" i="4"/>
  <c r="H39" i="4"/>
  <c r="H38" i="4"/>
  <c r="H37" i="4"/>
  <c r="H36" i="4"/>
  <c r="H35" i="4"/>
  <c r="H34" i="4"/>
  <c r="H33" i="4"/>
  <c r="H31" i="4"/>
  <c r="H30" i="4"/>
  <c r="G44" i="4"/>
  <c r="G43" i="4"/>
  <c r="G42" i="4"/>
  <c r="G41" i="4"/>
  <c r="G40" i="4"/>
  <c r="G39" i="4"/>
  <c r="G38" i="4"/>
  <c r="G37" i="4"/>
  <c r="G36" i="4"/>
  <c r="G35" i="4"/>
  <c r="G34" i="4"/>
  <c r="G33" i="4"/>
  <c r="G32" i="4"/>
  <c r="G30" i="4"/>
  <c r="F44" i="4"/>
  <c r="F43" i="4"/>
  <c r="F42" i="4"/>
  <c r="F41" i="4"/>
  <c r="F40" i="4"/>
  <c r="F39" i="4"/>
  <c r="F38" i="4"/>
  <c r="F37" i="4"/>
  <c r="F36" i="4"/>
  <c r="F35" i="4"/>
  <c r="F34" i="4"/>
  <c r="F33" i="4"/>
  <c r="F32" i="4"/>
  <c r="F30" i="4"/>
  <c r="E44" i="4"/>
  <c r="E43" i="4"/>
  <c r="E42" i="4"/>
  <c r="E41" i="4"/>
  <c r="E40" i="4"/>
  <c r="E39" i="4"/>
  <c r="E38" i="4"/>
  <c r="E37" i="4"/>
  <c r="E36" i="4"/>
  <c r="E35" i="4"/>
  <c r="E34" i="4"/>
  <c r="E33" i="4"/>
  <c r="E32" i="4"/>
  <c r="E31" i="4"/>
  <c r="D44" i="4"/>
  <c r="D43" i="4"/>
  <c r="D42" i="4"/>
  <c r="D41" i="4"/>
  <c r="D40" i="4"/>
  <c r="D39" i="4"/>
  <c r="D38" i="4"/>
  <c r="D37" i="4"/>
  <c r="D36" i="4"/>
  <c r="D35" i="4"/>
  <c r="D34" i="4"/>
  <c r="D33" i="4"/>
  <c r="D32" i="4"/>
  <c r="D31" i="4"/>
  <c r="D30" i="4"/>
  <c r="D4" i="20" s="1"/>
  <c r="AF50" i="4"/>
  <c r="AF49" i="4"/>
  <c r="CV294" i="1"/>
  <c r="CV245" i="1"/>
  <c r="E34" i="5" l="1"/>
  <c r="E5" i="5"/>
  <c r="E649" i="5"/>
  <c r="CV293" i="1" s="1"/>
  <c r="E650" i="5"/>
  <c r="E545" i="5"/>
  <c r="E27" i="5"/>
  <c r="CV235" i="1"/>
  <c r="E583" i="5"/>
  <c r="CX289" i="1"/>
  <c r="E20" i="5"/>
  <c r="E23" i="5" s="1"/>
  <c r="E57" i="5"/>
  <c r="E59" i="5" s="1"/>
  <c r="E28" i="5"/>
  <c r="E51" i="5"/>
  <c r="D49" i="4"/>
  <c r="D50" i="4"/>
  <c r="E523" i="5"/>
  <c r="E521" i="5"/>
  <c r="E520" i="5"/>
  <c r="E524" i="5"/>
  <c r="E21" i="5"/>
  <c r="E30" i="5"/>
  <c r="E602" i="5" s="1"/>
  <c r="E66" i="5"/>
  <c r="AU190" i="1" s="1"/>
  <c r="DE190" i="1" s="1"/>
  <c r="CV164" i="1"/>
  <c r="E33" i="5"/>
  <c r="E58" i="5"/>
  <c r="E60" i="5" s="1"/>
  <c r="E538" i="5" s="1"/>
  <c r="E536" i="5"/>
  <c r="E519" i="5"/>
  <c r="E8" i="5"/>
  <c r="E9" i="5" s="1"/>
  <c r="E10" i="5" s="1"/>
  <c r="E537" i="5"/>
  <c r="E498" i="5"/>
  <c r="E509" i="5"/>
  <c r="E549" i="5"/>
  <c r="CV224" i="1"/>
  <c r="E35" i="5"/>
  <c r="E64" i="5"/>
  <c r="M179" i="1" s="1"/>
  <c r="E522" i="5"/>
  <c r="E850" i="5"/>
  <c r="E71" i="5"/>
  <c r="E74" i="5" s="1"/>
  <c r="E78" i="5" s="1"/>
  <c r="E543" i="5"/>
  <c r="E552" i="5"/>
  <c r="E504" i="5"/>
  <c r="CV208" i="1" s="1"/>
  <c r="E560" i="5"/>
  <c r="CV288" i="1"/>
  <c r="CV223" i="1"/>
  <c r="DA232" i="1"/>
  <c r="CX228" i="1"/>
  <c r="DB201" i="1"/>
  <c r="E489" i="5"/>
  <c r="E565" i="5"/>
  <c r="E514" i="5"/>
  <c r="DA257" i="1"/>
  <c r="DA265" i="1"/>
  <c r="CZ218" i="1"/>
  <c r="CV169" i="1"/>
  <c r="CV163" i="1"/>
  <c r="CV168" i="1"/>
  <c r="CV166" i="1"/>
  <c r="CV161" i="1"/>
  <c r="E508" i="5"/>
  <c r="CX229" i="1"/>
  <c r="DE251" i="1"/>
  <c r="E513" i="5"/>
  <c r="E569" i="5"/>
  <c r="CV283" i="1" s="1"/>
  <c r="E570" i="5"/>
  <c r="E456" i="5"/>
  <c r="E491" i="5"/>
  <c r="E515" i="5"/>
  <c r="E529" i="5"/>
  <c r="E546" i="5"/>
  <c r="CV243" i="1"/>
  <c r="E530" i="5"/>
  <c r="CV190" i="1" s="1"/>
  <c r="E547" i="5"/>
  <c r="E586" i="5"/>
  <c r="DB199" i="1"/>
  <c r="E561" i="5"/>
  <c r="E473" i="5"/>
  <c r="CV167" i="1" s="1"/>
  <c r="E507" i="5"/>
  <c r="CY269" i="1"/>
  <c r="CY189" i="1"/>
  <c r="DI225" i="1"/>
  <c r="DH225" i="1"/>
  <c r="DF225" i="1"/>
  <c r="CX225" i="1"/>
  <c r="DD225" i="1"/>
  <c r="DE225" i="1"/>
  <c r="DF189" i="1"/>
  <c r="CX189" i="1"/>
  <c r="DI189" i="1"/>
  <c r="DH189" i="1"/>
  <c r="DA236" i="1"/>
  <c r="CY194" i="1"/>
  <c r="DB188" i="1"/>
  <c r="DF218" i="1"/>
  <c r="CX218" i="1"/>
  <c r="DE218" i="1"/>
  <c r="DD218" i="1"/>
  <c r="DH218" i="1"/>
  <c r="DI218" i="1"/>
  <c r="DF226" i="1"/>
  <c r="CX226" i="1"/>
  <c r="DE226" i="1"/>
  <c r="DD226" i="1"/>
  <c r="DH226" i="1"/>
  <c r="DI226" i="1"/>
  <c r="DF234" i="1"/>
  <c r="CX234" i="1"/>
  <c r="DE234" i="1"/>
  <c r="DD234" i="1"/>
  <c r="DH234" i="1"/>
  <c r="DI234" i="1"/>
  <c r="DI193" i="1"/>
  <c r="DH193" i="1"/>
  <c r="CX193" i="1"/>
  <c r="DE193" i="1"/>
  <c r="DI227" i="1"/>
  <c r="DH227" i="1"/>
  <c r="CX227" i="1"/>
  <c r="DI223" i="1"/>
  <c r="DH223" i="1"/>
  <c r="CX223" i="1"/>
  <c r="DI199" i="1"/>
  <c r="CX199" i="1"/>
  <c r="DH199" i="1"/>
  <c r="DF199" i="1"/>
  <c r="DE199" i="1"/>
  <c r="DD199" i="1"/>
  <c r="DI219" i="1"/>
  <c r="DH219" i="1"/>
  <c r="DF219" i="1"/>
  <c r="CX219" i="1"/>
  <c r="DD219" i="1"/>
  <c r="DE219" i="1"/>
  <c r="DI235" i="1"/>
  <c r="DH235" i="1"/>
  <c r="DF235" i="1"/>
  <c r="CX235" i="1"/>
  <c r="DD235" i="1"/>
  <c r="DE235" i="1"/>
  <c r="DI243" i="1"/>
  <c r="DH243" i="1"/>
  <c r="DD243" i="1"/>
  <c r="CX243" i="1"/>
  <c r="DF243" i="1"/>
  <c r="DE243" i="1"/>
  <c r="CX194" i="1"/>
  <c r="DI194" i="1"/>
  <c r="DF220" i="1"/>
  <c r="CX220" i="1"/>
  <c r="DE220" i="1"/>
  <c r="DD220" i="1"/>
  <c r="DH220" i="1"/>
  <c r="DI220" i="1"/>
  <c r="DI188" i="1"/>
  <c r="DH188" i="1"/>
  <c r="DF188" i="1"/>
  <c r="CX188" i="1"/>
  <c r="DE188" i="1"/>
  <c r="DD188" i="1"/>
  <c r="DF236" i="1"/>
  <c r="CX236" i="1"/>
  <c r="DE236" i="1"/>
  <c r="DD236" i="1"/>
  <c r="DH236" i="1"/>
  <c r="DI236" i="1"/>
  <c r="DF244" i="1"/>
  <c r="CX244" i="1"/>
  <c r="DE244" i="1"/>
  <c r="DD244" i="1"/>
  <c r="DH244" i="1"/>
  <c r="DI244" i="1"/>
  <c r="CY202" i="1"/>
  <c r="DI221" i="1"/>
  <c r="DH221" i="1"/>
  <c r="DF221" i="1"/>
  <c r="CX221" i="1"/>
  <c r="DD221" i="1"/>
  <c r="DE221" i="1"/>
  <c r="CX237" i="1"/>
  <c r="DI245" i="1"/>
  <c r="DH245" i="1"/>
  <c r="DE245" i="1"/>
  <c r="DD245" i="1"/>
  <c r="CX245" i="1"/>
  <c r="DF245" i="1"/>
  <c r="CX224" i="1"/>
  <c r="DH224" i="1"/>
  <c r="CX232" i="1"/>
  <c r="DH232" i="1"/>
  <c r="CZ292" i="1"/>
  <c r="CZ290" i="1"/>
  <c r="CZ287" i="1"/>
  <c r="CZ271" i="1"/>
  <c r="CZ269" i="1"/>
  <c r="CZ267" i="1"/>
  <c r="CZ264" i="1"/>
  <c r="CZ262" i="1"/>
  <c r="CZ260" i="1"/>
  <c r="CZ258" i="1"/>
  <c r="CZ255" i="1"/>
  <c r="CZ253" i="1"/>
  <c r="CZ251" i="1"/>
  <c r="CZ249" i="1"/>
  <c r="CZ247" i="1"/>
  <c r="CZ245" i="1"/>
  <c r="CZ243" i="1"/>
  <c r="CZ241" i="1"/>
  <c r="CZ291" i="1"/>
  <c r="CZ288" i="1"/>
  <c r="CZ286" i="1"/>
  <c r="CZ270" i="1"/>
  <c r="CZ268" i="1"/>
  <c r="CZ266" i="1"/>
  <c r="CZ263" i="1"/>
  <c r="CZ254" i="1"/>
  <c r="CZ256" i="1"/>
  <c r="CZ248" i="1"/>
  <c r="CZ259" i="1"/>
  <c r="CZ242" i="1"/>
  <c r="CZ240" i="1"/>
  <c r="CZ238" i="1"/>
  <c r="CZ235" i="1"/>
  <c r="CZ233" i="1"/>
  <c r="CZ231" i="1"/>
  <c r="CZ227" i="1"/>
  <c r="CZ225" i="1"/>
  <c r="CZ223" i="1"/>
  <c r="CZ221" i="1"/>
  <c r="CZ219" i="1"/>
  <c r="CZ203" i="1"/>
  <c r="CZ201" i="1"/>
  <c r="CZ261" i="1"/>
  <c r="CZ246" i="1"/>
  <c r="CZ244" i="1"/>
  <c r="CZ239" i="1"/>
  <c r="CZ236" i="1"/>
  <c r="CZ234" i="1"/>
  <c r="CZ232" i="1"/>
  <c r="CZ230" i="1"/>
  <c r="CZ226" i="1"/>
  <c r="CZ224" i="1"/>
  <c r="CZ222" i="1"/>
  <c r="CZ220" i="1"/>
  <c r="CZ252" i="1"/>
  <c r="CZ250" i="1"/>
  <c r="DF291" i="1"/>
  <c r="DF288" i="1"/>
  <c r="DF286" i="1"/>
  <c r="DF270" i="1"/>
  <c r="DF268" i="1"/>
  <c r="DF266" i="1"/>
  <c r="DF263" i="1"/>
  <c r="DF261" i="1"/>
  <c r="DF259" i="1"/>
  <c r="DF256" i="1"/>
  <c r="DF254" i="1"/>
  <c r="DF252" i="1"/>
  <c r="DF250" i="1"/>
  <c r="DF248" i="1"/>
  <c r="DF246" i="1"/>
  <c r="DF242" i="1"/>
  <c r="DF240" i="1"/>
  <c r="DF267" i="1"/>
  <c r="DF260" i="1"/>
  <c r="DF239" i="1"/>
  <c r="DF232" i="1"/>
  <c r="DF230" i="1"/>
  <c r="DF224" i="1"/>
  <c r="DF222" i="1"/>
  <c r="DF290" i="1"/>
  <c r="DF262" i="1"/>
  <c r="DF287" i="1"/>
  <c r="DF269" i="1"/>
  <c r="DF251" i="1"/>
  <c r="DF238" i="1"/>
  <c r="DF233" i="1"/>
  <c r="DF231" i="1"/>
  <c r="DF227" i="1"/>
  <c r="DF223" i="1"/>
  <c r="DF203" i="1"/>
  <c r="DF271" i="1"/>
  <c r="DF255" i="1"/>
  <c r="DF292" i="1"/>
  <c r="DF258" i="1"/>
  <c r="DF247" i="1"/>
  <c r="CZ189" i="1"/>
  <c r="DD193" i="1"/>
  <c r="CZ194" i="1"/>
  <c r="CZ202" i="1"/>
  <c r="DB203" i="1"/>
  <c r="DA218" i="1"/>
  <c r="DE223" i="1"/>
  <c r="DA230" i="1"/>
  <c r="DI232" i="1"/>
  <c r="DE238" i="1"/>
  <c r="DA263" i="1"/>
  <c r="DA291" i="1"/>
  <c r="DI233" i="1"/>
  <c r="DH233" i="1"/>
  <c r="CX233" i="1"/>
  <c r="DI241" i="1"/>
  <c r="DH241" i="1"/>
  <c r="CX241" i="1"/>
  <c r="DA189" i="1"/>
  <c r="DA194" i="1"/>
  <c r="DA202" i="1"/>
  <c r="DA224" i="1"/>
  <c r="DE233" i="1"/>
  <c r="CX242" i="1"/>
  <c r="DI242" i="1"/>
  <c r="DD291" i="1"/>
  <c r="DD288" i="1"/>
  <c r="DD286" i="1"/>
  <c r="DD270" i="1"/>
  <c r="DD268" i="1"/>
  <c r="DD266" i="1"/>
  <c r="DD263" i="1"/>
  <c r="DD261" i="1"/>
  <c r="DD259" i="1"/>
  <c r="DD256" i="1"/>
  <c r="DD254" i="1"/>
  <c r="DD252" i="1"/>
  <c r="DD250" i="1"/>
  <c r="DD248" i="1"/>
  <c r="DD246" i="1"/>
  <c r="DD242" i="1"/>
  <c r="DD292" i="1"/>
  <c r="DD290" i="1"/>
  <c r="DD287" i="1"/>
  <c r="DD271" i="1"/>
  <c r="DD269" i="1"/>
  <c r="DD267" i="1"/>
  <c r="DD264" i="1"/>
  <c r="DD262" i="1"/>
  <c r="DD255" i="1"/>
  <c r="DD258" i="1"/>
  <c r="DD247" i="1"/>
  <c r="DD260" i="1"/>
  <c r="DD239" i="1"/>
  <c r="DD232" i="1"/>
  <c r="DD230" i="1"/>
  <c r="DD224" i="1"/>
  <c r="DD222" i="1"/>
  <c r="DD202" i="1"/>
  <c r="DD251" i="1"/>
  <c r="DD240" i="1"/>
  <c r="DD238" i="1"/>
  <c r="DD233" i="1"/>
  <c r="DD231" i="1"/>
  <c r="DD227" i="1"/>
  <c r="DD223" i="1"/>
  <c r="DD253" i="1"/>
  <c r="DD249" i="1"/>
  <c r="DD241" i="1"/>
  <c r="DB189" i="1"/>
  <c r="DF193" i="1"/>
  <c r="DB194" i="1"/>
  <c r="DE201" i="1"/>
  <c r="DB202" i="1"/>
  <c r="DD203" i="1"/>
  <c r="DI224" i="1"/>
  <c r="DA234" i="1"/>
  <c r="DF249" i="1"/>
  <c r="DF253" i="1"/>
  <c r="CY291" i="1"/>
  <c r="CY288" i="1"/>
  <c r="CY286" i="1"/>
  <c r="CY270" i="1"/>
  <c r="CY268" i="1"/>
  <c r="CY266" i="1"/>
  <c r="CY263" i="1"/>
  <c r="CY261" i="1"/>
  <c r="CY259" i="1"/>
  <c r="CY256" i="1"/>
  <c r="CY254" i="1"/>
  <c r="CY252" i="1"/>
  <c r="CY292" i="1"/>
  <c r="CY290" i="1"/>
  <c r="CY287" i="1"/>
  <c r="CY271" i="1"/>
  <c r="CY253" i="1"/>
  <c r="CY250" i="1"/>
  <c r="CY255" i="1"/>
  <c r="CY249" i="1"/>
  <c r="CY241" i="1"/>
  <c r="CY267" i="1"/>
  <c r="CY258" i="1"/>
  <c r="CY248" i="1"/>
  <c r="CY243" i="1"/>
  <c r="CY260" i="1"/>
  <c r="CY247" i="1"/>
  <c r="CY245" i="1"/>
  <c r="CY242" i="1"/>
  <c r="CY240" i="1"/>
  <c r="CY238" i="1"/>
  <c r="CY235" i="1"/>
  <c r="CY233" i="1"/>
  <c r="CY231" i="1"/>
  <c r="CY227" i="1"/>
  <c r="CY225" i="1"/>
  <c r="CY223" i="1"/>
  <c r="CY221" i="1"/>
  <c r="CY219" i="1"/>
  <c r="CY203" i="1"/>
  <c r="CY201" i="1"/>
  <c r="CY199" i="1"/>
  <c r="CY262" i="1"/>
  <c r="CY246" i="1"/>
  <c r="CY244" i="1"/>
  <c r="CY264" i="1"/>
  <c r="CY251" i="1"/>
  <c r="CY239" i="1"/>
  <c r="CY236" i="1"/>
  <c r="CY234" i="1"/>
  <c r="CY232" i="1"/>
  <c r="CY230" i="1"/>
  <c r="CY226" i="1"/>
  <c r="CY224" i="1"/>
  <c r="CY222" i="1"/>
  <c r="CY220" i="1"/>
  <c r="CY218" i="1"/>
  <c r="DB292" i="1"/>
  <c r="DB290" i="1"/>
  <c r="DB287" i="1"/>
  <c r="DB271" i="1"/>
  <c r="DB269" i="1"/>
  <c r="DB267" i="1"/>
  <c r="DB264" i="1"/>
  <c r="DB262" i="1"/>
  <c r="DB260" i="1"/>
  <c r="DB258" i="1"/>
  <c r="DB255" i="1"/>
  <c r="DB253" i="1"/>
  <c r="DB251" i="1"/>
  <c r="DB249" i="1"/>
  <c r="DB247" i="1"/>
  <c r="DB245" i="1"/>
  <c r="DB243" i="1"/>
  <c r="DB241" i="1"/>
  <c r="DB286" i="1"/>
  <c r="DB259" i="1"/>
  <c r="DB242" i="1"/>
  <c r="DB240" i="1"/>
  <c r="DB238" i="1"/>
  <c r="DB235" i="1"/>
  <c r="DB233" i="1"/>
  <c r="DB231" i="1"/>
  <c r="DB227" i="1"/>
  <c r="DB225" i="1"/>
  <c r="DB223" i="1"/>
  <c r="DB221" i="1"/>
  <c r="DB219" i="1"/>
  <c r="DB261" i="1"/>
  <c r="DB246" i="1"/>
  <c r="DB244" i="1"/>
  <c r="DB268" i="1"/>
  <c r="DB291" i="1"/>
  <c r="DB263" i="1"/>
  <c r="DB239" i="1"/>
  <c r="DB236" i="1"/>
  <c r="DB234" i="1"/>
  <c r="DB232" i="1"/>
  <c r="DB230" i="1"/>
  <c r="DB226" i="1"/>
  <c r="DB224" i="1"/>
  <c r="DB222" i="1"/>
  <c r="DB220" i="1"/>
  <c r="DB218" i="1"/>
  <c r="DB288" i="1"/>
  <c r="DB254" i="1"/>
  <c r="DB266" i="1"/>
  <c r="DB256" i="1"/>
  <c r="DB248" i="1"/>
  <c r="DE291" i="1"/>
  <c r="DE288" i="1"/>
  <c r="DE286" i="1"/>
  <c r="DE270" i="1"/>
  <c r="DE268" i="1"/>
  <c r="DE266" i="1"/>
  <c r="DE263" i="1"/>
  <c r="DE261" i="1"/>
  <c r="DE259" i="1"/>
  <c r="DE256" i="1"/>
  <c r="DE254" i="1"/>
  <c r="DE252" i="1"/>
  <c r="DE250" i="1"/>
  <c r="DE248" i="1"/>
  <c r="DE246" i="1"/>
  <c r="DE242" i="1"/>
  <c r="DE240" i="1"/>
  <c r="DE292" i="1"/>
  <c r="DE258" i="1"/>
  <c r="DE247" i="1"/>
  <c r="DE267" i="1"/>
  <c r="DE260" i="1"/>
  <c r="DE239" i="1"/>
  <c r="DE232" i="1"/>
  <c r="DE230" i="1"/>
  <c r="DE224" i="1"/>
  <c r="DE222" i="1"/>
  <c r="DE202" i="1"/>
  <c r="DE290" i="1"/>
  <c r="DE262" i="1"/>
  <c r="DE287" i="1"/>
  <c r="DE269" i="1"/>
  <c r="DE264" i="1"/>
  <c r="DE253" i="1"/>
  <c r="DE249" i="1"/>
  <c r="DE241" i="1"/>
  <c r="DE271" i="1"/>
  <c r="DE255" i="1"/>
  <c r="CY188" i="1"/>
  <c r="CY193" i="1"/>
  <c r="DD194" i="1"/>
  <c r="DF201" i="1"/>
  <c r="DF202" i="1"/>
  <c r="DE203" i="1"/>
  <c r="DA220" i="1"/>
  <c r="DF241" i="1"/>
  <c r="CZ188" i="1"/>
  <c r="DD189" i="1"/>
  <c r="CZ193" i="1"/>
  <c r="DE194" i="1"/>
  <c r="DA226" i="1"/>
  <c r="DE231" i="1"/>
  <c r="DA239" i="1"/>
  <c r="DH242" i="1"/>
  <c r="DF264" i="1"/>
  <c r="DA188" i="1"/>
  <c r="DE189" i="1"/>
  <c r="DA193" i="1"/>
  <c r="DF194" i="1"/>
  <c r="DB270" i="1"/>
  <c r="CX222" i="1"/>
  <c r="DH222" i="1"/>
  <c r="DA292" i="1"/>
  <c r="DA290" i="1"/>
  <c r="DA287" i="1"/>
  <c r="DA271" i="1"/>
  <c r="DA269" i="1"/>
  <c r="DA267" i="1"/>
  <c r="DA264" i="1"/>
  <c r="DA262" i="1"/>
  <c r="DA260" i="1"/>
  <c r="DA258" i="1"/>
  <c r="DA255" i="1"/>
  <c r="DA253" i="1"/>
  <c r="DA251" i="1"/>
  <c r="DA249" i="1"/>
  <c r="DA247" i="1"/>
  <c r="DA245" i="1"/>
  <c r="DA243" i="1"/>
  <c r="DA241" i="1"/>
  <c r="DA266" i="1"/>
  <c r="DA256" i="1"/>
  <c r="DA248" i="1"/>
  <c r="DA286" i="1"/>
  <c r="DA259" i="1"/>
  <c r="DA242" i="1"/>
  <c r="DA240" i="1"/>
  <c r="DA238" i="1"/>
  <c r="DA235" i="1"/>
  <c r="DA233" i="1"/>
  <c r="DA231" i="1"/>
  <c r="DA227" i="1"/>
  <c r="DA225" i="1"/>
  <c r="DA223" i="1"/>
  <c r="DA221" i="1"/>
  <c r="DA219" i="1"/>
  <c r="DA203" i="1"/>
  <c r="DA201" i="1"/>
  <c r="DA199" i="1"/>
  <c r="DA261" i="1"/>
  <c r="DA246" i="1"/>
  <c r="DA244" i="1"/>
  <c r="DA268" i="1"/>
  <c r="DA270" i="1"/>
  <c r="DA252" i="1"/>
  <c r="DA250" i="1"/>
  <c r="DA288" i="1"/>
  <c r="DA254" i="1"/>
  <c r="DB193" i="1"/>
  <c r="CZ199" i="1"/>
  <c r="DA222" i="1"/>
  <c r="DE227" i="1"/>
  <c r="DB250" i="1"/>
  <c r="DB252" i="1"/>
  <c r="E457" i="5"/>
  <c r="CV269" i="1" s="1"/>
  <c r="E554" i="5"/>
  <c r="E24" i="5"/>
  <c r="E484" i="5"/>
  <c r="CV178" i="1" s="1"/>
  <c r="E490" i="5"/>
  <c r="E544" i="5"/>
  <c r="E542" i="5"/>
  <c r="E568" i="5"/>
  <c r="E572" i="5"/>
  <c r="E581" i="5"/>
  <c r="E580" i="5"/>
  <c r="E488" i="5"/>
  <c r="E553" i="5"/>
  <c r="CV272" i="1" s="1"/>
  <c r="E577" i="5"/>
  <c r="CV281" i="1" s="1"/>
  <c r="E482" i="5"/>
  <c r="E532" i="5"/>
  <c r="E410" i="5"/>
  <c r="E531" i="5" s="1"/>
  <c r="E492" i="5"/>
  <c r="CV205" i="1" s="1"/>
  <c r="E541" i="5"/>
  <c r="E412" i="5"/>
  <c r="E534" i="5" s="1"/>
  <c r="E477" i="5"/>
  <c r="CV160" i="1" s="1"/>
  <c r="E574" i="5"/>
  <c r="E582" i="5"/>
  <c r="E559" i="5"/>
  <c r="CV277" i="1"/>
  <c r="E610" i="5"/>
  <c r="E622" i="5"/>
  <c r="E634" i="5"/>
  <c r="E646" i="5"/>
  <c r="CV290" i="1" s="1"/>
  <c r="E681" i="5"/>
  <c r="E697" i="5" s="1"/>
  <c r="E81" i="5"/>
  <c r="E615" i="5"/>
  <c r="E627" i="5"/>
  <c r="CV211" i="1" s="1"/>
  <c r="E639" i="5"/>
  <c r="E670" i="5"/>
  <c r="E640" i="5"/>
  <c r="E671" i="5"/>
  <c r="E617" i="5"/>
  <c r="E629" i="5"/>
  <c r="E674" i="5"/>
  <c r="E680" i="5"/>
  <c r="E679" i="5"/>
  <c r="E655" i="5"/>
  <c r="E654" i="5" s="1"/>
  <c r="E672" i="5"/>
  <c r="E673" i="5"/>
  <c r="CV229" i="1"/>
  <c r="CV228" i="1"/>
  <c r="CV282" i="1"/>
  <c r="CV278" i="1"/>
  <c r="CV286" i="1"/>
  <c r="CV287" i="1"/>
  <c r="CV165" i="1"/>
  <c r="CV238" i="1"/>
  <c r="CV172" i="1"/>
  <c r="N179" i="1"/>
  <c r="AR179" i="1"/>
  <c r="AU179" i="1"/>
  <c r="N180" i="1"/>
  <c r="AI180" i="1"/>
  <c r="N181" i="1"/>
  <c r="AD181" i="1"/>
  <c r="AU197" i="1"/>
  <c r="CV191" i="1"/>
  <c r="CV179" i="1"/>
  <c r="M180" i="1"/>
  <c r="AE180" i="1"/>
  <c r="CV180" i="1"/>
  <c r="M181" i="1"/>
  <c r="E14" i="5"/>
  <c r="E15" i="5" s="1"/>
  <c r="CY237" i="1"/>
  <c r="CY289" i="1"/>
  <c r="CZ237" i="1"/>
  <c r="CZ289" i="1"/>
  <c r="DA237" i="1"/>
  <c r="DA289" i="1"/>
  <c r="DB237" i="1"/>
  <c r="DB289" i="1"/>
  <c r="DD237" i="1"/>
  <c r="DD289" i="1"/>
  <c r="DE237" i="1"/>
  <c r="DE289" i="1"/>
  <c r="DF237" i="1"/>
  <c r="DF289" i="1"/>
  <c r="DH237" i="1"/>
  <c r="DH289" i="1"/>
  <c r="DI237" i="1"/>
  <c r="DI289" i="1"/>
  <c r="CV275" i="1"/>
  <c r="DB257" i="1"/>
  <c r="DB265" i="1"/>
  <c r="DD257" i="1"/>
  <c r="DD265" i="1"/>
  <c r="DE257" i="1"/>
  <c r="DE265" i="1"/>
  <c r="DF257" i="1"/>
  <c r="DF265" i="1"/>
  <c r="DH257" i="1"/>
  <c r="DH265" i="1"/>
  <c r="DI257" i="1"/>
  <c r="DI265" i="1"/>
  <c r="CX257" i="1"/>
  <c r="CX265" i="1"/>
  <c r="CY257" i="1"/>
  <c r="CY265" i="1"/>
  <c r="CZ257" i="1"/>
  <c r="CZ265" i="1"/>
  <c r="CY228" i="1"/>
  <c r="CY229" i="1"/>
  <c r="CZ228" i="1"/>
  <c r="CZ229" i="1"/>
  <c r="DA228" i="1"/>
  <c r="DA229" i="1"/>
  <c r="DB228" i="1"/>
  <c r="DB229" i="1"/>
  <c r="DD228" i="1"/>
  <c r="DD229" i="1"/>
  <c r="DE228" i="1"/>
  <c r="DE229" i="1"/>
  <c r="DF228" i="1"/>
  <c r="DF229" i="1"/>
  <c r="DH228" i="1"/>
  <c r="DH229" i="1"/>
  <c r="DI228" i="1"/>
  <c r="DI229" i="1"/>
  <c r="E748" i="5" a="1"/>
  <c r="E748" i="5" s="1"/>
  <c r="E747" i="5" a="1"/>
  <c r="E747" i="5" s="1"/>
  <c r="E749" i="5" s="1" a="1"/>
  <c r="E749" i="5" s="1"/>
  <c r="E127" i="5" l="1"/>
  <c r="DF190" i="1"/>
  <c r="DA190" i="1"/>
  <c r="AU192" i="1"/>
  <c r="CX190" i="1"/>
  <c r="AU180" i="1"/>
  <c r="DD190" i="1"/>
  <c r="CZ190" i="1"/>
  <c r="DB190" i="1"/>
  <c r="AU198" i="1"/>
  <c r="DI190" i="1"/>
  <c r="CY190" i="1"/>
  <c r="DH190" i="1"/>
  <c r="AU181" i="1"/>
  <c r="AU191" i="1"/>
  <c r="CX191" i="1" s="1"/>
  <c r="CV207" i="1"/>
  <c r="E128" i="5"/>
  <c r="CV174" i="1"/>
  <c r="CV187" i="1"/>
  <c r="CV289" i="1"/>
  <c r="CV171" i="1"/>
  <c r="CV170" i="1"/>
  <c r="CV216" i="1"/>
  <c r="CV276" i="1"/>
  <c r="E83" i="5"/>
  <c r="CV237" i="1" s="1"/>
  <c r="E84" i="5"/>
  <c r="CV270" i="1" s="1"/>
  <c r="E82" i="5"/>
  <c r="E677" i="5"/>
  <c r="E669" i="5"/>
  <c r="E676" i="5"/>
  <c r="E675" i="5"/>
  <c r="E678" i="5"/>
  <c r="E539" i="5"/>
  <c r="CV198" i="1" s="1"/>
  <c r="E540" i="5"/>
  <c r="CV193" i="1" s="1"/>
  <c r="DH192" i="1"/>
  <c r="CV274" i="1"/>
  <c r="DB192" i="1"/>
  <c r="CZ192" i="1"/>
  <c r="DF192" i="1"/>
  <c r="CV279" i="1"/>
  <c r="E89" i="5" s="1"/>
  <c r="E90" i="5" s="1"/>
  <c r="CV285" i="1"/>
  <c r="CV215" i="1"/>
  <c r="CV280" i="1"/>
  <c r="CV197" i="1"/>
  <c r="CV162" i="1"/>
  <c r="CV226" i="1"/>
  <c r="CV194" i="1"/>
  <c r="CV192" i="1"/>
  <c r="CV184" i="1"/>
  <c r="CV181" i="1"/>
  <c r="CV210" i="1"/>
  <c r="CV217" i="1"/>
  <c r="CV173" i="1"/>
  <c r="CV227" i="1"/>
  <c r="CV222" i="1"/>
  <c r="CV284" i="1"/>
  <c r="CV204" i="1"/>
  <c r="CV175" i="1"/>
  <c r="CV176" i="1"/>
  <c r="CV177" i="1"/>
  <c r="DF191" i="1"/>
  <c r="DD192" i="1"/>
  <c r="CV213" i="1"/>
  <c r="CV214" i="1"/>
  <c r="CV201" i="1"/>
  <c r="CV199" i="1"/>
  <c r="CV202" i="1"/>
  <c r="E130" i="5" s="1"/>
  <c r="CV218" i="1"/>
  <c r="CV219" i="1"/>
  <c r="CV273" i="1"/>
  <c r="E662" i="5"/>
  <c r="E659" i="5" s="1"/>
  <c r="E661" i="5"/>
  <c r="E658" i="5" s="1"/>
  <c r="E660" i="5"/>
  <c r="E657" i="5" s="1"/>
  <c r="E665" i="5"/>
  <c r="E664" i="5"/>
  <c r="E689" i="5" s="1"/>
  <c r="E663" i="5"/>
  <c r="E695" i="5" s="1"/>
  <c r="E712" i="5" s="1"/>
  <c r="F31" i="4"/>
  <c r="D6" i="20" s="1"/>
  <c r="G31" i="4"/>
  <c r="D7" i="20" s="1"/>
  <c r="E63" i="5"/>
  <c r="E62" i="5"/>
  <c r="CV188" i="1" s="1"/>
  <c r="E61" i="5"/>
  <c r="CV189" i="1" s="1"/>
  <c r="CZ191" i="1"/>
  <c r="DH191" i="1"/>
  <c r="CY192" i="1"/>
  <c r="CV185" i="1"/>
  <c r="CV186" i="1"/>
  <c r="CV183" i="1"/>
  <c r="CV182" i="1"/>
  <c r="DB191" i="1"/>
  <c r="DD191" i="1"/>
  <c r="CV251" i="1"/>
  <c r="E750" i="5" a="1"/>
  <c r="E750" i="5" s="1"/>
  <c r="DE191" i="1" l="1"/>
  <c r="DA191" i="1"/>
  <c r="DI191" i="1"/>
  <c r="CY191" i="1"/>
  <c r="E137" i="5"/>
  <c r="DE192" i="1"/>
  <c r="DI192" i="1"/>
  <c r="CX192" i="1"/>
  <c r="DA192" i="1"/>
  <c r="E124" i="5"/>
  <c r="E805" i="5"/>
  <c r="E798" i="5"/>
  <c r="E814" i="5"/>
  <c r="E685" i="5"/>
  <c r="E30" i="4" s="1"/>
  <c r="D5" i="20" s="1"/>
  <c r="E693" i="5"/>
  <c r="E691" i="5"/>
  <c r="E686" i="5"/>
  <c r="E696" i="5"/>
  <c r="E713" i="5" s="1"/>
  <c r="E690" i="5"/>
  <c r="E688" i="5"/>
  <c r="E711" i="5" s="1"/>
  <c r="E701" i="5"/>
  <c r="E687" i="5"/>
  <c r="E702" i="5"/>
  <c r="E703" i="5"/>
  <c r="E705" i="5"/>
  <c r="E706" i="5"/>
  <c r="E692" i="5"/>
  <c r="E694" i="5"/>
  <c r="E704" i="5"/>
  <c r="G50" i="4"/>
  <c r="G49" i="4"/>
  <c r="F49" i="4"/>
  <c r="F50" i="4"/>
  <c r="E442" i="5"/>
  <c r="E434" i="5"/>
  <c r="E122" i="5"/>
  <c r="E136" i="5"/>
  <c r="CV196" i="1"/>
  <c r="CV195" i="1"/>
  <c r="L34" i="4" l="1"/>
  <c r="D12" i="20" s="1"/>
  <c r="P35" i="4"/>
  <c r="D16" i="20" s="1"/>
  <c r="P50" i="4" s="1"/>
  <c r="E714" i="5"/>
  <c r="E710" i="5"/>
  <c r="K34" i="4"/>
  <c r="D11" i="20" s="1"/>
  <c r="AC43" i="4"/>
  <c r="D29" i="20" s="1"/>
  <c r="AD43" i="4"/>
  <c r="D30" i="20" s="1"/>
  <c r="AB43" i="4"/>
  <c r="D28" i="20" s="1"/>
  <c r="Z42" i="4"/>
  <c r="D26" i="20" s="1"/>
  <c r="AA42" i="4"/>
  <c r="D27" i="20" s="1"/>
  <c r="Y42" i="4"/>
  <c r="D25" i="20" s="1"/>
  <c r="Q35" i="4"/>
  <c r="D17" i="20" s="1"/>
  <c r="M34" i="4"/>
  <c r="D13" i="20" s="1"/>
  <c r="L50" i="4"/>
  <c r="E438" i="5"/>
  <c r="L49" i="4"/>
  <c r="E436" i="5"/>
  <c r="E432" i="5"/>
  <c r="S36" i="4"/>
  <c r="D19" i="20" s="1"/>
  <c r="R36" i="4"/>
  <c r="D18" i="20" s="1"/>
  <c r="E50" i="4"/>
  <c r="E49" i="4"/>
  <c r="O35" i="4"/>
  <c r="D15" i="20" s="1"/>
  <c r="N35" i="4"/>
  <c r="D14" i="20" s="1"/>
  <c r="I32" i="4"/>
  <c r="D9" i="20" s="1"/>
  <c r="H32" i="4"/>
  <c r="D8" i="20" s="1"/>
  <c r="E796" i="5" s="1"/>
  <c r="CV256" i="1"/>
  <c r="CV264" i="1"/>
  <c r="CV212" i="1"/>
  <c r="E177" i="5"/>
  <c r="E807" i="5" l="1"/>
  <c r="CV292" i="1" s="1"/>
  <c r="E816" i="5"/>
  <c r="CV268" i="1" s="1"/>
  <c r="P49" i="4"/>
  <c r="E102" i="5"/>
  <c r="E105" i="5" s="1"/>
  <c r="CV248" i="1" s="1"/>
  <c r="K49" i="4"/>
  <c r="E803" i="5"/>
  <c r="CV252" i="1" s="1"/>
  <c r="E812" i="5"/>
  <c r="CV260" i="1" s="1"/>
  <c r="E715" i="5"/>
  <c r="E50" i="5" s="1"/>
  <c r="K50" i="4"/>
  <c r="E501" i="5"/>
  <c r="CV203" i="1" s="1"/>
  <c r="E131" i="5" s="1"/>
  <c r="E129" i="5" s="1"/>
  <c r="E126" i="5" s="1"/>
  <c r="I50" i="4"/>
  <c r="I49" i="4"/>
  <c r="Q50" i="4"/>
  <c r="Q49" i="4"/>
  <c r="E114" i="5"/>
  <c r="E117" i="5" s="1"/>
  <c r="CV250" i="1" s="1"/>
  <c r="E98" i="5"/>
  <c r="E101" i="5" s="1"/>
  <c r="CV247" i="1" s="1"/>
  <c r="E94" i="5"/>
  <c r="E97" i="5" s="1"/>
  <c r="CV249" i="1" s="1"/>
  <c r="AD50" i="4"/>
  <c r="AD49" i="4"/>
  <c r="AA50" i="4"/>
  <c r="AA49" i="4"/>
  <c r="Z50" i="4"/>
  <c r="Z49" i="4"/>
  <c r="O50" i="4"/>
  <c r="O49" i="4"/>
  <c r="S50" i="4"/>
  <c r="S49" i="4"/>
  <c r="Y50" i="4"/>
  <c r="Y49" i="4"/>
  <c r="R50" i="4"/>
  <c r="R49" i="4"/>
  <c r="AB50" i="4"/>
  <c r="AB49" i="4"/>
  <c r="E430" i="5"/>
  <c r="H50" i="4"/>
  <c r="E440" i="5"/>
  <c r="CV209" i="1" s="1"/>
  <c r="H49" i="4"/>
  <c r="AC50" i="4"/>
  <c r="AC49" i="4"/>
  <c r="E110" i="5"/>
  <c r="E113" i="5" s="1"/>
  <c r="CV291" i="1" s="1"/>
  <c r="N50" i="4"/>
  <c r="N49" i="4"/>
  <c r="M50" i="4"/>
  <c r="M49" i="4"/>
  <c r="E106" i="5"/>
  <c r="E109" i="5" s="1"/>
  <c r="CV246" i="1" s="1"/>
  <c r="CV206" i="1"/>
  <c r="CV200" i="1"/>
  <c r="E817" i="5"/>
  <c r="E808" i="5"/>
  <c r="E431" i="5"/>
  <c r="E396" i="5"/>
  <c r="E394" i="5"/>
  <c r="E372" i="5"/>
  <c r="E363" i="5"/>
  <c r="E361" i="5"/>
  <c r="E359" i="5"/>
  <c r="E357" i="5"/>
  <c r="E355" i="5"/>
  <c r="E353" i="5"/>
  <c r="E351" i="5"/>
  <c r="E349" i="5"/>
  <c r="E347" i="5"/>
  <c r="E342" i="5"/>
  <c r="E340" i="5"/>
  <c r="E338" i="5"/>
  <c r="E336" i="5"/>
  <c r="E334" i="5"/>
  <c r="E329" i="5"/>
  <c r="E327" i="5"/>
  <c r="E325" i="5"/>
  <c r="E323" i="5"/>
  <c r="E321" i="5"/>
  <c r="CV271" i="1" l="1"/>
  <c r="AF22" i="4"/>
  <c r="E761" i="5" s="1"/>
  <c r="AF23" i="4"/>
  <c r="E762" i="5" s="1"/>
  <c r="E125" i="5"/>
  <c r="E135" i="5"/>
  <c r="E134" i="5"/>
  <c r="E123" i="5"/>
  <c r="E121" i="5" s="1"/>
  <c r="E138" i="5"/>
  <c r="E132" i="5"/>
  <c r="E112" i="5"/>
  <c r="E111" i="5"/>
  <c r="E133" i="5" l="1"/>
  <c r="E303" i="5"/>
  <c r="E301" i="5"/>
  <c r="E417" i="5" l="1"/>
  <c r="E443" i="5" s="1" a="1"/>
  <c r="E443" i="5" s="1"/>
  <c r="L449" i="36"/>
  <c r="L448" i="36"/>
  <c r="L447" i="36"/>
  <c r="L446" i="36"/>
  <c r="L442" i="36"/>
  <c r="L441" i="36"/>
  <c r="L440" i="36"/>
  <c r="L439" i="36"/>
  <c r="L438" i="36"/>
  <c r="L437" i="36"/>
  <c r="L436" i="36"/>
  <c r="L435" i="36"/>
  <c r="L434" i="36"/>
  <c r="D396" i="36"/>
  <c r="D395" i="36" s="1"/>
  <c r="D393" i="36"/>
  <c r="D392" i="36"/>
  <c r="D339" i="36"/>
  <c r="D338" i="36"/>
  <c r="D337" i="36"/>
  <c r="D336" i="36"/>
  <c r="D335" i="36"/>
  <c r="D334" i="36"/>
  <c r="D333" i="36"/>
  <c r="D332" i="36"/>
  <c r="D331" i="36"/>
  <c r="D330" i="36"/>
  <c r="D329" i="36"/>
  <c r="D328" i="36"/>
  <c r="D327" i="36"/>
  <c r="D326" i="36"/>
  <c r="D325" i="36"/>
  <c r="D324" i="36"/>
  <c r="D320" i="36"/>
  <c r="D318" i="36"/>
  <c r="D316" i="36"/>
  <c r="D315" i="36"/>
  <c r="D313" i="36"/>
  <c r="D309" i="36"/>
  <c r="D308" i="36"/>
  <c r="D307" i="36"/>
  <c r="D306" i="36"/>
  <c r="D305" i="36"/>
  <c r="D301" i="36"/>
  <c r="D300" i="36"/>
  <c r="D299" i="36"/>
  <c r="D298" i="36"/>
  <c r="D297" i="36"/>
  <c r="D296" i="36"/>
  <c r="D295" i="36"/>
  <c r="D294" i="36"/>
  <c r="D293" i="36"/>
  <c r="D289" i="36"/>
  <c r="D288" i="36"/>
  <c r="D286" i="36"/>
  <c r="D284" i="36"/>
  <c r="D283" i="36"/>
  <c r="D282" i="36"/>
  <c r="D281" i="36"/>
  <c r="D275" i="36"/>
  <c r="D236" i="36" s="1"/>
  <c r="D274" i="36"/>
  <c r="D273" i="36"/>
  <c r="D272" i="36"/>
  <c r="D271" i="36"/>
  <c r="D270" i="36"/>
  <c r="D269" i="36"/>
  <c r="D267" i="36"/>
  <c r="D268" i="36" s="1"/>
  <c r="D266" i="36"/>
  <c r="D265" i="36"/>
  <c r="D264" i="36"/>
  <c r="D263" i="36"/>
  <c r="D262" i="36"/>
  <c r="D261" i="36"/>
  <c r="D260" i="36"/>
  <c r="D259" i="36"/>
  <c r="D258" i="36"/>
  <c r="D257" i="36"/>
  <c r="D256" i="36"/>
  <c r="D255" i="36"/>
  <c r="D254" i="36"/>
  <c r="D253" i="36"/>
  <c r="D252" i="36"/>
  <c r="D251" i="36"/>
  <c r="D250" i="36"/>
  <c r="D249" i="36"/>
  <c r="D248" i="36"/>
  <c r="D247" i="36"/>
  <c r="D246" i="36"/>
  <c r="D245" i="36"/>
  <c r="D244" i="36"/>
  <c r="D243" i="36"/>
  <c r="D242" i="36"/>
  <c r="D241" i="36"/>
  <c r="D240" i="36"/>
  <c r="D208" i="36" s="1"/>
  <c r="D239" i="36"/>
  <c r="D238" i="36"/>
  <c r="D276" i="36" s="1"/>
  <c r="D237" i="36"/>
  <c r="D235" i="36"/>
  <c r="D234" i="36"/>
  <c r="D233" i="36"/>
  <c r="D232" i="36"/>
  <c r="D231" i="36"/>
  <c r="D230" i="36"/>
  <c r="D229" i="36"/>
  <c r="D228" i="36"/>
  <c r="D227" i="36"/>
  <c r="D226" i="36"/>
  <c r="D225" i="36"/>
  <c r="D224" i="36"/>
  <c r="D223" i="36"/>
  <c r="D222" i="36"/>
  <c r="D221" i="36"/>
  <c r="D220" i="36"/>
  <c r="D219" i="36"/>
  <c r="D218" i="36"/>
  <c r="D216" i="36"/>
  <c r="D215" i="36"/>
  <c r="D214" i="36"/>
  <c r="D213" i="36"/>
  <c r="D207" i="36"/>
  <c r="D206" i="36"/>
  <c r="D205" i="36"/>
  <c r="D204" i="36"/>
  <c r="D203" i="36"/>
  <c r="D202" i="36"/>
  <c r="D201" i="36"/>
  <c r="D200" i="36"/>
  <c r="D62" i="36"/>
  <c r="D42" i="36"/>
  <c r="K32" i="36"/>
  <c r="D32" i="36"/>
  <c r="K31" i="36"/>
  <c r="D31" i="36"/>
  <c r="D27" i="36"/>
  <c r="D438" i="9" l="1"/>
  <c r="E36" i="5" s="1"/>
  <c r="E783" i="5"/>
  <c r="E782" i="5"/>
  <c r="D277" i="36"/>
  <c r="D217" i="36"/>
  <c r="D212" i="36"/>
  <c r="E791" i="5" l="1"/>
  <c r="E786" i="5"/>
  <c r="E787" i="5" l="1"/>
  <c r="E725" i="5" l="1"/>
  <c r="E199" i="5" l="1"/>
  <c r="E406" i="5" l="1"/>
  <c r="E439" i="5" s="1" a="1"/>
  <c r="E439" i="5" s="1"/>
  <c r="E404" i="5"/>
  <c r="E403" i="5"/>
  <c r="E401" i="5"/>
  <c r="E400" i="5"/>
  <c r="E433" i="5" s="1" a="1"/>
  <c r="E433" i="5" s="1"/>
  <c r="E409" i="5" l="1"/>
  <c r="E413" i="5"/>
  <c r="E411" i="5"/>
  <c r="E727" i="5" l="1"/>
  <c r="E721" i="5"/>
  <c r="E720" i="5"/>
  <c r="E726" i="5"/>
  <c r="E770" i="5" l="1"/>
  <c r="N477" i="9" l="1"/>
  <c r="N476" i="9"/>
  <c r="M476" i="9"/>
  <c r="M478" i="9" s="1"/>
  <c r="N478" i="9" l="1"/>
  <c r="E292" i="5"/>
  <c r="E290" i="5"/>
  <c r="E288" i="5"/>
  <c r="E286" i="5"/>
  <c r="E284" i="5"/>
  <c r="E282" i="5"/>
  <c r="E280" i="5"/>
  <c r="E278" i="5"/>
  <c r="E276" i="5"/>
  <c r="E260" i="5"/>
  <c r="E259" i="5"/>
  <c r="E104" i="5"/>
  <c r="E103" i="5"/>
  <c r="N485" i="9"/>
  <c r="M485" i="9"/>
  <c r="N484" i="9"/>
  <c r="M484" i="9"/>
  <c r="N483" i="9"/>
  <c r="M483" i="9"/>
  <c r="E314" i="5" l="1"/>
  <c r="E305" i="5"/>
  <c r="E267" i="5"/>
  <c r="E172" i="5"/>
  <c r="E170" i="5"/>
  <c r="E168" i="5"/>
  <c r="E202" i="5"/>
  <c r="E166" i="5" l="1"/>
  <c r="E799" i="5" l="1"/>
  <c r="E797" i="5" l="1"/>
  <c r="E175" i="5" l="1"/>
  <c r="E174" i="5"/>
  <c r="E789" i="5" l="1"/>
  <c r="E150" i="5" l="1"/>
  <c r="E152" i="5"/>
  <c r="E162" i="5"/>
  <c r="E161" i="5"/>
  <c r="E757" i="5" l="1"/>
  <c r="E756" i="5"/>
  <c r="E755" i="5"/>
  <c r="E754" i="5"/>
  <c r="E183" i="5" l="1"/>
  <c r="E437" i="5" s="1"/>
  <c r="E153" i="5"/>
  <c r="D462" i="9"/>
  <c r="AX294" i="1" l="1"/>
  <c r="AX278" i="1"/>
  <c r="AX214" i="1"/>
  <c r="AX206" i="1"/>
  <c r="AX198" i="1"/>
  <c r="AX182" i="1"/>
  <c r="AX174" i="1"/>
  <c r="AX166" i="1"/>
  <c r="AW294" i="1"/>
  <c r="AW278" i="1"/>
  <c r="AW214" i="1"/>
  <c r="AW206" i="1"/>
  <c r="AW198" i="1"/>
  <c r="AW182" i="1"/>
  <c r="AX293" i="1"/>
  <c r="AX285" i="1"/>
  <c r="AX277" i="1"/>
  <c r="AX213" i="1"/>
  <c r="AX205" i="1"/>
  <c r="AX197" i="1"/>
  <c r="AX181" i="1"/>
  <c r="AX173" i="1"/>
  <c r="AX165" i="1"/>
  <c r="AX284" i="1"/>
  <c r="AX276" i="1"/>
  <c r="AX212" i="1"/>
  <c r="AX204" i="1"/>
  <c r="AX196" i="1"/>
  <c r="AX180" i="1"/>
  <c r="AX172" i="1"/>
  <c r="AX164" i="1"/>
  <c r="AW284" i="1"/>
  <c r="AW276" i="1"/>
  <c r="AW212" i="1"/>
  <c r="AW204" i="1"/>
  <c r="AW196" i="1"/>
  <c r="AW180" i="1"/>
  <c r="AW172" i="1"/>
  <c r="AV308" i="1"/>
  <c r="AX283" i="1"/>
  <c r="AX275" i="1"/>
  <c r="AX211" i="1"/>
  <c r="AX195" i="1"/>
  <c r="AX187" i="1"/>
  <c r="AX179" i="1"/>
  <c r="AX171" i="1"/>
  <c r="AX163" i="1"/>
  <c r="AW283" i="1"/>
  <c r="AW275" i="1"/>
  <c r="AW211" i="1"/>
  <c r="AW195" i="1"/>
  <c r="AW187" i="1"/>
  <c r="AW179" i="1"/>
  <c r="AW171" i="1"/>
  <c r="AW163" i="1"/>
  <c r="AX282" i="1"/>
  <c r="AX274" i="1"/>
  <c r="AX210" i="1"/>
  <c r="AX186" i="1"/>
  <c r="AX178" i="1"/>
  <c r="AX170" i="1"/>
  <c r="AX162" i="1"/>
  <c r="AW282" i="1"/>
  <c r="AW274" i="1"/>
  <c r="AW210" i="1"/>
  <c r="AW186" i="1"/>
  <c r="AW178" i="1"/>
  <c r="AW170" i="1"/>
  <c r="AW162" i="1"/>
  <c r="AV304" i="1"/>
  <c r="AX281" i="1"/>
  <c r="AX273" i="1"/>
  <c r="AX217" i="1"/>
  <c r="AX209" i="1"/>
  <c r="AX185" i="1"/>
  <c r="AX177" i="1"/>
  <c r="AX169" i="1"/>
  <c r="AX161" i="1"/>
  <c r="AW281" i="1"/>
  <c r="AW273" i="1"/>
  <c r="AW217" i="1"/>
  <c r="AW209" i="1"/>
  <c r="AW185" i="1"/>
  <c r="AW177" i="1"/>
  <c r="AW169" i="1"/>
  <c r="AX280" i="1"/>
  <c r="AX272" i="1"/>
  <c r="AX216" i="1"/>
  <c r="AX208" i="1"/>
  <c r="AX200" i="1"/>
  <c r="AX184" i="1"/>
  <c r="AX176" i="1"/>
  <c r="AX168" i="1"/>
  <c r="AX160" i="1"/>
  <c r="AW280" i="1"/>
  <c r="AW272" i="1"/>
  <c r="AW216" i="1"/>
  <c r="AW208" i="1"/>
  <c r="AW200" i="1"/>
  <c r="AW184" i="1"/>
  <c r="AW176" i="1"/>
  <c r="AW168" i="1"/>
  <c r="AX175" i="1"/>
  <c r="AW173" i="1"/>
  <c r="AX167" i="1"/>
  <c r="AW167" i="1"/>
  <c r="AX215" i="1"/>
  <c r="AW295" i="1"/>
  <c r="AW166" i="1"/>
  <c r="AX295" i="1"/>
  <c r="AX279" i="1"/>
  <c r="AX207" i="1"/>
  <c r="AW293" i="1"/>
  <c r="AW285" i="1"/>
  <c r="AW165" i="1"/>
  <c r="AW213" i="1"/>
  <c r="AW181" i="1"/>
  <c r="AW279" i="1"/>
  <c r="AW215" i="1"/>
  <c r="AW197" i="1"/>
  <c r="AW183" i="1"/>
  <c r="AW164" i="1"/>
  <c r="AW207" i="1"/>
  <c r="AW175" i="1"/>
  <c r="AW160" i="1"/>
  <c r="AX183" i="1"/>
  <c r="AW205" i="1"/>
  <c r="AW174" i="1"/>
  <c r="AW277" i="1"/>
  <c r="AW161" i="1"/>
  <c r="E772" i="5"/>
  <c r="E771" i="5"/>
  <c r="DI174" i="1" l="1"/>
  <c r="DA174" i="1"/>
  <c r="DH174" i="1"/>
  <c r="CY174" i="1"/>
  <c r="DB174" i="1"/>
  <c r="DF174" i="1"/>
  <c r="DE174" i="1"/>
  <c r="CZ174" i="1"/>
  <c r="DD174" i="1"/>
  <c r="CX174" i="1"/>
  <c r="DH274" i="1"/>
  <c r="DI274" i="1"/>
  <c r="CZ274" i="1"/>
  <c r="DF274" i="1"/>
  <c r="DE274" i="1"/>
  <c r="DD274" i="1"/>
  <c r="DB274" i="1"/>
  <c r="CX274" i="1"/>
  <c r="CY274" i="1"/>
  <c r="DA274" i="1"/>
  <c r="DH205" i="1"/>
  <c r="DF205" i="1"/>
  <c r="CX205" i="1"/>
  <c r="DE205" i="1"/>
  <c r="DI205" i="1"/>
  <c r="DA205" i="1"/>
  <c r="DB205" i="1"/>
  <c r="CZ205" i="1"/>
  <c r="CY205" i="1"/>
  <c r="DD205" i="1"/>
  <c r="CZ215" i="1"/>
  <c r="DE215" i="1"/>
  <c r="DI215" i="1"/>
  <c r="DH215" i="1"/>
  <c r="DF215" i="1"/>
  <c r="CX215" i="1"/>
  <c r="DD215" i="1"/>
  <c r="CY215" i="1"/>
  <c r="DB215" i="1"/>
  <c r="DA215" i="1"/>
  <c r="DH280" i="1"/>
  <c r="CZ280" i="1"/>
  <c r="DI280" i="1"/>
  <c r="DF280" i="1"/>
  <c r="DE280" i="1"/>
  <c r="DD280" i="1"/>
  <c r="CX280" i="1"/>
  <c r="CY280" i="1"/>
  <c r="DA280" i="1"/>
  <c r="DB280" i="1"/>
  <c r="DD281" i="1"/>
  <c r="DE281" i="1"/>
  <c r="CX281" i="1"/>
  <c r="DF281" i="1"/>
  <c r="DI281" i="1"/>
  <c r="DH281" i="1"/>
  <c r="CZ281" i="1"/>
  <c r="CY281" i="1"/>
  <c r="DA281" i="1"/>
  <c r="DB281" i="1"/>
  <c r="DH282" i="1"/>
  <c r="DI282" i="1"/>
  <c r="DF282" i="1"/>
  <c r="DB282" i="1"/>
  <c r="DE282" i="1"/>
  <c r="DD282" i="1"/>
  <c r="CZ282" i="1"/>
  <c r="DA282" i="1"/>
  <c r="CY282" i="1"/>
  <c r="CX282" i="1"/>
  <c r="DI163" i="1"/>
  <c r="DD163" i="1"/>
  <c r="DA163" i="1"/>
  <c r="DH163" i="1"/>
  <c r="CZ163" i="1"/>
  <c r="CX163" i="1"/>
  <c r="DB163" i="1"/>
  <c r="DE163" i="1"/>
  <c r="CY163" i="1"/>
  <c r="DF163" i="1"/>
  <c r="DG291" i="1"/>
  <c r="DG288" i="1"/>
  <c r="DG286" i="1"/>
  <c r="DG270" i="1"/>
  <c r="DG268" i="1"/>
  <c r="DG266" i="1"/>
  <c r="DG263" i="1"/>
  <c r="DG261" i="1"/>
  <c r="DG259" i="1"/>
  <c r="DG256" i="1"/>
  <c r="DG254" i="1"/>
  <c r="DG252" i="1"/>
  <c r="DG292" i="1"/>
  <c r="DG290" i="1"/>
  <c r="DG287" i="1"/>
  <c r="DG262" i="1"/>
  <c r="DG269" i="1"/>
  <c r="DG251" i="1"/>
  <c r="DG250" i="1"/>
  <c r="DG238" i="1"/>
  <c r="DG233" i="1"/>
  <c r="DG231" i="1"/>
  <c r="DG223" i="1"/>
  <c r="DG203" i="1"/>
  <c r="DG201" i="1"/>
  <c r="DG264" i="1"/>
  <c r="DG253" i="1"/>
  <c r="DG249" i="1"/>
  <c r="DG241" i="1"/>
  <c r="DG258" i="1"/>
  <c r="DG247" i="1"/>
  <c r="DG242" i="1"/>
  <c r="DG267" i="1"/>
  <c r="DG260" i="1"/>
  <c r="DG246" i="1"/>
  <c r="DG239" i="1"/>
  <c r="DG232" i="1"/>
  <c r="DG230" i="1"/>
  <c r="DG224" i="1"/>
  <c r="DG222" i="1"/>
  <c r="DG248" i="1"/>
  <c r="DG202" i="1"/>
  <c r="DG255" i="1"/>
  <c r="DG271" i="1"/>
  <c r="DG240" i="1"/>
  <c r="DG206" i="1"/>
  <c r="DG213" i="1"/>
  <c r="DG272" i="1"/>
  <c r="DG182" i="1"/>
  <c r="DG279" i="1"/>
  <c r="DG243" i="1"/>
  <c r="DG178" i="1"/>
  <c r="DG236" i="1"/>
  <c r="DG244" i="1"/>
  <c r="DG281" i="1"/>
  <c r="DG174" i="1"/>
  <c r="DG183" i="1"/>
  <c r="DG204" i="1"/>
  <c r="DG205" i="1"/>
  <c r="DG285" i="1"/>
  <c r="DG283" i="1"/>
  <c r="DG293" i="1"/>
  <c r="DG200" i="1"/>
  <c r="DG220" i="1"/>
  <c r="DG275" i="1"/>
  <c r="DG189" i="1"/>
  <c r="DG166" i="1"/>
  <c r="DG165" i="1"/>
  <c r="DG173" i="1"/>
  <c r="DG277" i="1"/>
  <c r="DG208" i="1"/>
  <c r="DG218" i="1"/>
  <c r="DG226" i="1"/>
  <c r="DG234" i="1"/>
  <c r="DG199" i="1"/>
  <c r="DG194" i="1"/>
  <c r="DG168" i="1"/>
  <c r="DG185" i="1"/>
  <c r="DG274" i="1"/>
  <c r="DG276" i="1"/>
  <c r="DG284" i="1"/>
  <c r="DG282" i="1"/>
  <c r="DG225" i="1"/>
  <c r="DG227" i="1"/>
  <c r="DG172" i="1"/>
  <c r="DG219" i="1"/>
  <c r="DG235" i="1"/>
  <c r="DG280" i="1"/>
  <c r="DG195" i="1"/>
  <c r="DG196" i="1"/>
  <c r="DG186" i="1"/>
  <c r="DG216" i="1"/>
  <c r="DG161" i="1"/>
  <c r="DG209" i="1"/>
  <c r="DG217" i="1"/>
  <c r="DG163" i="1"/>
  <c r="DG245" i="1"/>
  <c r="DG176" i="1"/>
  <c r="DG167" i="1"/>
  <c r="DG214" i="1"/>
  <c r="DG175" i="1"/>
  <c r="DG295" i="1"/>
  <c r="DG193" i="1"/>
  <c r="DG169" i="1"/>
  <c r="DG273" i="1"/>
  <c r="DG184" i="1"/>
  <c r="DG171" i="1"/>
  <c r="DG160" i="1"/>
  <c r="DG210" i="1"/>
  <c r="DG170" i="1"/>
  <c r="DG294" i="1"/>
  <c r="DG211" i="1"/>
  <c r="DG221" i="1"/>
  <c r="DG164" i="1"/>
  <c r="DG212" i="1"/>
  <c r="DG188" i="1"/>
  <c r="DG265" i="1"/>
  <c r="DG190" i="1"/>
  <c r="DG187" i="1"/>
  <c r="DG237" i="1"/>
  <c r="DG278" i="1"/>
  <c r="DG228" i="1"/>
  <c r="DG207" i="1"/>
  <c r="DG177" i="1"/>
  <c r="DG162" i="1"/>
  <c r="DG289" i="1"/>
  <c r="DG229" i="1"/>
  <c r="DG192" i="1"/>
  <c r="DG257" i="1"/>
  <c r="DG215" i="1"/>
  <c r="DG181" i="1"/>
  <c r="DG198" i="1"/>
  <c r="DG179" i="1"/>
  <c r="DG191" i="1"/>
  <c r="DG180" i="1"/>
  <c r="DG197" i="1"/>
  <c r="DI279" i="1"/>
  <c r="DH279" i="1"/>
  <c r="DD279" i="1"/>
  <c r="DE279" i="1"/>
  <c r="CZ279" i="1"/>
  <c r="CX279" i="1"/>
  <c r="DF279" i="1"/>
  <c r="CY279" i="1"/>
  <c r="DA279" i="1"/>
  <c r="DB279" i="1"/>
  <c r="DB168" i="1"/>
  <c r="DI168" i="1"/>
  <c r="DA168" i="1"/>
  <c r="DF168" i="1"/>
  <c r="DH168" i="1"/>
  <c r="CX168" i="1"/>
  <c r="CZ168" i="1"/>
  <c r="DD168" i="1"/>
  <c r="CY168" i="1"/>
  <c r="DE168" i="1"/>
  <c r="DC292" i="1"/>
  <c r="DC290" i="1"/>
  <c r="DC287" i="1"/>
  <c r="DC271" i="1"/>
  <c r="DC269" i="1"/>
  <c r="DC267" i="1"/>
  <c r="DC264" i="1"/>
  <c r="DC262" i="1"/>
  <c r="DC260" i="1"/>
  <c r="DC258" i="1"/>
  <c r="DC255" i="1"/>
  <c r="DC253" i="1"/>
  <c r="DC251" i="1"/>
  <c r="DC291" i="1"/>
  <c r="DC288" i="1"/>
  <c r="DC286" i="1"/>
  <c r="DC261" i="1"/>
  <c r="DC249" i="1"/>
  <c r="DC246" i="1"/>
  <c r="DC241" i="1"/>
  <c r="DC268" i="1"/>
  <c r="DC247" i="1"/>
  <c r="DC263" i="1"/>
  <c r="DC239" i="1"/>
  <c r="DC232" i="1"/>
  <c r="DC230" i="1"/>
  <c r="DC224" i="1"/>
  <c r="DC222" i="1"/>
  <c r="DC202" i="1"/>
  <c r="DC270" i="1"/>
  <c r="DC252" i="1"/>
  <c r="DC250" i="1"/>
  <c r="DC266" i="1"/>
  <c r="DC256" i="1"/>
  <c r="DC248" i="1"/>
  <c r="DC259" i="1"/>
  <c r="DC242" i="1"/>
  <c r="DC240" i="1"/>
  <c r="DC238" i="1"/>
  <c r="DC233" i="1"/>
  <c r="DC231" i="1"/>
  <c r="DC223" i="1"/>
  <c r="DC254" i="1"/>
  <c r="DC203" i="1"/>
  <c r="DC201" i="1"/>
  <c r="DC193" i="1"/>
  <c r="DC171" i="1"/>
  <c r="DC177" i="1"/>
  <c r="DC178" i="1"/>
  <c r="DC284" i="1"/>
  <c r="DC282" i="1"/>
  <c r="DC207" i="1"/>
  <c r="DC215" i="1"/>
  <c r="DC174" i="1"/>
  <c r="DC185" i="1"/>
  <c r="DC218" i="1"/>
  <c r="DC226" i="1"/>
  <c r="DC234" i="1"/>
  <c r="DC199" i="1"/>
  <c r="DC175" i="1"/>
  <c r="DC276" i="1"/>
  <c r="DC176" i="1"/>
  <c r="DC208" i="1"/>
  <c r="DC279" i="1"/>
  <c r="DC194" i="1"/>
  <c r="DC188" i="1"/>
  <c r="DC274" i="1"/>
  <c r="DC160" i="1"/>
  <c r="DC167" i="1"/>
  <c r="DC273" i="1"/>
  <c r="DC205" i="1"/>
  <c r="DC280" i="1"/>
  <c r="DC206" i="1"/>
  <c r="DC211" i="1"/>
  <c r="DC245" i="1"/>
  <c r="DC212" i="1"/>
  <c r="DC213" i="1"/>
  <c r="DC189" i="1"/>
  <c r="DC295" i="1"/>
  <c r="DC216" i="1"/>
  <c r="DC187" i="1"/>
  <c r="DC278" i="1"/>
  <c r="DC221" i="1"/>
  <c r="DC161" i="1"/>
  <c r="DC294" i="1"/>
  <c r="DC243" i="1"/>
  <c r="DC182" i="1"/>
  <c r="DC163" i="1"/>
  <c r="DC170" i="1"/>
  <c r="DC210" i="1"/>
  <c r="DC196" i="1"/>
  <c r="DC277" i="1"/>
  <c r="DC285" i="1"/>
  <c r="DC283" i="1"/>
  <c r="DC165" i="1"/>
  <c r="DC293" i="1"/>
  <c r="DC166" i="1"/>
  <c r="DC183" i="1"/>
  <c r="DC236" i="1"/>
  <c r="DC244" i="1"/>
  <c r="DC164" i="1"/>
  <c r="DC162" i="1"/>
  <c r="DC225" i="1"/>
  <c r="DC272" i="1"/>
  <c r="DC168" i="1"/>
  <c r="DC209" i="1"/>
  <c r="DC217" i="1"/>
  <c r="DC219" i="1"/>
  <c r="DC235" i="1"/>
  <c r="DC173" i="1"/>
  <c r="DC220" i="1"/>
  <c r="DC169" i="1"/>
  <c r="DC200" i="1"/>
  <c r="DC195" i="1"/>
  <c r="DC184" i="1"/>
  <c r="DC172" i="1"/>
  <c r="DC275" i="1"/>
  <c r="DC265" i="1"/>
  <c r="DC237" i="1"/>
  <c r="DC192" i="1"/>
  <c r="DC257" i="1"/>
  <c r="DC204" i="1"/>
  <c r="DC186" i="1"/>
  <c r="DC281" i="1"/>
  <c r="DC198" i="1"/>
  <c r="DC214" i="1"/>
  <c r="DC228" i="1"/>
  <c r="DC289" i="1"/>
  <c r="DC229" i="1"/>
  <c r="DC227" i="1"/>
  <c r="DC190" i="1"/>
  <c r="DC191" i="1"/>
  <c r="DC181" i="1"/>
  <c r="DC180" i="1"/>
  <c r="DC179" i="1"/>
  <c r="DC197" i="1"/>
  <c r="CX171" i="1"/>
  <c r="DB171" i="1"/>
  <c r="DE171" i="1"/>
  <c r="DI171" i="1"/>
  <c r="DD171" i="1"/>
  <c r="DA171" i="1"/>
  <c r="DH171" i="1"/>
  <c r="DF171" i="1"/>
  <c r="CY171" i="1"/>
  <c r="CZ171" i="1"/>
  <c r="DA172" i="1"/>
  <c r="CY172" i="1"/>
  <c r="DF172" i="1"/>
  <c r="DH172" i="1"/>
  <c r="CX172" i="1"/>
  <c r="CZ172" i="1"/>
  <c r="DE172" i="1"/>
  <c r="DD172" i="1"/>
  <c r="DB172" i="1"/>
  <c r="DI172" i="1"/>
  <c r="DF182" i="1"/>
  <c r="CX182" i="1"/>
  <c r="DE182" i="1"/>
  <c r="DD182" i="1"/>
  <c r="DI182" i="1"/>
  <c r="DH182" i="1"/>
  <c r="CY182" i="1"/>
  <c r="CZ182" i="1"/>
  <c r="DA182" i="1"/>
  <c r="DB182" i="1"/>
  <c r="DB272" i="1"/>
  <c r="DF272" i="1"/>
  <c r="DA272" i="1"/>
  <c r="CX272" i="1"/>
  <c r="DI272" i="1"/>
  <c r="DE272" i="1"/>
  <c r="DD272" i="1"/>
  <c r="CZ272" i="1"/>
  <c r="CY272" i="1"/>
  <c r="DH272" i="1"/>
  <c r="DF181" i="1"/>
  <c r="DB181" i="1"/>
  <c r="DA181" i="1"/>
  <c r="DE181" i="1"/>
  <c r="DH181" i="1"/>
  <c r="CZ181" i="1"/>
  <c r="DI181" i="1"/>
  <c r="CY181" i="1"/>
  <c r="CX181" i="1"/>
  <c r="DD181" i="1"/>
  <c r="DB162" i="1"/>
  <c r="DI162" i="1"/>
  <c r="CY162" i="1"/>
  <c r="DA162" i="1"/>
  <c r="DF162" i="1"/>
  <c r="DH162" i="1"/>
  <c r="CX162" i="1"/>
  <c r="CZ162" i="1"/>
  <c r="DD162" i="1"/>
  <c r="DE162" i="1"/>
  <c r="CZ179" i="1"/>
  <c r="DI179" i="1"/>
  <c r="DD179" i="1"/>
  <c r="DB179" i="1"/>
  <c r="DA179" i="1"/>
  <c r="CY179" i="1"/>
  <c r="DF179" i="1"/>
  <c r="CX179" i="1"/>
  <c r="DE179" i="1"/>
  <c r="DH179" i="1"/>
  <c r="CY180" i="1"/>
  <c r="CX180" i="1"/>
  <c r="DI180" i="1"/>
  <c r="DA180" i="1"/>
  <c r="CZ180" i="1"/>
  <c r="DD180" i="1"/>
  <c r="DH180" i="1"/>
  <c r="DE180" i="1"/>
  <c r="DB180" i="1"/>
  <c r="DF180" i="1"/>
  <c r="DB198" i="1"/>
  <c r="DA198" i="1"/>
  <c r="CZ198" i="1"/>
  <c r="CY198" i="1"/>
  <c r="DD198" i="1"/>
  <c r="DI198" i="1"/>
  <c r="DH198" i="1"/>
  <c r="CX198" i="1"/>
  <c r="DE198" i="1"/>
  <c r="DF198" i="1"/>
  <c r="DI173" i="1"/>
  <c r="DH173" i="1"/>
  <c r="DF173" i="1"/>
  <c r="CX173" i="1"/>
  <c r="DD173" i="1"/>
  <c r="DB173" i="1"/>
  <c r="CZ173" i="1"/>
  <c r="DA173" i="1"/>
  <c r="DE173" i="1"/>
  <c r="CY173" i="1"/>
  <c r="DE273" i="1"/>
  <c r="CX273" i="1"/>
  <c r="CZ273" i="1"/>
  <c r="DI273" i="1"/>
  <c r="DH273" i="1"/>
  <c r="DF273" i="1"/>
  <c r="DD273" i="1"/>
  <c r="CY273" i="1"/>
  <c r="DA273" i="1"/>
  <c r="DB273" i="1"/>
  <c r="DH283" i="1"/>
  <c r="DD283" i="1"/>
  <c r="DF283" i="1"/>
  <c r="DE283" i="1"/>
  <c r="CZ283" i="1"/>
  <c r="DI283" i="1"/>
  <c r="CX283" i="1"/>
  <c r="CY283" i="1"/>
  <c r="DA283" i="1"/>
  <c r="DB283" i="1"/>
  <c r="DE160" i="1"/>
  <c r="DD160" i="1"/>
  <c r="CY160" i="1"/>
  <c r="DB160" i="1"/>
  <c r="DI160" i="1"/>
  <c r="DF160" i="1"/>
  <c r="DH160" i="1"/>
  <c r="CX160" i="1"/>
  <c r="CZ160" i="1"/>
  <c r="DA160" i="1"/>
  <c r="DI166" i="1"/>
  <c r="DA166" i="1"/>
  <c r="DF166" i="1"/>
  <c r="DH166" i="1"/>
  <c r="CX166" i="1"/>
  <c r="CZ166" i="1"/>
  <c r="DE166" i="1"/>
  <c r="CY166" i="1"/>
  <c r="DB166" i="1"/>
  <c r="DD166" i="1"/>
  <c r="DD176" i="1"/>
  <c r="DB176" i="1"/>
  <c r="DI176" i="1"/>
  <c r="CY176" i="1"/>
  <c r="DA176" i="1"/>
  <c r="CX176" i="1"/>
  <c r="CZ176" i="1"/>
  <c r="DE176" i="1"/>
  <c r="DF176" i="1"/>
  <c r="DH176" i="1"/>
  <c r="CX169" i="1"/>
  <c r="DB169" i="1"/>
  <c r="DE169" i="1"/>
  <c r="DI169" i="1"/>
  <c r="DD169" i="1"/>
  <c r="DA169" i="1"/>
  <c r="DH169" i="1"/>
  <c r="DF169" i="1"/>
  <c r="CZ169" i="1"/>
  <c r="CY169" i="1"/>
  <c r="CX175" i="1"/>
  <c r="DB175" i="1"/>
  <c r="DE175" i="1"/>
  <c r="DI175" i="1"/>
  <c r="DD175" i="1"/>
  <c r="DA175" i="1"/>
  <c r="DH175" i="1"/>
  <c r="DF175" i="1"/>
  <c r="CY175" i="1"/>
  <c r="CZ175" i="1"/>
  <c r="DF213" i="1"/>
  <c r="CZ213" i="1"/>
  <c r="CX213" i="1"/>
  <c r="DE213" i="1"/>
  <c r="DI213" i="1"/>
  <c r="DH213" i="1"/>
  <c r="DD213" i="1"/>
  <c r="CY213" i="1"/>
  <c r="DB213" i="1"/>
  <c r="DA213" i="1"/>
  <c r="CX295" i="1"/>
  <c r="DE295" i="1"/>
  <c r="CZ295" i="1"/>
  <c r="DD295" i="1"/>
  <c r="CY295" i="1"/>
  <c r="DH295" i="1"/>
  <c r="DF295" i="1"/>
  <c r="DB295" i="1"/>
  <c r="DA295" i="1"/>
  <c r="DI295" i="1"/>
  <c r="CX184" i="1"/>
  <c r="DE184" i="1"/>
  <c r="DD184" i="1"/>
  <c r="DI184" i="1"/>
  <c r="DF184" i="1"/>
  <c r="CY184" i="1"/>
  <c r="CZ184" i="1"/>
  <c r="DA184" i="1"/>
  <c r="DB184" i="1"/>
  <c r="DH184" i="1"/>
  <c r="DE177" i="1"/>
  <c r="DD177" i="1"/>
  <c r="DI177" i="1"/>
  <c r="DH177" i="1"/>
  <c r="DF177" i="1"/>
  <c r="CX177" i="1"/>
  <c r="CY177" i="1"/>
  <c r="CZ177" i="1"/>
  <c r="DA177" i="1"/>
  <c r="DB177" i="1"/>
  <c r="DI170" i="1"/>
  <c r="DA170" i="1"/>
  <c r="DF170" i="1"/>
  <c r="DH170" i="1"/>
  <c r="CX170" i="1"/>
  <c r="CZ170" i="1"/>
  <c r="DE170" i="1"/>
  <c r="CY170" i="1"/>
  <c r="DB170" i="1"/>
  <c r="DD170" i="1"/>
  <c r="CX187" i="1"/>
  <c r="DE187" i="1"/>
  <c r="CY187" i="1"/>
  <c r="DD187" i="1"/>
  <c r="DI187" i="1"/>
  <c r="DA187" i="1"/>
  <c r="DF187" i="1"/>
  <c r="CZ187" i="1"/>
  <c r="DH187" i="1"/>
  <c r="DB187" i="1"/>
  <c r="CZ196" i="1"/>
  <c r="DI196" i="1"/>
  <c r="DH196" i="1"/>
  <c r="CX196" i="1"/>
  <c r="DD196" i="1"/>
  <c r="DB196" i="1"/>
  <c r="DA196" i="1"/>
  <c r="DF196" i="1"/>
  <c r="CY196" i="1"/>
  <c r="DE196" i="1"/>
  <c r="DE206" i="1"/>
  <c r="DD206" i="1"/>
  <c r="DF206" i="1"/>
  <c r="CX206" i="1"/>
  <c r="DH206" i="1"/>
  <c r="DB206" i="1"/>
  <c r="CZ206" i="1"/>
  <c r="CY206" i="1"/>
  <c r="DA206" i="1"/>
  <c r="DI206" i="1"/>
  <c r="DD197" i="1"/>
  <c r="DE197" i="1"/>
  <c r="DA197" i="1"/>
  <c r="CX197" i="1"/>
  <c r="CY197" i="1"/>
  <c r="DH197" i="1"/>
  <c r="CZ197" i="1"/>
  <c r="DB197" i="1"/>
  <c r="DF197" i="1"/>
  <c r="DI197" i="1"/>
  <c r="DH165" i="1"/>
  <c r="CZ165" i="1"/>
  <c r="DF165" i="1"/>
  <c r="CX165" i="1"/>
  <c r="DI165" i="1"/>
  <c r="DD165" i="1"/>
  <c r="DA165" i="1"/>
  <c r="CY165" i="1"/>
  <c r="DB165" i="1"/>
  <c r="DE165" i="1"/>
  <c r="DH200" i="1"/>
  <c r="CZ200" i="1"/>
  <c r="DF200" i="1"/>
  <c r="DE200" i="1"/>
  <c r="DD200" i="1"/>
  <c r="DI200" i="1"/>
  <c r="DA200" i="1"/>
  <c r="DB200" i="1"/>
  <c r="CX200" i="1"/>
  <c r="CY200" i="1"/>
  <c r="DI185" i="1"/>
  <c r="DH185" i="1"/>
  <c r="DA185" i="1"/>
  <c r="DF185" i="1"/>
  <c r="DE185" i="1"/>
  <c r="DB185" i="1"/>
  <c r="DD185" i="1"/>
  <c r="CZ185" i="1"/>
  <c r="CX185" i="1"/>
  <c r="CY185" i="1"/>
  <c r="DI178" i="1"/>
  <c r="DH178" i="1"/>
  <c r="DF178" i="1"/>
  <c r="CY178" i="1"/>
  <c r="DB178" i="1"/>
  <c r="DE178" i="1"/>
  <c r="DD178" i="1"/>
  <c r="CX178" i="1"/>
  <c r="CZ178" i="1"/>
  <c r="DA178" i="1"/>
  <c r="DI195" i="1"/>
  <c r="CZ195" i="1"/>
  <c r="DH195" i="1"/>
  <c r="CX195" i="1"/>
  <c r="DD195" i="1"/>
  <c r="DF195" i="1"/>
  <c r="DB195" i="1"/>
  <c r="DE195" i="1"/>
  <c r="DA195" i="1"/>
  <c r="CY195" i="1"/>
  <c r="DH204" i="1"/>
  <c r="DA204" i="1"/>
  <c r="DF204" i="1"/>
  <c r="DE204" i="1"/>
  <c r="DD204" i="1"/>
  <c r="CX204" i="1"/>
  <c r="CY204" i="1"/>
  <c r="DI204" i="1"/>
  <c r="DB204" i="1"/>
  <c r="CZ204" i="1"/>
  <c r="DH214" i="1"/>
  <c r="DF214" i="1"/>
  <c r="CX214" i="1"/>
  <c r="DE214" i="1"/>
  <c r="DD214" i="1"/>
  <c r="DI214" i="1"/>
  <c r="DA214" i="1"/>
  <c r="CY214" i="1"/>
  <c r="CZ214" i="1"/>
  <c r="DB214" i="1"/>
  <c r="CY284" i="1"/>
  <c r="DH284" i="1"/>
  <c r="DI284" i="1"/>
  <c r="DF284" i="1"/>
  <c r="DE284" i="1"/>
  <c r="CZ284" i="1"/>
  <c r="DD284" i="1"/>
  <c r="DA284" i="1"/>
  <c r="CX284" i="1"/>
  <c r="DB284" i="1"/>
  <c r="DE207" i="1"/>
  <c r="DD207" i="1"/>
  <c r="DI207" i="1"/>
  <c r="DB207" i="1"/>
  <c r="DH207" i="1"/>
  <c r="CZ207" i="1"/>
  <c r="DF207" i="1"/>
  <c r="CX207" i="1"/>
  <c r="DA207" i="1"/>
  <c r="CY207" i="1"/>
  <c r="DI161" i="1"/>
  <c r="DD161" i="1"/>
  <c r="DA161" i="1"/>
  <c r="DH161" i="1"/>
  <c r="CZ161" i="1"/>
  <c r="CX161" i="1"/>
  <c r="DB161" i="1"/>
  <c r="DE161" i="1"/>
  <c r="CY161" i="1"/>
  <c r="DF161" i="1"/>
  <c r="DB164" i="1"/>
  <c r="DI164" i="1"/>
  <c r="DA164" i="1"/>
  <c r="DF164" i="1"/>
  <c r="DH164" i="1"/>
  <c r="CX164" i="1"/>
  <c r="CZ164" i="1"/>
  <c r="DD164" i="1"/>
  <c r="CY164" i="1"/>
  <c r="DE164" i="1"/>
  <c r="DH285" i="1"/>
  <c r="DD285" i="1"/>
  <c r="DF285" i="1"/>
  <c r="CZ285" i="1"/>
  <c r="DE285" i="1"/>
  <c r="DI285" i="1"/>
  <c r="CX285" i="1"/>
  <c r="CY285" i="1"/>
  <c r="DA285" i="1"/>
  <c r="DB285" i="1"/>
  <c r="CX167" i="1"/>
  <c r="DB167" i="1"/>
  <c r="DE167" i="1"/>
  <c r="DI167" i="1"/>
  <c r="DD167" i="1"/>
  <c r="DA167" i="1"/>
  <c r="DH167" i="1"/>
  <c r="DF167" i="1"/>
  <c r="CZ167" i="1"/>
  <c r="CY167" i="1"/>
  <c r="DD208" i="1"/>
  <c r="DA208" i="1"/>
  <c r="CX208" i="1"/>
  <c r="DI208" i="1"/>
  <c r="DF208" i="1"/>
  <c r="DE208" i="1"/>
  <c r="DB208" i="1"/>
  <c r="DH208" i="1"/>
  <c r="CZ208" i="1"/>
  <c r="CY208" i="1"/>
  <c r="DE209" i="1"/>
  <c r="DD209" i="1"/>
  <c r="DI209" i="1"/>
  <c r="DH209" i="1"/>
  <c r="CZ209" i="1"/>
  <c r="CX209" i="1"/>
  <c r="DA209" i="1"/>
  <c r="CY209" i="1"/>
  <c r="DB209" i="1"/>
  <c r="DF209" i="1"/>
  <c r="DD186" i="1"/>
  <c r="DI186" i="1"/>
  <c r="DH186" i="1"/>
  <c r="CX186" i="1"/>
  <c r="DE186" i="1"/>
  <c r="DF186" i="1"/>
  <c r="CY186" i="1"/>
  <c r="CZ186" i="1"/>
  <c r="DA186" i="1"/>
  <c r="DB186" i="1"/>
  <c r="DF211" i="1"/>
  <c r="CX211" i="1"/>
  <c r="CZ211" i="1"/>
  <c r="DE211" i="1"/>
  <c r="DD211" i="1"/>
  <c r="DH211" i="1"/>
  <c r="DI211" i="1"/>
  <c r="CY211" i="1"/>
  <c r="DB211" i="1"/>
  <c r="DA211" i="1"/>
  <c r="CX212" i="1"/>
  <c r="DI212" i="1"/>
  <c r="DH212" i="1"/>
  <c r="DE212" i="1"/>
  <c r="DD212" i="1"/>
  <c r="DB212" i="1"/>
  <c r="DA212" i="1"/>
  <c r="DF212" i="1"/>
  <c r="CZ212" i="1"/>
  <c r="CY212" i="1"/>
  <c r="DE278" i="1"/>
  <c r="DD278" i="1"/>
  <c r="CZ278" i="1"/>
  <c r="DH278" i="1"/>
  <c r="DI278" i="1"/>
  <c r="CY278" i="1"/>
  <c r="DF278" i="1"/>
  <c r="CX278" i="1"/>
  <c r="DA278" i="1"/>
  <c r="DB278" i="1"/>
  <c r="DH277" i="1"/>
  <c r="DD277" i="1"/>
  <c r="DF277" i="1"/>
  <c r="DE277" i="1"/>
  <c r="DI277" i="1"/>
  <c r="CZ277" i="1"/>
  <c r="DB277" i="1"/>
  <c r="CX277" i="1"/>
  <c r="CY277" i="1"/>
  <c r="DA277" i="1"/>
  <c r="CY183" i="1"/>
  <c r="DH183" i="1"/>
  <c r="CZ183" i="1"/>
  <c r="DF183" i="1"/>
  <c r="CX183" i="1"/>
  <c r="DE183" i="1"/>
  <c r="DI183" i="1"/>
  <c r="DA183" i="1"/>
  <c r="DD183" i="1"/>
  <c r="DB183" i="1"/>
  <c r="DI293" i="1"/>
  <c r="DF293" i="1"/>
  <c r="CZ293" i="1"/>
  <c r="CX293" i="1"/>
  <c r="DE293" i="1"/>
  <c r="CY293" i="1"/>
  <c r="DH293" i="1"/>
  <c r="DB293" i="1"/>
  <c r="DD293" i="1"/>
  <c r="DA293" i="1"/>
  <c r="CX216" i="1"/>
  <c r="DE216" i="1"/>
  <c r="DD216" i="1"/>
  <c r="DH216" i="1"/>
  <c r="DA216" i="1"/>
  <c r="DF216" i="1"/>
  <c r="DI216" i="1"/>
  <c r="CY216" i="1"/>
  <c r="CZ216" i="1"/>
  <c r="DB216" i="1"/>
  <c r="DE217" i="1"/>
  <c r="DD217" i="1"/>
  <c r="DI217" i="1"/>
  <c r="DH217" i="1"/>
  <c r="CX217" i="1"/>
  <c r="CZ217" i="1"/>
  <c r="DF217" i="1"/>
  <c r="CY217" i="1"/>
  <c r="DB217" i="1"/>
  <c r="DA217" i="1"/>
  <c r="CX210" i="1"/>
  <c r="CZ210" i="1"/>
  <c r="DI210" i="1"/>
  <c r="DH210" i="1"/>
  <c r="DF210" i="1"/>
  <c r="DE210" i="1"/>
  <c r="DA210" i="1"/>
  <c r="DD210" i="1"/>
  <c r="CY210" i="1"/>
  <c r="DB210" i="1"/>
  <c r="DD275" i="1"/>
  <c r="CZ275" i="1"/>
  <c r="DF275" i="1"/>
  <c r="DE275" i="1"/>
  <c r="CX275" i="1"/>
  <c r="DI275" i="1"/>
  <c r="DH275" i="1"/>
  <c r="DA275" i="1"/>
  <c r="DB275" i="1"/>
  <c r="CY275" i="1"/>
  <c r="DH276" i="1"/>
  <c r="DI276" i="1"/>
  <c r="CZ276" i="1"/>
  <c r="DF276" i="1"/>
  <c r="CY276" i="1"/>
  <c r="DE276" i="1"/>
  <c r="DD276" i="1"/>
  <c r="DA276" i="1"/>
  <c r="CX276" i="1"/>
  <c r="DB276" i="1"/>
  <c r="DD294" i="1"/>
  <c r="CY294" i="1"/>
  <c r="DE294" i="1"/>
  <c r="CX294" i="1"/>
  <c r="DF294" i="1"/>
  <c r="DH294" i="1"/>
  <c r="CZ294" i="1"/>
  <c r="DI294" i="1"/>
  <c r="DB294" i="1"/>
  <c r="DA294" i="1"/>
  <c r="E815" i="5"/>
  <c r="E813" i="5"/>
  <c r="E806" i="5"/>
  <c r="E804" i="5"/>
  <c r="E775" i="5" l="1"/>
  <c r="E773" i="5" l="1"/>
  <c r="E792" i="5"/>
  <c r="E788" i="5"/>
  <c r="E781" i="5"/>
  <c r="E774" i="5"/>
  <c r="E780" i="5"/>
  <c r="E785" i="5" l="1"/>
  <c r="E790" i="5"/>
  <c r="E784" i="5"/>
  <c r="E763" i="5" l="1"/>
  <c r="E441" i="5" l="1"/>
  <c r="E435" i="5"/>
  <c r="E429" i="5"/>
  <c r="E427" i="5"/>
  <c r="E425" i="5"/>
  <c r="E392" i="5"/>
  <c r="E390" i="5"/>
  <c r="E388" i="5"/>
  <c r="E386" i="5"/>
  <c r="E384" i="5"/>
  <c r="E378" i="5"/>
  <c r="E376" i="5"/>
  <c r="E374" i="5"/>
  <c r="E370" i="5"/>
  <c r="E368" i="5"/>
  <c r="E316" i="5"/>
  <c r="E312" i="5"/>
  <c r="E307" i="5"/>
  <c r="E299" i="5"/>
  <c r="E297" i="5"/>
  <c r="E271" i="5"/>
  <c r="E269" i="5"/>
  <c r="E265" i="5"/>
  <c r="E257" i="5"/>
  <c r="E241" i="5"/>
  <c r="E231" i="5"/>
  <c r="E221" i="5"/>
  <c r="E211" i="5"/>
  <c r="E206" i="5"/>
  <c r="E204" i="5"/>
  <c r="E198" i="5"/>
  <c r="E196" i="5"/>
  <c r="E191" i="5"/>
  <c r="E189" i="5"/>
  <c r="E187" i="5"/>
  <c r="E186" i="5"/>
  <c r="E182" i="5"/>
  <c r="E164" i="5"/>
  <c r="E159" i="5"/>
  <c r="E158" i="5"/>
  <c r="E156" i="5"/>
  <c r="E154" i="5"/>
  <c r="E148" i="5"/>
  <c r="E142" i="5"/>
  <c r="E116" i="5"/>
  <c r="E115" i="5"/>
  <c r="E108" i="5"/>
  <c r="E107" i="5"/>
  <c r="E100" i="5"/>
  <c r="E99" i="5"/>
  <c r="E96" i="5"/>
  <c r="E95" i="5"/>
  <c r="D397" i="9" l="1"/>
  <c r="E16" i="5" s="1"/>
  <c r="E17" i="5" s="1"/>
  <c r="E18" i="5" l="1"/>
  <c r="E52" i="5"/>
  <c r="E842" i="5"/>
  <c r="E846" i="5" s="1"/>
  <c r="E49" i="5"/>
  <c r="E844" i="5"/>
  <c r="E843" i="5"/>
  <c r="E84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tc={D81AC52E-057E-418A-8316-03D86EFA570E}</author>
  </authors>
  <commentList>
    <comment ref="D52" authorId="0" shapeId="0" xr:uid="{00000000-0006-0000-0A00-000001000000}">
      <text>
        <r>
          <rPr>
            <sz val="11"/>
            <color indexed="8"/>
            <rFont val="Calibri"/>
            <family val="2"/>
          </rPr>
          <t>[Threaded comment]
Your version of Excel allows you to read this threaded comment; however, any edits to it will get removed if the file is opened in a newer version of Excel. Learn more: https://go.microsoft.com/fwlink/?linkid=870924
Comment:
    +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<sst xmlns="http://schemas.openxmlformats.org/spreadsheetml/2006/main" count="12749" uniqueCount="5894">
  <si>
    <t>Symbol</t>
  </si>
  <si>
    <t>Name</t>
  </si>
  <si>
    <t>Unit</t>
  </si>
  <si>
    <t>Handling</t>
  </si>
  <si>
    <t xml:space="preserve">Equilibrium matrix </t>
  </si>
  <si>
    <t>Expression</t>
  </si>
  <si>
    <t>Elemental composition</t>
  </si>
  <si>
    <t>Chemical formula</t>
  </si>
  <si>
    <t>Charge</t>
  </si>
  <si>
    <t>Reaction</t>
  </si>
  <si>
    <t>The elemental composition matrix should have as many columns as the kinetic matrix (minus Rate and Reaction)</t>
  </si>
  <si>
    <t>pH</t>
  </si>
  <si>
    <t>Influent</t>
  </si>
  <si>
    <t>Initial concentration</t>
  </si>
  <si>
    <t>Phase</t>
  </si>
  <si>
    <t>IS</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</si>
  <si>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</si>
  <si>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</si>
  <si>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</si>
  <si>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</si>
  <si>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</si>
  <si>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</si>
  <si>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</si>
  <si>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</si>
  <si>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</si>
  <si>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</si>
  <si>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</si>
  <si>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</si>
  <si>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</si>
  <si>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</si>
  <si>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</si>
  <si>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</si>
  <si>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</si>
  <si>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</si>
  <si>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</si>
  <si>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</si>
  <si>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</si>
  <si>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</si>
  <si>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</si>
  <si>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</si>
  <si>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</si>
  <si>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</si>
  <si>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</si>
  <si>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</si>
  <si>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</si>
  <si>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</si>
  <si>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</si>
  <si>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</si>
  <si>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</si>
  <si>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</si>
  <si>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</si>
  <si>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</si>
  <si>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</si>
  <si>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</si>
  <si>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</si>
  <si>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</si>
  <si>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</si>
  <si>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</si>
  <si>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</si>
  <si>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</si>
  <si>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</si>
  <si>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</si>
  <si>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</si>
  <si>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</si>
  <si>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</si>
  <si>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</si>
  <si>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</si>
  <si>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</si>
  <si>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</si>
  <si>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</si>
  <si>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</si>
  <si>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</si>
  <si>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</si>
  <si>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</si>
  <si>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</si>
  <si>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</si>
  <si>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</si>
  <si>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</si>
  <si>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</si>
  <si>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</si>
  <si>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</si>
  <si>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</si>
  <si>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</si>
  <si>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</si>
  <si>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</si>
  <si>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</si>
  <si>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</si>
  <si>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</si>
  <si>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</si>
  <si>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</si>
  <si>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</si>
  <si>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</si>
  <si>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</si>
  <si>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</si>
  <si>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</si>
  <si>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</si>
  <si>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</si>
  <si>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</si>
  <si>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</si>
  <si>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</si>
  <si>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</si>
  <si>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</si>
  <si>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</si>
  <si>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</si>
  <si>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</si>
  <si>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</si>
  <si>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</si>
  <si>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</si>
  <si>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</si>
  <si>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</si>
  <si>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</si>
  <si>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</si>
  <si>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</si>
  <si>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</si>
  <si>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</si>
  <si>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</si>
  <si>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</si>
  <si>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</si>
  <si>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</si>
  <si>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</si>
  <si>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</si>
  <si>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</si>
  <si>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</si>
  <si>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</si>
  <si>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</si>
  <si>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</si>
  <si>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</si>
  <si>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</si>
  <si>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</si>
  <si>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</si>
  <si>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</si>
  <si>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</si>
  <si>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</si>
  <si>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</si>
  <si>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</si>
  <si>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</si>
  <si>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</si>
  <si>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</si>
  <si>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</si>
  <si>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</si>
  <si>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</si>
  <si>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</si>
  <si>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</si>
  <si>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</si>
  <si>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</si>
  <si>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</si>
  <si>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</si>
  <si>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</si>
  <si>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</si>
  <si>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</si>
  <si>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</si>
  <si>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</si>
  <si>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</si>
  <si>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</si>
  <si>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</si>
  <si>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</si>
  <si>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</si>
  <si>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</si>
  <si>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</si>
  <si>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</si>
  <si>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</si>
  <si>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</si>
  <si>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</si>
  <si>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</si>
  <si>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</si>
  <si>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</si>
  <si>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</si>
  <si>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</si>
  <si>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</si>
  <si>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</si>
  <si>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</si>
  <si>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</si>
  <si>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</si>
  <si>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</si>
  <si>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</si>
  <si>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</si>
  <si>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</si>
  <si>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</si>
  <si>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</si>
  <si>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</si>
  <si>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</si>
  <si>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</si>
  <si>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</si>
  <si>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</si>
  <si>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</si>
  <si>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</si>
  <si>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</si>
  <si>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</si>
  <si>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</si>
  <si>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</si>
  <si>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</si>
  <si>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</si>
  <si>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</si>
  <si>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</si>
  <si>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</si>
  <si>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</si>
  <si>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</si>
  <si>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</si>
  <si>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</si>
  <si>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</si>
  <si>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</si>
  <si>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</si>
  <si>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</si>
  <si>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</si>
  <si>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</si>
  <si>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</si>
  <si>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</si>
  <si>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</si>
  <si>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</si>
  <si>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</si>
  <si>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</si>
  <si>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</si>
  <si>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</si>
  <si>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</si>
  <si>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Colloidal biodegradable substrate</t>
  </si>
  <si>
    <t>Slowly biodegradable substrate</t>
  </si>
  <si>
    <t>Soluble unbiodegradable organics</t>
  </si>
  <si>
    <t>Colloidal unbiodegradable organics</t>
  </si>
  <si>
    <t>Particulate unbiodegradable organics</t>
  </si>
  <si>
    <t>Endogenous decay products</t>
  </si>
  <si>
    <t>Hydrolysis</t>
  </si>
  <si>
    <t>Fermentation</t>
  </si>
  <si>
    <t>Enhanced biological phosphorus removal (based on Barker-Dold approach)</t>
  </si>
  <si>
    <t>Anoxic methylotrophs</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</si>
  <si>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</si>
  <si>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</si>
  <si>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</si>
  <si>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</si>
  <si>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</si>
  <si>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</si>
  <si>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</si>
  <si>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</si>
  <si>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</si>
  <si>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</si>
  <si>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</si>
  <si>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</si>
  <si>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</si>
  <si>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</si>
  <si>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</si>
  <si>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</si>
  <si>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</si>
  <si>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</si>
  <si>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</si>
  <si>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</si>
  <si>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</si>
  <si>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</si>
  <si>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</si>
  <si>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</si>
  <si>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</si>
  <si>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</si>
  <si>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</si>
  <si>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</si>
  <si>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</si>
  <si>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r32</t>
  </si>
  <si>
    <t>r33</t>
  </si>
  <si>
    <t>N</t>
  </si>
  <si>
    <t>P</t>
  </si>
  <si>
    <t>L</t>
  </si>
  <si>
    <t>S</t>
  </si>
  <si>
    <t>C</t>
  </si>
  <si>
    <t>X</t>
  </si>
  <si>
    <t>Integrated</t>
  </si>
  <si>
    <t>Atomic mass of oxygen</t>
  </si>
  <si>
    <t>Atomic mass of nitrogen</t>
  </si>
  <si>
    <t>base is ammonia</t>
  </si>
  <si>
    <t>Atomic mass of iron</t>
  </si>
  <si>
    <t>Atomic mass of aluminium</t>
  </si>
  <si>
    <t>Atomic mass of phosphorus</t>
  </si>
  <si>
    <t>MRsat(s;x;k)</t>
  </si>
  <si>
    <t>Monod ratio saturation</t>
  </si>
  <si>
    <t>MRinh(s;x;k)</t>
  </si>
  <si>
    <t>Monod ratio inhibition</t>
  </si>
  <si>
    <t>Atomic mass of hydrogen</t>
  </si>
  <si>
    <t>TSS content of PP</t>
  </si>
  <si>
    <t>Particulate unbiodegradable organic N</t>
  </si>
  <si>
    <t>Maximum specific growth rate of OHOs</t>
  </si>
  <si>
    <t>Temperature dependency</t>
  </si>
  <si>
    <t>N content of biomasses</t>
  </si>
  <si>
    <t>P content of biomasses</t>
  </si>
  <si>
    <t>Atomic mass of carbon</t>
  </si>
  <si>
    <t>Temperature calculations</t>
  </si>
  <si>
    <t>Arrhenius base temperature</t>
  </si>
  <si>
    <t>COD of all biomasses</t>
  </si>
  <si>
    <t>-</t>
  </si>
  <si>
    <t>Temperature sensitvity</t>
  </si>
  <si>
    <t>T</t>
  </si>
  <si>
    <t>Chemical P removal (based on SCM approach)</t>
  </si>
  <si>
    <t>Anaerobic digestion</t>
  </si>
  <si>
    <t>Struvite precipitation</t>
  </si>
  <si>
    <t>OHO decay</t>
  </si>
  <si>
    <t>MEOLO decay</t>
  </si>
  <si>
    <t>Readily biodegradable substrate (non-VFA)</t>
  </si>
  <si>
    <t>r34</t>
  </si>
  <si>
    <t>Atomic mass of sodium</t>
  </si>
  <si>
    <t>Anaerobic methanol conversion</t>
  </si>
  <si>
    <t>HMETO decay</t>
  </si>
  <si>
    <t>AMETO decay</t>
  </si>
  <si>
    <t>2CH3OH -&gt; CH3COOH + 2H2</t>
  </si>
  <si>
    <t>r35</t>
  </si>
  <si>
    <r>
      <t>Total inorganic carbon (CO</t>
    </r>
    <r>
      <rPr>
        <vertAlign val="subscript"/>
        <sz val="11"/>
        <color rgb="FF000000"/>
        <rFont val="Calibri"/>
        <family val="2"/>
        <scheme val="minor"/>
      </rPr>
      <t>2</t>
    </r>
    <r>
      <rPr>
        <sz val="11"/>
        <color rgb="FF000000"/>
        <rFont val="Calibri"/>
        <family val="2"/>
        <charset val="238"/>
        <scheme val="minor"/>
      </rPr>
      <t>)</t>
    </r>
  </si>
  <si>
    <t>Decimals</t>
  </si>
  <si>
    <t>Type(Kinetic)</t>
  </si>
  <si>
    <t>Conversion kinetics</t>
  </si>
  <si>
    <t>Common switches</t>
  </si>
  <si>
    <t>AMETO growth</t>
  </si>
  <si>
    <t>HMETO growth</t>
  </si>
  <si>
    <t>Maximum specific growth rate of AMETO</t>
  </si>
  <si>
    <t>CO2+4H2 -&gt; CH4+2H2O</t>
  </si>
  <si>
    <t>Dissociation of water</t>
  </si>
  <si>
    <t>10^(-pH)</t>
  </si>
  <si>
    <t>Ionization of ammonia</t>
  </si>
  <si>
    <t>Nitrate fully dissociated</t>
  </si>
  <si>
    <t>Sodium fully dissociated</t>
  </si>
  <si>
    <t>Chloride fully dissociated</t>
  </si>
  <si>
    <t>Carbonate dissociation</t>
  </si>
  <si>
    <t>Phosphate dissociation</t>
  </si>
  <si>
    <t>VFA (HAc) dissociation</t>
  </si>
  <si>
    <t>Type(Stoichiometric)</t>
  </si>
  <si>
    <t>Charge balance</t>
  </si>
  <si>
    <t>Type(Equilibrium)</t>
  </si>
  <si>
    <t>Calculated variables</t>
  </si>
  <si>
    <r>
      <t>g COD.m</t>
    </r>
    <r>
      <rPr>
        <vertAlign val="superscript"/>
        <sz val="11"/>
        <rFont val="Calibri"/>
        <family val="2"/>
      </rPr>
      <t>-3</t>
    </r>
  </si>
  <si>
    <t>Particulate ultimate biochemical oxygen demand</t>
  </si>
  <si>
    <t>Total ultimate biochemical oxygen demand</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</si>
  <si>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</si>
  <si>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</si>
  <si>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</si>
  <si>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</si>
  <si>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t>Total chemical oxygen demand</t>
  </si>
  <si>
    <t>Uptake rates</t>
  </si>
  <si>
    <t>OUR</t>
  </si>
  <si>
    <t>Reactive</t>
  </si>
  <si>
    <t>Nitrate uptake rate (N3UR)</t>
  </si>
  <si>
    <t>AUR</t>
  </si>
  <si>
    <t>Ammonia uptake rate (AUR)</t>
  </si>
  <si>
    <t>Total Kjeldahl nitrogen (TKN)</t>
  </si>
  <si>
    <r>
      <t>g N.m</t>
    </r>
    <r>
      <rPr>
        <vertAlign val="superscript"/>
        <sz val="11"/>
        <rFont val="Calibri"/>
        <family val="2"/>
      </rPr>
      <t>-3</t>
    </r>
  </si>
  <si>
    <t>Total nitrogen</t>
  </si>
  <si>
    <t>Activity coefficients</t>
  </si>
  <si>
    <r>
      <t>f</t>
    </r>
    <r>
      <rPr>
        <vertAlign val="subscript"/>
        <sz val="11"/>
        <rFont val="Calibri"/>
        <family val="2"/>
        <scheme val="minor"/>
      </rPr>
      <t>mono</t>
    </r>
  </si>
  <si>
    <t>Monovalent activity coefficient</t>
  </si>
  <si>
    <r>
      <t>f</t>
    </r>
    <r>
      <rPr>
        <vertAlign val="subscript"/>
        <sz val="11"/>
        <rFont val="Calibri"/>
        <family val="2"/>
        <scheme val="minor"/>
      </rPr>
      <t>di</t>
    </r>
  </si>
  <si>
    <t>Divalent activity coefficient</t>
  </si>
  <si>
    <r>
      <t>f</t>
    </r>
    <r>
      <rPr>
        <vertAlign val="subscript"/>
        <sz val="11"/>
        <rFont val="Calibri"/>
        <family val="2"/>
        <scheme val="minor"/>
      </rPr>
      <t>tri</t>
    </r>
  </si>
  <si>
    <t>Trivalent activity coefficient</t>
  </si>
  <si>
    <r>
      <t>K</t>
    </r>
    <r>
      <rPr>
        <vertAlign val="subscript"/>
        <sz val="11"/>
        <rFont val="Calibri"/>
        <family val="2"/>
        <scheme val="minor"/>
      </rPr>
      <t>W</t>
    </r>
  </si>
  <si>
    <r>
      <t>K</t>
    </r>
    <r>
      <rPr>
        <vertAlign val="subscript"/>
        <sz val="11"/>
        <rFont val="Calibri"/>
        <family val="2"/>
        <scheme val="minor"/>
      </rPr>
      <t>C1</t>
    </r>
  </si>
  <si>
    <r>
      <t>K</t>
    </r>
    <r>
      <rPr>
        <vertAlign val="subscript"/>
        <sz val="11"/>
        <rFont val="Calibri"/>
        <family val="2"/>
        <scheme val="minor"/>
      </rPr>
      <t>C2</t>
    </r>
  </si>
  <si>
    <t>Yield on ultimate BOD</t>
  </si>
  <si>
    <t>Particulate biochemical oxygen demand (5 days)</t>
  </si>
  <si>
    <t>Total biochemical oxygen demand (5 days)</t>
  </si>
  <si>
    <r>
      <t>SC</t>
    </r>
    <r>
      <rPr>
        <vertAlign val="subscript"/>
        <sz val="11"/>
        <rFont val="Calibri"/>
        <family val="2"/>
        <scheme val="minor"/>
      </rPr>
      <t>COD</t>
    </r>
  </si>
  <si>
    <t>Filtered flocculated chemical oxygen demand</t>
  </si>
  <si>
    <r>
      <t>g O2.m</t>
    </r>
    <r>
      <rPr>
        <vertAlign val="superscript"/>
        <sz val="11"/>
        <rFont val="Calibri"/>
        <family val="2"/>
        <scheme val="minor"/>
      </rPr>
      <t>-3</t>
    </r>
    <r>
      <rPr>
        <sz val="11"/>
        <rFont val="Calibri"/>
        <family val="2"/>
        <scheme val="minor"/>
      </rPr>
      <t>.d</t>
    </r>
    <r>
      <rPr>
        <vertAlign val="superscript"/>
        <sz val="11"/>
        <rFont val="Calibri"/>
        <family val="2"/>
        <scheme val="minor"/>
      </rPr>
      <t>-1</t>
    </r>
  </si>
  <si>
    <t>Magnesium</t>
  </si>
  <si>
    <r>
      <t>X</t>
    </r>
    <r>
      <rPr>
        <b/>
        <vertAlign val="subscript"/>
        <sz val="12"/>
        <rFont val="Calibri"/>
        <family val="2"/>
        <scheme val="minor"/>
      </rPr>
      <t>STR</t>
    </r>
  </si>
  <si>
    <r>
      <t>K</t>
    </r>
    <r>
      <rPr>
        <vertAlign val="subscript"/>
        <sz val="11"/>
        <rFont val="Calibri"/>
        <family val="2"/>
        <scheme val="minor"/>
      </rPr>
      <t>P1</t>
    </r>
  </si>
  <si>
    <r>
      <t>K</t>
    </r>
    <r>
      <rPr>
        <vertAlign val="subscript"/>
        <sz val="11"/>
        <rFont val="Calibri"/>
        <family val="2"/>
        <scheme val="minor"/>
      </rPr>
      <t>P2</t>
    </r>
  </si>
  <si>
    <r>
      <t>K</t>
    </r>
    <r>
      <rPr>
        <vertAlign val="subscript"/>
        <sz val="11"/>
        <rFont val="Calibri"/>
        <family val="2"/>
        <scheme val="minor"/>
      </rPr>
      <t>P3</t>
    </r>
  </si>
  <si>
    <r>
      <t>g TSS.m</t>
    </r>
    <r>
      <rPr>
        <vertAlign val="superscript"/>
        <sz val="11"/>
        <rFont val="Calibri"/>
        <family val="2"/>
      </rPr>
      <t>-3</t>
    </r>
  </si>
  <si>
    <r>
      <t>AM</t>
    </r>
    <r>
      <rPr>
        <vertAlign val="subscript"/>
        <sz val="11"/>
        <rFont val="Calibri"/>
        <family val="2"/>
        <scheme val="minor"/>
      </rPr>
      <t>C</t>
    </r>
  </si>
  <si>
    <r>
      <t>g.mol</t>
    </r>
    <r>
      <rPr>
        <vertAlign val="superscript"/>
        <sz val="11"/>
        <rFont val="Calibri"/>
        <family val="2"/>
        <scheme val="minor"/>
      </rPr>
      <t>-1</t>
    </r>
  </si>
  <si>
    <r>
      <t>AM</t>
    </r>
    <r>
      <rPr>
        <vertAlign val="subscript"/>
        <sz val="11"/>
        <rFont val="Calibri"/>
        <family val="2"/>
        <scheme val="minor"/>
      </rPr>
      <t>P</t>
    </r>
  </si>
  <si>
    <r>
      <t>AM</t>
    </r>
    <r>
      <rPr>
        <vertAlign val="subscript"/>
        <sz val="11"/>
        <rFont val="Calibri"/>
        <family val="2"/>
        <scheme val="minor"/>
      </rPr>
      <t>N</t>
    </r>
  </si>
  <si>
    <r>
      <t>AM</t>
    </r>
    <r>
      <rPr>
        <vertAlign val="subscript"/>
        <sz val="11"/>
        <rFont val="Calibri"/>
        <family val="2"/>
        <scheme val="minor"/>
      </rPr>
      <t>O</t>
    </r>
  </si>
  <si>
    <r>
      <t>AM</t>
    </r>
    <r>
      <rPr>
        <vertAlign val="subscript"/>
        <sz val="11"/>
        <rFont val="Calibri"/>
        <family val="2"/>
        <scheme val="minor"/>
      </rPr>
      <t>Ca</t>
    </r>
  </si>
  <si>
    <t>Atomic mass of calcium</t>
  </si>
  <si>
    <r>
      <rPr>
        <sz val="11"/>
        <rFont val="Calibri"/>
        <family val="2"/>
        <scheme val="minor"/>
      </rPr>
      <t>AM</t>
    </r>
    <r>
      <rPr>
        <vertAlign val="subscript"/>
        <sz val="11"/>
        <rFont val="Calibri"/>
        <family val="2"/>
        <scheme val="minor"/>
      </rPr>
      <t>Fe</t>
    </r>
  </si>
  <si>
    <r>
      <t>AM</t>
    </r>
    <r>
      <rPr>
        <vertAlign val="subscript"/>
        <sz val="11"/>
        <rFont val="Calibri"/>
        <family val="2"/>
        <scheme val="minor"/>
      </rPr>
      <t>Al</t>
    </r>
  </si>
  <si>
    <r>
      <t>AM</t>
    </r>
    <r>
      <rPr>
        <vertAlign val="subscript"/>
        <sz val="11"/>
        <rFont val="Calibri"/>
        <family val="2"/>
        <scheme val="minor"/>
      </rPr>
      <t>H</t>
    </r>
  </si>
  <si>
    <r>
      <t>AM</t>
    </r>
    <r>
      <rPr>
        <vertAlign val="subscript"/>
        <sz val="11"/>
        <rFont val="Calibri"/>
        <family val="2"/>
        <scheme val="minor"/>
      </rPr>
      <t>Na</t>
    </r>
  </si>
  <si>
    <r>
      <t>AM</t>
    </r>
    <r>
      <rPr>
        <vertAlign val="subscript"/>
        <sz val="11"/>
        <rFont val="Calibri"/>
        <family val="2"/>
        <scheme val="minor"/>
      </rPr>
      <t>Cl</t>
    </r>
  </si>
  <si>
    <t>Atomic mass of chlorine</t>
  </si>
  <si>
    <t>Newton-Raphson</t>
  </si>
  <si>
    <t>Target</t>
  </si>
  <si>
    <t>Minimum</t>
  </si>
  <si>
    <t>Maximum</t>
  </si>
  <si>
    <t>chargebalanceerror</t>
  </si>
  <si>
    <t>pHunit</t>
  </si>
  <si>
    <t>Ionic strength (IS)</t>
  </si>
  <si>
    <t>ISerror</t>
  </si>
  <si>
    <t>ISunit</t>
  </si>
  <si>
    <t>Key cation component</t>
  </si>
  <si>
    <t>0</t>
  </si>
  <si>
    <r>
      <t>mol.L</t>
    </r>
    <r>
      <rPr>
        <vertAlign val="superscript"/>
        <sz val="11"/>
        <rFont val="Calibri"/>
        <family val="2"/>
        <scheme val="minor"/>
      </rPr>
      <t>-1</t>
    </r>
  </si>
  <si>
    <t>Fit ionic strength</t>
  </si>
  <si>
    <r>
      <t>S</t>
    </r>
    <r>
      <rPr>
        <vertAlign val="subscript"/>
        <sz val="11"/>
        <rFont val="Calibri"/>
        <family val="2"/>
        <scheme val="minor"/>
      </rPr>
      <t>CO2</t>
    </r>
  </si>
  <si>
    <t>Main buffer system component</t>
  </si>
  <si>
    <t>SCO2error</t>
  </si>
  <si>
    <t>chargebalance</t>
  </si>
  <si>
    <t>Ionic strength error</t>
  </si>
  <si>
    <t>Alkalinity error for CO2 calculation</t>
  </si>
  <si>
    <r>
      <t>S</t>
    </r>
    <r>
      <rPr>
        <vertAlign val="subscript"/>
        <sz val="11"/>
        <rFont val="Calibri"/>
        <family val="2"/>
        <scheme val="minor"/>
      </rPr>
      <t>ALK</t>
    </r>
    <r>
      <rPr>
        <sz val="11"/>
        <rFont val="Calibri"/>
        <family val="2"/>
        <scheme val="minor"/>
      </rPr>
      <t>-S</t>
    </r>
    <r>
      <rPr>
        <vertAlign val="subscript"/>
        <sz val="11"/>
        <rFont val="Calibri"/>
        <family val="2"/>
        <scheme val="minor"/>
      </rPr>
      <t>ALK,input</t>
    </r>
  </si>
  <si>
    <t>Charge balance and ionic strength</t>
  </si>
  <si>
    <t>Alkalinity (ALK)</t>
  </si>
  <si>
    <t>Equilibrium species</t>
  </si>
  <si>
    <r>
      <t>[H</t>
    </r>
    <r>
      <rPr>
        <b/>
        <vertAlign val="superscript"/>
        <sz val="11"/>
        <rFont val="Calibri"/>
        <family val="2"/>
      </rPr>
      <t>+</t>
    </r>
    <r>
      <rPr>
        <b/>
        <sz val="11"/>
        <rFont val="Calibri"/>
        <family val="2"/>
      </rPr>
      <t>]</t>
    </r>
  </si>
  <si>
    <t>Proton</t>
  </si>
  <si>
    <r>
      <t>[OH</t>
    </r>
    <r>
      <rPr>
        <b/>
        <vertAlign val="superscript"/>
        <sz val="11"/>
        <rFont val="Calibri"/>
        <family val="2"/>
      </rPr>
      <t>-</t>
    </r>
    <r>
      <rPr>
        <b/>
        <sz val="11"/>
        <rFont val="Calibri"/>
        <family val="2"/>
      </rPr>
      <t>]</t>
    </r>
  </si>
  <si>
    <t>Hydroxide ion</t>
  </si>
  <si>
    <r>
      <t>[NH</t>
    </r>
    <r>
      <rPr>
        <b/>
        <vertAlign val="subscript"/>
        <sz val="11"/>
        <rFont val="Calibri"/>
        <family val="2"/>
      </rPr>
      <t>3</t>
    </r>
    <r>
      <rPr>
        <b/>
        <sz val="11"/>
        <rFont val="Calibri"/>
        <family val="2"/>
      </rPr>
      <t>]</t>
    </r>
  </si>
  <si>
    <t>Free ammonia</t>
  </si>
  <si>
    <r>
      <t>[NH</t>
    </r>
    <r>
      <rPr>
        <b/>
        <vertAlign val="subscript"/>
        <sz val="11"/>
        <rFont val="Calibri"/>
        <family val="2"/>
      </rPr>
      <t>4</t>
    </r>
    <r>
      <rPr>
        <b/>
        <vertAlign val="superscript"/>
        <sz val="11"/>
        <rFont val="Calibri"/>
        <family val="2"/>
      </rPr>
      <t>+</t>
    </r>
    <r>
      <rPr>
        <b/>
        <sz val="11"/>
        <rFont val="Calibri"/>
        <family val="2"/>
      </rPr>
      <t>]</t>
    </r>
  </si>
  <si>
    <t>Ammonium</t>
  </si>
  <si>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</si>
  <si>
    <t>Carbonic acid</t>
  </si>
  <si>
    <r>
      <t>[HCO</t>
    </r>
    <r>
      <rPr>
        <b/>
        <vertAlign val="subscript"/>
        <sz val="11"/>
        <rFont val="Calibri"/>
        <family val="2"/>
      </rPr>
      <t>3</t>
    </r>
    <r>
      <rPr>
        <b/>
        <vertAlign val="superscript"/>
        <sz val="11"/>
        <rFont val="Calibri"/>
        <family val="2"/>
      </rPr>
      <t>-</t>
    </r>
    <r>
      <rPr>
        <b/>
        <sz val="11"/>
        <rFont val="Calibri"/>
        <family val="2"/>
      </rPr>
      <t>]</t>
    </r>
  </si>
  <si>
    <t>Bicarbonate ion</t>
  </si>
  <si>
    <r>
      <t>[CO</t>
    </r>
    <r>
      <rPr>
        <b/>
        <vertAlign val="subscript"/>
        <sz val="11"/>
        <rFont val="Calibri"/>
        <family val="2"/>
      </rPr>
      <t>3</t>
    </r>
    <r>
      <rPr>
        <b/>
        <vertAlign val="superscript"/>
        <sz val="11"/>
        <rFont val="Calibri"/>
        <family val="2"/>
      </rPr>
      <t>2-</t>
    </r>
    <r>
      <rPr>
        <b/>
        <sz val="11"/>
        <rFont val="Calibri"/>
        <family val="2"/>
      </rPr>
      <t>]</t>
    </r>
  </si>
  <si>
    <t>Carbonate ion</t>
  </si>
  <si>
    <r>
      <t>[H</t>
    </r>
    <r>
      <rPr>
        <b/>
        <vertAlign val="subscript"/>
        <sz val="11"/>
        <rFont val="Calibri"/>
        <family val="2"/>
      </rPr>
      <t>3</t>
    </r>
    <r>
      <rPr>
        <b/>
        <sz val="11"/>
        <rFont val="Calibri"/>
        <family val="2"/>
      </rPr>
      <t>PO</t>
    </r>
    <r>
      <rPr>
        <b/>
        <vertAlign val="subscript"/>
        <sz val="11"/>
        <rFont val="Calibri"/>
        <family val="2"/>
      </rPr>
      <t>4</t>
    </r>
    <r>
      <rPr>
        <b/>
        <sz val="11"/>
        <rFont val="Calibri"/>
        <family val="2"/>
      </rPr>
      <t>]</t>
    </r>
  </si>
  <si>
    <t>Phosphoric acid</t>
  </si>
  <si>
    <r>
      <t>[H</t>
    </r>
    <r>
      <rPr>
        <b/>
        <vertAlign val="subscript"/>
        <sz val="11"/>
        <rFont val="Calibri"/>
        <family val="2"/>
      </rPr>
      <t>2</t>
    </r>
    <r>
      <rPr>
        <b/>
        <sz val="11"/>
        <rFont val="Calibri"/>
        <family val="2"/>
      </rPr>
      <t>PO</t>
    </r>
    <r>
      <rPr>
        <b/>
        <vertAlign val="subscript"/>
        <sz val="11"/>
        <rFont val="Calibri"/>
        <family val="2"/>
      </rPr>
      <t>4</t>
    </r>
    <r>
      <rPr>
        <b/>
        <vertAlign val="superscript"/>
        <sz val="11"/>
        <rFont val="Calibri"/>
        <family val="2"/>
      </rPr>
      <t>-</t>
    </r>
    <r>
      <rPr>
        <b/>
        <sz val="11"/>
        <rFont val="Calibri"/>
        <family val="2"/>
      </rPr>
      <t>]</t>
    </r>
  </si>
  <si>
    <t>Dihydrogen phosphate ion</t>
  </si>
  <si>
    <r>
      <t>[HPO</t>
    </r>
    <r>
      <rPr>
        <b/>
        <vertAlign val="subscript"/>
        <sz val="11"/>
        <rFont val="Calibri"/>
        <family val="2"/>
      </rPr>
      <t>4</t>
    </r>
    <r>
      <rPr>
        <b/>
        <vertAlign val="superscript"/>
        <sz val="11"/>
        <rFont val="Calibri"/>
        <family val="2"/>
      </rPr>
      <t>2-</t>
    </r>
    <r>
      <rPr>
        <b/>
        <sz val="11"/>
        <rFont val="Calibri"/>
        <family val="2"/>
      </rPr>
      <t>]</t>
    </r>
  </si>
  <si>
    <t>Hydrogen phosphate ion</t>
  </si>
  <si>
    <r>
      <t>[PO</t>
    </r>
    <r>
      <rPr>
        <b/>
        <vertAlign val="subscript"/>
        <sz val="11"/>
        <rFont val="Calibri"/>
        <family val="2"/>
      </rPr>
      <t>4</t>
    </r>
    <r>
      <rPr>
        <b/>
        <vertAlign val="superscript"/>
        <sz val="11"/>
        <rFont val="Calibri"/>
        <family val="2"/>
      </rPr>
      <t>3-</t>
    </r>
    <r>
      <rPr>
        <b/>
        <sz val="11"/>
        <rFont val="Calibri"/>
        <family val="2"/>
      </rPr>
      <t>]</t>
    </r>
  </si>
  <si>
    <t>Phosphate ion</t>
  </si>
  <si>
    <t>[HAc]</t>
  </si>
  <si>
    <t>Acetic acid</t>
  </si>
  <si>
    <r>
      <t>[Ac</t>
    </r>
    <r>
      <rPr>
        <b/>
        <vertAlign val="superscript"/>
        <sz val="11"/>
        <rFont val="Calibri"/>
        <family val="2"/>
      </rPr>
      <t>-</t>
    </r>
    <r>
      <rPr>
        <b/>
        <sz val="11"/>
        <rFont val="Calibri"/>
        <family val="2"/>
      </rPr>
      <t>]</t>
    </r>
  </si>
  <si>
    <t>Acetate ion</t>
  </si>
  <si>
    <t>Nitrate ion</t>
  </si>
  <si>
    <r>
      <t>[NO</t>
    </r>
    <r>
      <rPr>
        <b/>
        <vertAlign val="subscript"/>
        <sz val="11"/>
        <rFont val="Calibri"/>
        <family val="2"/>
      </rPr>
      <t>3</t>
    </r>
    <r>
      <rPr>
        <b/>
        <vertAlign val="superscript"/>
        <sz val="11"/>
        <rFont val="Calibri"/>
        <family val="2"/>
      </rPr>
      <t>-</t>
    </r>
    <r>
      <rPr>
        <b/>
        <sz val="11"/>
        <rFont val="Calibri"/>
        <family val="2"/>
      </rPr>
      <t>]</t>
    </r>
  </si>
  <si>
    <r>
      <t>diss</t>
    </r>
    <r>
      <rPr>
        <vertAlign val="subscript"/>
        <sz val="11"/>
        <rFont val="Calibri"/>
        <family val="2"/>
      </rPr>
      <t>H2O</t>
    </r>
  </si>
  <si>
    <r>
      <t>K</t>
    </r>
    <r>
      <rPr>
        <vertAlign val="subscript"/>
        <sz val="11"/>
        <rFont val="Calibri"/>
        <family val="2"/>
      </rPr>
      <t>W</t>
    </r>
    <r>
      <rPr>
        <sz val="11"/>
        <rFont val="Calibri"/>
        <family val="2"/>
      </rPr>
      <t>/[H</t>
    </r>
    <r>
      <rPr>
        <vertAlign val="superscript"/>
        <sz val="11"/>
        <rFont val="Calibri"/>
        <family val="2"/>
      </rPr>
      <t>+</t>
    </r>
    <r>
      <rPr>
        <sz val="11"/>
        <rFont val="Calibri"/>
        <family val="2"/>
      </rPr>
      <t>]</t>
    </r>
  </si>
  <si>
    <r>
      <t>diss</t>
    </r>
    <r>
      <rPr>
        <vertAlign val="subscript"/>
        <sz val="11"/>
        <rFont val="Calibri"/>
        <family val="2"/>
      </rPr>
      <t>CO2</t>
    </r>
  </si>
  <si>
    <r>
      <t>diss</t>
    </r>
    <r>
      <rPr>
        <vertAlign val="subscript"/>
        <sz val="11"/>
        <rFont val="Calibri"/>
        <family val="2"/>
      </rPr>
      <t>PO4</t>
    </r>
  </si>
  <si>
    <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</si>
  <si>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]^2*K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</si>
  <si>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</si>
  <si>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K</t>
    </r>
    <r>
      <rPr>
        <vertAlign val="subscript"/>
        <sz val="11"/>
        <rFont val="Calibri"/>
        <family val="2"/>
      </rPr>
      <t>P3</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</si>
  <si>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diss</t>
    </r>
    <r>
      <rPr>
        <vertAlign val="subscript"/>
        <sz val="11"/>
        <rFont val="Calibri"/>
        <family val="2"/>
      </rPr>
      <t>VFA</t>
    </r>
  </si>
  <si>
    <r>
      <t>map</t>
    </r>
    <r>
      <rPr>
        <vertAlign val="subscript"/>
        <sz val="11"/>
        <rFont val="Calibri"/>
        <family val="2"/>
      </rPr>
      <t>Na</t>
    </r>
  </si>
  <si>
    <r>
      <t>map</t>
    </r>
    <r>
      <rPr>
        <vertAlign val="subscript"/>
        <sz val="11"/>
        <rFont val="Calibri"/>
        <family val="2"/>
      </rPr>
      <t>Cl</t>
    </r>
  </si>
  <si>
    <r>
      <t>G</t>
    </r>
    <r>
      <rPr>
        <b/>
        <vertAlign val="subscript"/>
        <sz val="11"/>
        <rFont val="Calibri"/>
        <family val="2"/>
        <charset val="238"/>
      </rPr>
      <t>CO2</t>
    </r>
  </si>
  <si>
    <t>G</t>
  </si>
  <si>
    <r>
      <t>G</t>
    </r>
    <r>
      <rPr>
        <b/>
        <vertAlign val="subscript"/>
        <sz val="11"/>
        <rFont val="Calibri"/>
        <family val="2"/>
        <charset val="238"/>
      </rPr>
      <t>CH4</t>
    </r>
  </si>
  <si>
    <r>
      <t>G</t>
    </r>
    <r>
      <rPr>
        <b/>
        <vertAlign val="subscript"/>
        <sz val="11"/>
        <rFont val="Calibri"/>
        <family val="2"/>
        <charset val="238"/>
      </rPr>
      <t>H2</t>
    </r>
  </si>
  <si>
    <r>
      <t>G</t>
    </r>
    <r>
      <rPr>
        <b/>
        <vertAlign val="subscript"/>
        <sz val="11"/>
        <rFont val="Calibri"/>
        <family val="2"/>
        <charset val="238"/>
      </rPr>
      <t>O2</t>
    </r>
  </si>
  <si>
    <r>
      <t>G</t>
    </r>
    <r>
      <rPr>
        <b/>
        <vertAlign val="subscript"/>
        <sz val="11"/>
        <rFont val="Calibri"/>
        <family val="2"/>
        <charset val="238"/>
      </rPr>
      <t>N2</t>
    </r>
  </si>
  <si>
    <t>r45</t>
  </si>
  <si>
    <t>r46</t>
  </si>
  <si>
    <t>Calculated gas transfer coefficients</t>
  </si>
  <si>
    <r>
      <t>d</t>
    </r>
    <r>
      <rPr>
        <vertAlign val="superscript"/>
        <sz val="11"/>
        <rFont val="Calibri"/>
        <family val="2"/>
        <scheme val="minor"/>
      </rPr>
      <t>-1</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</si>
  <si>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</si>
  <si>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Henry coefficient for CH</t>
    </r>
    <r>
      <rPr>
        <vertAlign val="subscript"/>
        <sz val="11"/>
        <rFont val="Calibri"/>
        <family val="2"/>
        <scheme val="minor"/>
      </rPr>
      <t xml:space="preserve">4 </t>
    </r>
    <r>
      <rPr>
        <sz val="11"/>
        <rFont val="Calibri"/>
        <family val="2"/>
        <scheme val="minor"/>
      </rPr>
      <t>@25°C</t>
    </r>
  </si>
  <si>
    <r>
      <t>MM</t>
    </r>
    <r>
      <rPr>
        <vertAlign val="subscript"/>
        <sz val="11"/>
        <rFont val="Calibri"/>
        <family val="2"/>
        <scheme val="minor"/>
      </rPr>
      <t>GO2</t>
    </r>
  </si>
  <si>
    <t>Molecular mass of oxygen</t>
  </si>
  <si>
    <r>
      <t>MM</t>
    </r>
    <r>
      <rPr>
        <vertAlign val="subscript"/>
        <sz val="11"/>
        <rFont val="Calibri"/>
        <family val="2"/>
        <scheme val="minor"/>
      </rPr>
      <t>O2</t>
    </r>
  </si>
  <si>
    <r>
      <t>MM</t>
    </r>
    <r>
      <rPr>
        <vertAlign val="subscript"/>
        <sz val="11"/>
        <rFont val="Calibri"/>
        <family val="2"/>
        <scheme val="minor"/>
      </rPr>
      <t>N2</t>
    </r>
  </si>
  <si>
    <t>Molecular mass of nitrogen</t>
  </si>
  <si>
    <r>
      <t>MM</t>
    </r>
    <r>
      <rPr>
        <vertAlign val="subscript"/>
        <sz val="11"/>
        <rFont val="Calibri"/>
        <family val="2"/>
        <scheme val="minor"/>
      </rPr>
      <t>GN2</t>
    </r>
  </si>
  <si>
    <t>Molecular mass of hydrogen</t>
  </si>
  <si>
    <t>Molecular mass of methane</t>
  </si>
  <si>
    <t>Diffusion coefficient of oxygen in water</t>
  </si>
  <si>
    <t>Diffusion coefficient of nitrogen in water</t>
  </si>
  <si>
    <t>Diffusion coefficient of carbon dioxide in water</t>
  </si>
  <si>
    <t>Diffusion coefficient of hydrogen in water @ 25°C</t>
  </si>
  <si>
    <t>Diffusion coefficient of methane in water @ 25°C</t>
  </si>
  <si>
    <r>
      <t>MM</t>
    </r>
    <r>
      <rPr>
        <vertAlign val="subscript"/>
        <sz val="11"/>
        <rFont val="Calibri"/>
        <family val="2"/>
        <scheme val="minor"/>
      </rPr>
      <t>GH2</t>
    </r>
  </si>
  <si>
    <r>
      <t>MM</t>
    </r>
    <r>
      <rPr>
        <vertAlign val="subscript"/>
        <sz val="11"/>
        <rFont val="Calibri"/>
        <family val="2"/>
        <scheme val="minor"/>
      </rPr>
      <t>GCH4</t>
    </r>
  </si>
  <si>
    <r>
      <t>X</t>
    </r>
    <r>
      <rPr>
        <b/>
        <vertAlign val="subscript"/>
        <sz val="11"/>
        <rFont val="Calibri"/>
        <family val="2"/>
        <charset val="238"/>
        <scheme val="minor"/>
      </rPr>
      <t>HFO,L,P</t>
    </r>
  </si>
  <si>
    <r>
      <t>X</t>
    </r>
    <r>
      <rPr>
        <b/>
        <vertAlign val="subscript"/>
        <sz val="11"/>
        <rFont val="Calibri"/>
        <family val="2"/>
        <charset val="238"/>
        <scheme val="minor"/>
      </rPr>
      <t>HFO,H,P</t>
    </r>
  </si>
  <si>
    <r>
      <t>X</t>
    </r>
    <r>
      <rPr>
        <b/>
        <vertAlign val="subscript"/>
        <sz val="11"/>
        <rFont val="Calibri"/>
        <family val="2"/>
        <charset val="238"/>
        <scheme val="minor"/>
      </rPr>
      <t>HFO,old</t>
    </r>
  </si>
  <si>
    <t>r47</t>
  </si>
  <si>
    <t>r48</t>
  </si>
  <si>
    <t>r49</t>
  </si>
  <si>
    <t>Total HFOs</t>
  </si>
  <si>
    <r>
      <t>g Fe.m</t>
    </r>
    <r>
      <rPr>
        <vertAlign val="superscript"/>
        <sz val="8"/>
        <rFont val="Arial"/>
        <family val="2"/>
      </rPr>
      <t>-3</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</si>
  <si>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</si>
  <si>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</si>
  <si>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</si>
  <si>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</si>
  <si>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</si>
  <si>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</si>
  <si>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</si>
  <si>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</si>
  <si>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</si>
  <si>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</si>
  <si>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</si>
  <si>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</si>
  <si>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</si>
  <si>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</si>
  <si>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</si>
  <si>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Temperature dependency factor for CH</t>
    </r>
    <r>
      <rPr>
        <vertAlign val="subscript"/>
        <sz val="11"/>
        <rFont val="Calibri"/>
        <family val="2"/>
        <scheme val="minor"/>
      </rPr>
      <t>4</t>
    </r>
    <r>
      <rPr>
        <sz val="11"/>
        <rFont val="Calibri"/>
        <family val="2"/>
        <scheme val="minor"/>
      </rPr>
      <t xml:space="preserve"> Henry coefficient</t>
    </r>
  </si>
  <si>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</si>
  <si>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r>
      <t>m</t>
    </r>
    <r>
      <rPr>
        <vertAlign val="superscript"/>
        <sz val="11"/>
        <rFont val="Calibri"/>
        <family val="2"/>
      </rPr>
      <t>2</t>
    </r>
    <r>
      <rPr>
        <sz val="11"/>
        <rFont val="Calibri"/>
        <family val="2"/>
      </rPr>
      <t>.d</t>
    </r>
    <r>
      <rPr>
        <vertAlign val="superscript"/>
        <sz val="11"/>
        <rFont val="Calibri"/>
        <family val="2"/>
      </rPr>
      <t>-1</t>
    </r>
  </si>
  <si>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</si>
  <si>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</si>
  <si>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</si>
  <si>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</si>
  <si>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</si>
  <si>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</si>
  <si>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</si>
  <si>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</si>
  <si>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</si>
  <si>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</si>
  <si>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</si>
  <si>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</si>
  <si>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</si>
  <si>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</si>
  <si>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</si>
  <si>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</si>
  <si>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</si>
  <si>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</si>
  <si>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</si>
  <si>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</si>
  <si>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</si>
  <si>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</si>
  <si>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</si>
  <si>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</si>
  <si>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</si>
  <si>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</si>
  <si>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</si>
  <si>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</si>
  <si>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</si>
  <si>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</si>
  <si>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</si>
  <si>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</si>
  <si>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</si>
  <si>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</si>
  <si>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</si>
  <si>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</si>
  <si>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</si>
  <si>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</si>
  <si>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</si>
  <si>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</si>
  <si>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</si>
  <si>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</si>
  <si>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</si>
  <si>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</si>
  <si>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Mg</t>
    </r>
  </si>
  <si>
    <t>Atomic mass of magnesium</t>
  </si>
  <si>
    <r>
      <t>AM</t>
    </r>
    <r>
      <rPr>
        <vertAlign val="subscript"/>
        <sz val="11"/>
        <rFont val="Calibri"/>
        <family val="2"/>
        <scheme val="minor"/>
      </rPr>
      <t>Si</t>
    </r>
  </si>
  <si>
    <t>Atomic mass of silicon</t>
  </si>
  <si>
    <r>
      <t>AM</t>
    </r>
    <r>
      <rPr>
        <vertAlign val="subscript"/>
        <sz val="11"/>
        <rFont val="Calibri"/>
        <family val="2"/>
        <scheme val="minor"/>
      </rPr>
      <t>S</t>
    </r>
  </si>
  <si>
    <t>Atomic mass of sulphur</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</si>
  <si>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</si>
  <si>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</si>
  <si>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</si>
  <si>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</si>
  <si>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</si>
  <si>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</si>
  <si>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</si>
  <si>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</si>
  <si>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</si>
  <si>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</si>
  <si>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</si>
  <si>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</si>
  <si>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</si>
  <si>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</si>
  <si>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</si>
  <si>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</si>
  <si>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</si>
  <si>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</si>
  <si>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</si>
  <si>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</si>
  <si>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</si>
  <si>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</si>
  <si>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</si>
  <si>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</si>
  <si>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</si>
  <si>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</si>
  <si>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</si>
  <si>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</si>
  <si>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</si>
  <si>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</si>
  <si>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</si>
  <si>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</si>
  <si>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</si>
  <si>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</si>
  <si>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</si>
  <si>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</si>
  <si>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</si>
  <si>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</si>
  <si>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</si>
  <si>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</si>
  <si>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</si>
  <si>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</si>
  <si>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</si>
  <si>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</si>
  <si>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</si>
  <si>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</si>
  <si>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</si>
  <si>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</si>
  <si>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</si>
  <si>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</si>
  <si>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</si>
  <si>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</si>
  <si>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</si>
  <si>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</si>
  <si>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</si>
  <si>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</si>
  <si>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</si>
  <si>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</si>
  <si>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</si>
  <si>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</si>
  <si>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</si>
  <si>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</si>
  <si>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</si>
  <si>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</si>
  <si>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</si>
  <si>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</si>
  <si>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</si>
  <si>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</si>
  <si>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</si>
  <si>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</si>
  <si>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</si>
  <si>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</si>
  <si>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</si>
  <si>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</si>
  <si>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</si>
  <si>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</si>
  <si>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</si>
  <si>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</si>
  <si>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</si>
  <si>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</si>
  <si>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</si>
  <si>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</si>
  <si>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</si>
  <si>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</si>
  <si>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</si>
  <si>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</si>
  <si>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</si>
  <si>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</si>
  <si>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</si>
  <si>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</si>
  <si>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</si>
  <si>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</si>
  <si>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</si>
  <si>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</si>
  <si>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</si>
  <si>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</si>
  <si>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</si>
  <si>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</si>
  <si>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</si>
  <si>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</si>
  <si>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</si>
  <si>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</si>
  <si>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</si>
  <si>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</si>
  <si>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</si>
  <si>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</si>
  <si>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</si>
  <si>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</si>
  <si>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</si>
  <si>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</si>
  <si>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</si>
  <si>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</si>
  <si>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</si>
  <si>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</si>
  <si>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</si>
  <si>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</si>
  <si>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</si>
  <si>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</si>
  <si>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</si>
  <si>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</si>
  <si>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</si>
  <si>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</si>
  <si>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</si>
  <si>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</si>
  <si>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</si>
  <si>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</si>
  <si>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</si>
  <si>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</si>
  <si>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</si>
  <si>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</si>
  <si>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</si>
  <si>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</si>
  <si>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</si>
  <si>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</si>
  <si>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</si>
  <si>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</si>
  <si>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</si>
  <si>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</si>
  <si>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</si>
  <si>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</si>
  <si>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</si>
  <si>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</si>
  <si>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</si>
  <si>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</si>
  <si>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</si>
  <si>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</si>
  <si>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</si>
  <si>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</si>
  <si>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</si>
  <si>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</si>
  <si>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</si>
  <si>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</si>
  <si>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</si>
  <si>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</si>
  <si>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</si>
  <si>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</si>
  <si>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</si>
  <si>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</si>
  <si>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</si>
  <si>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</si>
  <si>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</si>
  <si>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</si>
  <si>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</si>
  <si>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</si>
  <si>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</si>
  <si>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</si>
  <si>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</si>
  <si>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</si>
  <si>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</si>
  <si>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</si>
  <si>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</si>
  <si>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</si>
  <si>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</si>
  <si>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</si>
  <si>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</si>
  <si>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</si>
  <si>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</si>
  <si>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</si>
  <si>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</si>
  <si>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</si>
  <si>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</si>
  <si>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</si>
  <si>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</si>
  <si>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</si>
  <si>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</si>
  <si>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</si>
  <si>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</si>
  <si>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</si>
  <si>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</si>
  <si>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</si>
  <si>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</si>
  <si>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</si>
  <si>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</si>
  <si>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</si>
  <si>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</si>
  <si>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</si>
  <si>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</si>
  <si>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</si>
  <si>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</si>
  <si>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GCO2</t>
    </r>
  </si>
  <si>
    <t>Molecular mass of carbon dioxide</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</si>
  <si>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</si>
  <si>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</si>
  <si>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</si>
  <si>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</si>
  <si>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</si>
  <si>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</si>
  <si>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</si>
  <si>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</si>
  <si>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</si>
  <si>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</si>
  <si>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</si>
  <si>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</si>
  <si>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</si>
  <si>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</si>
  <si>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</si>
  <si>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</si>
  <si>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</si>
  <si>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</si>
  <si>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</si>
  <si>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Nitrite dissociation</t>
  </si>
  <si>
    <t>Electron equivalences</t>
  </si>
  <si>
    <r>
      <t>EEQ</t>
    </r>
    <r>
      <rPr>
        <vertAlign val="subscript"/>
        <sz val="11"/>
        <rFont val="Calibri"/>
        <family val="2"/>
      </rPr>
      <t>N2</t>
    </r>
  </si>
  <si>
    <r>
      <t>Electron equivalence of N</t>
    </r>
    <r>
      <rPr>
        <vertAlign val="subscript"/>
        <sz val="11"/>
        <rFont val="Calibri"/>
        <family val="2"/>
      </rPr>
      <t>2</t>
    </r>
  </si>
  <si>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</si>
  <si>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</si>
  <si>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</si>
  <si>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</si>
  <si>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</si>
  <si>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</si>
  <si>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</si>
  <si>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</si>
  <si>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</si>
  <si>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</si>
  <si>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</si>
  <si>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</si>
  <si>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</si>
  <si>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t>(s/x)/(s/x+k)</t>
  </si>
  <si>
    <t>Sign(x)</t>
  </si>
  <si>
    <t>Sign</t>
  </si>
  <si>
    <t>Temperature dependent Henry coefficient for NO</t>
  </si>
  <si>
    <t>Max(lolim;Min(hilim;var))</t>
  </si>
  <si>
    <t>If(x&gt;0;1;If(x&lt;0;-1;0))</t>
  </si>
  <si>
    <t>SUMO functions</t>
  </si>
  <si>
    <t>this can be used in Excel from FuncEngine 1.5.2</t>
  </si>
  <si>
    <t>Diffusion coefficient of NO in water @ 25°C</t>
  </si>
  <si>
    <r>
      <t>g.m</t>
    </r>
    <r>
      <rPr>
        <vertAlign val="superscript"/>
        <sz val="11"/>
        <rFont val="Calibri"/>
        <family val="2"/>
        <scheme val="minor"/>
      </rPr>
      <t>-3</t>
    </r>
  </si>
  <si>
    <t>Pa</t>
  </si>
  <si>
    <t>Other parameters</t>
  </si>
  <si>
    <t>pH effects on/not on from systemcode</t>
  </si>
  <si>
    <t>Boolean</t>
  </si>
  <si>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</si>
  <si>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Total phosphorus</t>
  </si>
  <si>
    <r>
      <t>g P.m</t>
    </r>
    <r>
      <rPr>
        <vertAlign val="superscript"/>
        <sz val="11"/>
        <rFont val="Calibri"/>
        <family val="2"/>
      </rPr>
      <t>-3</t>
    </r>
  </si>
  <si>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</si>
  <si>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</si>
  <si>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</si>
  <si>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</si>
  <si>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</si>
  <si>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</si>
  <si>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</si>
  <si>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</si>
  <si>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General stoichiometry</t>
  </si>
  <si>
    <t>Set</t>
  </si>
  <si>
    <t>input alkalinity - in feed PU</t>
  </si>
  <si>
    <r>
      <t>S</t>
    </r>
    <r>
      <rPr>
        <vertAlign val="subscript"/>
        <sz val="11"/>
        <rFont val="Calibri"/>
        <family val="2"/>
        <charset val="238"/>
      </rPr>
      <t>ALK,input</t>
    </r>
  </si>
  <si>
    <r>
      <t>S</t>
    </r>
    <r>
      <rPr>
        <b/>
        <vertAlign val="subscript"/>
        <sz val="11"/>
        <rFont val="Calibri"/>
        <family val="2"/>
        <scheme val="minor"/>
      </rPr>
      <t>VFA</t>
    </r>
  </si>
  <si>
    <r>
      <t>S</t>
    </r>
    <r>
      <rPr>
        <b/>
        <vertAlign val="subscript"/>
        <sz val="11"/>
        <rFont val="Calibri"/>
        <family val="2"/>
        <scheme val="minor"/>
      </rPr>
      <t>B</t>
    </r>
  </si>
  <si>
    <r>
      <t>S</t>
    </r>
    <r>
      <rPr>
        <b/>
        <vertAlign val="subscript"/>
        <sz val="11"/>
        <rFont val="Calibri"/>
        <family val="2"/>
        <scheme val="minor"/>
      </rPr>
      <t>MEOL</t>
    </r>
  </si>
  <si>
    <r>
      <t>C</t>
    </r>
    <r>
      <rPr>
        <b/>
        <vertAlign val="subscript"/>
        <sz val="11"/>
        <rFont val="Calibri"/>
        <family val="2"/>
        <scheme val="minor"/>
      </rPr>
      <t>B</t>
    </r>
  </si>
  <si>
    <r>
      <t>X</t>
    </r>
    <r>
      <rPr>
        <b/>
        <vertAlign val="subscript"/>
        <sz val="11"/>
        <rFont val="Calibri"/>
        <family val="2"/>
        <scheme val="minor"/>
      </rPr>
      <t>B</t>
    </r>
  </si>
  <si>
    <r>
      <t>S</t>
    </r>
    <r>
      <rPr>
        <b/>
        <vertAlign val="subscript"/>
        <sz val="11"/>
        <rFont val="Calibri"/>
        <family val="2"/>
        <scheme val="minor"/>
      </rPr>
      <t>U</t>
    </r>
  </si>
  <si>
    <r>
      <t>C</t>
    </r>
    <r>
      <rPr>
        <b/>
        <vertAlign val="subscript"/>
        <sz val="11"/>
        <rFont val="Calibri"/>
        <family val="2"/>
        <scheme val="minor"/>
      </rPr>
      <t>U</t>
    </r>
  </si>
  <si>
    <r>
      <t>X</t>
    </r>
    <r>
      <rPr>
        <b/>
        <vertAlign val="subscript"/>
        <sz val="11"/>
        <rFont val="Calibri"/>
        <family val="2"/>
        <scheme val="minor"/>
      </rPr>
      <t>U</t>
    </r>
  </si>
  <si>
    <r>
      <t>X</t>
    </r>
    <r>
      <rPr>
        <b/>
        <vertAlign val="subscript"/>
        <sz val="11"/>
        <rFont val="Calibri"/>
        <family val="2"/>
        <scheme val="minor"/>
      </rPr>
      <t>PHA</t>
    </r>
  </si>
  <si>
    <r>
      <t>X</t>
    </r>
    <r>
      <rPr>
        <b/>
        <vertAlign val="subscript"/>
        <sz val="11"/>
        <rFont val="Calibri"/>
        <family val="2"/>
        <scheme val="minor"/>
      </rPr>
      <t>E</t>
    </r>
  </si>
  <si>
    <r>
      <t>X</t>
    </r>
    <r>
      <rPr>
        <b/>
        <vertAlign val="subscript"/>
        <sz val="11"/>
        <rFont val="Calibri"/>
        <family val="2"/>
        <scheme val="minor"/>
      </rPr>
      <t>OHO</t>
    </r>
  </si>
  <si>
    <r>
      <t>X</t>
    </r>
    <r>
      <rPr>
        <b/>
        <vertAlign val="subscript"/>
        <sz val="11"/>
        <rFont val="Calibri"/>
        <family val="2"/>
        <scheme val="minor"/>
      </rPr>
      <t>MEOLO</t>
    </r>
  </si>
  <si>
    <r>
      <t>X</t>
    </r>
    <r>
      <rPr>
        <b/>
        <vertAlign val="subscript"/>
        <sz val="11"/>
        <rFont val="Calibri"/>
        <family val="2"/>
        <scheme val="minor"/>
      </rPr>
      <t>AMETO</t>
    </r>
  </si>
  <si>
    <r>
      <t>X</t>
    </r>
    <r>
      <rPr>
        <b/>
        <vertAlign val="subscript"/>
        <sz val="11"/>
        <rFont val="Calibri"/>
        <family val="2"/>
        <scheme val="minor"/>
      </rPr>
      <t>HMETO</t>
    </r>
  </si>
  <si>
    <r>
      <t>S</t>
    </r>
    <r>
      <rPr>
        <b/>
        <vertAlign val="subscript"/>
        <sz val="11"/>
        <rFont val="Calibri"/>
        <family val="2"/>
        <scheme val="minor"/>
      </rPr>
      <t>NHx</t>
    </r>
  </si>
  <si>
    <r>
      <t>S</t>
    </r>
    <r>
      <rPr>
        <b/>
        <vertAlign val="subscript"/>
        <sz val="11"/>
        <rFont val="Calibri"/>
        <family val="2"/>
        <scheme val="minor"/>
      </rPr>
      <t>N2</t>
    </r>
  </si>
  <si>
    <r>
      <t>S</t>
    </r>
    <r>
      <rPr>
        <b/>
        <vertAlign val="subscript"/>
        <sz val="11"/>
        <rFont val="Calibri"/>
        <family val="2"/>
        <scheme val="minor"/>
      </rPr>
      <t>N,B</t>
    </r>
  </si>
  <si>
    <t>Soluble biodegradable organic N (from SB)</t>
  </si>
  <si>
    <r>
      <t>X</t>
    </r>
    <r>
      <rPr>
        <b/>
        <vertAlign val="subscript"/>
        <sz val="11"/>
        <rFont val="Calibri"/>
        <family val="2"/>
        <scheme val="minor"/>
      </rPr>
      <t>N,B</t>
    </r>
  </si>
  <si>
    <r>
      <t>X</t>
    </r>
    <r>
      <rPr>
        <b/>
        <vertAlign val="subscript"/>
        <sz val="11"/>
        <rFont val="Calibri"/>
        <family val="2"/>
        <scheme val="minor"/>
      </rPr>
      <t>N,U</t>
    </r>
  </si>
  <si>
    <r>
      <t>S</t>
    </r>
    <r>
      <rPr>
        <b/>
        <vertAlign val="subscript"/>
        <sz val="11"/>
        <rFont val="Calibri"/>
        <family val="2"/>
        <scheme val="minor"/>
      </rPr>
      <t>PO4</t>
    </r>
  </si>
  <si>
    <r>
      <t>S</t>
    </r>
    <r>
      <rPr>
        <b/>
        <vertAlign val="subscript"/>
        <sz val="11"/>
        <rFont val="Calibri"/>
        <family val="2"/>
        <scheme val="minor"/>
      </rPr>
      <t>P,B</t>
    </r>
  </si>
  <si>
    <r>
      <t>X</t>
    </r>
    <r>
      <rPr>
        <b/>
        <vertAlign val="subscript"/>
        <sz val="11"/>
        <rFont val="Calibri"/>
        <family val="2"/>
        <scheme val="minor"/>
      </rPr>
      <t>P,B</t>
    </r>
  </si>
  <si>
    <r>
      <t>X</t>
    </r>
    <r>
      <rPr>
        <b/>
        <vertAlign val="subscript"/>
        <sz val="11"/>
        <rFont val="Calibri"/>
        <family val="2"/>
        <scheme val="minor"/>
      </rPr>
      <t>P,U</t>
    </r>
  </si>
  <si>
    <r>
      <t>S</t>
    </r>
    <r>
      <rPr>
        <b/>
        <vertAlign val="subscript"/>
        <sz val="11"/>
        <rFont val="Calibri"/>
        <family val="2"/>
        <scheme val="minor"/>
      </rPr>
      <t>O2</t>
    </r>
  </si>
  <si>
    <r>
      <t>g O</t>
    </r>
    <r>
      <rPr>
        <vertAlign val="subscript"/>
        <sz val="11"/>
        <rFont val="Calibri"/>
        <family val="2"/>
      </rPr>
      <t>2</t>
    </r>
    <r>
      <rPr>
        <sz val="11"/>
        <rFont val="Calibri"/>
        <family val="2"/>
      </rPr>
      <t>.m</t>
    </r>
    <r>
      <rPr>
        <vertAlign val="superscript"/>
        <sz val="11"/>
        <rFont val="Calibri"/>
        <family val="2"/>
      </rPr>
      <t>-3</t>
    </r>
  </si>
  <si>
    <r>
      <t>S</t>
    </r>
    <r>
      <rPr>
        <b/>
        <vertAlign val="subscript"/>
        <sz val="11"/>
        <rFont val="Calibri"/>
        <family val="2"/>
        <scheme val="minor"/>
      </rPr>
      <t>CH4</t>
    </r>
  </si>
  <si>
    <r>
      <t>S</t>
    </r>
    <r>
      <rPr>
        <b/>
        <vertAlign val="subscript"/>
        <sz val="11"/>
        <rFont val="Calibri"/>
        <family val="2"/>
        <scheme val="minor"/>
      </rPr>
      <t>H2</t>
    </r>
  </si>
  <si>
    <r>
      <t>S</t>
    </r>
    <r>
      <rPr>
        <b/>
        <vertAlign val="subscript"/>
        <sz val="11"/>
        <rFont val="Calibri"/>
        <family val="2"/>
        <scheme val="minor"/>
      </rPr>
      <t>CO2</t>
    </r>
  </si>
  <si>
    <r>
      <t>X</t>
    </r>
    <r>
      <rPr>
        <b/>
        <vertAlign val="subscript"/>
        <sz val="11"/>
        <rFont val="Calibri"/>
        <family val="2"/>
        <scheme val="minor"/>
      </rPr>
      <t>INORG</t>
    </r>
  </si>
  <si>
    <r>
      <t>S</t>
    </r>
    <r>
      <rPr>
        <b/>
        <vertAlign val="subscript"/>
        <sz val="11"/>
        <rFont val="Calibri"/>
        <family val="2"/>
      </rPr>
      <t>Mg</t>
    </r>
  </si>
  <si>
    <r>
      <t>g Mg.m</t>
    </r>
    <r>
      <rPr>
        <vertAlign val="superscript"/>
        <sz val="11"/>
        <rFont val="Calibri"/>
        <family val="2"/>
      </rPr>
      <t>-3</t>
    </r>
  </si>
  <si>
    <r>
      <t>g.m</t>
    </r>
    <r>
      <rPr>
        <vertAlign val="superscript"/>
        <sz val="11"/>
        <rFont val="Calibri"/>
        <family val="2"/>
      </rPr>
      <t>-3</t>
    </r>
  </si>
  <si>
    <r>
      <t>g Fe.m</t>
    </r>
    <r>
      <rPr>
        <vertAlign val="superscript"/>
        <sz val="11"/>
        <rFont val="Calibri"/>
        <family val="2"/>
      </rPr>
      <t>-3</t>
    </r>
  </si>
  <si>
    <r>
      <t>X</t>
    </r>
    <r>
      <rPr>
        <b/>
        <vertAlign val="subscript"/>
        <sz val="11"/>
        <rFont val="Calibri"/>
        <family val="2"/>
        <charset val="238"/>
        <scheme val="minor"/>
      </rPr>
      <t>HFO,L</t>
    </r>
  </si>
  <si>
    <r>
      <t>X</t>
    </r>
    <r>
      <rPr>
        <b/>
        <vertAlign val="subscript"/>
        <sz val="11"/>
        <rFont val="Calibri"/>
        <family val="2"/>
        <charset val="238"/>
        <scheme val="minor"/>
      </rPr>
      <t>HFO,H</t>
    </r>
  </si>
  <si>
    <t>Components</t>
  </si>
  <si>
    <t>Default</t>
  </si>
  <si>
    <t>Particle size</t>
  </si>
  <si>
    <r>
      <t>mol.L</t>
    </r>
    <r>
      <rPr>
        <vertAlign val="superscript"/>
        <sz val="11"/>
        <rFont val="Calibri"/>
        <family val="2"/>
      </rPr>
      <t>-1</t>
    </r>
  </si>
  <si>
    <r>
      <t>mol.L</t>
    </r>
    <r>
      <rPr>
        <vertAlign val="superscript"/>
        <sz val="11"/>
        <rFont val="Calibri"/>
        <family val="2"/>
      </rPr>
      <t>-1</t>
    </r>
    <r>
      <rPr>
        <sz val="11"/>
        <color theme="1"/>
        <rFont val="Calibri"/>
        <family val="2"/>
        <scheme val="minor"/>
      </rPr>
      <t/>
    </r>
  </si>
  <si>
    <r>
      <t>IS</t>
    </r>
    <r>
      <rPr>
        <vertAlign val="subscript"/>
        <sz val="11"/>
        <rFont val="Calibri"/>
        <family val="2"/>
        <charset val="238"/>
      </rPr>
      <t>calc</t>
    </r>
  </si>
  <si>
    <r>
      <t>X</t>
    </r>
    <r>
      <rPr>
        <b/>
        <vertAlign val="subscript"/>
        <sz val="11"/>
        <rFont val="Calibri"/>
        <family val="2"/>
        <charset val="238"/>
      </rPr>
      <t>HFO,H,P,old</t>
    </r>
  </si>
  <si>
    <r>
      <t>X</t>
    </r>
    <r>
      <rPr>
        <b/>
        <vertAlign val="subscript"/>
        <sz val="11"/>
        <rFont val="Calibri"/>
        <family val="2"/>
        <charset val="238"/>
      </rPr>
      <t>HFO,L,P,old</t>
    </r>
  </si>
  <si>
    <r>
      <t>d</t>
    </r>
    <r>
      <rPr>
        <vertAlign val="superscript"/>
        <sz val="11"/>
        <color indexed="8"/>
        <rFont val="Calibri"/>
        <family val="2"/>
        <scheme val="minor"/>
      </rPr>
      <t>-1</t>
    </r>
  </si>
  <si>
    <r>
      <t>g COD.m</t>
    </r>
    <r>
      <rPr>
        <vertAlign val="superscript"/>
        <sz val="11"/>
        <color indexed="8"/>
        <rFont val="Calibri"/>
        <family val="2"/>
        <scheme val="minor"/>
      </rPr>
      <t>-3</t>
    </r>
  </si>
  <si>
    <r>
      <t>g O</t>
    </r>
    <r>
      <rPr>
        <vertAlign val="subscript"/>
        <sz val="11"/>
        <color indexed="8"/>
        <rFont val="Calibri"/>
        <family val="2"/>
        <scheme val="minor"/>
      </rPr>
      <t>2</t>
    </r>
    <r>
      <rPr>
        <sz val="11"/>
        <color indexed="8"/>
        <rFont val="Calibri"/>
        <family val="2"/>
        <scheme val="minor"/>
      </rPr>
      <t>.m</t>
    </r>
    <r>
      <rPr>
        <vertAlign val="superscript"/>
        <sz val="11"/>
        <color indexed="8"/>
        <rFont val="Calibri"/>
        <family val="2"/>
        <scheme val="minor"/>
      </rPr>
      <t>-3</t>
    </r>
  </si>
  <si>
    <r>
      <t>g N.m</t>
    </r>
    <r>
      <rPr>
        <vertAlign val="superscript"/>
        <sz val="11"/>
        <color indexed="8"/>
        <rFont val="Calibri"/>
        <family val="2"/>
        <scheme val="minor"/>
      </rPr>
      <t>-3</t>
    </r>
  </si>
  <si>
    <r>
      <t>µ</t>
    </r>
    <r>
      <rPr>
        <vertAlign val="subscript"/>
        <sz val="11"/>
        <color indexed="8"/>
        <rFont val="Calibri"/>
        <family val="2"/>
        <scheme val="minor"/>
      </rPr>
      <t>HMETO</t>
    </r>
  </si>
  <si>
    <r>
      <t>b</t>
    </r>
    <r>
      <rPr>
        <vertAlign val="subscript"/>
        <sz val="11"/>
        <color indexed="8"/>
        <rFont val="Calibri"/>
        <family val="2"/>
        <scheme val="minor"/>
      </rPr>
      <t>HMETO</t>
    </r>
    <r>
      <rPr>
        <sz val="11"/>
        <color indexed="8"/>
        <rFont val="Calibri"/>
        <family val="2"/>
      </rPr>
      <t/>
    </r>
  </si>
  <si>
    <r>
      <t>q</t>
    </r>
    <r>
      <rPr>
        <vertAlign val="subscript"/>
        <sz val="11"/>
        <color indexed="8"/>
        <rFont val="Calibri"/>
        <family val="2"/>
        <scheme val="minor"/>
      </rPr>
      <t>FLOC</t>
    </r>
  </si>
  <si>
    <r>
      <t>q</t>
    </r>
    <r>
      <rPr>
        <vertAlign val="subscript"/>
        <sz val="11"/>
        <color indexed="8"/>
        <rFont val="Calibri"/>
        <family val="2"/>
        <scheme val="minor"/>
      </rPr>
      <t>HYD</t>
    </r>
  </si>
  <si>
    <r>
      <t>q</t>
    </r>
    <r>
      <rPr>
        <vertAlign val="subscript"/>
        <sz val="11"/>
        <color indexed="8"/>
        <rFont val="Calibri"/>
        <family val="2"/>
        <scheme val="minor"/>
      </rPr>
      <t>AMMON</t>
    </r>
  </si>
  <si>
    <r>
      <t>q</t>
    </r>
    <r>
      <rPr>
        <vertAlign val="subscript"/>
        <sz val="11"/>
        <color indexed="8"/>
        <rFont val="Calibri"/>
        <family val="2"/>
        <scheme val="minor"/>
      </rPr>
      <t>ASSIM</t>
    </r>
  </si>
  <si>
    <r>
      <rPr>
        <sz val="11"/>
        <color indexed="8"/>
        <rFont val="Calibri"/>
        <family val="2"/>
        <scheme val="minor"/>
      </rPr>
      <t>θ</t>
    </r>
    <r>
      <rPr>
        <vertAlign val="subscript"/>
        <sz val="11"/>
        <color indexed="8"/>
        <rFont val="Calibri"/>
        <family val="2"/>
        <scheme val="minor"/>
      </rPr>
      <t>µ,OHO</t>
    </r>
  </si>
  <si>
    <r>
      <t>θ</t>
    </r>
    <r>
      <rPr>
        <vertAlign val="subscript"/>
        <sz val="11"/>
        <color indexed="8"/>
        <rFont val="Calibri"/>
        <family val="2"/>
        <scheme val="minor"/>
      </rPr>
      <t>FERM,OHO</t>
    </r>
  </si>
  <si>
    <r>
      <t>θ</t>
    </r>
    <r>
      <rPr>
        <vertAlign val="subscript"/>
        <sz val="11"/>
        <color indexed="8"/>
        <rFont val="Calibri"/>
        <family val="2"/>
        <scheme val="minor"/>
      </rPr>
      <t>b,OHO</t>
    </r>
  </si>
  <si>
    <r>
      <t>θ</t>
    </r>
    <r>
      <rPr>
        <vertAlign val="subscript"/>
        <sz val="11"/>
        <color indexed="8"/>
        <rFont val="Calibri"/>
        <family val="2"/>
        <scheme val="minor"/>
      </rPr>
      <t>µ,MEOLO</t>
    </r>
  </si>
  <si>
    <r>
      <t>θ</t>
    </r>
    <r>
      <rPr>
        <vertAlign val="subscript"/>
        <sz val="11"/>
        <color indexed="8"/>
        <rFont val="Calibri"/>
        <family val="2"/>
        <scheme val="minor"/>
      </rPr>
      <t>b,MEOLO</t>
    </r>
  </si>
  <si>
    <r>
      <t>θ</t>
    </r>
    <r>
      <rPr>
        <vertAlign val="subscript"/>
        <sz val="11"/>
        <color indexed="8"/>
        <rFont val="Calibri"/>
        <family val="2"/>
        <scheme val="minor"/>
      </rPr>
      <t>q,PAO,PHA</t>
    </r>
  </si>
  <si>
    <r>
      <t>θ</t>
    </r>
    <r>
      <rPr>
        <vertAlign val="subscript"/>
        <sz val="11"/>
        <color indexed="8"/>
        <rFont val="Calibri"/>
        <family val="2"/>
        <scheme val="minor"/>
      </rPr>
      <t>µ,AMETO</t>
    </r>
  </si>
  <si>
    <r>
      <t>θ</t>
    </r>
    <r>
      <rPr>
        <vertAlign val="subscript"/>
        <sz val="11"/>
        <color indexed="8"/>
        <rFont val="Calibri"/>
        <family val="2"/>
        <scheme val="minor"/>
      </rPr>
      <t>b,AMETO</t>
    </r>
  </si>
  <si>
    <r>
      <t>θ</t>
    </r>
    <r>
      <rPr>
        <vertAlign val="subscript"/>
        <sz val="11"/>
        <color indexed="8"/>
        <rFont val="Calibri"/>
        <family val="2"/>
        <scheme val="minor"/>
      </rPr>
      <t>µ,HMETO</t>
    </r>
  </si>
  <si>
    <r>
      <t>θ</t>
    </r>
    <r>
      <rPr>
        <vertAlign val="subscript"/>
        <sz val="11"/>
        <color indexed="8"/>
        <rFont val="Calibri"/>
        <family val="2"/>
        <scheme val="minor"/>
      </rPr>
      <t>b,HMETO</t>
    </r>
  </si>
  <si>
    <r>
      <t>θ</t>
    </r>
    <r>
      <rPr>
        <vertAlign val="subscript"/>
        <sz val="11"/>
        <color indexed="8"/>
        <rFont val="Calibri"/>
        <family val="2"/>
        <scheme val="minor"/>
      </rPr>
      <t>q,FLOC</t>
    </r>
  </si>
  <si>
    <r>
      <t>θ</t>
    </r>
    <r>
      <rPr>
        <vertAlign val="subscript"/>
        <sz val="11"/>
        <color indexed="8"/>
        <rFont val="Calibri"/>
        <family val="2"/>
        <scheme val="minor"/>
      </rPr>
      <t>q,HYD</t>
    </r>
  </si>
  <si>
    <r>
      <t>θ</t>
    </r>
    <r>
      <rPr>
        <vertAlign val="subscript"/>
        <sz val="11"/>
        <color indexed="8"/>
        <rFont val="Calibri"/>
        <family val="2"/>
        <scheme val="minor"/>
      </rPr>
      <t>q,AMMON</t>
    </r>
  </si>
  <si>
    <r>
      <t>θ</t>
    </r>
    <r>
      <rPr>
        <vertAlign val="subscript"/>
        <sz val="11"/>
        <color indexed="8"/>
        <rFont val="Calibri"/>
        <family val="2"/>
        <scheme val="minor"/>
      </rPr>
      <t>q,ASSIM</t>
    </r>
  </si>
  <si>
    <r>
      <t>Y</t>
    </r>
    <r>
      <rPr>
        <vertAlign val="subscript"/>
        <sz val="11"/>
        <rFont val="Calibri"/>
        <family val="2"/>
        <scheme val="minor"/>
      </rPr>
      <t>MEOLO</t>
    </r>
  </si>
  <si>
    <r>
      <t>Y</t>
    </r>
    <r>
      <rPr>
        <vertAlign val="subscript"/>
        <sz val="11"/>
        <rFont val="Calibri"/>
        <family val="2"/>
        <scheme val="minor"/>
      </rPr>
      <t>HMETO</t>
    </r>
  </si>
  <si>
    <r>
      <t>Y</t>
    </r>
    <r>
      <rPr>
        <vertAlign val="subscript"/>
        <sz val="11"/>
        <rFont val="Calibri"/>
        <family val="2"/>
        <scheme val="minor"/>
      </rPr>
      <t>AMETO</t>
    </r>
  </si>
  <si>
    <r>
      <t>f</t>
    </r>
    <r>
      <rPr>
        <vertAlign val="subscript"/>
        <sz val="11"/>
        <rFont val="Calibri"/>
        <family val="2"/>
        <scheme val="minor"/>
      </rPr>
      <t>E</t>
    </r>
  </si>
  <si>
    <r>
      <t>i</t>
    </r>
    <r>
      <rPr>
        <vertAlign val="subscript"/>
        <sz val="11"/>
        <rFont val="Calibri"/>
        <family val="2"/>
        <scheme val="minor"/>
      </rPr>
      <t>N,BIO</t>
    </r>
  </si>
  <si>
    <r>
      <t>i</t>
    </r>
    <r>
      <rPr>
        <vertAlign val="subscript"/>
        <sz val="11"/>
        <rFont val="Calibri"/>
        <family val="2"/>
        <scheme val="minor"/>
      </rPr>
      <t>P,BIO</t>
    </r>
  </si>
  <si>
    <r>
      <t>i</t>
    </r>
    <r>
      <rPr>
        <vertAlign val="subscript"/>
        <sz val="11"/>
        <rFont val="Calibri"/>
        <family val="2"/>
        <scheme val="minor"/>
      </rPr>
      <t>CV,BIO</t>
    </r>
  </si>
  <si>
    <r>
      <t>i</t>
    </r>
    <r>
      <rPr>
        <vertAlign val="subscript"/>
        <sz val="11"/>
        <rFont val="Calibri"/>
        <family val="2"/>
        <scheme val="minor"/>
      </rPr>
      <t>CV,PHA</t>
    </r>
  </si>
  <si>
    <r>
      <t>i</t>
    </r>
    <r>
      <rPr>
        <vertAlign val="subscript"/>
        <sz val="11"/>
        <rFont val="Calibri"/>
        <family val="2"/>
        <scheme val="minor"/>
      </rPr>
      <t>P,XSTR</t>
    </r>
  </si>
  <si>
    <r>
      <t>f</t>
    </r>
    <r>
      <rPr>
        <vertAlign val="subscript"/>
        <sz val="11"/>
        <rFont val="Calibri"/>
        <family val="2"/>
        <scheme val="minor"/>
      </rPr>
      <t>P,VFA</t>
    </r>
  </si>
  <si>
    <r>
      <t>i</t>
    </r>
    <r>
      <rPr>
        <vertAlign val="subscript"/>
        <sz val="11"/>
        <rFont val="Calibri"/>
        <family val="2"/>
        <scheme val="minor"/>
      </rPr>
      <t>TSS,PP</t>
    </r>
  </si>
  <si>
    <t>Active site factor for HFO,H</t>
  </si>
  <si>
    <t>Active site factor for HFO,L</t>
  </si>
  <si>
    <r>
      <t>K</t>
    </r>
    <r>
      <rPr>
        <vertAlign val="subscript"/>
        <sz val="11"/>
        <rFont val="Calibri"/>
        <family val="2"/>
        <scheme val="minor"/>
      </rPr>
      <t>NHx,BIO</t>
    </r>
  </si>
  <si>
    <r>
      <t>g N.m</t>
    </r>
    <r>
      <rPr>
        <vertAlign val="superscript"/>
        <sz val="11"/>
        <rFont val="Calibri"/>
        <family val="2"/>
        <scheme val="minor"/>
      </rPr>
      <t>-3</t>
    </r>
  </si>
  <si>
    <r>
      <t>K</t>
    </r>
    <r>
      <rPr>
        <vertAlign val="subscript"/>
        <sz val="11"/>
        <rFont val="Calibri"/>
        <family val="2"/>
        <scheme val="minor"/>
      </rPr>
      <t>PO4,BIO</t>
    </r>
  </si>
  <si>
    <r>
      <t>g P.m</t>
    </r>
    <r>
      <rPr>
        <vertAlign val="superscript"/>
        <sz val="11"/>
        <rFont val="Calibri"/>
        <family val="2"/>
        <scheme val="minor"/>
      </rPr>
      <t>-3</t>
    </r>
  </si>
  <si>
    <r>
      <t>K</t>
    </r>
    <r>
      <rPr>
        <vertAlign val="subscript"/>
        <sz val="11"/>
        <rFont val="Calibri"/>
        <family val="2"/>
        <scheme val="minor"/>
      </rPr>
      <t>CAT</t>
    </r>
  </si>
  <si>
    <r>
      <t>K</t>
    </r>
    <r>
      <rPr>
        <vertAlign val="subscript"/>
        <sz val="11"/>
        <rFont val="Calibri"/>
        <family val="2"/>
        <scheme val="minor"/>
      </rPr>
      <t>AN</t>
    </r>
  </si>
  <si>
    <r>
      <t>C</t>
    </r>
    <r>
      <rPr>
        <vertAlign val="superscript"/>
        <sz val="11"/>
        <rFont val="Calibri"/>
        <family val="2"/>
        <scheme val="minor"/>
      </rPr>
      <t>o</t>
    </r>
  </si>
  <si>
    <r>
      <t>T</t>
    </r>
    <r>
      <rPr>
        <vertAlign val="subscript"/>
        <sz val="11"/>
        <rFont val="Calibri"/>
        <family val="2"/>
        <scheme val="minor"/>
      </rPr>
      <t>base</t>
    </r>
  </si>
  <si>
    <t>Saturation/inhibition terms</t>
  </si>
  <si>
    <r>
      <t>Msat</t>
    </r>
    <r>
      <rPr>
        <vertAlign val="subscript"/>
        <sz val="11"/>
        <rFont val="Calibri"/>
        <family val="2"/>
        <scheme val="minor"/>
      </rPr>
      <t>SVFA,KVFA</t>
    </r>
  </si>
  <si>
    <r>
      <t>Msat(S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</si>
  <si>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</si>
  <si>
    <t>Hydrogen phosphate molar concentration in equivalence point</t>
  </si>
  <si>
    <r>
      <t>[H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</si>
  <si>
    <t>Dihydrogen phosphate molar concentration in equivalence point</t>
  </si>
  <si>
    <r>
      <t>[Ac</t>
    </r>
    <r>
      <rPr>
        <vertAlign val="superscript"/>
        <sz val="11"/>
        <rFont val="Calibri"/>
        <family val="2"/>
        <scheme val="minor"/>
      </rPr>
      <t>-</t>
    </r>
    <r>
      <rPr>
        <sz val="11"/>
        <rFont val="Calibri"/>
        <family val="2"/>
        <scheme val="minor"/>
      </rPr>
      <t>]</t>
    </r>
    <r>
      <rPr>
        <vertAlign val="subscript"/>
        <sz val="11"/>
        <rFont val="Calibri"/>
        <family val="2"/>
        <scheme val="minor"/>
      </rPr>
      <t>eq</t>
    </r>
  </si>
  <si>
    <t>Acetate molar concentration in equivalence point</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</si>
  <si>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</si>
  <si>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</si>
  <si>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</si>
  <si>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t>CH3COOH -&gt; CH4+CO2</t>
  </si>
  <si>
    <t>Davies correction coefficient</t>
  </si>
  <si>
    <t>1-(T-3.9863)^2*(T+288.9414)/(508929.2*(T+68.12963))+0.011445*Exp(-374.3/T)</t>
  </si>
  <si>
    <t>ε</t>
  </si>
  <si>
    <r>
      <t>A</t>
    </r>
    <r>
      <rPr>
        <vertAlign val="subscript"/>
        <sz val="11"/>
        <rFont val="Calibri"/>
        <family val="2"/>
        <scheme val="minor"/>
      </rPr>
      <t>Davies</t>
    </r>
  </si>
  <si>
    <t>ρ</t>
  </si>
  <si>
    <t>http://webbook.nist.gov/cgi/cbook.cgi?ID=C124389&amp;Mask=10</t>
  </si>
  <si>
    <t>http://webbook.nist.gov/cgi/cbook.cgi?ID=C10102439&amp;Mask=10</t>
  </si>
  <si>
    <t>http://webbook.nist.gov/cgi/cbook.cgi?ID=C10024972&amp;Mask=10</t>
  </si>
  <si>
    <t>http://webbook.nist.gov/cgi/cbook.cgi?ID=C7727379&amp;Mask=10</t>
  </si>
  <si>
    <r>
      <t>c</t>
    </r>
    <r>
      <rPr>
        <vertAlign val="subscript"/>
        <sz val="11"/>
        <rFont val="Calibri"/>
        <family val="2"/>
        <scheme val="minor"/>
      </rPr>
      <t>p,water</t>
    </r>
  </si>
  <si>
    <t>Heat capacity of water at standard temperature (25°C)</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</si>
  <si>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</si>
  <si>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</si>
  <si>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</si>
  <si>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</si>
  <si>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</si>
  <si>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</si>
  <si>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</si>
  <si>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</si>
  <si>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</si>
  <si>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</si>
  <si>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</si>
  <si>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</si>
  <si>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</si>
  <si>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</si>
  <si>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</si>
  <si>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</si>
  <si>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</si>
  <si>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</si>
  <si>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</si>
  <si>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</si>
  <si>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</si>
  <si>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</si>
  <si>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</si>
  <si>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</si>
  <si>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</si>
  <si>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L,m3</t>
    </r>
  </si>
  <si>
    <r>
      <t>2727.586+0.6224107*T</t>
    </r>
    <r>
      <rPr>
        <vertAlign val="subscript"/>
        <sz val="11"/>
        <rFont val="Calibri"/>
        <family val="2"/>
        <scheme val="minor"/>
      </rPr>
      <t>K</t>
    </r>
    <r>
      <rPr>
        <sz val="11"/>
        <rFont val="Calibri"/>
        <family val="2"/>
        <scheme val="minor"/>
      </rPr>
      <t>-466.9151*Ln( T</t>
    </r>
    <r>
      <rPr>
        <vertAlign val="subscript"/>
        <sz val="11"/>
        <rFont val="Calibri"/>
        <family val="2"/>
        <scheme val="minor"/>
      </rPr>
      <t xml:space="preserve">K </t>
    </r>
    <r>
      <rPr>
        <sz val="11"/>
        <rFont val="Calibri"/>
        <family val="2"/>
        <scheme val="minor"/>
      </rPr>
      <t>)-(52000.87/T</t>
    </r>
    <r>
      <rPr>
        <vertAlign val="subscript"/>
        <sz val="11"/>
        <rFont val="Calibri"/>
        <family val="2"/>
        <scheme val="minor"/>
      </rPr>
      <t>K</t>
    </r>
    <r>
      <rPr>
        <sz val="11"/>
        <rFont val="Calibri"/>
        <family val="2"/>
        <scheme val="minor"/>
      </rPr>
      <t>)</t>
    </r>
  </si>
  <si>
    <r>
      <t>S</t>
    </r>
    <r>
      <rPr>
        <vertAlign val="subscript"/>
        <sz val="11"/>
        <rFont val="Calibri"/>
        <family val="2"/>
        <scheme val="minor"/>
      </rPr>
      <t>COD</t>
    </r>
    <r>
      <rPr>
        <sz val="11"/>
        <rFont val="Calibri"/>
        <family val="2"/>
        <scheme val="minor"/>
      </rPr>
      <t xml:space="preserve"> + C</t>
    </r>
    <r>
      <rPr>
        <vertAlign val="subscript"/>
        <sz val="11"/>
        <rFont val="Calibri"/>
        <family val="2"/>
        <scheme val="minor"/>
      </rPr>
      <t xml:space="preserve">B </t>
    </r>
    <r>
      <rPr>
        <sz val="11"/>
        <rFont val="Calibri"/>
        <family val="2"/>
        <scheme val="minor"/>
      </rPr>
      <t>+C</t>
    </r>
    <r>
      <rPr>
        <vertAlign val="subscript"/>
        <sz val="11"/>
        <rFont val="Calibri"/>
        <family val="2"/>
        <scheme val="minor"/>
      </rPr>
      <t>U</t>
    </r>
  </si>
  <si>
    <t>Dissociation constants - temperature corrected</t>
  </si>
  <si>
    <r>
      <t>K</t>
    </r>
    <r>
      <rPr>
        <vertAlign val="subscript"/>
        <sz val="11"/>
        <rFont val="Calibri"/>
        <family val="2"/>
        <scheme val="minor"/>
      </rPr>
      <t>W,T</t>
    </r>
  </si>
  <si>
    <r>
      <t>K</t>
    </r>
    <r>
      <rPr>
        <vertAlign val="subscript"/>
        <sz val="11"/>
        <rFont val="Calibri"/>
        <family val="2"/>
        <scheme val="minor"/>
      </rPr>
      <t>C1,T</t>
    </r>
  </si>
  <si>
    <r>
      <t>K</t>
    </r>
    <r>
      <rPr>
        <vertAlign val="subscript"/>
        <sz val="11"/>
        <rFont val="Calibri"/>
        <family val="2"/>
        <scheme val="minor"/>
      </rPr>
      <t>C2,T</t>
    </r>
  </si>
  <si>
    <r>
      <t>K</t>
    </r>
    <r>
      <rPr>
        <vertAlign val="subscript"/>
        <sz val="11"/>
        <rFont val="Calibri"/>
        <family val="2"/>
        <scheme val="minor"/>
      </rPr>
      <t>P1,T</t>
    </r>
  </si>
  <si>
    <r>
      <t>K</t>
    </r>
    <r>
      <rPr>
        <vertAlign val="subscript"/>
        <sz val="11"/>
        <rFont val="Calibri"/>
        <family val="2"/>
        <scheme val="minor"/>
      </rPr>
      <t>P2,T</t>
    </r>
  </si>
  <si>
    <r>
      <t>K</t>
    </r>
    <r>
      <rPr>
        <vertAlign val="subscript"/>
        <sz val="11"/>
        <rFont val="Calibri"/>
        <family val="2"/>
        <scheme val="minor"/>
      </rPr>
      <t>P3,T</t>
    </r>
  </si>
  <si>
    <r>
      <t>K</t>
    </r>
    <r>
      <rPr>
        <vertAlign val="subscript"/>
        <sz val="11"/>
        <rFont val="Calibri"/>
        <family val="2"/>
        <scheme val="minor"/>
      </rPr>
      <t>W,T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</si>
  <si>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</si>
  <si>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t>
    </r>
  </si>
  <si>
    <r>
      <t>K</t>
    </r>
    <r>
      <rPr>
        <vertAlign val="subscript"/>
        <sz val="11"/>
        <rFont val="Calibri"/>
        <family val="2"/>
        <scheme val="minor"/>
      </rPr>
      <t>P1,T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</si>
  <si>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P2,T</t>
    </r>
    <r>
      <rPr>
        <sz val="11"/>
        <rFont val="Calibri"/>
        <family val="2"/>
        <scheme val="minor"/>
      </rPr>
      <t>/f</t>
    </r>
    <r>
      <rPr>
        <vertAlign val="subscript"/>
        <sz val="11"/>
        <rFont val="Calibri"/>
        <family val="2"/>
        <scheme val="minor"/>
      </rPr>
      <t>di</t>
    </r>
  </si>
  <si>
    <r>
      <t>K</t>
    </r>
    <r>
      <rPr>
        <vertAlign val="subscript"/>
        <sz val="11"/>
        <rFont val="Calibri"/>
        <family val="2"/>
        <scheme val="minor"/>
      </rPr>
      <t>P3,T</t>
    </r>
    <r>
      <rPr>
        <sz val="11"/>
        <rFont val="Calibri"/>
        <family val="2"/>
        <scheme val="minor"/>
      </rPr>
      <t>/(f</t>
    </r>
    <r>
      <rPr>
        <vertAlign val="subscript"/>
        <sz val="11"/>
        <rFont val="Calibri"/>
        <family val="2"/>
        <scheme val="minor"/>
      </rPr>
      <t>mono</t>
    </r>
    <r>
      <rPr>
        <sz val="11"/>
        <rFont val="Calibri"/>
        <family val="2"/>
        <scheme val="minor"/>
      </rPr>
      <t>*f</t>
    </r>
    <r>
      <rPr>
        <vertAlign val="subscript"/>
        <sz val="11"/>
        <rFont val="Calibri"/>
        <family val="2"/>
        <scheme val="minor"/>
      </rPr>
      <t>tri</t>
    </r>
    <r>
      <rPr>
        <sz val="11"/>
        <rFont val="Calibri"/>
        <family val="2"/>
        <scheme val="minor"/>
      </rPr>
      <t>)*f</t>
    </r>
    <r>
      <rPr>
        <vertAlign val="subscript"/>
        <sz val="11"/>
        <rFont val="Calibri"/>
        <family val="2"/>
        <scheme val="minor"/>
      </rPr>
      <t>di</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</si>
  <si>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</si>
  <si>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</si>
  <si>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</si>
  <si>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</si>
  <si>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</si>
  <si>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</si>
  <si>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</si>
  <si>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</si>
  <si>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</si>
  <si>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</si>
  <si>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</si>
  <si>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</si>
  <si>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</si>
  <si>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</si>
  <si>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</si>
  <si>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</si>
  <si>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</si>
  <si>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</si>
  <si>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</si>
  <si>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</si>
  <si>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</si>
  <si>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</si>
  <si>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</si>
  <si>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</si>
  <si>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</si>
  <si>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Dissociation constants - activity corrected</t>
  </si>
  <si>
    <t>Stoichiometric yields</t>
  </si>
  <si>
    <t>Calcium</t>
  </si>
  <si>
    <r>
      <t>g Ca.m</t>
    </r>
    <r>
      <rPr>
        <vertAlign val="superscript"/>
        <sz val="11"/>
        <rFont val="Calibri"/>
        <family val="2"/>
      </rPr>
      <t>-3</t>
    </r>
  </si>
  <si>
    <t>Ca</t>
  </si>
  <si>
    <t>Mg</t>
  </si>
  <si>
    <r>
      <t>map</t>
    </r>
    <r>
      <rPr>
        <vertAlign val="subscript"/>
        <sz val="11"/>
        <rFont val="Calibri"/>
        <family val="2"/>
      </rPr>
      <t>Ca</t>
    </r>
  </si>
  <si>
    <r>
      <t>map</t>
    </r>
    <r>
      <rPr>
        <vertAlign val="subscript"/>
        <sz val="11"/>
        <rFont val="Calibri"/>
        <family val="2"/>
      </rPr>
      <t>Mg</t>
    </r>
  </si>
  <si>
    <t>Calcium fully dissociated</t>
  </si>
  <si>
    <t>Magnesium fully dissociated</t>
  </si>
  <si>
    <r>
      <t>S</t>
    </r>
    <r>
      <rPr>
        <vertAlign val="subscript"/>
        <sz val="11"/>
        <rFont val="Calibri"/>
        <family val="2"/>
      </rPr>
      <t>Ca</t>
    </r>
    <r>
      <rPr>
        <sz val="11"/>
        <rFont val="Calibri"/>
        <family val="2"/>
      </rPr>
      <t>/(AM</t>
    </r>
    <r>
      <rPr>
        <vertAlign val="subscript"/>
        <sz val="11"/>
        <rFont val="Calibri"/>
        <family val="2"/>
      </rPr>
      <t>Ca</t>
    </r>
    <r>
      <rPr>
        <sz val="11"/>
        <rFont val="Calibri"/>
        <family val="2"/>
      </rPr>
      <t>*1000)</t>
    </r>
  </si>
  <si>
    <r>
      <t>S</t>
    </r>
    <r>
      <rPr>
        <vertAlign val="subscript"/>
        <sz val="11"/>
        <rFont val="Calibri"/>
        <family val="2"/>
      </rPr>
      <t>Mg</t>
    </r>
    <r>
      <rPr>
        <sz val="11"/>
        <rFont val="Calibri"/>
        <family val="2"/>
      </rPr>
      <t>/(AM</t>
    </r>
    <r>
      <rPr>
        <vertAlign val="subscript"/>
        <sz val="11"/>
        <rFont val="Calibri"/>
        <family val="2"/>
      </rPr>
      <t>Mg</t>
    </r>
    <r>
      <rPr>
        <sz val="11"/>
        <rFont val="Calibri"/>
        <family val="2"/>
      </rPr>
      <t>*1000)</t>
    </r>
  </si>
  <si>
    <r>
      <t>[Ca</t>
    </r>
    <r>
      <rPr>
        <b/>
        <vertAlign val="superscript"/>
        <sz val="11"/>
        <rFont val="Calibri"/>
        <family val="2"/>
      </rPr>
      <t>2+</t>
    </r>
    <r>
      <rPr>
        <b/>
        <sz val="11"/>
        <rFont val="Calibri"/>
        <family val="2"/>
      </rPr>
      <t>]</t>
    </r>
  </si>
  <si>
    <r>
      <t>[Mg</t>
    </r>
    <r>
      <rPr>
        <b/>
        <vertAlign val="superscript"/>
        <sz val="11"/>
        <rFont val="Calibri"/>
        <family val="2"/>
      </rPr>
      <t>2+</t>
    </r>
    <r>
      <rPr>
        <b/>
        <sz val="11"/>
        <rFont val="Calibri"/>
        <family val="2"/>
      </rPr>
      <t>]</t>
    </r>
  </si>
  <si>
    <t>Calcium ion</t>
  </si>
  <si>
    <t>Magnesium ion</t>
  </si>
  <si>
    <r>
      <t>S</t>
    </r>
    <r>
      <rPr>
        <b/>
        <vertAlign val="subscript"/>
        <sz val="11"/>
        <rFont val="Calibri"/>
        <family val="2"/>
        <scheme val="minor"/>
      </rPr>
      <t>Ca</t>
    </r>
  </si>
  <si>
    <r>
      <t>X</t>
    </r>
    <r>
      <rPr>
        <b/>
        <vertAlign val="subscript"/>
        <sz val="11"/>
        <rFont val="Calibri"/>
        <family val="2"/>
        <scheme val="minor"/>
      </rPr>
      <t>CaCO3</t>
    </r>
  </si>
  <si>
    <r>
      <t>X</t>
    </r>
    <r>
      <rPr>
        <b/>
        <vertAlign val="subscript"/>
        <sz val="12"/>
        <rFont val="Calibri"/>
        <family val="2"/>
        <scheme val="minor"/>
      </rPr>
      <t>CaCO3</t>
    </r>
  </si>
  <si>
    <r>
      <t>i</t>
    </r>
    <r>
      <rPr>
        <vertAlign val="subscript"/>
        <sz val="11"/>
        <rFont val="Calibri"/>
        <family val="2"/>
        <scheme val="minor"/>
      </rPr>
      <t>Ca,PP</t>
    </r>
  </si>
  <si>
    <r>
      <t>i</t>
    </r>
    <r>
      <rPr>
        <vertAlign val="subscript"/>
        <sz val="11"/>
        <rFont val="Calibri"/>
        <family val="2"/>
        <scheme val="minor"/>
      </rPr>
      <t>Mg,PP</t>
    </r>
  </si>
  <si>
    <r>
      <t>Henry</t>
    </r>
    <r>
      <rPr>
        <vertAlign val="subscript"/>
        <sz val="11"/>
        <rFont val="Calibri"/>
        <family val="2"/>
        <scheme val="minor"/>
      </rPr>
      <t>GO2,25</t>
    </r>
  </si>
  <si>
    <r>
      <t>Henry</t>
    </r>
    <r>
      <rPr>
        <vertAlign val="subscript"/>
        <sz val="11"/>
        <rFont val="Calibri"/>
        <family val="2"/>
        <scheme val="minor"/>
      </rPr>
      <t>GO2,dt</t>
    </r>
  </si>
  <si>
    <r>
      <t>Henry</t>
    </r>
    <r>
      <rPr>
        <vertAlign val="subscript"/>
        <sz val="11"/>
        <rFont val="Calibri"/>
        <family val="2"/>
        <scheme val="minor"/>
      </rPr>
      <t>GCO2,25</t>
    </r>
  </si>
  <si>
    <r>
      <t>Henry</t>
    </r>
    <r>
      <rPr>
        <vertAlign val="subscript"/>
        <sz val="11"/>
        <rFont val="Calibri"/>
        <family val="2"/>
        <scheme val="minor"/>
      </rPr>
      <t>GCO2,dt</t>
    </r>
  </si>
  <si>
    <r>
      <t>Henry</t>
    </r>
    <r>
      <rPr>
        <vertAlign val="subscript"/>
        <sz val="11"/>
        <rFont val="Calibri"/>
        <family val="2"/>
        <scheme val="minor"/>
      </rPr>
      <t>GNO,25</t>
    </r>
  </si>
  <si>
    <r>
      <t>Henry</t>
    </r>
    <r>
      <rPr>
        <vertAlign val="subscript"/>
        <sz val="11"/>
        <rFont val="Calibri"/>
        <family val="2"/>
        <scheme val="minor"/>
      </rPr>
      <t>GNO,dt</t>
    </r>
  </si>
  <si>
    <r>
      <t>Henry</t>
    </r>
    <r>
      <rPr>
        <vertAlign val="subscript"/>
        <sz val="11"/>
        <rFont val="Calibri"/>
        <family val="2"/>
        <scheme val="minor"/>
      </rPr>
      <t>GN2O,25</t>
    </r>
  </si>
  <si>
    <r>
      <t>Henry</t>
    </r>
    <r>
      <rPr>
        <vertAlign val="subscript"/>
        <sz val="11"/>
        <rFont val="Calibri"/>
        <family val="2"/>
        <scheme val="minor"/>
      </rPr>
      <t>GN2O,dt</t>
    </r>
  </si>
  <si>
    <r>
      <t>Henry</t>
    </r>
    <r>
      <rPr>
        <vertAlign val="subscript"/>
        <sz val="11"/>
        <rFont val="Calibri"/>
        <family val="2"/>
        <scheme val="minor"/>
      </rPr>
      <t>GN2,25</t>
    </r>
  </si>
  <si>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</si>
  <si>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</si>
  <si>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</si>
  <si>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</si>
  <si>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</si>
  <si>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</si>
  <si>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</si>
  <si>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</si>
  <si>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</si>
  <si>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</si>
  <si>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</si>
  <si>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</si>
  <si>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</si>
  <si>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</si>
  <si>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</si>
  <si>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</si>
  <si>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</si>
  <si>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</si>
  <si>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</si>
  <si>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</si>
  <si>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</si>
  <si>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</si>
  <si>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</si>
  <si>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</si>
  <si>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</si>
  <si>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</si>
  <si>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r>
      <t>c</t>
    </r>
    <r>
      <rPr>
        <vertAlign val="subscript"/>
        <sz val="11"/>
        <rFont val="Calibri"/>
        <family val="2"/>
        <scheme val="minor"/>
      </rPr>
      <t>g,kg</t>
    </r>
  </si>
  <si>
    <t>Conversion coefficient between grams and kilograms</t>
  </si>
  <si>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</si>
  <si>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</si>
  <si>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</si>
  <si>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Maximum specific growth rate of HMETO</t>
  </si>
  <si>
    <r>
      <t>S</t>
    </r>
    <r>
      <rPr>
        <b/>
        <vertAlign val="subscript"/>
        <sz val="11"/>
        <rFont val="Calibri"/>
        <family val="2"/>
      </rPr>
      <t>K</t>
    </r>
  </si>
  <si>
    <t>Potassium</t>
  </si>
  <si>
    <r>
      <t>g Na.m</t>
    </r>
    <r>
      <rPr>
        <vertAlign val="superscript"/>
        <sz val="11"/>
        <rFont val="Calibri"/>
        <family val="2"/>
      </rPr>
      <t>-3</t>
    </r>
  </si>
  <si>
    <r>
      <t>g K.m</t>
    </r>
    <r>
      <rPr>
        <vertAlign val="superscript"/>
        <sz val="11"/>
        <rFont val="Calibri"/>
        <family val="2"/>
      </rPr>
      <t>-3</t>
    </r>
  </si>
  <si>
    <r>
      <t>g Cl.m</t>
    </r>
    <r>
      <rPr>
        <vertAlign val="superscript"/>
        <sz val="11"/>
        <rFont val="Calibri"/>
        <family val="2"/>
      </rPr>
      <t>-3</t>
    </r>
  </si>
  <si>
    <r>
      <t>G</t>
    </r>
    <r>
      <rPr>
        <b/>
        <vertAlign val="subscript"/>
        <sz val="11"/>
        <rFont val="Calibri"/>
        <family val="2"/>
        <charset val="238"/>
      </rPr>
      <t>NH3</t>
    </r>
  </si>
  <si>
    <t>Ferrous ion</t>
  </si>
  <si>
    <r>
      <t>G</t>
    </r>
    <r>
      <rPr>
        <b/>
        <vertAlign val="subscript"/>
        <sz val="11"/>
        <rFont val="Calibri"/>
        <family val="2"/>
      </rPr>
      <t>NH3</t>
    </r>
  </si>
  <si>
    <t>Sodium (strong cations)</t>
  </si>
  <si>
    <r>
      <t>[K</t>
    </r>
    <r>
      <rPr>
        <b/>
        <vertAlign val="superscript"/>
        <sz val="11"/>
        <rFont val="Calibri"/>
        <family val="2"/>
      </rPr>
      <t>+</t>
    </r>
    <r>
      <rPr>
        <b/>
        <sz val="11"/>
        <rFont val="Calibri"/>
        <family val="2"/>
      </rPr>
      <t>]</t>
    </r>
  </si>
  <si>
    <t>Chloride (strong anions)</t>
  </si>
  <si>
    <r>
      <t>[Fe</t>
    </r>
    <r>
      <rPr>
        <b/>
        <vertAlign val="superscript"/>
        <sz val="11"/>
        <rFont val="Calibri"/>
        <family val="2"/>
      </rPr>
      <t>2+</t>
    </r>
    <r>
      <rPr>
        <b/>
        <sz val="11"/>
        <rFont val="Calibri"/>
        <family val="2"/>
      </rPr>
      <t>]</t>
    </r>
  </si>
  <si>
    <r>
      <t>10^(-(2835.8/T</t>
    </r>
    <r>
      <rPr>
        <vertAlign val="subscript"/>
        <sz val="11"/>
        <rFont val="Calibri"/>
        <family val="2"/>
        <scheme val="minor"/>
      </rPr>
      <t>K</t>
    </r>
    <r>
      <rPr>
        <sz val="11"/>
        <rFont val="Calibri"/>
        <family val="2"/>
        <scheme val="minor"/>
      </rPr>
      <t xml:space="preserve"> - 0.6322 + 0.00123*T</t>
    </r>
    <r>
      <rPr>
        <vertAlign val="subscript"/>
        <sz val="11"/>
        <rFont val="Calibri"/>
        <family val="2"/>
        <scheme val="minor"/>
      </rPr>
      <t>K</t>
    </r>
    <r>
      <rPr>
        <sz val="11"/>
        <rFont val="Calibri"/>
        <family val="2"/>
        <scheme val="minor"/>
      </rPr>
      <t>))</t>
    </r>
  </si>
  <si>
    <r>
      <t>i</t>
    </r>
    <r>
      <rPr>
        <vertAlign val="subscript"/>
        <sz val="11"/>
        <rFont val="Calibri"/>
        <family val="2"/>
        <scheme val="minor"/>
      </rPr>
      <t>N,CU</t>
    </r>
  </si>
  <si>
    <r>
      <t>i</t>
    </r>
    <r>
      <rPr>
        <vertAlign val="subscript"/>
        <sz val="11"/>
        <rFont val="Calibri"/>
        <family val="2"/>
        <scheme val="minor"/>
      </rPr>
      <t>P,CB</t>
    </r>
  </si>
  <si>
    <r>
      <t>i</t>
    </r>
    <r>
      <rPr>
        <vertAlign val="subscript"/>
        <sz val="11"/>
        <rFont val="Calibri"/>
        <family val="2"/>
        <scheme val="minor"/>
      </rPr>
      <t>P,CU</t>
    </r>
  </si>
  <si>
    <r>
      <t>i</t>
    </r>
    <r>
      <rPr>
        <vertAlign val="subscript"/>
        <sz val="11"/>
        <rFont val="Calibri"/>
        <family val="2"/>
        <scheme val="minor"/>
      </rPr>
      <t>P,SU</t>
    </r>
  </si>
  <si>
    <t>15% of VSS - Ekama</t>
  </si>
  <si>
    <t>and other cations</t>
  </si>
  <si>
    <t>and other anions</t>
  </si>
  <si>
    <t>Diffusion coefficient of ammonia in water</t>
  </si>
  <si>
    <r>
      <t>MM</t>
    </r>
    <r>
      <rPr>
        <vertAlign val="subscript"/>
        <sz val="11"/>
        <rFont val="Calibri"/>
        <family val="2"/>
        <scheme val="minor"/>
      </rPr>
      <t>SO4</t>
    </r>
  </si>
  <si>
    <r>
      <t>MM</t>
    </r>
    <r>
      <rPr>
        <vertAlign val="subscript"/>
        <sz val="11"/>
        <rFont val="Calibri"/>
        <family val="2"/>
        <scheme val="minor"/>
      </rPr>
      <t>HSO4</t>
    </r>
  </si>
  <si>
    <r>
      <t>MM</t>
    </r>
    <r>
      <rPr>
        <vertAlign val="subscript"/>
        <sz val="11"/>
        <rFont val="Calibri"/>
        <family val="2"/>
        <scheme val="minor"/>
      </rPr>
      <t>H2SO4</t>
    </r>
  </si>
  <si>
    <t>N content in GN2</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</si>
  <si>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</si>
  <si>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</si>
  <si>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</si>
  <si>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</si>
  <si>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</si>
  <si>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</si>
  <si>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</si>
  <si>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</si>
  <si>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</si>
  <si>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</si>
  <si>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</si>
  <si>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</si>
  <si>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</si>
  <si>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</si>
  <si>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</si>
  <si>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</si>
  <si>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</si>
  <si>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</si>
  <si>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</si>
  <si>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</si>
  <si>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</si>
  <si>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</si>
  <si>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</si>
  <si>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</si>
  <si>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</si>
  <si>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</si>
  <si>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</si>
  <si>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</si>
  <si>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</si>
  <si>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</si>
  <si>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</si>
  <si>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</si>
  <si>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</si>
  <si>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S</t>
    </r>
    <r>
      <rPr>
        <vertAlign val="subscript"/>
        <sz val="11"/>
        <rFont val="Calibri"/>
        <family val="2"/>
      </rPr>
      <t>K</t>
    </r>
    <r>
      <rPr>
        <sz val="11"/>
        <rFont val="Calibri"/>
        <family val="2"/>
      </rPr>
      <t>/(AM</t>
    </r>
    <r>
      <rPr>
        <vertAlign val="subscript"/>
        <sz val="11"/>
        <rFont val="Calibri"/>
        <family val="2"/>
      </rPr>
      <t>K</t>
    </r>
    <r>
      <rPr>
        <sz val="11"/>
        <rFont val="Calibri"/>
        <family val="2"/>
      </rPr>
      <t>*1000)</t>
    </r>
  </si>
  <si>
    <r>
      <t>map</t>
    </r>
    <r>
      <rPr>
        <vertAlign val="subscript"/>
        <sz val="11"/>
        <rFont val="Calibri"/>
        <family val="2"/>
      </rPr>
      <t>K</t>
    </r>
  </si>
  <si>
    <r>
      <t>map</t>
    </r>
    <r>
      <rPr>
        <vertAlign val="subscript"/>
        <sz val="11"/>
        <rFont val="Calibri"/>
        <family val="2"/>
      </rPr>
      <t>NO3</t>
    </r>
  </si>
  <si>
    <t>Potassium fully dissociated</t>
  </si>
  <si>
    <r>
      <t>map</t>
    </r>
    <r>
      <rPr>
        <vertAlign val="subscript"/>
        <sz val="11"/>
        <rFont val="Calibri"/>
        <family val="2"/>
      </rPr>
      <t>SFerrous</t>
    </r>
  </si>
  <si>
    <t>Molecular mass of hydrogen chloride</t>
  </si>
  <si>
    <t>Molecular mass of hydrogen sulfate</t>
  </si>
  <si>
    <r>
      <t>MM</t>
    </r>
    <r>
      <rPr>
        <vertAlign val="subscript"/>
        <sz val="11"/>
        <rFont val="Calibri"/>
        <family val="2"/>
        <scheme val="minor"/>
      </rPr>
      <t>GNH3</t>
    </r>
  </si>
  <si>
    <t>Molecular mass of sulfate</t>
  </si>
  <si>
    <r>
      <t>MM</t>
    </r>
    <r>
      <rPr>
        <vertAlign val="subscript"/>
        <sz val="11"/>
        <rFont val="Calibri"/>
        <family val="2"/>
        <scheme val="minor"/>
      </rPr>
      <t>H2S</t>
    </r>
  </si>
  <si>
    <t>N content in GNH3</t>
  </si>
  <si>
    <t>Na</t>
  </si>
  <si>
    <r>
      <t>X</t>
    </r>
    <r>
      <rPr>
        <b/>
        <vertAlign val="subscript"/>
        <sz val="11"/>
        <rFont val="Calibri"/>
        <family val="2"/>
        <scheme val="minor"/>
      </rPr>
      <t>Vivi</t>
    </r>
  </si>
  <si>
    <t>Molecular mass of vivianite</t>
  </si>
  <si>
    <t>Molecular mass of iron sulfide</t>
  </si>
  <si>
    <r>
      <t>MM</t>
    </r>
    <r>
      <rPr>
        <vertAlign val="subscript"/>
        <sz val="11"/>
        <rFont val="Calibri"/>
        <family val="2"/>
        <scheme val="minor"/>
      </rPr>
      <t>H2O</t>
    </r>
  </si>
  <si>
    <t>Molecular mass of water</t>
  </si>
  <si>
    <r>
      <t>MM</t>
    </r>
    <r>
      <rPr>
        <vertAlign val="subscript"/>
        <sz val="11"/>
        <rFont val="Calibri"/>
        <family val="2"/>
        <scheme val="minor"/>
      </rPr>
      <t>Vivi</t>
    </r>
  </si>
  <si>
    <r>
      <t>MM</t>
    </r>
    <r>
      <rPr>
        <vertAlign val="subscript"/>
        <sz val="11"/>
        <rFont val="Calibri"/>
        <family val="2"/>
        <scheme val="minor"/>
      </rPr>
      <t>FeS</t>
    </r>
  </si>
  <si>
    <t xml:space="preserve">                                                      </t>
  </si>
  <si>
    <r>
      <t>i</t>
    </r>
    <r>
      <rPr>
        <vertAlign val="subscript"/>
        <sz val="11"/>
        <rFont val="Calibri"/>
        <family val="2"/>
        <scheme val="minor"/>
      </rPr>
      <t>N,CB</t>
    </r>
  </si>
  <si>
    <r>
      <t>i</t>
    </r>
    <r>
      <rPr>
        <vertAlign val="subscript"/>
        <sz val="11"/>
        <rFont val="Calibri"/>
        <family val="2"/>
        <scheme val="minor"/>
      </rPr>
      <t>N,SU</t>
    </r>
  </si>
  <si>
    <t>Vivianite precipitation</t>
  </si>
  <si>
    <r>
      <t>MgNH</t>
    </r>
    <r>
      <rPr>
        <vertAlign val="subscript"/>
        <sz val="11"/>
        <color indexed="8"/>
        <rFont val="Calibri"/>
        <family val="2"/>
        <scheme val="minor"/>
      </rPr>
      <t>4</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6H</t>
    </r>
    <r>
      <rPr>
        <vertAlign val="subscript"/>
        <sz val="11"/>
        <color indexed="8"/>
        <rFont val="Calibri"/>
        <family val="2"/>
        <scheme val="minor"/>
      </rPr>
      <t>2</t>
    </r>
    <r>
      <rPr>
        <sz val="11"/>
        <color indexed="8"/>
        <rFont val="Calibri"/>
        <family val="2"/>
        <scheme val="minor"/>
      </rPr>
      <t>O</t>
    </r>
  </si>
  <si>
    <t>Amorphous calcium phosphate precipitation</t>
  </si>
  <si>
    <t>Calcium carbonate precipitation</t>
  </si>
  <si>
    <r>
      <t>CaCO</t>
    </r>
    <r>
      <rPr>
        <vertAlign val="subscript"/>
        <sz val="11"/>
        <color indexed="8"/>
        <rFont val="Calibri"/>
        <family val="2"/>
        <scheme val="minor"/>
      </rPr>
      <t>3</t>
    </r>
  </si>
  <si>
    <r>
      <t>Ca</t>
    </r>
    <r>
      <rPr>
        <vertAlign val="subscript"/>
        <sz val="11"/>
        <color indexed="8"/>
        <rFont val="Calibri"/>
        <family val="2"/>
      </rPr>
      <t>3</t>
    </r>
    <r>
      <rPr>
        <sz val="11"/>
        <color indexed="8"/>
        <rFont val="Calibri"/>
        <family val="2"/>
      </rPr>
      <t>(</t>
    </r>
    <r>
      <rPr>
        <sz val="11"/>
        <color indexed="8"/>
        <rFont val="Calibri"/>
        <family val="2"/>
        <scheme val="minor"/>
      </rPr>
      <t>PO</t>
    </r>
    <r>
      <rPr>
        <vertAlign val="subscript"/>
        <sz val="11"/>
        <color indexed="8"/>
        <rFont val="Calibri"/>
        <family val="2"/>
        <scheme val="minor"/>
      </rPr>
      <t>4</t>
    </r>
    <r>
      <rPr>
        <sz val="11"/>
        <color indexed="8"/>
        <rFont val="Calibri"/>
        <family val="2"/>
        <scheme val="minor"/>
      </rPr>
      <t>)</t>
    </r>
    <r>
      <rPr>
        <vertAlign val="subscript"/>
        <sz val="11"/>
        <color indexed="8"/>
        <rFont val="Calibri"/>
        <family val="2"/>
        <scheme val="minor"/>
      </rPr>
      <t>2</t>
    </r>
    <r>
      <rPr>
        <sz val="11"/>
        <color indexed="8"/>
        <rFont val="Calibri"/>
        <family val="2"/>
        <scheme val="minor"/>
      </rPr>
      <t xml:space="preserve"> * 4H</t>
    </r>
    <r>
      <rPr>
        <vertAlign val="subscript"/>
        <sz val="11"/>
        <color indexed="8"/>
        <rFont val="Calibri"/>
        <family val="2"/>
        <scheme val="minor"/>
      </rPr>
      <t>2</t>
    </r>
    <r>
      <rPr>
        <sz val="11"/>
        <color indexed="8"/>
        <rFont val="Calibri"/>
        <family val="2"/>
        <scheme val="minor"/>
      </rPr>
      <t>O</t>
    </r>
  </si>
  <si>
    <r>
      <t>Fe</t>
    </r>
    <r>
      <rPr>
        <vertAlign val="subscript"/>
        <sz val="11"/>
        <color indexed="8"/>
        <rFont val="Calibri"/>
        <family val="2"/>
      </rPr>
      <t>3</t>
    </r>
    <r>
      <rPr>
        <sz val="11"/>
        <color indexed="8"/>
        <rFont val="Calibri"/>
        <family val="2"/>
      </rPr>
      <t>(PO</t>
    </r>
    <r>
      <rPr>
        <vertAlign val="subscript"/>
        <sz val="11"/>
        <color indexed="8"/>
        <rFont val="Calibri"/>
        <family val="2"/>
      </rPr>
      <t>4</t>
    </r>
    <r>
      <rPr>
        <sz val="11"/>
        <color indexed="8"/>
        <rFont val="Calibri"/>
        <family val="2"/>
      </rPr>
      <t>)</t>
    </r>
    <r>
      <rPr>
        <vertAlign val="subscript"/>
        <sz val="11"/>
        <color indexed="8"/>
        <rFont val="Calibri"/>
        <family val="2"/>
      </rPr>
      <t xml:space="preserve">2 </t>
    </r>
    <r>
      <rPr>
        <sz val="11"/>
        <color indexed="8"/>
        <rFont val="Calibri"/>
        <family val="2"/>
      </rPr>
      <t>* 8H</t>
    </r>
    <r>
      <rPr>
        <vertAlign val="subscript"/>
        <sz val="11"/>
        <color indexed="8"/>
        <rFont val="Calibri"/>
        <family val="2"/>
      </rPr>
      <t>2</t>
    </r>
    <r>
      <rPr>
        <sz val="11"/>
        <color indexed="8"/>
        <rFont val="Calibri"/>
        <family val="2"/>
      </rPr>
      <t>O</t>
    </r>
  </si>
  <si>
    <t>Molecular mass of amorphous calcium phosphate</t>
  </si>
  <si>
    <r>
      <t>X</t>
    </r>
    <r>
      <rPr>
        <b/>
        <vertAlign val="subscript"/>
        <sz val="12"/>
        <rFont val="Calibri"/>
        <family val="2"/>
        <scheme val="minor"/>
      </rPr>
      <t>ACP</t>
    </r>
  </si>
  <si>
    <r>
      <t>X</t>
    </r>
    <r>
      <rPr>
        <b/>
        <vertAlign val="subscript"/>
        <sz val="11"/>
        <rFont val="Calibri"/>
        <family val="2"/>
        <scheme val="minor"/>
      </rPr>
      <t>ACP</t>
    </r>
  </si>
  <si>
    <r>
      <t>g TIC.m</t>
    </r>
    <r>
      <rPr>
        <vertAlign val="superscript"/>
        <sz val="11"/>
        <rFont val="Calibri"/>
        <family val="2"/>
      </rPr>
      <t>-3</t>
    </r>
  </si>
  <si>
    <t>Anaerobic endogenous decay products</t>
  </si>
  <si>
    <t>1 / (1 + Exp((halfval - var) * slope))</t>
  </si>
  <si>
    <t>1 / (1 + Exp((var - halfval) * slope))</t>
  </si>
  <si>
    <t>Haldane equation</t>
  </si>
  <si>
    <t>Noncompinh(var; halfinh)</t>
  </si>
  <si>
    <t>Non-competetive inhibition</t>
  </si>
  <si>
    <t>1 / (1 + (var / halfinh))</t>
  </si>
  <si>
    <r>
      <t>i</t>
    </r>
    <r>
      <rPr>
        <vertAlign val="subscript"/>
        <sz val="11"/>
        <rFont val="Calibri"/>
        <family val="2"/>
        <scheme val="minor"/>
      </rPr>
      <t>CV,VFA</t>
    </r>
  </si>
  <si>
    <r>
      <t>i</t>
    </r>
    <r>
      <rPr>
        <vertAlign val="subscript"/>
        <sz val="11"/>
        <rFont val="Calibri"/>
        <family val="2"/>
        <scheme val="minor"/>
      </rPr>
      <t>CV,SB</t>
    </r>
  </si>
  <si>
    <r>
      <t>i</t>
    </r>
    <r>
      <rPr>
        <vertAlign val="subscript"/>
        <sz val="11"/>
        <rFont val="Calibri"/>
        <family val="2"/>
        <scheme val="minor"/>
      </rPr>
      <t>CV,MEOL</t>
    </r>
  </si>
  <si>
    <r>
      <t>i</t>
    </r>
    <r>
      <rPr>
        <vertAlign val="subscript"/>
        <sz val="11"/>
        <rFont val="Calibri"/>
        <family val="2"/>
        <scheme val="minor"/>
      </rPr>
      <t>CV,SU</t>
    </r>
  </si>
  <si>
    <r>
      <t>i</t>
    </r>
    <r>
      <rPr>
        <vertAlign val="subscript"/>
        <sz val="11"/>
        <rFont val="Calibri"/>
        <family val="2"/>
        <scheme val="minor"/>
      </rPr>
      <t>CV,CB</t>
    </r>
  </si>
  <si>
    <r>
      <t>i</t>
    </r>
    <r>
      <rPr>
        <vertAlign val="subscript"/>
        <sz val="11"/>
        <rFont val="Calibri"/>
        <family val="2"/>
        <scheme val="minor"/>
      </rPr>
      <t>CV,CU</t>
    </r>
  </si>
  <si>
    <r>
      <t>EEQ</t>
    </r>
    <r>
      <rPr>
        <vertAlign val="subscript"/>
        <sz val="11"/>
        <rFont val="Calibri"/>
        <family val="2"/>
        <scheme val="minor"/>
      </rPr>
      <t>H2S</t>
    </r>
  </si>
  <si>
    <t>-1</t>
  </si>
  <si>
    <r>
      <t>MM</t>
    </r>
    <r>
      <rPr>
        <vertAlign val="subscript"/>
        <sz val="11"/>
        <rFont val="Calibri"/>
        <family val="2"/>
        <scheme val="minor"/>
      </rPr>
      <t>EQ,GH2S</t>
    </r>
  </si>
  <si>
    <t>Molecular mass of GH2S</t>
  </si>
  <si>
    <t>Non-pH</t>
  </si>
  <si>
    <r>
      <t>Henry</t>
    </r>
    <r>
      <rPr>
        <vertAlign val="subscript"/>
        <sz val="11"/>
        <rFont val="Calibri"/>
        <family val="2"/>
        <scheme val="minor"/>
      </rPr>
      <t>GH2S,25</t>
    </r>
  </si>
  <si>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</si>
  <si>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</si>
  <si>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r>
      <t>MM</t>
    </r>
    <r>
      <rPr>
        <vertAlign val="subscript"/>
        <sz val="11"/>
        <rFont val="Calibri"/>
        <family val="2"/>
        <scheme val="minor"/>
      </rPr>
      <t>GH2S</t>
    </r>
  </si>
  <si>
    <r>
      <t>f</t>
    </r>
    <r>
      <rPr>
        <vertAlign val="subscript"/>
        <sz val="11"/>
        <rFont val="Calibri"/>
        <family val="2"/>
        <scheme val="minor"/>
      </rPr>
      <t>Na</t>
    </r>
  </si>
  <si>
    <t>To clean up any remaining methanol in digesters without having to ferment mechanistically</t>
  </si>
  <si>
    <r>
      <t>S</t>
    </r>
    <r>
      <rPr>
        <b/>
        <vertAlign val="subscript"/>
        <sz val="11"/>
        <rFont val="Calibri"/>
        <family val="2"/>
      </rPr>
      <t>CAT</t>
    </r>
  </si>
  <si>
    <r>
      <t>S</t>
    </r>
    <r>
      <rPr>
        <b/>
        <vertAlign val="subscript"/>
        <sz val="11"/>
        <rFont val="Calibri"/>
        <family val="2"/>
      </rPr>
      <t>AN</t>
    </r>
  </si>
  <si>
    <r>
      <t>S</t>
    </r>
    <r>
      <rPr>
        <vertAlign val="subscript"/>
        <sz val="11"/>
        <rFont val="Calibri"/>
        <family val="2"/>
        <scheme val="minor"/>
      </rPr>
      <t>CAT</t>
    </r>
  </si>
  <si>
    <r>
      <t>S</t>
    </r>
    <r>
      <rPr>
        <vertAlign val="subscript"/>
        <sz val="11"/>
        <rFont val="Calibri"/>
        <family val="2"/>
      </rPr>
      <t>CAT</t>
    </r>
    <r>
      <rPr>
        <sz val="11"/>
        <rFont val="Calibri"/>
        <family val="2"/>
      </rPr>
      <t>/(AM</t>
    </r>
    <r>
      <rPr>
        <vertAlign val="subscript"/>
        <sz val="11"/>
        <rFont val="Calibri"/>
        <family val="2"/>
      </rPr>
      <t>Na</t>
    </r>
    <r>
      <rPr>
        <sz val="11"/>
        <rFont val="Calibri"/>
        <family val="2"/>
      </rPr>
      <t>*1000)</t>
    </r>
  </si>
  <si>
    <r>
      <t>S</t>
    </r>
    <r>
      <rPr>
        <vertAlign val="subscript"/>
        <sz val="11"/>
        <rFont val="Calibri"/>
        <family val="2"/>
      </rPr>
      <t>AN</t>
    </r>
    <r>
      <rPr>
        <sz val="11"/>
        <rFont val="Calibri"/>
        <family val="2"/>
      </rPr>
      <t>/(AM</t>
    </r>
    <r>
      <rPr>
        <vertAlign val="subscript"/>
        <sz val="11"/>
        <rFont val="Calibri"/>
        <family val="2"/>
      </rPr>
      <t>Cl</t>
    </r>
    <r>
      <rPr>
        <sz val="11"/>
        <rFont val="Calibri"/>
        <family val="2"/>
      </rPr>
      <t>*1000)</t>
    </r>
  </si>
  <si>
    <t>Charge balance error for SCAT calculation</t>
  </si>
  <si>
    <r>
      <t>pH</t>
    </r>
    <r>
      <rPr>
        <vertAlign val="subscript"/>
        <sz val="11"/>
        <rFont val="Calibri"/>
        <family val="2"/>
        <scheme val="minor"/>
      </rPr>
      <t>low</t>
    </r>
  </si>
  <si>
    <r>
      <t>pH</t>
    </r>
    <r>
      <rPr>
        <vertAlign val="subscript"/>
        <sz val="11"/>
        <rFont val="Calibri"/>
        <family val="2"/>
        <scheme val="minor"/>
      </rPr>
      <t>high</t>
    </r>
  </si>
  <si>
    <t>www.dynamita.com</t>
  </si>
  <si>
    <r>
      <t>f(G</t>
    </r>
    <r>
      <rPr>
        <vertAlign val="subscript"/>
        <sz val="11"/>
        <rFont val="Calibri"/>
        <family val="2"/>
      </rPr>
      <t>O2</t>
    </r>
    <r>
      <rPr>
        <sz val="11"/>
        <rFont val="Calibri"/>
        <family val="2"/>
      </rPr>
      <t>)</t>
    </r>
  </si>
  <si>
    <r>
      <t>f(G</t>
    </r>
    <r>
      <rPr>
        <vertAlign val="subscript"/>
        <sz val="11"/>
        <rFont val="Calibri"/>
        <family val="2"/>
      </rPr>
      <t>CO2</t>
    </r>
    <r>
      <rPr>
        <sz val="11"/>
        <rFont val="Calibri"/>
        <family val="2"/>
      </rPr>
      <t>)</t>
    </r>
  </si>
  <si>
    <r>
      <t>f(G</t>
    </r>
    <r>
      <rPr>
        <vertAlign val="subscript"/>
        <sz val="11"/>
        <rFont val="Calibri"/>
        <family val="2"/>
      </rPr>
      <t>CH4</t>
    </r>
    <r>
      <rPr>
        <sz val="11"/>
        <rFont val="Calibri"/>
        <family val="2"/>
      </rPr>
      <t>)</t>
    </r>
  </si>
  <si>
    <r>
      <t>f(G</t>
    </r>
    <r>
      <rPr>
        <vertAlign val="subscript"/>
        <sz val="11"/>
        <rFont val="Calibri"/>
        <family val="2"/>
      </rPr>
      <t>H2</t>
    </r>
    <r>
      <rPr>
        <sz val="11"/>
        <rFont val="Calibri"/>
        <family val="2"/>
      </rPr>
      <t>)</t>
    </r>
  </si>
  <si>
    <r>
      <t>f(G</t>
    </r>
    <r>
      <rPr>
        <vertAlign val="subscript"/>
        <sz val="11"/>
        <rFont val="Calibri"/>
        <family val="2"/>
      </rPr>
      <t>N2</t>
    </r>
    <r>
      <rPr>
        <sz val="11"/>
        <rFont val="Calibri"/>
        <family val="2"/>
      </rPr>
      <t>)</t>
    </r>
  </si>
  <si>
    <t>Other system parameters</t>
  </si>
  <si>
    <t>NoName</t>
  </si>
  <si>
    <t>Testing Attributes</t>
  </si>
  <si>
    <t>Biofilm</t>
  </si>
  <si>
    <t>TestAttribute</t>
  </si>
  <si>
    <r>
      <t>f(G</t>
    </r>
    <r>
      <rPr>
        <vertAlign val="subscript"/>
        <sz val="11"/>
        <rFont val="Calibri"/>
        <family val="2"/>
      </rPr>
      <t>H2S</t>
    </r>
    <r>
      <rPr>
        <sz val="11"/>
        <rFont val="Calibri"/>
        <family val="2"/>
      </rPr>
      <t>)</t>
    </r>
  </si>
  <si>
    <r>
      <t>f(G</t>
    </r>
    <r>
      <rPr>
        <vertAlign val="subscript"/>
        <sz val="11"/>
        <rFont val="Calibri"/>
        <family val="2"/>
      </rPr>
      <t>NH3</t>
    </r>
    <r>
      <rPr>
        <sz val="11"/>
        <rFont val="Calibri"/>
        <family val="2"/>
      </rPr>
      <t>)</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</si>
  <si>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</si>
  <si>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r>
      <t>g COD.m</t>
    </r>
    <r>
      <rPr>
        <vertAlign val="superscript"/>
        <sz val="11"/>
        <rFont val="Calibri"/>
        <family val="2"/>
        <scheme val="minor"/>
      </rPr>
      <t>-3</t>
    </r>
  </si>
  <si>
    <r>
      <t>K</t>
    </r>
    <r>
      <rPr>
        <vertAlign val="subscript"/>
        <sz val="11"/>
        <rFont val="Calibri"/>
        <family val="2"/>
        <scheme val="minor"/>
      </rPr>
      <t>PO4,PAO</t>
    </r>
  </si>
  <si>
    <r>
      <t>K</t>
    </r>
    <r>
      <rPr>
        <vertAlign val="subscript"/>
        <sz val="11"/>
        <rFont val="Calibri"/>
        <family val="2"/>
        <scheme val="minor"/>
      </rPr>
      <t>PP,lim</t>
    </r>
  </si>
  <si>
    <r>
      <t>K</t>
    </r>
    <r>
      <rPr>
        <vertAlign val="subscript"/>
        <sz val="11"/>
        <rFont val="Calibri"/>
        <family val="2"/>
        <scheme val="minor"/>
      </rPr>
      <t>FLOC</t>
    </r>
  </si>
  <si>
    <r>
      <t>K</t>
    </r>
    <r>
      <rPr>
        <vertAlign val="subscript"/>
        <sz val="11"/>
        <rFont val="Calibri"/>
        <family val="2"/>
        <scheme val="minor"/>
      </rPr>
      <t>HYD</t>
    </r>
  </si>
  <si>
    <r>
      <t>µ</t>
    </r>
    <r>
      <rPr>
        <vertAlign val="subscript"/>
        <sz val="11"/>
        <rFont val="Calibri"/>
        <family val="2"/>
        <scheme val="minor"/>
      </rPr>
      <t>OHO</t>
    </r>
  </si>
  <si>
    <r>
      <t>b</t>
    </r>
    <r>
      <rPr>
        <vertAlign val="subscript"/>
        <sz val="11"/>
        <rFont val="Calibri"/>
        <family val="2"/>
        <scheme val="minor"/>
      </rPr>
      <t>OHO</t>
    </r>
  </si>
  <si>
    <r>
      <t>µ</t>
    </r>
    <r>
      <rPr>
        <vertAlign val="subscript"/>
        <sz val="11"/>
        <rFont val="Calibri"/>
        <family val="2"/>
        <scheme val="minor"/>
      </rPr>
      <t>FERM,OHO</t>
    </r>
  </si>
  <si>
    <r>
      <t>µ</t>
    </r>
    <r>
      <rPr>
        <vertAlign val="subscript"/>
        <sz val="11"/>
        <rFont val="Calibri"/>
        <family val="2"/>
        <scheme val="minor"/>
      </rPr>
      <t>MEOLO</t>
    </r>
  </si>
  <si>
    <r>
      <t>b</t>
    </r>
    <r>
      <rPr>
        <vertAlign val="subscript"/>
        <sz val="11"/>
        <rFont val="Calibri"/>
        <family val="2"/>
        <scheme val="minor"/>
      </rPr>
      <t>MEOLO</t>
    </r>
  </si>
  <si>
    <r>
      <t>q</t>
    </r>
    <r>
      <rPr>
        <vertAlign val="subscript"/>
        <sz val="11"/>
        <rFont val="Calibri"/>
        <family val="2"/>
        <scheme val="minor"/>
      </rPr>
      <t>MEOL</t>
    </r>
  </si>
  <si>
    <r>
      <t>µ</t>
    </r>
    <r>
      <rPr>
        <vertAlign val="subscript"/>
        <sz val="11"/>
        <rFont val="Calibri"/>
        <family val="2"/>
        <scheme val="minor"/>
      </rPr>
      <t>AMETO</t>
    </r>
  </si>
  <si>
    <r>
      <t>b</t>
    </r>
    <r>
      <rPr>
        <vertAlign val="subscript"/>
        <sz val="11"/>
        <rFont val="Calibri"/>
        <family val="2"/>
        <scheme val="minor"/>
      </rPr>
      <t>AMETO</t>
    </r>
    <r>
      <rPr>
        <sz val="11"/>
        <color indexed="8"/>
        <rFont val="Calibri"/>
        <family val="2"/>
      </rPr>
      <t/>
    </r>
  </si>
  <si>
    <t>Parameters for half saturation coefficients in biofilms</t>
  </si>
  <si>
    <r>
      <rPr>
        <sz val="11"/>
        <rFont val="Calibri"/>
        <family val="2"/>
        <scheme val="minor"/>
      </rPr>
      <t>f</t>
    </r>
    <r>
      <rPr>
        <vertAlign val="subscript"/>
        <sz val="11"/>
        <rFont val="Calibri"/>
        <family val="2"/>
        <scheme val="minor"/>
      </rPr>
      <t>KS,biofilm</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</si>
  <si>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</si>
  <si>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</si>
  <si>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</si>
  <si>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</si>
  <si>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</si>
  <si>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</si>
  <si>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</si>
  <si>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</si>
  <si>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</si>
  <si>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t>Diffusion coefficient of hydrogen sulfide in water @ 25°C</t>
  </si>
  <si>
    <t>Enthalpy of water at 0°C</t>
  </si>
  <si>
    <t>Molecular mass of hydrogen sulphide</t>
  </si>
  <si>
    <r>
      <t>MM</t>
    </r>
    <r>
      <rPr>
        <vertAlign val="subscript"/>
        <sz val="11"/>
        <rFont val="Calibri"/>
        <family val="2"/>
        <scheme val="minor"/>
      </rPr>
      <t>ACP</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</si>
  <si>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</si>
  <si>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Precipitation/redissolution rates</t>
  </si>
  <si>
    <t>Digester</t>
  </si>
  <si>
    <t>NonDetect</t>
  </si>
  <si>
    <r>
      <t>g TIC.m</t>
    </r>
    <r>
      <rPr>
        <vertAlign val="superscript"/>
        <sz val="11"/>
        <rFont val="Calibri"/>
        <family val="2"/>
        <scheme val="minor"/>
      </rPr>
      <t>-3</t>
    </r>
  </si>
  <si>
    <t>Type(Energy)</t>
  </si>
  <si>
    <t>Temperature [K]</t>
  </si>
  <si>
    <t>Temperature [°C]</t>
  </si>
  <si>
    <t>°C</t>
  </si>
  <si>
    <t>Zero</t>
  </si>
  <si>
    <t xml:space="preserve">  </t>
  </si>
  <si>
    <t>Type(Chargebalance)</t>
  </si>
  <si>
    <t>Rate</t>
  </si>
  <si>
    <r>
      <t>f(S</t>
    </r>
    <r>
      <rPr>
        <vertAlign val="subscript"/>
        <sz val="11"/>
        <rFont val="Calibri"/>
        <family val="2"/>
        <scheme val="minor"/>
      </rPr>
      <t>CO2</t>
    </r>
    <r>
      <rPr>
        <sz val="11"/>
        <rFont val="Calibri"/>
        <family val="2"/>
        <scheme val="minor"/>
      </rPr>
      <t>); pH</t>
    </r>
  </si>
  <si>
    <r>
      <t>f(S</t>
    </r>
    <r>
      <rPr>
        <vertAlign val="subscript"/>
        <sz val="11"/>
        <rFont val="Calibri"/>
        <family val="2"/>
        <scheme val="minor"/>
      </rPr>
      <t>PO4</t>
    </r>
    <r>
      <rPr>
        <sz val="11"/>
        <rFont val="Calibri"/>
        <family val="2"/>
        <scheme val="minor"/>
      </rPr>
      <t>);pH</t>
    </r>
  </si>
  <si>
    <r>
      <t>f(S</t>
    </r>
    <r>
      <rPr>
        <vertAlign val="subscript"/>
        <sz val="11"/>
        <rFont val="Calibri"/>
        <family val="2"/>
        <scheme val="minor"/>
      </rPr>
      <t>Ca</t>
    </r>
    <r>
      <rPr>
        <sz val="11"/>
        <rFont val="Calibri"/>
        <family val="2"/>
        <scheme val="minor"/>
      </rPr>
      <t>); pH</t>
    </r>
  </si>
  <si>
    <r>
      <t>f(S</t>
    </r>
    <r>
      <rPr>
        <vertAlign val="subscript"/>
        <sz val="11"/>
        <rFont val="Calibri"/>
        <family val="2"/>
      </rPr>
      <t>Mg</t>
    </r>
    <r>
      <rPr>
        <sz val="11"/>
        <rFont val="Calibri"/>
        <family val="2"/>
      </rPr>
      <t>); pH</t>
    </r>
  </si>
  <si>
    <r>
      <t>f(S</t>
    </r>
    <r>
      <rPr>
        <vertAlign val="subscript"/>
        <sz val="11"/>
        <rFont val="Calibri"/>
        <family val="2"/>
      </rPr>
      <t>CAT</t>
    </r>
    <r>
      <rPr>
        <sz val="11"/>
        <rFont val="Calibri"/>
        <family val="2"/>
      </rPr>
      <t>); pH</t>
    </r>
  </si>
  <si>
    <r>
      <t>f(S</t>
    </r>
    <r>
      <rPr>
        <vertAlign val="subscript"/>
        <sz val="11"/>
        <rFont val="Calibri"/>
        <family val="2"/>
      </rPr>
      <t>K</t>
    </r>
    <r>
      <rPr>
        <sz val="11"/>
        <rFont val="Calibri"/>
        <family val="2"/>
      </rPr>
      <t>); pH</t>
    </r>
  </si>
  <si>
    <r>
      <t>f(S</t>
    </r>
    <r>
      <rPr>
        <vertAlign val="subscript"/>
        <sz val="11"/>
        <rFont val="Calibri"/>
        <family val="2"/>
      </rPr>
      <t>AN</t>
    </r>
    <r>
      <rPr>
        <sz val="11"/>
        <rFont val="Calibri"/>
        <family val="2"/>
      </rPr>
      <t>); pH</t>
    </r>
  </si>
  <si>
    <t>Hsat(var; halfval; halfinh)</t>
  </si>
  <si>
    <t>var / (halfval + var + (var^2/halfinh))</t>
  </si>
  <si>
    <t>Arrhenius coefficient for fermentation (OHO)</t>
  </si>
  <si>
    <t>Arrhenius coefficient for flocculation</t>
  </si>
  <si>
    <t>Arrhenius coefficient for hydrolysis</t>
  </si>
  <si>
    <t>Arrhenius coefficient for ammonification</t>
  </si>
  <si>
    <t>Arrhenius coefficient for PO4 conversion</t>
  </si>
  <si>
    <t>Arrhenius coefficient endogenous residual conversion</t>
  </si>
  <si>
    <t>Arrhenius coefficient assimilative kinetics</t>
  </si>
  <si>
    <t>Arrhenius coefficient for OHO growth</t>
  </si>
  <si>
    <t>Arrhenius coefficient for OHO decay</t>
  </si>
  <si>
    <t>Arrhenius coefficient for MEOLO growth</t>
  </si>
  <si>
    <t>Arrhenius coefficient for MEOLO decay</t>
  </si>
  <si>
    <t>Arrhenius coefficient for PAO growth (P limited)</t>
  </si>
  <si>
    <t>Arrhenius coefficient for PHA storage</t>
  </si>
  <si>
    <t>Arrhenius coefficient for anaerobic PP storage</t>
  </si>
  <si>
    <t>Arrhenius coefficient for AMETO growth</t>
  </si>
  <si>
    <t>Arrhenius coefficient for AMETO decay</t>
  </si>
  <si>
    <t>Arrhenius coefficient for HMETO growth</t>
  </si>
  <si>
    <t>Arrhenius coefficient for HMETO decay</t>
  </si>
  <si>
    <r>
      <t>f(S</t>
    </r>
    <r>
      <rPr>
        <vertAlign val="subscript"/>
        <sz val="11"/>
        <rFont val="Calibri"/>
        <family val="2"/>
        <scheme val="minor"/>
      </rPr>
      <t>NHx</t>
    </r>
    <r>
      <rPr>
        <sz val="11"/>
        <rFont val="Calibri"/>
        <family val="2"/>
        <scheme val="minor"/>
      </rPr>
      <t>); pH</t>
    </r>
  </si>
  <si>
    <t>Non-Biofilm</t>
  </si>
  <si>
    <t>Non-pHSet; pH</t>
  </si>
  <si>
    <r>
      <t>[AN</t>
    </r>
    <r>
      <rPr>
        <b/>
        <vertAlign val="superscript"/>
        <sz val="11"/>
        <rFont val="Calibri"/>
        <family val="2"/>
      </rPr>
      <t>-</t>
    </r>
    <r>
      <rPr>
        <b/>
        <sz val="11"/>
        <rFont val="Calibri"/>
        <family val="2"/>
      </rPr>
      <t>]</t>
    </r>
  </si>
  <si>
    <r>
      <t>[CAT</t>
    </r>
    <r>
      <rPr>
        <b/>
        <vertAlign val="superscript"/>
        <sz val="11"/>
        <rFont val="Calibri"/>
        <family val="2"/>
      </rPr>
      <t>+</t>
    </r>
    <r>
      <rPr>
        <b/>
        <sz val="11"/>
        <rFont val="Calibri"/>
        <family val="2"/>
      </rPr>
      <t>]</t>
    </r>
  </si>
  <si>
    <t>Parameters for gas transfer</t>
  </si>
  <si>
    <t>BigNumber</t>
  </si>
  <si>
    <t>pHSet</t>
  </si>
  <si>
    <r>
      <t>Diffusion coefficient of N</t>
    </r>
    <r>
      <rPr>
        <vertAlign val="subscript"/>
        <sz val="11"/>
        <rFont val="Calibri"/>
        <family val="2"/>
      </rPr>
      <t>2</t>
    </r>
    <r>
      <rPr>
        <sz val="11"/>
        <rFont val="Calibri"/>
        <family val="2"/>
      </rPr>
      <t>O in water @ 25°C</t>
    </r>
  </si>
  <si>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</si>
  <si>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</si>
  <si>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</si>
  <si>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</si>
  <si>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</si>
  <si>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</si>
  <si>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scheme val="minor"/>
      </rPr>
      <t>EQ,GN2</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</si>
  <si>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</si>
  <si>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</si>
  <si>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</si>
  <si>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</si>
  <si>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</si>
  <si>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</si>
  <si>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t>Hvitved-Jacobsen 2013</t>
  </si>
  <si>
    <t>base is sulphate</t>
  </si>
  <si>
    <t>pH = 4.1929</t>
  </si>
  <si>
    <t>Standard enthalpy of hydrogen sulfide (aq)</t>
  </si>
  <si>
    <t>Standard enthalpy of bisulfide ion</t>
  </si>
  <si>
    <t xml:space="preserve">Minteq V4 H+ + HS- = H2S  (log_k 7.02/ delta_h -22 kJ)and  HS- = S-2 + H+ ( log_k -17.3/delta_h 49.4 kJ)
</t>
  </si>
  <si>
    <t>Standard enthalpy of sulfide ion</t>
  </si>
  <si>
    <t>Standard enthalpy of sulfuric acid</t>
  </si>
  <si>
    <t>Standard enthalpy of hydrosulfate ion</t>
  </si>
  <si>
    <t>Minteq V4 H+ + SO42- = HSO4- (log_k 1.99/ delta_h 22 kJ) and http://bluedevilchem.com/honorshome/hch10/hch10docs/files/heatsformation.pdf</t>
  </si>
  <si>
    <t>Standard enthalpy of sulfate ion</t>
  </si>
  <si>
    <r>
      <t>S</t>
    </r>
    <r>
      <rPr>
        <vertAlign val="subscript"/>
        <sz val="11"/>
        <rFont val="Calibri"/>
        <family val="2"/>
        <scheme val="minor"/>
      </rPr>
      <t>ALK</t>
    </r>
  </si>
  <si>
    <r>
      <t>f</t>
    </r>
    <r>
      <rPr>
        <vertAlign val="subscript"/>
        <sz val="11"/>
        <rFont val="Calibri"/>
        <family val="2"/>
      </rPr>
      <t>mono,IS,cat</t>
    </r>
  </si>
  <si>
    <r>
      <t>f</t>
    </r>
    <r>
      <rPr>
        <vertAlign val="subscript"/>
        <sz val="11"/>
        <rFont val="Calibri"/>
        <family val="2"/>
      </rPr>
      <t>mono,IS,an</t>
    </r>
  </si>
  <si>
    <r>
      <t>f</t>
    </r>
    <r>
      <rPr>
        <vertAlign val="subscript"/>
        <sz val="11"/>
        <rFont val="Calibri"/>
        <family val="2"/>
      </rPr>
      <t>di,IS,an</t>
    </r>
  </si>
  <si>
    <r>
      <t>f</t>
    </r>
    <r>
      <rPr>
        <vertAlign val="subscript"/>
        <sz val="11"/>
        <rFont val="Calibri"/>
        <family val="2"/>
      </rPr>
      <t>tri,IS,an</t>
    </r>
  </si>
  <si>
    <r>
      <t>f</t>
    </r>
    <r>
      <rPr>
        <vertAlign val="subscript"/>
        <sz val="11"/>
        <rFont val="Calibri"/>
        <family val="2"/>
      </rPr>
      <t>di,IS,cat</t>
    </r>
  </si>
  <si>
    <t>Enthalpy</t>
  </si>
  <si>
    <t>Water with 0°C is considered to have zero enthalpy. Initial values are calculated for 20°C</t>
  </si>
  <si>
    <r>
      <t>MM</t>
    </r>
    <r>
      <rPr>
        <vertAlign val="subscript"/>
        <sz val="11"/>
        <rFont val="Calibri"/>
        <family val="2"/>
        <charset val="238"/>
        <scheme val="minor"/>
      </rPr>
      <t>MKP</t>
    </r>
  </si>
  <si>
    <t>Molecular mass of struvite-K</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</si>
  <si>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</si>
  <si>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</si>
  <si>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</si>
  <si>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</si>
  <si>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</si>
  <si>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</si>
  <si>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</si>
  <si>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r>
      <t>MM</t>
    </r>
    <r>
      <rPr>
        <vertAlign val="subscript"/>
        <sz val="11"/>
        <rFont val="Calibri"/>
        <family val="2"/>
        <scheme val="minor"/>
      </rPr>
      <t>CaPO4</t>
    </r>
  </si>
  <si>
    <r>
      <t>MM</t>
    </r>
    <r>
      <rPr>
        <vertAlign val="subscript"/>
        <sz val="11"/>
        <rFont val="Calibri"/>
        <family val="2"/>
        <scheme val="minor"/>
      </rPr>
      <t>CaHPO4</t>
    </r>
  </si>
  <si>
    <r>
      <t>MM</t>
    </r>
    <r>
      <rPr>
        <vertAlign val="subscript"/>
        <sz val="11"/>
        <rFont val="Calibri"/>
        <family val="2"/>
        <scheme val="minor"/>
      </rPr>
      <t>CaH2PO4</t>
    </r>
  </si>
  <si>
    <r>
      <t>MM</t>
    </r>
    <r>
      <rPr>
        <vertAlign val="subscript"/>
        <sz val="11"/>
        <rFont val="Calibri"/>
        <family val="2"/>
        <scheme val="minor"/>
      </rPr>
      <t>MgOH</t>
    </r>
  </si>
  <si>
    <r>
      <t>MM</t>
    </r>
    <r>
      <rPr>
        <vertAlign val="subscript"/>
        <sz val="11"/>
        <rFont val="Calibri"/>
        <family val="2"/>
        <scheme val="minor"/>
      </rPr>
      <t>MgCO3</t>
    </r>
  </si>
  <si>
    <r>
      <t>MM</t>
    </r>
    <r>
      <rPr>
        <vertAlign val="subscript"/>
        <sz val="11"/>
        <rFont val="Calibri"/>
        <family val="2"/>
        <scheme val="minor"/>
      </rPr>
      <t>MgHCO3</t>
    </r>
  </si>
  <si>
    <r>
      <t>MM</t>
    </r>
    <r>
      <rPr>
        <vertAlign val="subscript"/>
        <sz val="11"/>
        <rFont val="Calibri"/>
        <family val="2"/>
        <scheme val="minor"/>
      </rPr>
      <t>MgHPO4</t>
    </r>
  </si>
  <si>
    <r>
      <t>MM</t>
    </r>
    <r>
      <rPr>
        <vertAlign val="subscript"/>
        <sz val="11"/>
        <rFont val="Calibri"/>
        <family val="2"/>
        <scheme val="minor"/>
      </rPr>
      <t>MgPO4</t>
    </r>
  </si>
  <si>
    <r>
      <t>MM</t>
    </r>
    <r>
      <rPr>
        <vertAlign val="subscript"/>
        <sz val="11"/>
        <rFont val="Calibri"/>
        <family val="2"/>
        <scheme val="minor"/>
      </rPr>
      <t>MgH2PO4</t>
    </r>
  </si>
  <si>
    <r>
      <t>MM</t>
    </r>
    <r>
      <rPr>
        <vertAlign val="subscript"/>
        <sz val="11"/>
        <rFont val="Calibri"/>
        <family val="2"/>
        <scheme val="minor"/>
      </rPr>
      <t>NaHPO4</t>
    </r>
  </si>
  <si>
    <t>Precipitation constants</t>
  </si>
  <si>
    <r>
      <t>H</t>
    </r>
    <r>
      <rPr>
        <vertAlign val="subscript"/>
        <sz val="11"/>
        <rFont val="Calibri"/>
        <family val="2"/>
        <scheme val="minor"/>
      </rPr>
      <t>Ca2p</t>
    </r>
  </si>
  <si>
    <t>Standard enthalpy of calcium ion</t>
  </si>
  <si>
    <r>
      <t>H</t>
    </r>
    <r>
      <rPr>
        <vertAlign val="subscript"/>
        <sz val="11"/>
        <rFont val="Calibri"/>
        <family val="2"/>
        <scheme val="minor"/>
      </rPr>
      <t>Mg2p</t>
    </r>
  </si>
  <si>
    <r>
      <t>H</t>
    </r>
    <r>
      <rPr>
        <vertAlign val="subscript"/>
        <sz val="11"/>
        <rFont val="Calibri"/>
        <family val="2"/>
        <scheme val="minor"/>
      </rPr>
      <t>Nap</t>
    </r>
  </si>
  <si>
    <t>Standard enthalpy of sodium ion</t>
  </si>
  <si>
    <r>
      <t>g.m</t>
    </r>
    <r>
      <rPr>
        <vertAlign val="superscript"/>
        <sz val="11"/>
        <rFont val="Calibri"/>
        <family val="2"/>
        <scheme val="minor"/>
      </rPr>
      <t>-3</t>
    </r>
    <r>
      <rPr>
        <sz val="11"/>
        <rFont val="Calibri"/>
        <family val="2"/>
        <scheme val="minor"/>
      </rPr>
      <t>.d</t>
    </r>
    <r>
      <rPr>
        <vertAlign val="superscript"/>
        <sz val="11"/>
        <rFont val="Calibri"/>
        <family val="2"/>
        <scheme val="minor"/>
      </rPr>
      <t>-1</t>
    </r>
  </si>
  <si>
    <t>d-1</t>
  </si>
  <si>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</si>
  <si>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 constants - activity corrected</t>
  </si>
  <si>
    <r>
      <t>K</t>
    </r>
    <r>
      <rPr>
        <vertAlign val="subscript"/>
        <sz val="11"/>
        <rFont val="Calibri"/>
        <family val="2"/>
        <scheme val="minor"/>
      </rPr>
      <t>sp,CaCO3,param</t>
    </r>
  </si>
  <si>
    <r>
      <t>K</t>
    </r>
    <r>
      <rPr>
        <vertAlign val="subscript"/>
        <sz val="11"/>
        <rFont val="Calibri"/>
        <family val="2"/>
        <scheme val="minor"/>
      </rPr>
      <t>sp,STR,param</t>
    </r>
  </si>
  <si>
    <r>
      <t>K</t>
    </r>
    <r>
      <rPr>
        <vertAlign val="subscript"/>
        <sz val="11"/>
        <rFont val="Calibri"/>
        <family val="2"/>
        <scheme val="minor"/>
      </rPr>
      <t>sp,Vivi,param</t>
    </r>
  </si>
  <si>
    <r>
      <t>K</t>
    </r>
    <r>
      <rPr>
        <vertAlign val="subscript"/>
        <sz val="11"/>
        <rFont val="Calibri"/>
        <family val="2"/>
        <scheme val="minor"/>
      </rPr>
      <t>sp,HDP,param</t>
    </r>
  </si>
  <si>
    <r>
      <t>K</t>
    </r>
    <r>
      <rPr>
        <vertAlign val="subscript"/>
        <sz val="11"/>
        <rFont val="Calibri"/>
        <family val="2"/>
        <scheme val="minor"/>
      </rPr>
      <t>sp,MKP,param</t>
    </r>
  </si>
  <si>
    <r>
      <t>K</t>
    </r>
    <r>
      <rPr>
        <vertAlign val="subscript"/>
        <sz val="11"/>
        <rFont val="Calibri"/>
        <family val="2"/>
        <scheme val="minor"/>
      </rPr>
      <t>sp,ACP,param</t>
    </r>
  </si>
  <si>
    <r>
      <t>K</t>
    </r>
    <r>
      <rPr>
        <vertAlign val="subscript"/>
        <sz val="11"/>
        <rFont val="Calibri"/>
        <family val="2"/>
        <scheme val="minor"/>
      </rPr>
      <t>sp,STR</t>
    </r>
  </si>
  <si>
    <r>
      <t>K</t>
    </r>
    <r>
      <rPr>
        <vertAlign val="subscript"/>
        <sz val="11"/>
        <rFont val="Calibri"/>
        <family val="2"/>
        <scheme val="minor"/>
      </rPr>
      <t>sp,Vivi</t>
    </r>
  </si>
  <si>
    <r>
      <t>K</t>
    </r>
    <r>
      <rPr>
        <vertAlign val="subscript"/>
        <sz val="11"/>
        <rFont val="Calibri"/>
        <family val="2"/>
        <scheme val="minor"/>
      </rPr>
      <t>sp,ACP</t>
    </r>
  </si>
  <si>
    <r>
      <t>K</t>
    </r>
    <r>
      <rPr>
        <vertAlign val="subscript"/>
        <sz val="11"/>
        <rFont val="Calibri"/>
        <family val="2"/>
        <scheme val="minor"/>
      </rPr>
      <t>sp,CaCO3</t>
    </r>
  </si>
  <si>
    <r>
      <t>K</t>
    </r>
    <r>
      <rPr>
        <vertAlign val="subscript"/>
        <sz val="11"/>
        <rFont val="Calibri"/>
        <family val="2"/>
        <scheme val="minor"/>
      </rPr>
      <t>sp,Vivi,param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</si>
  <si>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r>
      <t>K</t>
    </r>
    <r>
      <rPr>
        <vertAlign val="subscript"/>
        <sz val="11"/>
        <rFont val="Calibri"/>
        <family val="2"/>
        <scheme val="minor"/>
      </rPr>
      <t>sp,ACP,param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</si>
  <si>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r>
      <t>K</t>
    </r>
    <r>
      <rPr>
        <vertAlign val="subscript"/>
        <sz val="11"/>
        <rFont val="Calibri"/>
        <family val="2"/>
        <scheme val="minor"/>
      </rPr>
      <t>sp,CaCO3,param</t>
    </r>
    <r>
      <rPr>
        <sz val="11"/>
        <rFont val="Calibri"/>
        <family val="2"/>
        <scheme val="minor"/>
      </rPr>
      <t>*f</t>
    </r>
    <r>
      <rPr>
        <vertAlign val="subscript"/>
        <sz val="11"/>
        <rFont val="Calibri"/>
        <family val="2"/>
        <scheme val="minor"/>
      </rPr>
      <t>di</t>
    </r>
  </si>
  <si>
    <r>
      <t>K</t>
    </r>
    <r>
      <rPr>
        <vertAlign val="subscript"/>
        <sz val="11"/>
        <rFont val="Calibri"/>
        <family val="2"/>
        <scheme val="minor"/>
      </rPr>
      <t>sp,STR,param</t>
    </r>
    <r>
      <rPr>
        <sz val="11"/>
        <rFont val="Calibri"/>
        <family val="2"/>
        <scheme val="minor"/>
      </rPr>
      <t>*(f</t>
    </r>
    <r>
      <rPr>
        <vertAlign val="subscript"/>
        <sz val="11"/>
        <rFont val="Calibri"/>
        <family val="2"/>
        <scheme val="minor"/>
      </rPr>
      <t>di</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mono</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tri</t>
    </r>
    <r>
      <rPr>
        <sz val="11"/>
        <rFont val="Calibri"/>
        <family val="2"/>
        <scheme val="minor"/>
      </rPr>
      <t>^</t>
    </r>
    <r>
      <rPr>
        <vertAlign val="superscript"/>
        <sz val="11"/>
        <rFont val="Calibri"/>
        <family val="2"/>
        <scheme val="minor"/>
      </rPr>
      <t>(1/3))</t>
    </r>
  </si>
  <si>
    <r>
      <t>EEQ</t>
    </r>
    <r>
      <rPr>
        <vertAlign val="subscript"/>
        <sz val="11"/>
        <rFont val="Calibri"/>
        <family val="2"/>
        <scheme val="minor"/>
      </rPr>
      <t>S</t>
    </r>
  </si>
  <si>
    <t>Molecular mass of CaHCO3+</t>
  </si>
  <si>
    <t>Molecular mass of CaPO4-</t>
  </si>
  <si>
    <t>Molecular mass of CaHPO4</t>
  </si>
  <si>
    <t>Molecular mass of CaH2PO4+</t>
  </si>
  <si>
    <t>Molecular mass of MgOH+</t>
  </si>
  <si>
    <t>Molecular mass of MgCO3</t>
  </si>
  <si>
    <t>Molecular mass of MgHCO3+</t>
  </si>
  <si>
    <t>Molecular mass of MgHPO4</t>
  </si>
  <si>
    <t>Molecular mass of MgPO4-</t>
  </si>
  <si>
    <t>Molecular mass of MgH2PO4+</t>
  </si>
  <si>
    <t>Molecular mass of NaHPO4-</t>
  </si>
  <si>
    <r>
      <t>K</t>
    </r>
    <r>
      <rPr>
        <vertAlign val="subscript"/>
        <sz val="11"/>
        <rFont val="Calibri"/>
        <family val="2"/>
        <scheme val="minor"/>
      </rPr>
      <t>S1,param</t>
    </r>
  </si>
  <si>
    <r>
      <t>K</t>
    </r>
    <r>
      <rPr>
        <vertAlign val="subscript"/>
        <sz val="11"/>
        <rFont val="Calibri"/>
        <family val="2"/>
        <scheme val="minor"/>
      </rPr>
      <t>S2,param</t>
    </r>
  </si>
  <si>
    <r>
      <t>K</t>
    </r>
    <r>
      <rPr>
        <vertAlign val="subscript"/>
        <sz val="11"/>
        <rFont val="Calibri"/>
        <family val="2"/>
        <scheme val="minor"/>
      </rPr>
      <t>SO41,param</t>
    </r>
  </si>
  <si>
    <r>
      <t>K</t>
    </r>
    <r>
      <rPr>
        <vertAlign val="subscript"/>
        <sz val="11"/>
        <rFont val="Calibri"/>
        <family val="2"/>
        <scheme val="minor"/>
      </rPr>
      <t>SO42,param</t>
    </r>
  </si>
  <si>
    <r>
      <t>K</t>
    </r>
    <r>
      <rPr>
        <vertAlign val="subscript"/>
        <sz val="11"/>
        <rFont val="Calibri"/>
        <family val="2"/>
        <scheme val="minor"/>
      </rPr>
      <t>sp,FeS,param</t>
    </r>
  </si>
  <si>
    <r>
      <t>EEQ</t>
    </r>
    <r>
      <rPr>
        <vertAlign val="subscript"/>
        <sz val="11"/>
        <rFont val="Calibri"/>
        <family val="2"/>
        <scheme val="minor"/>
      </rPr>
      <t>Fe2</t>
    </r>
  </si>
  <si>
    <r>
      <t>Electron equivalence of Fe</t>
    </r>
    <r>
      <rPr>
        <vertAlign val="superscript"/>
        <sz val="11"/>
        <rFont val="Calibri"/>
        <family val="2"/>
        <scheme val="minor"/>
      </rPr>
      <t>2+</t>
    </r>
  </si>
  <si>
    <r>
      <t>H</t>
    </r>
    <r>
      <rPr>
        <vertAlign val="subscript"/>
        <sz val="11"/>
        <rFont val="Calibri"/>
        <family val="2"/>
        <scheme val="minor"/>
      </rPr>
      <t>H2S</t>
    </r>
  </si>
  <si>
    <r>
      <t>H</t>
    </r>
    <r>
      <rPr>
        <vertAlign val="subscript"/>
        <sz val="11"/>
        <rFont val="Calibri"/>
        <family val="2"/>
        <scheme val="minor"/>
      </rPr>
      <t>HSm</t>
    </r>
  </si>
  <si>
    <r>
      <t>H</t>
    </r>
    <r>
      <rPr>
        <vertAlign val="subscript"/>
        <sz val="11"/>
        <rFont val="Calibri"/>
        <family val="2"/>
        <scheme val="minor"/>
      </rPr>
      <t>S2m</t>
    </r>
  </si>
  <si>
    <r>
      <t>H</t>
    </r>
    <r>
      <rPr>
        <vertAlign val="subscript"/>
        <sz val="11"/>
        <rFont val="Calibri"/>
        <family val="2"/>
        <scheme val="minor"/>
      </rPr>
      <t>H2SO4</t>
    </r>
  </si>
  <si>
    <r>
      <t>H</t>
    </r>
    <r>
      <rPr>
        <vertAlign val="subscript"/>
        <sz val="11"/>
        <rFont val="Calibri"/>
        <family val="2"/>
        <scheme val="minor"/>
      </rPr>
      <t>HSO4m</t>
    </r>
  </si>
  <si>
    <r>
      <t>H</t>
    </r>
    <r>
      <rPr>
        <vertAlign val="subscript"/>
        <sz val="11"/>
        <rFont val="Calibri"/>
        <family val="2"/>
        <scheme val="minor"/>
      </rPr>
      <t>SO42m</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</si>
  <si>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</si>
  <si>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</si>
  <si>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</si>
  <si>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</si>
  <si>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</si>
  <si>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</si>
  <si>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</si>
  <si>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</si>
  <si>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t>r30</t>
  </si>
  <si>
    <t>r31</t>
  </si>
  <si>
    <t>Precipitation kinetics</t>
  </si>
  <si>
    <t>Arrhenius coefficient for ferrous iron oxidation kinetics</t>
  </si>
  <si>
    <t>Arrhenius coefficient for ferric iron reduction kinetics</t>
  </si>
  <si>
    <r>
      <t>i</t>
    </r>
    <r>
      <rPr>
        <vertAlign val="subscript"/>
        <sz val="11"/>
        <rFont val="Calibri"/>
        <family val="2"/>
        <scheme val="minor"/>
      </rPr>
      <t>N,XSTR</t>
    </r>
  </si>
  <si>
    <r>
      <t>i</t>
    </r>
    <r>
      <rPr>
        <vertAlign val="subscript"/>
        <sz val="11"/>
        <rFont val="Calibri"/>
        <family val="2"/>
        <scheme val="minor"/>
      </rPr>
      <t>P,XACP</t>
    </r>
  </si>
  <si>
    <r>
      <t>q</t>
    </r>
    <r>
      <rPr>
        <vertAlign val="subscript"/>
        <sz val="11"/>
        <color theme="1"/>
        <rFont val="Calibri"/>
        <family val="2"/>
        <scheme val="minor"/>
      </rPr>
      <t>STR</t>
    </r>
  </si>
  <si>
    <r>
      <t>q</t>
    </r>
    <r>
      <rPr>
        <vertAlign val="subscript"/>
        <sz val="11"/>
        <color theme="1"/>
        <rFont val="Calibri"/>
        <family val="2"/>
        <scheme val="minor"/>
      </rPr>
      <t>ACP</t>
    </r>
  </si>
  <si>
    <r>
      <t>q</t>
    </r>
    <r>
      <rPr>
        <vertAlign val="subscript"/>
        <sz val="11"/>
        <color theme="1"/>
        <rFont val="Calibri"/>
        <family val="2"/>
        <scheme val="minor"/>
      </rPr>
      <t>CaCO3</t>
    </r>
  </si>
  <si>
    <r>
      <t>q</t>
    </r>
    <r>
      <rPr>
        <vertAlign val="subscript"/>
        <sz val="11"/>
        <color theme="1"/>
        <rFont val="Calibri"/>
        <family val="2"/>
        <scheme val="minor"/>
      </rPr>
      <t>Vivi</t>
    </r>
  </si>
  <si>
    <r>
      <t>i</t>
    </r>
    <r>
      <rPr>
        <vertAlign val="subscript"/>
        <sz val="11"/>
        <rFont val="Calibri"/>
        <family val="2"/>
        <scheme val="minor"/>
      </rPr>
      <t>P,XVivi</t>
    </r>
  </si>
  <si>
    <t>2/3</t>
  </si>
  <si>
    <t>1/3</t>
  </si>
  <si>
    <r>
      <t>i</t>
    </r>
    <r>
      <rPr>
        <vertAlign val="subscript"/>
        <sz val="11"/>
        <rFont val="Calibri"/>
        <family val="2"/>
        <scheme val="minor"/>
      </rPr>
      <t>K,PP</t>
    </r>
  </si>
  <si>
    <t>(k)/(s/x+k)</t>
  </si>
  <si>
    <t>Logsat(var; halfval; slope)</t>
  </si>
  <si>
    <t>Loginh(var; halfval; slope)</t>
  </si>
  <si>
    <t>Dmp(dx; x)</t>
  </si>
  <si>
    <t xml:space="preserve">Derivative damping </t>
  </si>
  <si>
    <r>
      <t>Henry</t>
    </r>
    <r>
      <rPr>
        <vertAlign val="subscript"/>
        <sz val="11"/>
        <rFont val="Calibri"/>
        <family val="2"/>
        <scheme val="minor"/>
      </rPr>
      <t>GO2</t>
    </r>
    <r>
      <rPr>
        <sz val="11"/>
        <rFont val="Calibri"/>
        <family val="2"/>
        <scheme val="minor"/>
      </rPr>
      <t>(T)</t>
    </r>
  </si>
  <si>
    <r>
      <t>Temperature dependent Henry coefficient for O</t>
    </r>
    <r>
      <rPr>
        <vertAlign val="subscript"/>
        <sz val="11"/>
        <rFont val="Calibri"/>
        <family val="2"/>
        <scheme val="minor"/>
      </rPr>
      <t>2</t>
    </r>
  </si>
  <si>
    <r>
      <t>Henry</t>
    </r>
    <r>
      <rPr>
        <vertAlign val="subscript"/>
        <sz val="11"/>
        <rFont val="Calibri"/>
        <family val="2"/>
        <scheme val="minor"/>
      </rPr>
      <t>GO2_25</t>
    </r>
    <r>
      <rPr>
        <sz val="11"/>
        <rFont val="Calibri"/>
        <family val="2"/>
        <scheme val="minor"/>
      </rPr>
      <t>*Exp(Henry</t>
    </r>
    <r>
      <rPr>
        <vertAlign val="subscript"/>
        <sz val="11"/>
        <rFont val="Calibri"/>
        <family val="2"/>
        <scheme val="minor"/>
      </rPr>
      <t>GO2_dt</t>
    </r>
    <r>
      <rPr>
        <sz val="11"/>
        <rFont val="Calibri"/>
        <family val="2"/>
        <scheme val="minor"/>
      </rPr>
      <t>*((1/T)-(1/298.15)))</t>
    </r>
  </si>
  <si>
    <r>
      <t>Henry</t>
    </r>
    <r>
      <rPr>
        <vertAlign val="subscript"/>
        <sz val="11"/>
        <rFont val="Calibri"/>
        <family val="2"/>
        <scheme val="minor"/>
      </rPr>
      <t>GCO2</t>
    </r>
    <r>
      <rPr>
        <sz val="11"/>
        <rFont val="Calibri"/>
        <family val="2"/>
        <scheme val="minor"/>
      </rPr>
      <t>(T)</t>
    </r>
  </si>
  <si>
    <r>
      <t>Temperature dependent Henry coefficient for CO</t>
    </r>
    <r>
      <rPr>
        <vertAlign val="subscript"/>
        <sz val="11"/>
        <rFont val="Calibri"/>
        <family val="2"/>
        <scheme val="minor"/>
      </rPr>
      <t>2</t>
    </r>
  </si>
  <si>
    <r>
      <t>Henry</t>
    </r>
    <r>
      <rPr>
        <vertAlign val="subscript"/>
        <sz val="11"/>
        <rFont val="Calibri"/>
        <family val="2"/>
        <scheme val="minor"/>
      </rPr>
      <t>GCO2_25</t>
    </r>
    <r>
      <rPr>
        <sz val="11"/>
        <rFont val="Calibri"/>
        <family val="2"/>
        <scheme val="minor"/>
      </rPr>
      <t>*Exp(Henry</t>
    </r>
    <r>
      <rPr>
        <vertAlign val="subscript"/>
        <sz val="11"/>
        <rFont val="Calibri"/>
        <family val="2"/>
        <scheme val="minor"/>
      </rPr>
      <t>GCO2_dt</t>
    </r>
    <r>
      <rPr>
        <sz val="11"/>
        <rFont val="Calibri"/>
        <family val="2"/>
        <scheme val="minor"/>
      </rPr>
      <t>*((1/T)-(1/298.15)))</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</si>
  <si>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</si>
  <si>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GNO_25</t>
    </r>
    <r>
      <rPr>
        <sz val="11"/>
        <rFont val="Calibri"/>
        <family val="2"/>
        <scheme val="minor"/>
      </rPr>
      <t>*Exp(Henry</t>
    </r>
    <r>
      <rPr>
        <vertAlign val="subscript"/>
        <sz val="11"/>
        <rFont val="Calibri"/>
        <family val="2"/>
        <scheme val="minor"/>
      </rPr>
      <t>GNO_dt</t>
    </r>
    <r>
      <rPr>
        <sz val="11"/>
        <rFont val="Calibri"/>
        <family val="2"/>
        <scheme val="minor"/>
      </rPr>
      <t>*((1/T)-(1/298.15)))</t>
    </r>
  </si>
  <si>
    <r>
      <t>Henry</t>
    </r>
    <r>
      <rPr>
        <vertAlign val="subscript"/>
        <sz val="11"/>
        <rFont val="Calibri"/>
        <family val="2"/>
        <scheme val="minor"/>
      </rPr>
      <t>GN2O</t>
    </r>
    <r>
      <rPr>
        <sz val="11"/>
        <rFont val="Calibri"/>
        <family val="2"/>
        <scheme val="minor"/>
      </rPr>
      <t>(T)</t>
    </r>
  </si>
  <si>
    <r>
      <t>Temperature dependent Henry coefficient for N</t>
    </r>
    <r>
      <rPr>
        <vertAlign val="subscript"/>
        <sz val="11"/>
        <rFont val="Calibri"/>
        <family val="2"/>
        <scheme val="minor"/>
      </rPr>
      <t>2</t>
    </r>
    <r>
      <rPr>
        <sz val="11"/>
        <rFont val="Calibri"/>
        <family val="2"/>
        <scheme val="minor"/>
      </rPr>
      <t>O</t>
    </r>
  </si>
  <si>
    <r>
      <t>Henry</t>
    </r>
    <r>
      <rPr>
        <vertAlign val="subscript"/>
        <sz val="11"/>
        <rFont val="Calibri"/>
        <family val="2"/>
        <scheme val="minor"/>
      </rPr>
      <t>GN2O_25</t>
    </r>
    <r>
      <rPr>
        <sz val="11"/>
        <rFont val="Calibri"/>
        <family val="2"/>
        <scheme val="minor"/>
      </rPr>
      <t>*Exp(Henry</t>
    </r>
    <r>
      <rPr>
        <vertAlign val="subscript"/>
        <sz val="11"/>
        <rFont val="Calibri"/>
        <family val="2"/>
        <scheme val="minor"/>
      </rPr>
      <t>GN2O_dt</t>
    </r>
    <r>
      <rPr>
        <sz val="11"/>
        <rFont val="Calibri"/>
        <family val="2"/>
        <scheme val="minor"/>
      </rPr>
      <t>*((1/T)-(1/298.15)))</t>
    </r>
  </si>
  <si>
    <r>
      <t>Henry</t>
    </r>
    <r>
      <rPr>
        <vertAlign val="subscript"/>
        <sz val="11"/>
        <rFont val="Calibri"/>
        <family val="2"/>
        <scheme val="minor"/>
      </rPr>
      <t>GN2</t>
    </r>
    <r>
      <rPr>
        <sz val="11"/>
        <rFont val="Calibri"/>
        <family val="2"/>
        <scheme val="minor"/>
      </rPr>
      <t>(T)</t>
    </r>
  </si>
  <si>
    <r>
      <t>Temperature dependent Henry coefficient for N</t>
    </r>
    <r>
      <rPr>
        <vertAlign val="subscript"/>
        <sz val="11"/>
        <rFont val="Calibri"/>
        <family val="2"/>
        <scheme val="minor"/>
      </rPr>
      <t>2</t>
    </r>
  </si>
  <si>
    <r>
      <t>Henry</t>
    </r>
    <r>
      <rPr>
        <vertAlign val="subscript"/>
        <sz val="11"/>
        <rFont val="Calibri"/>
        <family val="2"/>
        <scheme val="minor"/>
      </rPr>
      <t>GN2_25</t>
    </r>
    <r>
      <rPr>
        <sz val="11"/>
        <rFont val="Calibri"/>
        <family val="2"/>
        <scheme val="minor"/>
      </rPr>
      <t>*Exp(Henry</t>
    </r>
    <r>
      <rPr>
        <vertAlign val="subscript"/>
        <sz val="11"/>
        <rFont val="Calibri"/>
        <family val="2"/>
        <scheme val="minor"/>
      </rPr>
      <t>GN2_dt</t>
    </r>
    <r>
      <rPr>
        <sz val="11"/>
        <rFont val="Calibri"/>
        <family val="2"/>
        <scheme val="minor"/>
      </rPr>
      <t>*((1/T)-(1/298.15)))</t>
    </r>
  </si>
  <si>
    <r>
      <t>Henry</t>
    </r>
    <r>
      <rPr>
        <vertAlign val="subscript"/>
        <sz val="11"/>
        <rFont val="Calibri"/>
        <family val="2"/>
        <scheme val="minor"/>
      </rPr>
      <t>GH2</t>
    </r>
    <r>
      <rPr>
        <sz val="11"/>
        <rFont val="Calibri"/>
        <family val="2"/>
        <scheme val="minor"/>
      </rPr>
      <t>(T)</t>
    </r>
  </si>
  <si>
    <r>
      <t>Temperature dependent Henry coefficient for H</t>
    </r>
    <r>
      <rPr>
        <vertAlign val="subscript"/>
        <sz val="11"/>
        <rFont val="Calibri"/>
        <family val="2"/>
        <scheme val="minor"/>
      </rPr>
      <t>2</t>
    </r>
  </si>
  <si>
    <r>
      <t>Henry</t>
    </r>
    <r>
      <rPr>
        <vertAlign val="subscript"/>
        <sz val="11"/>
        <rFont val="Calibri"/>
        <family val="2"/>
        <scheme val="minor"/>
      </rPr>
      <t>GH2_25</t>
    </r>
    <r>
      <rPr>
        <sz val="11"/>
        <rFont val="Calibri"/>
        <family val="2"/>
        <scheme val="minor"/>
      </rPr>
      <t>*Exp(Henry</t>
    </r>
    <r>
      <rPr>
        <vertAlign val="subscript"/>
        <sz val="11"/>
        <rFont val="Calibri"/>
        <family val="2"/>
        <scheme val="minor"/>
      </rPr>
      <t>GH2_dt</t>
    </r>
    <r>
      <rPr>
        <sz val="11"/>
        <rFont val="Calibri"/>
        <family val="2"/>
        <scheme val="minor"/>
      </rPr>
      <t>*((1/T)-(1/298.15)))</t>
    </r>
  </si>
  <si>
    <r>
      <t>Henry</t>
    </r>
    <r>
      <rPr>
        <vertAlign val="subscript"/>
        <sz val="11"/>
        <rFont val="Calibri"/>
        <family val="2"/>
        <scheme val="minor"/>
      </rPr>
      <t>GCH4</t>
    </r>
    <r>
      <rPr>
        <sz val="11"/>
        <rFont val="Calibri"/>
        <family val="2"/>
        <scheme val="minor"/>
      </rPr>
      <t>(T)</t>
    </r>
  </si>
  <si>
    <r>
      <t>Temperature dependent Henry coefficient for CH</t>
    </r>
    <r>
      <rPr>
        <vertAlign val="subscript"/>
        <sz val="11"/>
        <rFont val="Calibri"/>
        <family val="2"/>
        <scheme val="minor"/>
      </rPr>
      <t>4</t>
    </r>
  </si>
  <si>
    <r>
      <t>Henry</t>
    </r>
    <r>
      <rPr>
        <vertAlign val="subscript"/>
        <sz val="11"/>
        <rFont val="Calibri"/>
        <family val="2"/>
        <scheme val="minor"/>
      </rPr>
      <t>GCH4_25</t>
    </r>
    <r>
      <rPr>
        <sz val="11"/>
        <rFont val="Calibri"/>
        <family val="2"/>
        <scheme val="minor"/>
      </rPr>
      <t>*Exp(Henry</t>
    </r>
    <r>
      <rPr>
        <vertAlign val="subscript"/>
        <sz val="11"/>
        <rFont val="Calibri"/>
        <family val="2"/>
        <scheme val="minor"/>
      </rPr>
      <t>GCH4_dt</t>
    </r>
    <r>
      <rPr>
        <sz val="11"/>
        <rFont val="Calibri"/>
        <family val="2"/>
        <scheme val="minor"/>
      </rPr>
      <t>*((1/T)-(1/298.15)))</t>
    </r>
  </si>
  <si>
    <t>C++ functions</t>
  </si>
  <si>
    <t>New functions to be used only in C++ (must follow C++ syntax)</t>
  </si>
  <si>
    <t>SignedAbs(x1; x2)</t>
  </si>
  <si>
    <t>Abs value with sign of x2</t>
  </si>
  <si>
    <t>Sign(x2) * abs(x1)</t>
  </si>
  <si>
    <t>Damp(x)</t>
  </si>
  <si>
    <t xml:space="preserve">Logarithmic damping </t>
  </si>
  <si>
    <t>AbsError(modelvar;data)</t>
  </si>
  <si>
    <t>Absolute error</t>
  </si>
  <si>
    <t>abs(modelvar-data)</t>
  </si>
  <si>
    <t>RelError(modelvar;data)</t>
  </si>
  <si>
    <t>Relative error</t>
  </si>
  <si>
    <t>abs((modelvar-data)/modelvar)</t>
  </si>
  <si>
    <t>AbsSumOfSquares(modelvar;data)</t>
  </si>
  <si>
    <t>Sum of squares</t>
  </si>
  <si>
    <t>pow((modelvar-data), 2)</t>
  </si>
  <si>
    <t>RelSumOfSquares(modelvar;data)</t>
  </si>
  <si>
    <t>Sum of relative squares</t>
  </si>
  <si>
    <t>pow(((modelvar-data)/modelvar), 2)</t>
  </si>
  <si>
    <t>MaxElemIndex([] x)</t>
  </si>
  <si>
    <t>Index of element with maximum value in 'x'</t>
  </si>
  <si>
    <t>return std::distance(x.data, std::max_element(x.data, x.data+x.size))+1;</t>
  </si>
  <si>
    <t>SumIf([] x;[] y; z)</t>
  </si>
  <si>
    <t>Conditional sum</t>
  </si>
  <si>
    <t>If(BOOL a;b;c)</t>
  </si>
  <si>
    <t>if (a is true) then b else c</t>
  </si>
  <si>
    <t>return a ? b : c;</t>
  </si>
  <si>
    <t>Average([] x)</t>
  </si>
  <si>
    <t>Average of array elements</t>
  </si>
  <si>
    <t>Max([] x)</t>
  </si>
  <si>
    <t>Maximum of array elements</t>
  </si>
  <si>
    <t>Min([] x)</t>
  </si>
  <si>
    <t>Minimum of array elements</t>
  </si>
  <si>
    <t>Sum([] x)</t>
  </si>
  <si>
    <t>Sum of array elements</t>
  </si>
  <si>
    <t>And(BOOL x; BOOL y)</t>
  </si>
  <si>
    <t>Logical 'and'</t>
  </si>
  <si>
    <t>return x &amp;&amp; y;</t>
  </si>
  <si>
    <t>And(BOOL x; BOOL y; BOOL z)</t>
  </si>
  <si>
    <t>Logical 'and' for three arguments</t>
  </si>
  <si>
    <t>return x &amp;&amp; y &amp;&amp; z;</t>
  </si>
  <si>
    <t>And(BOOL x; BOOL y; BOOL z; BOOL m)</t>
  </si>
  <si>
    <t>Logical 'and' for four arguments</t>
  </si>
  <si>
    <t>return x &amp;&amp; y &amp;&amp; z &amp;&amp; m;</t>
  </si>
  <si>
    <t>And(BOOL x; BOOL y; BOOL z; BOOL m; BOOL n)</t>
  </si>
  <si>
    <t>Logical 'and' for five arguments</t>
  </si>
  <si>
    <t>return x &amp;&amp; y &amp;&amp; z &amp;&amp; m &amp;&amp; n;</t>
  </si>
  <si>
    <t>And(BOOL x; BOOL y; BOOL z; BOOL m; BOOL n; BOOL o)</t>
  </si>
  <si>
    <t>Logical 'and' for six arguments</t>
  </si>
  <si>
    <t>return x &amp;&amp; y &amp;&amp; z &amp;&amp; m &amp;&amp; n &amp;&amp; o;</t>
  </si>
  <si>
    <t>Or(BOOL x; BOOL y)</t>
  </si>
  <si>
    <t>Logical 'or'</t>
  </si>
  <si>
    <t>return x || y;</t>
  </si>
  <si>
    <t>Or(BOOL x; BOOL y; BOOL z)</t>
  </si>
  <si>
    <t>Logical 'or' for three arguments</t>
  </si>
  <si>
    <t>return x || y || z;</t>
  </si>
  <si>
    <t>Or(BOOL x; BOOL y; BOOL z; BOOL m)</t>
  </si>
  <si>
    <t>Logical 'or' for four arguments</t>
  </si>
  <si>
    <t>return x || y || z || m;</t>
  </si>
  <si>
    <t>Or(BOOL x; BOOL y; BOOL z; BOOL m; BOOL n)</t>
  </si>
  <si>
    <t>Logical 'or' for five arguments</t>
  </si>
  <si>
    <t>return x || y || z || m || n;</t>
  </si>
  <si>
    <t>Or(BOOL x; BOOL y; BOOL z; BOOL m; BOOL n; BOOL o)</t>
  </si>
  <si>
    <t>Logical 'or' for six arguments</t>
  </si>
  <si>
    <t>return x || y || z || m || n || o;</t>
  </si>
  <si>
    <t>SUMO to C++ mapping</t>
  </si>
  <si>
    <t>Straight mapping from Excel to C++. Will work in both</t>
  </si>
  <si>
    <t>Min(a;b)</t>
  </si>
  <si>
    <t>min(a,b)</t>
  </si>
  <si>
    <t>Max(a;b;c)</t>
  </si>
  <si>
    <t>max(Max(a;b);c)</t>
  </si>
  <si>
    <t>Max(a;b;c;d)</t>
  </si>
  <si>
    <t>max(Max(a;b;c);d)</t>
  </si>
  <si>
    <t>Max(a;b;c;d;e)</t>
  </si>
  <si>
    <t>max(Max(a;b;c;d);e)</t>
  </si>
  <si>
    <t>Max(a;b;c;d;e;f)</t>
  </si>
  <si>
    <t>max(Max(a;b;c;d;e);f)</t>
  </si>
  <si>
    <t>Max(a;b;c;d;e;f;g)</t>
  </si>
  <si>
    <t>max(Max(a;b;c;d;e;f);g)</t>
  </si>
  <si>
    <t>Max(a;b;c;d;e;f;g;h)</t>
  </si>
  <si>
    <t>max(Max(a;b;c;d;e;f;g);h)</t>
  </si>
  <si>
    <t>Max(a;b;c;d;e;f;g;h;i)</t>
  </si>
  <si>
    <t>max(Max(a;b;c;d;e;f;g;h);i)</t>
  </si>
  <si>
    <t>Max(a;b;c;d;e;f;g;h;i;j)</t>
  </si>
  <si>
    <t>max(Max(a;b;c;d;e;f;g;h;i);j)</t>
  </si>
  <si>
    <t>Max(a;b;c;d;e;f;g;h;i;j;k)</t>
  </si>
  <si>
    <t>max(Max(a;b;c;d;e;f;g;h;i;j);k)</t>
  </si>
  <si>
    <t>Max(a;b;c;d;e;f;g;h;i;j;k;l)</t>
  </si>
  <si>
    <t>max(Max(a;b;c;d;e;f;g;h;i;j;k);l)</t>
  </si>
  <si>
    <t>Max(a;b;c;d;e;f;g;h;i;j;k;l;m)</t>
  </si>
  <si>
    <t>max(Max(a;b;c;d;e;f;g;h;i;j;k;l);m)</t>
  </si>
  <si>
    <t>Max(a;b;c;d;e;f;g;h;i;j;k;l;m;n)</t>
  </si>
  <si>
    <t>max(Max(a;b;c;d;e;f;g;h;i;j;k;l;m);n)</t>
  </si>
  <si>
    <t>Max(a;b;c;d;e;f;g;h;i;j;k;l;m;n;o)</t>
  </si>
  <si>
    <t>max(Max(a;b;c;d;e;f;g;h;i;j;k;l;m;n);o)</t>
  </si>
  <si>
    <t>Max(a;b;c;d;e;f;g;h;i;j;k;l;m;n;o;p)</t>
  </si>
  <si>
    <t>max(Max(a;b;c;d;e;f;g;h;i;j;k;l;m;n;o);p)</t>
  </si>
  <si>
    <t>Max(a;b;c;d;e;f;g;h;i;j;k;l;m;n;o;p;q)</t>
  </si>
  <si>
    <t>max(Max(a;b;c;d;e;f;g;h;i;j;k;l;m;n;o;p);q)</t>
  </si>
  <si>
    <t>Max(a;b;c;d;e;f;g;h;i;j;k;l;m;n;o;p;q;r)</t>
  </si>
  <si>
    <t>max(Max(a;b;c;d;e;f;g;h;i;j;k;l;m;n;o;p;q);r)</t>
  </si>
  <si>
    <t>Max(a;b;c;d;e;f;g;h;i;j;k;l;m;n;o;p;q;r;s)</t>
  </si>
  <si>
    <t>max(Max(a;b;c;d;e;f;g;h;i;j;k;l;m;n;o;p;q;r);s)</t>
  </si>
  <si>
    <t>Max(a;b;c;d;e;f;g;h;i;j;k;l;m;n;o;p;q;r;s;t)</t>
  </si>
  <si>
    <t>max(Max(a;b;c;d;e;f;g;h;i;j;k;l;m;n;o;p;q;r;s);t)</t>
  </si>
  <si>
    <t>Power</t>
  </si>
  <si>
    <t>Absolute value</t>
  </si>
  <si>
    <t>Natural base exponent</t>
  </si>
  <si>
    <t>Ln(x)</t>
  </si>
  <si>
    <t>e based logarithm</t>
  </si>
  <si>
    <t>log(x)</t>
  </si>
  <si>
    <t>Min(a;b;c)</t>
  </si>
  <si>
    <t>Minimum of three numbers</t>
  </si>
  <si>
    <t>min(min(a;b);c)</t>
  </si>
  <si>
    <t>Min(a;b;c;d)</t>
  </si>
  <si>
    <t>Minimum of four numbers</t>
  </si>
  <si>
    <t>min(Min(a;b;c);d)</t>
  </si>
  <si>
    <t>Min(a;b;c;d;e)</t>
  </si>
  <si>
    <t>Minimum of five numbers</t>
  </si>
  <si>
    <t>min(Min(a;b;c;d);e)</t>
  </si>
  <si>
    <t>Built in C++ functions</t>
  </si>
  <si>
    <t>Pure</t>
  </si>
  <si>
    <t>valid C++ functions (don't need definition)</t>
  </si>
  <si>
    <t>Argument</t>
  </si>
  <si>
    <t>cos</t>
  </si>
  <si>
    <t>Compute cosine</t>
  </si>
  <si>
    <t>sin</t>
  </si>
  <si>
    <t>Compute sine</t>
  </si>
  <si>
    <t>tan</t>
  </si>
  <si>
    <t>Compute tangent</t>
  </si>
  <si>
    <t>acos</t>
  </si>
  <si>
    <t>Compute arc cosine</t>
  </si>
  <si>
    <t>asin</t>
  </si>
  <si>
    <t>Compute arc sine</t>
  </si>
  <si>
    <t>atan</t>
  </si>
  <si>
    <t>Compute arc tangent</t>
  </si>
  <si>
    <t>atan2</t>
  </si>
  <si>
    <t>Compute arc tangent with two parameters</t>
  </si>
  <si>
    <t>cosh</t>
  </si>
  <si>
    <t>Compute hyperbolic cosine</t>
  </si>
  <si>
    <t>sinh</t>
  </si>
  <si>
    <t>Compute hyperbolic sine</t>
  </si>
  <si>
    <t>tanh</t>
  </si>
  <si>
    <t>Compute hyperbolic tangent</t>
  </si>
  <si>
    <t>exp</t>
  </si>
  <si>
    <t>Compute exponential function</t>
  </si>
  <si>
    <t>(power)</t>
  </si>
  <si>
    <t>ldexp</t>
  </si>
  <si>
    <t>Generate number from significand and exponent</t>
  </si>
  <si>
    <t>log</t>
  </si>
  <si>
    <t>Compute natural logarithm</t>
  </si>
  <si>
    <t>log10</t>
  </si>
  <si>
    <t>Compute common logarithm</t>
  </si>
  <si>
    <t>sqrt</t>
  </si>
  <si>
    <t>Compute square root</t>
  </si>
  <si>
    <t>ceil</t>
  </si>
  <si>
    <t>Round up value</t>
  </si>
  <si>
    <t>fabs</t>
  </si>
  <si>
    <t>Compute absolute value</t>
  </si>
  <si>
    <t>floor</t>
  </si>
  <si>
    <t>Round down value</t>
  </si>
  <si>
    <t>round</t>
  </si>
  <si>
    <t>Round value to next integer</t>
  </si>
  <si>
    <t>fmod</t>
  </si>
  <si>
    <t>Compute remainder of division</t>
  </si>
  <si>
    <t>pow</t>
  </si>
  <si>
    <t>(base,power)</t>
  </si>
  <si>
    <t>abs of</t>
  </si>
  <si>
    <t>min</t>
  </si>
  <si>
    <t>minimum of</t>
  </si>
  <si>
    <t>max</t>
  </si>
  <si>
    <t>maximum of</t>
  </si>
  <si>
    <t>distance</t>
  </si>
  <si>
    <t>Return distance between two iterators</t>
  </si>
  <si>
    <t>max_element</t>
  </si>
  <si>
    <t>Return largest element in a range</t>
  </si>
  <si>
    <t>int</t>
  </si>
  <si>
    <t>converts to integer</t>
  </si>
  <si>
    <r>
      <t>η</t>
    </r>
    <r>
      <rPr>
        <vertAlign val="subscript"/>
        <sz val="11"/>
        <rFont val="Calibri"/>
        <family val="2"/>
        <scheme val="minor"/>
      </rPr>
      <t>H2O</t>
    </r>
  </si>
  <si>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</si>
  <si>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</si>
  <si>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</si>
  <si>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</si>
  <si>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t>κ</t>
  </si>
  <si>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</si>
  <si>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</si>
  <si>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</si>
  <si>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</si>
  <si>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</si>
  <si>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</si>
  <si>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</si>
  <si>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</si>
  <si>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</si>
  <si>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</si>
  <si>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Pa.Hgmm</t>
    </r>
    <r>
      <rPr>
        <vertAlign val="superscript"/>
        <sz val="11"/>
        <rFont val="Calibri"/>
        <family val="2"/>
        <scheme val="minor"/>
      </rPr>
      <t>-1</t>
    </r>
  </si>
  <si>
    <r>
      <t>Pa.bar</t>
    </r>
    <r>
      <rPr>
        <vertAlign val="superscript"/>
        <sz val="11"/>
        <rFont val="Calibri"/>
        <family val="2"/>
        <scheme val="minor"/>
      </rPr>
      <t>-1</t>
    </r>
  </si>
  <si>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</si>
  <si>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r>
      <t>S</t>
    </r>
    <r>
      <rPr>
        <b/>
        <vertAlign val="subscript"/>
        <sz val="11"/>
        <rFont val="Calibri"/>
        <family val="2"/>
        <scheme val="minor"/>
      </rPr>
      <t>Fe2</t>
    </r>
  </si>
  <si>
    <r>
      <t>S</t>
    </r>
    <r>
      <rPr>
        <vertAlign val="subscript"/>
        <sz val="11"/>
        <rFont val="Calibri"/>
        <family val="2"/>
      </rPr>
      <t>Fe2</t>
    </r>
    <r>
      <rPr>
        <sz val="11"/>
        <rFont val="Calibri"/>
        <family val="2"/>
      </rPr>
      <t>/(AM</t>
    </r>
    <r>
      <rPr>
        <vertAlign val="subscript"/>
        <sz val="11"/>
        <rFont val="Calibri"/>
        <family val="2"/>
      </rPr>
      <t>Fe</t>
    </r>
    <r>
      <rPr>
        <sz val="11"/>
        <rFont val="Calibri"/>
        <family val="2"/>
      </rPr>
      <t>*1000)</t>
    </r>
  </si>
  <si>
    <t>Total iron</t>
  </si>
  <si>
    <r>
      <t>PrecipDrivingForce</t>
    </r>
    <r>
      <rPr>
        <vertAlign val="subscript"/>
        <sz val="11"/>
        <color theme="1"/>
        <rFont val="Calibri"/>
        <family val="2"/>
        <scheme val="minor"/>
      </rPr>
      <t>ACP</t>
    </r>
  </si>
  <si>
    <r>
      <t>PrecipDrivingForce</t>
    </r>
    <r>
      <rPr>
        <vertAlign val="subscript"/>
        <sz val="11"/>
        <color theme="1"/>
        <rFont val="Calibri"/>
        <family val="2"/>
        <scheme val="minor"/>
      </rPr>
      <t>CaCO3</t>
    </r>
  </si>
  <si>
    <t>pH; Precipitation</t>
  </si>
  <si>
    <t>pH; Non-Precipitation</t>
  </si>
  <si>
    <t>Sidestream</t>
  </si>
  <si>
    <r>
      <t>g TIC.m</t>
    </r>
    <r>
      <rPr>
        <vertAlign val="superscript"/>
        <sz val="11"/>
        <color indexed="8"/>
        <rFont val="Calibri"/>
        <family val="2"/>
        <scheme val="minor"/>
      </rPr>
      <t>-3</t>
    </r>
  </si>
  <si>
    <r>
      <t>f(S</t>
    </r>
    <r>
      <rPr>
        <vertAlign val="subscript"/>
        <sz val="11"/>
        <rFont val="Calibri"/>
        <family val="2"/>
      </rPr>
      <t>VFA</t>
    </r>
    <r>
      <rPr>
        <sz val="11"/>
        <rFont val="Calibri"/>
        <family val="2"/>
      </rPr>
      <t>)pH</t>
    </r>
  </si>
  <si>
    <t>Non-Biofilm; Non-Sidestream</t>
  </si>
  <si>
    <t>Biofilm; Non-Sidestream</t>
  </si>
  <si>
    <r>
      <t>g Mg.m</t>
    </r>
    <r>
      <rPr>
        <vertAlign val="superscript"/>
        <sz val="11"/>
        <rFont val="Calibri"/>
        <family val="2"/>
        <scheme val="minor"/>
      </rPr>
      <t>-3</t>
    </r>
  </si>
  <si>
    <r>
      <t>g K.m</t>
    </r>
    <r>
      <rPr>
        <vertAlign val="superscript"/>
        <sz val="11"/>
        <rFont val="Calibri"/>
        <family val="2"/>
        <scheme val="minor"/>
      </rPr>
      <t>-3</t>
    </r>
  </si>
  <si>
    <r>
      <t>g Ca.m</t>
    </r>
    <r>
      <rPr>
        <vertAlign val="superscript"/>
        <sz val="11"/>
        <rFont val="Calibri"/>
        <family val="2"/>
        <scheme val="minor"/>
      </rPr>
      <t>-3</t>
    </r>
  </si>
  <si>
    <r>
      <t>K</t>
    </r>
    <r>
      <rPr>
        <vertAlign val="subscript"/>
        <sz val="11"/>
        <rFont val="Calibri"/>
        <family val="2"/>
        <scheme val="minor"/>
      </rPr>
      <t>Mg,PAO</t>
    </r>
  </si>
  <si>
    <r>
      <t>K</t>
    </r>
    <r>
      <rPr>
        <vertAlign val="subscript"/>
        <sz val="11"/>
        <rFont val="Calibri"/>
        <family val="2"/>
        <scheme val="minor"/>
      </rPr>
      <t>K,PAO</t>
    </r>
  </si>
  <si>
    <r>
      <t>K</t>
    </r>
    <r>
      <rPr>
        <vertAlign val="subscript"/>
        <sz val="11"/>
        <rFont val="Calibri"/>
        <family val="2"/>
        <scheme val="minor"/>
      </rPr>
      <t>Ca,PAO</t>
    </r>
  </si>
  <si>
    <t>Precipitation</t>
  </si>
  <si>
    <r>
      <t>f(S</t>
    </r>
    <r>
      <rPr>
        <vertAlign val="subscript"/>
        <sz val="11"/>
        <rFont val="Calibri"/>
        <family val="2"/>
      </rPr>
      <t>Fe2</t>
    </r>
    <r>
      <rPr>
        <sz val="11"/>
        <rFont val="Calibri"/>
        <family val="2"/>
      </rPr>
      <t>); pH</t>
    </r>
  </si>
  <si>
    <r>
      <t>f(X</t>
    </r>
    <r>
      <rPr>
        <vertAlign val="subscript"/>
        <sz val="11"/>
        <rFont val="Calibri"/>
        <family val="2"/>
      </rPr>
      <t>PAO</t>
    </r>
    <r>
      <rPr>
        <sz val="11"/>
        <rFont val="Calibri"/>
        <family val="2"/>
      </rPr>
      <t>)</t>
    </r>
  </si>
  <si>
    <r>
      <t>f(X</t>
    </r>
    <r>
      <rPr>
        <vertAlign val="subscript"/>
        <sz val="11"/>
        <rFont val="Calibri"/>
        <family val="2"/>
      </rPr>
      <t>B</t>
    </r>
    <r>
      <rPr>
        <sz val="11"/>
        <rFont val="Calibri"/>
        <family val="2"/>
      </rPr>
      <t>)</t>
    </r>
  </si>
  <si>
    <t>Non-pH; Non-Precipitation</t>
  </si>
  <si>
    <r>
      <t>i</t>
    </r>
    <r>
      <rPr>
        <vertAlign val="subscript"/>
        <sz val="11"/>
        <rFont val="Calibri"/>
        <family val="2"/>
        <scheme val="minor"/>
      </rPr>
      <t>CIT,BIO</t>
    </r>
  </si>
  <si>
    <r>
      <t>-EEQ</t>
    </r>
    <r>
      <rPr>
        <vertAlign val="subscript"/>
        <sz val="11"/>
        <rFont val="Calibri"/>
        <family val="2"/>
        <scheme val="minor"/>
      </rPr>
      <t>NO3</t>
    </r>
  </si>
  <si>
    <r>
      <t>-EEQ</t>
    </r>
    <r>
      <rPr>
        <vertAlign val="subscript"/>
        <sz val="11"/>
        <rFont val="Calibri"/>
        <family val="2"/>
        <scheme val="minor"/>
      </rPr>
      <t>N2</t>
    </r>
  </si>
  <si>
    <r>
      <t>3*AM</t>
    </r>
    <r>
      <rPr>
        <vertAlign val="subscript"/>
        <sz val="11"/>
        <rFont val="Calibri"/>
        <family val="2"/>
      </rPr>
      <t>Fe</t>
    </r>
    <r>
      <rPr>
        <sz val="11"/>
        <rFont val="Calibri"/>
        <family val="2"/>
      </rPr>
      <t>/MM</t>
    </r>
    <r>
      <rPr>
        <vertAlign val="subscript"/>
        <sz val="11"/>
        <rFont val="Calibri"/>
        <family val="2"/>
      </rPr>
      <t>Vivi</t>
    </r>
    <r>
      <rPr>
        <sz val="11"/>
        <rFont val="Calibri"/>
        <family val="2"/>
      </rPr>
      <t>*EEQ</t>
    </r>
    <r>
      <rPr>
        <vertAlign val="subscript"/>
        <sz val="11"/>
        <rFont val="Calibri"/>
        <family val="2"/>
      </rPr>
      <t>Fe2</t>
    </r>
  </si>
  <si>
    <r>
      <t>i</t>
    </r>
    <r>
      <rPr>
        <vertAlign val="subscript"/>
        <sz val="11"/>
        <rFont val="Calibri"/>
        <family val="2"/>
      </rPr>
      <t>N,BIO</t>
    </r>
  </si>
  <si>
    <r>
      <t>AM</t>
    </r>
    <r>
      <rPr>
        <vertAlign val="subscript"/>
        <sz val="11"/>
        <rFont val="Calibri"/>
        <family val="2"/>
        <scheme val="minor"/>
      </rPr>
      <t>N</t>
    </r>
    <r>
      <rPr>
        <sz val="11"/>
        <rFont val="Calibri"/>
        <family val="2"/>
        <scheme val="minor"/>
      </rPr>
      <t>/MM</t>
    </r>
    <r>
      <rPr>
        <vertAlign val="subscript"/>
        <sz val="11"/>
        <rFont val="Calibri"/>
        <family val="2"/>
        <scheme val="minor"/>
      </rPr>
      <t>STR</t>
    </r>
  </si>
  <si>
    <r>
      <t>i</t>
    </r>
    <r>
      <rPr>
        <vertAlign val="subscript"/>
        <sz val="11"/>
        <rFont val="Calibri"/>
        <family val="2"/>
      </rPr>
      <t>P,BIO</t>
    </r>
  </si>
  <si>
    <r>
      <t>2*AM</t>
    </r>
    <r>
      <rPr>
        <vertAlign val="subscript"/>
        <sz val="11"/>
        <rFont val="Calibri"/>
        <family val="2"/>
        <scheme val="minor"/>
      </rPr>
      <t>P</t>
    </r>
    <r>
      <rPr>
        <sz val="11"/>
        <rFont val="Calibri"/>
        <family val="2"/>
        <scheme val="minor"/>
      </rPr>
      <t>/MM</t>
    </r>
    <r>
      <rPr>
        <vertAlign val="subscript"/>
        <sz val="11"/>
        <rFont val="Calibri"/>
        <family val="2"/>
        <scheme val="minor"/>
      </rPr>
      <t>ACP</t>
    </r>
  </si>
  <si>
    <r>
      <t>AM</t>
    </r>
    <r>
      <rPr>
        <vertAlign val="subscript"/>
        <sz val="11"/>
        <rFont val="Calibri"/>
        <family val="2"/>
        <scheme val="minor"/>
      </rPr>
      <t>P</t>
    </r>
    <r>
      <rPr>
        <sz val="11"/>
        <rFont val="Calibri"/>
        <family val="2"/>
        <scheme val="minor"/>
      </rPr>
      <t>/MM</t>
    </r>
    <r>
      <rPr>
        <vertAlign val="subscript"/>
        <sz val="11"/>
        <rFont val="Calibri"/>
        <family val="2"/>
        <scheme val="minor"/>
      </rPr>
      <t>STR</t>
    </r>
  </si>
  <si>
    <r>
      <t>2*AM</t>
    </r>
    <r>
      <rPr>
        <vertAlign val="subscript"/>
        <sz val="11"/>
        <rFont val="Calibri"/>
        <family val="2"/>
      </rPr>
      <t>P</t>
    </r>
    <r>
      <rPr>
        <sz val="11"/>
        <rFont val="Calibri"/>
        <family val="2"/>
      </rPr>
      <t>/MM</t>
    </r>
    <r>
      <rPr>
        <vertAlign val="subscript"/>
        <sz val="11"/>
        <rFont val="Calibri"/>
        <family val="2"/>
      </rPr>
      <t>Vivi</t>
    </r>
  </si>
  <si>
    <r>
      <t>i</t>
    </r>
    <r>
      <rPr>
        <vertAlign val="subscript"/>
        <sz val="11"/>
        <rFont val="Calibri"/>
        <family val="2"/>
        <scheme val="minor"/>
      </rPr>
      <t>K,PP</t>
    </r>
    <r>
      <rPr>
        <sz val="11"/>
        <rFont val="Calibri"/>
        <family val="2"/>
        <scheme val="minor"/>
      </rPr>
      <t>*AM</t>
    </r>
    <r>
      <rPr>
        <vertAlign val="subscript"/>
        <sz val="11"/>
        <rFont val="Calibri"/>
        <family val="2"/>
        <scheme val="minor"/>
      </rPr>
      <t>K</t>
    </r>
    <r>
      <rPr>
        <sz val="11"/>
        <rFont val="Calibri"/>
        <family val="2"/>
        <scheme val="minor"/>
      </rPr>
      <t>/AM</t>
    </r>
    <r>
      <rPr>
        <vertAlign val="subscript"/>
        <sz val="11"/>
        <rFont val="Calibri"/>
        <family val="2"/>
        <scheme val="minor"/>
      </rPr>
      <t>P</t>
    </r>
  </si>
  <si>
    <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</si>
  <si>
    <r>
      <t>AM</t>
    </r>
    <r>
      <rPr>
        <vertAlign val="subscript"/>
        <sz val="11"/>
        <rFont val="Calibri"/>
        <family val="2"/>
        <scheme val="minor"/>
      </rPr>
      <t>Ca</t>
    </r>
    <r>
      <rPr>
        <sz val="11"/>
        <rFont val="Calibri"/>
        <family val="2"/>
        <scheme val="minor"/>
      </rPr>
      <t>/MM</t>
    </r>
    <r>
      <rPr>
        <vertAlign val="subscript"/>
        <sz val="11"/>
        <rFont val="Calibri"/>
        <family val="2"/>
        <scheme val="minor"/>
      </rPr>
      <t>CaCO3</t>
    </r>
  </si>
  <si>
    <r>
      <t>3*AM</t>
    </r>
    <r>
      <rPr>
        <vertAlign val="subscript"/>
        <sz val="11"/>
        <rFont val="Calibri"/>
        <family val="2"/>
        <scheme val="minor"/>
      </rPr>
      <t>Ca</t>
    </r>
    <r>
      <rPr>
        <sz val="11"/>
        <rFont val="Calibri"/>
        <family val="2"/>
        <scheme val="minor"/>
      </rPr>
      <t>/MM</t>
    </r>
    <r>
      <rPr>
        <vertAlign val="subscript"/>
        <sz val="11"/>
        <rFont val="Calibri"/>
        <family val="2"/>
        <scheme val="minor"/>
      </rPr>
      <t>ACP</t>
    </r>
  </si>
  <si>
    <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</si>
  <si>
    <r>
      <t>AM</t>
    </r>
    <r>
      <rPr>
        <vertAlign val="subscript"/>
        <sz val="11"/>
        <rFont val="Calibri"/>
        <family val="2"/>
        <scheme val="minor"/>
      </rPr>
      <t>Mg</t>
    </r>
    <r>
      <rPr>
        <sz val="11"/>
        <rFont val="Calibri"/>
        <family val="2"/>
        <scheme val="minor"/>
      </rPr>
      <t>/MM</t>
    </r>
    <r>
      <rPr>
        <vertAlign val="subscript"/>
        <sz val="11"/>
        <rFont val="Calibri"/>
        <family val="2"/>
        <scheme val="minor"/>
      </rPr>
      <t>STR</t>
    </r>
  </si>
  <si>
    <r>
      <t>3*AM</t>
    </r>
    <r>
      <rPr>
        <vertAlign val="subscript"/>
        <sz val="11"/>
        <rFont val="Calibri"/>
        <family val="2"/>
      </rPr>
      <t>Fe</t>
    </r>
    <r>
      <rPr>
        <sz val="11"/>
        <rFont val="Calibri"/>
        <family val="2"/>
      </rPr>
      <t>/MM</t>
    </r>
    <r>
      <rPr>
        <vertAlign val="subscript"/>
        <sz val="11"/>
        <rFont val="Calibri"/>
        <family val="2"/>
      </rPr>
      <t>Vivi</t>
    </r>
  </si>
  <si>
    <r>
      <t>S</t>
    </r>
    <r>
      <rPr>
        <b/>
        <vertAlign val="subscript"/>
        <sz val="11"/>
        <rFont val="Calibri"/>
        <family val="2"/>
        <scheme val="minor"/>
      </rPr>
      <t>Mg</t>
    </r>
  </si>
  <si>
    <r>
      <t>X</t>
    </r>
    <r>
      <rPr>
        <b/>
        <vertAlign val="subscript"/>
        <sz val="11"/>
        <rFont val="Calibri"/>
        <family val="2"/>
        <scheme val="minor"/>
      </rPr>
      <t>HFO,H</t>
    </r>
  </si>
  <si>
    <r>
      <t>X</t>
    </r>
    <r>
      <rPr>
        <b/>
        <vertAlign val="subscript"/>
        <sz val="11"/>
        <rFont val="Calibri"/>
        <family val="2"/>
        <scheme val="minor"/>
      </rPr>
      <t>HFO,L</t>
    </r>
  </si>
  <si>
    <r>
      <t>X</t>
    </r>
    <r>
      <rPr>
        <b/>
        <vertAlign val="subscript"/>
        <sz val="11"/>
        <rFont val="Calibri"/>
        <family val="2"/>
        <scheme val="minor"/>
      </rPr>
      <t>HFO,old</t>
    </r>
  </si>
  <si>
    <r>
      <t>X</t>
    </r>
    <r>
      <rPr>
        <b/>
        <vertAlign val="subscript"/>
        <sz val="11"/>
        <rFont val="Calibri"/>
        <family val="2"/>
        <scheme val="minor"/>
      </rPr>
      <t>HFO,H,P</t>
    </r>
  </si>
  <si>
    <r>
      <t>X</t>
    </r>
    <r>
      <rPr>
        <b/>
        <vertAlign val="subscript"/>
        <sz val="11"/>
        <rFont val="Calibri"/>
        <family val="2"/>
        <scheme val="minor"/>
      </rPr>
      <t>HFO,L,P</t>
    </r>
  </si>
  <si>
    <r>
      <t>X</t>
    </r>
    <r>
      <rPr>
        <b/>
        <vertAlign val="subscript"/>
        <sz val="11"/>
        <rFont val="Calibri"/>
        <family val="2"/>
      </rPr>
      <t>HFO,H,P,old</t>
    </r>
  </si>
  <si>
    <r>
      <t>X</t>
    </r>
    <r>
      <rPr>
        <b/>
        <vertAlign val="subscript"/>
        <sz val="11"/>
        <rFont val="Calibri"/>
        <family val="2"/>
      </rPr>
      <t>HFO,L,P,old</t>
    </r>
  </si>
  <si>
    <r>
      <t>G</t>
    </r>
    <r>
      <rPr>
        <b/>
        <vertAlign val="subscript"/>
        <sz val="11"/>
        <rFont val="Calibri"/>
        <family val="2"/>
      </rPr>
      <t>CO2</t>
    </r>
  </si>
  <si>
    <r>
      <t>G</t>
    </r>
    <r>
      <rPr>
        <b/>
        <vertAlign val="subscript"/>
        <sz val="11"/>
        <rFont val="Calibri"/>
        <family val="2"/>
      </rPr>
      <t>CH4</t>
    </r>
  </si>
  <si>
    <r>
      <t>G</t>
    </r>
    <r>
      <rPr>
        <b/>
        <vertAlign val="subscript"/>
        <sz val="11"/>
        <rFont val="Calibri"/>
        <family val="2"/>
      </rPr>
      <t>H2</t>
    </r>
  </si>
  <si>
    <r>
      <t>G</t>
    </r>
    <r>
      <rPr>
        <b/>
        <vertAlign val="subscript"/>
        <sz val="11"/>
        <rFont val="Calibri"/>
        <family val="2"/>
      </rPr>
      <t>O2</t>
    </r>
  </si>
  <si>
    <r>
      <t>G</t>
    </r>
    <r>
      <rPr>
        <b/>
        <vertAlign val="subscript"/>
        <sz val="11"/>
        <rFont val="Calibri"/>
        <family val="2"/>
      </rPr>
      <t>N2</t>
    </r>
  </si>
  <si>
    <r>
      <t>OHO growth on VFAs, O</t>
    </r>
    <r>
      <rPr>
        <vertAlign val="subscript"/>
        <sz val="11"/>
        <color rgb="FF000000"/>
        <rFont val="Calibri"/>
        <family val="2"/>
        <scheme val="minor"/>
      </rPr>
      <t>2</t>
    </r>
  </si>
  <si>
    <r>
      <t>-i</t>
    </r>
    <r>
      <rPr>
        <vertAlign val="subscript"/>
        <sz val="11"/>
        <rFont val="Calibri"/>
        <family val="2"/>
      </rPr>
      <t>N,BIO</t>
    </r>
  </si>
  <si>
    <r>
      <t>-i</t>
    </r>
    <r>
      <rPr>
        <vertAlign val="subscript"/>
        <sz val="11"/>
        <rFont val="Calibri"/>
        <family val="2"/>
      </rPr>
      <t>P,BIO</t>
    </r>
  </si>
  <si>
    <r>
      <t>OHO growth on S</t>
    </r>
    <r>
      <rPr>
        <vertAlign val="subscript"/>
        <sz val="11"/>
        <color rgb="FF000000"/>
        <rFont val="Calibri"/>
        <family val="2"/>
        <scheme val="minor"/>
      </rPr>
      <t>B</t>
    </r>
    <r>
      <rPr>
        <sz val="11"/>
        <color rgb="FF000000"/>
        <rFont val="Calibri"/>
        <family val="2"/>
        <charset val="238"/>
        <scheme val="minor"/>
      </rPr>
      <t>, O</t>
    </r>
    <r>
      <rPr>
        <vertAlign val="subscript"/>
        <sz val="11"/>
        <color rgb="FF000000"/>
        <rFont val="Calibri"/>
        <family val="2"/>
        <scheme val="minor"/>
      </rPr>
      <t>2</t>
    </r>
  </si>
  <si>
    <r>
      <t>OHO growth on S</t>
    </r>
    <r>
      <rPr>
        <vertAlign val="subscript"/>
        <sz val="11"/>
        <color rgb="FF000000"/>
        <rFont val="Calibri"/>
        <family val="2"/>
        <scheme val="minor"/>
      </rPr>
      <t>MEOL</t>
    </r>
    <r>
      <rPr>
        <sz val="11"/>
        <color rgb="FF000000"/>
        <rFont val="Calibri"/>
        <family val="2"/>
        <charset val="238"/>
        <scheme val="minor"/>
      </rPr>
      <t>, O</t>
    </r>
    <r>
      <rPr>
        <vertAlign val="subscript"/>
        <sz val="11"/>
        <color rgb="FF000000"/>
        <rFont val="Calibri"/>
        <family val="2"/>
        <scheme val="minor"/>
      </rPr>
      <t>2</t>
    </r>
  </si>
  <si>
    <r>
      <t>1-f</t>
    </r>
    <r>
      <rPr>
        <vertAlign val="subscript"/>
        <sz val="11"/>
        <rFont val="Calibri"/>
        <family val="2"/>
      </rPr>
      <t>E</t>
    </r>
  </si>
  <si>
    <r>
      <t>f</t>
    </r>
    <r>
      <rPr>
        <vertAlign val="subscript"/>
        <sz val="11"/>
        <rFont val="Calibri"/>
        <family val="2"/>
      </rPr>
      <t>E</t>
    </r>
  </si>
  <si>
    <r>
      <t>(1-f</t>
    </r>
    <r>
      <rPr>
        <vertAlign val="subscript"/>
        <sz val="11"/>
        <rFont val="Calibri"/>
        <family val="2"/>
      </rPr>
      <t>E</t>
    </r>
    <r>
      <rPr>
        <sz val="11"/>
        <rFont val="Calibri"/>
        <family val="2"/>
      </rPr>
      <t>)*i</t>
    </r>
    <r>
      <rPr>
        <vertAlign val="subscript"/>
        <sz val="11"/>
        <rFont val="Calibri"/>
        <family val="2"/>
      </rPr>
      <t>N,BIO</t>
    </r>
  </si>
  <si>
    <r>
      <t>(1-f</t>
    </r>
    <r>
      <rPr>
        <vertAlign val="subscript"/>
        <sz val="11"/>
        <rFont val="Calibri"/>
        <family val="2"/>
      </rPr>
      <t>E</t>
    </r>
    <r>
      <rPr>
        <sz val="11"/>
        <rFont val="Calibri"/>
        <family val="2"/>
      </rPr>
      <t>)*i</t>
    </r>
    <r>
      <rPr>
        <vertAlign val="subscript"/>
        <sz val="11"/>
        <rFont val="Calibri"/>
        <family val="2"/>
      </rPr>
      <t>P,BIO</t>
    </r>
  </si>
  <si>
    <r>
      <t>MEOLO growth, NO</t>
    </r>
    <r>
      <rPr>
        <vertAlign val="subscript"/>
        <sz val="11"/>
        <color rgb="FF000000"/>
        <rFont val="Calibri"/>
        <family val="2"/>
        <scheme val="minor"/>
      </rPr>
      <t>3</t>
    </r>
  </si>
  <si>
    <r>
      <t>-1/Y</t>
    </r>
    <r>
      <rPr>
        <vertAlign val="subscript"/>
        <sz val="11"/>
        <rFont val="Calibri"/>
        <family val="2"/>
      </rPr>
      <t>MEOLO</t>
    </r>
  </si>
  <si>
    <r>
      <t>PAO growth on PHA, 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</si>
  <si>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P,BIO</t>
    </r>
  </si>
  <si>
    <r>
      <t>PAO growth on PHA, NO</t>
    </r>
    <r>
      <rPr>
        <vertAlign val="subscript"/>
        <sz val="11"/>
        <color rgb="FF000000"/>
        <rFont val="Calibri"/>
        <family val="2"/>
        <scheme val="minor"/>
      </rPr>
      <t>3</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</si>
  <si>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f</t>
    </r>
    <r>
      <rPr>
        <vertAlign val="subscript"/>
        <sz val="11"/>
        <rFont val="Calibri"/>
        <family val="2"/>
      </rPr>
      <t>P,VFA</t>
    </r>
  </si>
  <si>
    <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</si>
  <si>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</si>
  <si>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</si>
  <si>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</si>
  <si>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</si>
  <si>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</si>
  <si>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</si>
  <si>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-i</t>
    </r>
    <r>
      <rPr>
        <vertAlign val="subscript"/>
        <sz val="11"/>
        <rFont val="Calibri"/>
        <family val="2"/>
      </rPr>
      <t>CIT,BIO</t>
    </r>
  </si>
  <si>
    <r>
      <t>-1/Y</t>
    </r>
    <r>
      <rPr>
        <vertAlign val="subscript"/>
        <sz val="11"/>
        <rFont val="Calibri"/>
        <family val="2"/>
      </rPr>
      <t>AMETO</t>
    </r>
  </si>
  <si>
    <r>
      <t>(1-Y</t>
    </r>
    <r>
      <rPr>
        <vertAlign val="subscript"/>
        <sz val="11"/>
        <rFont val="Calibri"/>
        <family val="2"/>
      </rPr>
      <t>AMETO</t>
    </r>
    <r>
      <rPr>
        <sz val="11"/>
        <rFont val="Calibri"/>
        <family val="2"/>
      </rPr>
      <t>)/Y</t>
    </r>
    <r>
      <rPr>
        <vertAlign val="subscript"/>
        <sz val="11"/>
        <rFont val="Calibri"/>
        <family val="2"/>
      </rPr>
      <t>AMETO</t>
    </r>
  </si>
  <si>
    <r>
      <t>(1-Y</t>
    </r>
    <r>
      <rPr>
        <vertAlign val="subscript"/>
        <sz val="11"/>
        <rFont val="Calibri"/>
        <family val="2"/>
      </rPr>
      <t>HMETO</t>
    </r>
    <r>
      <rPr>
        <sz val="11"/>
        <rFont val="Calibri"/>
        <family val="2"/>
      </rPr>
      <t>)/Y</t>
    </r>
    <r>
      <rPr>
        <vertAlign val="subscript"/>
        <sz val="11"/>
        <rFont val="Calibri"/>
        <family val="2"/>
      </rPr>
      <t>HMETO</t>
    </r>
  </si>
  <si>
    <r>
      <t>-1/Y</t>
    </r>
    <r>
      <rPr>
        <vertAlign val="subscript"/>
        <sz val="11"/>
        <rFont val="Calibri"/>
        <family val="2"/>
      </rPr>
      <t>HMETO</t>
    </r>
  </si>
  <si>
    <t>Flocculation of colloidal biodegradable substrate</t>
  </si>
  <si>
    <r>
      <t>i</t>
    </r>
    <r>
      <rPr>
        <vertAlign val="subscript"/>
        <sz val="11"/>
        <rFont val="Calibri"/>
        <family val="2"/>
      </rPr>
      <t>N,CB</t>
    </r>
  </si>
  <si>
    <r>
      <t>i</t>
    </r>
    <r>
      <rPr>
        <vertAlign val="subscript"/>
        <sz val="11"/>
        <rFont val="Calibri"/>
        <family val="2"/>
      </rPr>
      <t>P,CB</t>
    </r>
  </si>
  <si>
    <t>Flocculation of colloidal unbiodegradable organics</t>
  </si>
  <si>
    <r>
      <t>i</t>
    </r>
    <r>
      <rPr>
        <vertAlign val="subscript"/>
        <sz val="11"/>
        <rFont val="Calibri"/>
        <family val="2"/>
      </rPr>
      <t>N,CU</t>
    </r>
  </si>
  <si>
    <r>
      <t>i</t>
    </r>
    <r>
      <rPr>
        <vertAlign val="subscript"/>
        <sz val="11"/>
        <rFont val="Calibri"/>
        <family val="2"/>
      </rPr>
      <t>P,CU</t>
    </r>
  </si>
  <si>
    <t>XB hydrolysis</t>
  </si>
  <si>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</si>
  <si>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</si>
  <si>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</si>
  <si>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</si>
  <si>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t>SN,B ammonification</t>
  </si>
  <si>
    <r>
      <t>S</t>
    </r>
    <r>
      <rPr>
        <vertAlign val="subscript"/>
        <sz val="11"/>
        <color rgb="FF000000"/>
        <rFont val="Calibri"/>
        <family val="2"/>
        <scheme val="minor"/>
      </rPr>
      <t>P,B</t>
    </r>
    <r>
      <rPr>
        <sz val="11"/>
        <color rgb="FF000000"/>
        <rFont val="Calibri"/>
        <family val="2"/>
        <charset val="238"/>
        <scheme val="minor"/>
      </rPr>
      <t xml:space="preserve"> conversion to PO</t>
    </r>
    <r>
      <rPr>
        <vertAlign val="subscript"/>
        <sz val="11"/>
        <color rgb="FF000000"/>
        <rFont val="Calibri"/>
        <family val="2"/>
        <scheme val="minor"/>
      </rPr>
      <t>4</t>
    </r>
  </si>
  <si>
    <t>XE conversion</t>
  </si>
  <si>
    <r>
      <t>NO</t>
    </r>
    <r>
      <rPr>
        <vertAlign val="subscript"/>
        <sz val="11"/>
        <color rgb="FF000000"/>
        <rFont val="Calibri"/>
        <family val="2"/>
        <scheme val="minor"/>
      </rPr>
      <t>3</t>
    </r>
    <r>
      <rPr>
        <sz val="11"/>
        <color rgb="FF000000"/>
        <rFont val="Calibri"/>
        <family val="2"/>
        <charset val="238"/>
        <scheme val="minor"/>
      </rPr>
      <t xml:space="preserve"> assimilative reduction</t>
    </r>
  </si>
  <si>
    <r>
      <t>1+EEQ</t>
    </r>
    <r>
      <rPr>
        <vertAlign val="subscript"/>
        <sz val="11"/>
        <rFont val="Calibri"/>
        <family val="2"/>
      </rPr>
      <t>NO3</t>
    </r>
    <r>
      <rPr>
        <sz val="11"/>
        <rFont val="Calibri"/>
        <family val="2"/>
      </rPr>
      <t>*i</t>
    </r>
    <r>
      <rPr>
        <vertAlign val="subscript"/>
        <sz val="11"/>
        <rFont val="Calibri"/>
        <family val="2"/>
      </rPr>
      <t>N,BIO</t>
    </r>
  </si>
  <si>
    <r>
      <t>EEQ</t>
    </r>
    <r>
      <rPr>
        <vertAlign val="subscript"/>
        <sz val="11"/>
        <rFont val="Calibri"/>
        <family val="2"/>
      </rPr>
      <t>NO3</t>
    </r>
    <r>
      <rPr>
        <sz val="11"/>
        <rFont val="Calibri"/>
        <family val="2"/>
      </rPr>
      <t>*i</t>
    </r>
    <r>
      <rPr>
        <vertAlign val="subscript"/>
        <sz val="11"/>
        <rFont val="Calibri"/>
        <family val="2"/>
      </rPr>
      <t>P,BIO</t>
    </r>
  </si>
  <si>
    <r>
      <t>i</t>
    </r>
    <r>
      <rPr>
        <vertAlign val="subscript"/>
        <sz val="11"/>
        <rFont val="Calibri"/>
        <family val="2"/>
      </rPr>
      <t>CIT,BIO</t>
    </r>
    <r>
      <rPr>
        <sz val="11"/>
        <rFont val="Calibri"/>
        <family val="2"/>
      </rPr>
      <t>*EEQ</t>
    </r>
    <r>
      <rPr>
        <vertAlign val="subscript"/>
        <sz val="11"/>
        <rFont val="Calibri"/>
        <family val="2"/>
      </rPr>
      <t>NO3</t>
    </r>
  </si>
  <si>
    <r>
      <t>Reduction of X</t>
    </r>
    <r>
      <rPr>
        <vertAlign val="subscript"/>
        <sz val="11"/>
        <rFont val="Calibri"/>
        <family val="2"/>
      </rPr>
      <t>HFO</t>
    </r>
    <r>
      <rPr>
        <sz val="11"/>
        <rFont val="Calibri"/>
        <family val="2"/>
      </rPr>
      <t xml:space="preserve"> with organic matter</t>
    </r>
  </si>
  <si>
    <r>
      <t>Oxidation of Fe</t>
    </r>
    <r>
      <rPr>
        <vertAlign val="superscript"/>
        <sz val="11"/>
        <rFont val="Calibri"/>
        <family val="2"/>
        <scheme val="minor"/>
      </rPr>
      <t>2+</t>
    </r>
    <r>
      <rPr>
        <sz val="11"/>
        <rFont val="Calibri"/>
        <family val="2"/>
        <scheme val="minor"/>
      </rPr>
      <t xml:space="preserve"> </t>
    </r>
  </si>
  <si>
    <r>
      <t>-EEQ</t>
    </r>
    <r>
      <rPr>
        <vertAlign val="subscript"/>
        <sz val="11"/>
        <rFont val="Calibri"/>
        <family val="2"/>
      </rPr>
      <t>Fe2</t>
    </r>
  </si>
  <si>
    <r>
      <t>-AM</t>
    </r>
    <r>
      <rPr>
        <vertAlign val="subscript"/>
        <sz val="11"/>
        <rFont val="Calibri"/>
        <family val="2"/>
      </rPr>
      <t>Ca</t>
    </r>
    <r>
      <rPr>
        <sz val="11"/>
        <rFont val="Calibri"/>
        <family val="2"/>
      </rPr>
      <t>/MM</t>
    </r>
    <r>
      <rPr>
        <vertAlign val="subscript"/>
        <sz val="11"/>
        <rFont val="Calibri"/>
        <family val="2"/>
      </rPr>
      <t>CaCO3</t>
    </r>
  </si>
  <si>
    <r>
      <t>q</t>
    </r>
    <r>
      <rPr>
        <vertAlign val="subscript"/>
        <sz val="11"/>
        <rFont val="Calibri"/>
        <family val="2"/>
      </rPr>
      <t>CaCO3</t>
    </r>
    <r>
      <rPr>
        <sz val="11"/>
        <rFont val="Calibri"/>
        <family val="2"/>
      </rPr>
      <t>*PrecipDrivingForce</t>
    </r>
    <r>
      <rPr>
        <vertAlign val="subscript"/>
        <sz val="11"/>
        <rFont val="Calibri"/>
        <family val="2"/>
      </rPr>
      <t>CaCO3</t>
    </r>
    <r>
      <rPr>
        <vertAlign val="superscript"/>
        <sz val="11"/>
        <rFont val="Calibri"/>
        <family val="2"/>
      </rPr>
      <t>^2</t>
    </r>
  </si>
  <si>
    <r>
      <t>-2*AM</t>
    </r>
    <r>
      <rPr>
        <vertAlign val="subscript"/>
        <sz val="11"/>
        <rFont val="Calibri"/>
        <family val="2"/>
      </rPr>
      <t>P</t>
    </r>
    <r>
      <rPr>
        <sz val="11"/>
        <rFont val="Calibri"/>
        <family val="2"/>
      </rPr>
      <t>/MM</t>
    </r>
    <r>
      <rPr>
        <vertAlign val="subscript"/>
        <sz val="11"/>
        <rFont val="Calibri"/>
        <family val="2"/>
      </rPr>
      <t>ACP</t>
    </r>
  </si>
  <si>
    <r>
      <t>-3*AM</t>
    </r>
    <r>
      <rPr>
        <vertAlign val="subscript"/>
        <sz val="11"/>
        <rFont val="Calibri"/>
        <family val="2"/>
      </rPr>
      <t>Ca</t>
    </r>
    <r>
      <rPr>
        <sz val="11"/>
        <rFont val="Calibri"/>
        <family val="2"/>
      </rPr>
      <t>/MM</t>
    </r>
    <r>
      <rPr>
        <vertAlign val="subscript"/>
        <sz val="11"/>
        <rFont val="Calibri"/>
        <family val="2"/>
      </rPr>
      <t>ACP</t>
    </r>
  </si>
  <si>
    <r>
      <t>q</t>
    </r>
    <r>
      <rPr>
        <vertAlign val="subscript"/>
        <sz val="11"/>
        <rFont val="Calibri"/>
        <family val="2"/>
      </rPr>
      <t>ACP</t>
    </r>
    <r>
      <rPr>
        <sz val="11"/>
        <rFont val="Calibri"/>
        <family val="2"/>
      </rPr>
      <t>*PrecipDrivingForce</t>
    </r>
    <r>
      <rPr>
        <vertAlign val="subscript"/>
        <sz val="11"/>
        <rFont val="Calibri"/>
        <family val="2"/>
      </rPr>
      <t>ACP</t>
    </r>
    <r>
      <rPr>
        <vertAlign val="superscript"/>
        <sz val="11"/>
        <rFont val="Calibri"/>
        <family val="2"/>
      </rPr>
      <t>^2</t>
    </r>
  </si>
  <si>
    <r>
      <t>-AM</t>
    </r>
    <r>
      <rPr>
        <vertAlign val="subscript"/>
        <sz val="11"/>
        <rFont val="Calibri"/>
        <family val="2"/>
      </rPr>
      <t>N</t>
    </r>
    <r>
      <rPr>
        <sz val="11"/>
        <rFont val="Calibri"/>
        <family val="2"/>
      </rPr>
      <t>/MM</t>
    </r>
    <r>
      <rPr>
        <vertAlign val="subscript"/>
        <sz val="11"/>
        <rFont val="Calibri"/>
        <family val="2"/>
      </rPr>
      <t>STR</t>
    </r>
  </si>
  <si>
    <r>
      <t>-AM</t>
    </r>
    <r>
      <rPr>
        <vertAlign val="subscript"/>
        <sz val="11"/>
        <rFont val="Calibri"/>
        <family val="2"/>
      </rPr>
      <t>P</t>
    </r>
    <r>
      <rPr>
        <sz val="11"/>
        <rFont val="Calibri"/>
        <family val="2"/>
      </rPr>
      <t>/MM</t>
    </r>
    <r>
      <rPr>
        <vertAlign val="subscript"/>
        <sz val="11"/>
        <rFont val="Calibri"/>
        <family val="2"/>
      </rPr>
      <t>STR</t>
    </r>
  </si>
  <si>
    <r>
      <t>-AM</t>
    </r>
    <r>
      <rPr>
        <vertAlign val="subscript"/>
        <sz val="11"/>
        <rFont val="Calibri"/>
        <family val="2"/>
      </rPr>
      <t>Mg</t>
    </r>
    <r>
      <rPr>
        <sz val="11"/>
        <rFont val="Calibri"/>
        <family val="2"/>
      </rPr>
      <t>/MM</t>
    </r>
    <r>
      <rPr>
        <vertAlign val="subscript"/>
        <sz val="11"/>
        <rFont val="Calibri"/>
        <family val="2"/>
      </rPr>
      <t>STR</t>
    </r>
  </si>
  <si>
    <r>
      <t>q</t>
    </r>
    <r>
      <rPr>
        <vertAlign val="subscript"/>
        <sz val="11"/>
        <rFont val="Calibri"/>
        <family val="2"/>
      </rPr>
      <t>STR</t>
    </r>
    <r>
      <rPr>
        <sz val="11"/>
        <rFont val="Calibri"/>
        <family val="2"/>
      </rPr>
      <t>*PrecipDrivingForce</t>
    </r>
    <r>
      <rPr>
        <vertAlign val="subscript"/>
        <sz val="11"/>
        <rFont val="Calibri"/>
        <family val="2"/>
      </rPr>
      <t>STR</t>
    </r>
    <r>
      <rPr>
        <vertAlign val="superscript"/>
        <sz val="11"/>
        <rFont val="Calibri"/>
        <family val="2"/>
      </rPr>
      <t>^3</t>
    </r>
  </si>
  <si>
    <r>
      <t>-2*AM</t>
    </r>
    <r>
      <rPr>
        <vertAlign val="subscript"/>
        <sz val="11"/>
        <rFont val="Calibri"/>
        <family val="2"/>
      </rPr>
      <t>P</t>
    </r>
    <r>
      <rPr>
        <sz val="11"/>
        <rFont val="Calibri"/>
        <family val="2"/>
      </rPr>
      <t>/MM</t>
    </r>
    <r>
      <rPr>
        <vertAlign val="subscript"/>
        <sz val="11"/>
        <rFont val="Calibri"/>
        <family val="2"/>
      </rPr>
      <t>Vivi</t>
    </r>
  </si>
  <si>
    <r>
      <t>-3*AM</t>
    </r>
    <r>
      <rPr>
        <vertAlign val="subscript"/>
        <sz val="11"/>
        <rFont val="Calibri"/>
        <family val="2"/>
      </rPr>
      <t>Fe</t>
    </r>
    <r>
      <rPr>
        <sz val="11"/>
        <rFont val="Calibri"/>
        <family val="2"/>
      </rPr>
      <t>/MM</t>
    </r>
    <r>
      <rPr>
        <vertAlign val="subscript"/>
        <sz val="11"/>
        <rFont val="Calibri"/>
        <family val="2"/>
      </rPr>
      <t>Vivi</t>
    </r>
  </si>
  <si>
    <r>
      <t>q</t>
    </r>
    <r>
      <rPr>
        <vertAlign val="subscript"/>
        <sz val="11"/>
        <rFont val="Calibri"/>
        <family val="2"/>
      </rPr>
      <t>Vivi</t>
    </r>
    <r>
      <rPr>
        <sz val="11"/>
        <rFont val="Calibri"/>
        <family val="2"/>
      </rPr>
      <t>*PrecipDrivingForce</t>
    </r>
    <r>
      <rPr>
        <vertAlign val="subscript"/>
        <sz val="11"/>
        <rFont val="Calibri"/>
        <family val="2"/>
      </rPr>
      <t>Vivi</t>
    </r>
    <r>
      <rPr>
        <vertAlign val="superscript"/>
        <sz val="11"/>
        <rFont val="Calibri"/>
        <family val="2"/>
      </rPr>
      <t>^2</t>
    </r>
  </si>
  <si>
    <r>
      <t>S</t>
    </r>
    <r>
      <rPr>
        <vertAlign val="subscript"/>
        <sz val="11"/>
        <rFont val="Calibri"/>
        <family val="2"/>
        <scheme val="minor"/>
      </rPr>
      <t>U</t>
    </r>
    <r>
      <rPr>
        <sz val="11"/>
        <rFont val="Calibri"/>
        <family val="2"/>
        <scheme val="minor"/>
      </rPr>
      <t xml:space="preserve"> + S</t>
    </r>
    <r>
      <rPr>
        <vertAlign val="subscript"/>
        <sz val="11"/>
        <rFont val="Calibri"/>
        <family val="2"/>
        <scheme val="minor"/>
      </rPr>
      <t xml:space="preserve">B </t>
    </r>
    <r>
      <rPr>
        <sz val="11"/>
        <rFont val="Calibri"/>
        <family val="2"/>
        <scheme val="minor"/>
      </rPr>
      <t>+S</t>
    </r>
    <r>
      <rPr>
        <vertAlign val="subscript"/>
        <sz val="11"/>
        <rFont val="Calibri"/>
        <family val="2"/>
        <scheme val="minor"/>
      </rPr>
      <t xml:space="preserve">VFA </t>
    </r>
    <r>
      <rPr>
        <sz val="11"/>
        <rFont val="Calibri"/>
        <family val="2"/>
        <scheme val="minor"/>
      </rPr>
      <t>+S</t>
    </r>
    <r>
      <rPr>
        <vertAlign val="subscript"/>
        <sz val="11"/>
        <rFont val="Calibri"/>
        <family val="2"/>
        <scheme val="minor"/>
      </rPr>
      <t>MEOL</t>
    </r>
  </si>
  <si>
    <r>
      <t>µ</t>
    </r>
    <r>
      <rPr>
        <vertAlign val="subscript"/>
        <sz val="11"/>
        <rFont val="Calibri"/>
        <family val="2"/>
        <scheme val="minor"/>
      </rPr>
      <t>PAO,lim</t>
    </r>
  </si>
  <si>
    <r>
      <t>q</t>
    </r>
    <r>
      <rPr>
        <vertAlign val="subscript"/>
        <sz val="11"/>
        <rFont val="Calibri"/>
        <family val="2"/>
        <scheme val="minor"/>
      </rPr>
      <t>CaCO3,PREC</t>
    </r>
  </si>
  <si>
    <r>
      <t>q</t>
    </r>
    <r>
      <rPr>
        <vertAlign val="subscript"/>
        <sz val="11"/>
        <rFont val="Calibri"/>
        <family val="2"/>
        <scheme val="minor"/>
      </rPr>
      <t>CaCO3,DISS</t>
    </r>
  </si>
  <si>
    <r>
      <t>q</t>
    </r>
    <r>
      <rPr>
        <vertAlign val="subscript"/>
        <sz val="11"/>
        <rFont val="Calibri"/>
        <family val="2"/>
        <scheme val="minor"/>
      </rPr>
      <t>STR,PREC</t>
    </r>
  </si>
  <si>
    <r>
      <t>q</t>
    </r>
    <r>
      <rPr>
        <vertAlign val="subscript"/>
        <sz val="11"/>
        <rFont val="Calibri"/>
        <family val="2"/>
        <scheme val="minor"/>
      </rPr>
      <t>STR,DISS</t>
    </r>
  </si>
  <si>
    <r>
      <t>q</t>
    </r>
    <r>
      <rPr>
        <vertAlign val="subscript"/>
        <sz val="11"/>
        <rFont val="Calibri"/>
        <family val="2"/>
        <scheme val="minor"/>
      </rPr>
      <t>ACP,PREC</t>
    </r>
  </si>
  <si>
    <r>
      <t>q</t>
    </r>
    <r>
      <rPr>
        <vertAlign val="subscript"/>
        <sz val="11"/>
        <rFont val="Calibri"/>
        <family val="2"/>
        <scheme val="minor"/>
      </rPr>
      <t>ACP,DISS</t>
    </r>
  </si>
  <si>
    <r>
      <t>q</t>
    </r>
    <r>
      <rPr>
        <vertAlign val="subscript"/>
        <sz val="11"/>
        <rFont val="Calibri"/>
        <family val="2"/>
        <scheme val="minor"/>
      </rPr>
      <t>Vivi,PREC</t>
    </r>
  </si>
  <si>
    <r>
      <t>q</t>
    </r>
    <r>
      <rPr>
        <vertAlign val="subscript"/>
        <sz val="11"/>
        <rFont val="Calibri"/>
        <family val="2"/>
        <scheme val="minor"/>
      </rPr>
      <t>Vivi,DISS</t>
    </r>
  </si>
  <si>
    <r>
      <t>q</t>
    </r>
    <r>
      <rPr>
        <vertAlign val="subscript"/>
        <sz val="11"/>
        <rFont val="Calibri"/>
        <family val="2"/>
        <scheme val="minor"/>
      </rPr>
      <t>HFOH,AGING</t>
    </r>
  </si>
  <si>
    <r>
      <t>q</t>
    </r>
    <r>
      <rPr>
        <vertAlign val="subscript"/>
        <sz val="11"/>
        <rFont val="Calibri"/>
        <family val="2"/>
        <scheme val="minor"/>
      </rPr>
      <t>HFOL,AGING</t>
    </r>
  </si>
  <si>
    <r>
      <t>q</t>
    </r>
    <r>
      <rPr>
        <vertAlign val="subscript"/>
        <sz val="11"/>
        <rFont val="Calibri"/>
        <family val="2"/>
        <scheme val="minor"/>
      </rPr>
      <t>P,COPREC</t>
    </r>
  </si>
  <si>
    <r>
      <t>q</t>
    </r>
    <r>
      <rPr>
        <vertAlign val="subscript"/>
        <sz val="11"/>
        <rFont val="Calibri"/>
        <family val="2"/>
        <scheme val="minor"/>
      </rPr>
      <t>P,BIND</t>
    </r>
  </si>
  <si>
    <r>
      <rPr>
        <sz val="11"/>
        <color indexed="8"/>
        <rFont val="Calibri"/>
        <family val="2"/>
        <scheme val="minor"/>
      </rPr>
      <t>q</t>
    </r>
    <r>
      <rPr>
        <vertAlign val="subscript"/>
        <sz val="11"/>
        <color indexed="8"/>
        <rFont val="Calibri"/>
        <family val="2"/>
        <scheme val="minor"/>
      </rPr>
      <t>HFO,RED</t>
    </r>
  </si>
  <si>
    <r>
      <t>η</t>
    </r>
    <r>
      <rPr>
        <vertAlign val="subscript"/>
        <sz val="11"/>
        <rFont val="Calibri"/>
        <family val="2"/>
        <scheme val="minor"/>
      </rPr>
      <t>HYD,anox</t>
    </r>
  </si>
  <si>
    <r>
      <t>η</t>
    </r>
    <r>
      <rPr>
        <vertAlign val="subscript"/>
        <sz val="11"/>
        <rFont val="Calibri"/>
        <family val="2"/>
        <scheme val="minor"/>
      </rPr>
      <t>HYD,ana</t>
    </r>
  </si>
  <si>
    <r>
      <t>η</t>
    </r>
    <r>
      <rPr>
        <vertAlign val="subscript"/>
        <sz val="11"/>
        <rFont val="Calibri"/>
        <family val="2"/>
        <scheme val="minor"/>
      </rPr>
      <t>b,anox</t>
    </r>
  </si>
  <si>
    <r>
      <t>η</t>
    </r>
    <r>
      <rPr>
        <vertAlign val="subscript"/>
        <sz val="11"/>
        <rFont val="Calibri"/>
        <family val="2"/>
        <scheme val="minor"/>
      </rPr>
      <t>b,ana</t>
    </r>
  </si>
  <si>
    <r>
      <t>θ</t>
    </r>
    <r>
      <rPr>
        <vertAlign val="subscript"/>
        <sz val="11"/>
        <color indexed="8"/>
        <rFont val="Calibri"/>
        <family val="2"/>
        <scheme val="minor"/>
      </rPr>
      <t>q,HFO,RED</t>
    </r>
  </si>
  <si>
    <r>
      <t>θ</t>
    </r>
    <r>
      <rPr>
        <vertAlign val="subscript"/>
        <sz val="11"/>
        <color indexed="8"/>
        <rFont val="Calibri"/>
        <family val="2"/>
        <scheme val="minor"/>
      </rPr>
      <t>µ,PAO,lim</t>
    </r>
  </si>
  <si>
    <r>
      <t>Y</t>
    </r>
    <r>
      <rPr>
        <vertAlign val="subscript"/>
        <sz val="11"/>
        <rFont val="Calibri"/>
        <family val="2"/>
        <scheme val="minor"/>
      </rPr>
      <t>OHO,VFA,ox</t>
    </r>
  </si>
  <si>
    <r>
      <t>Y</t>
    </r>
    <r>
      <rPr>
        <vertAlign val="subscript"/>
        <sz val="11"/>
        <rFont val="Calibri"/>
        <family val="2"/>
        <scheme val="minor"/>
      </rPr>
      <t>OHO,SB,ox</t>
    </r>
  </si>
  <si>
    <r>
      <t>Y</t>
    </r>
    <r>
      <rPr>
        <vertAlign val="subscript"/>
        <sz val="11"/>
        <rFont val="Calibri"/>
        <family val="2"/>
        <scheme val="minor"/>
      </rPr>
      <t>OHO,SB,ana</t>
    </r>
  </si>
  <si>
    <r>
      <t>Y</t>
    </r>
    <r>
      <rPr>
        <vertAlign val="subscript"/>
        <sz val="11"/>
        <rFont val="Calibri"/>
        <family val="2"/>
        <scheme val="minor"/>
      </rPr>
      <t>OHO,SMEOL,ox</t>
    </r>
  </si>
  <si>
    <t>XE,ana hydrolysis</t>
  </si>
  <si>
    <r>
      <t>X</t>
    </r>
    <r>
      <rPr>
        <b/>
        <vertAlign val="subscript"/>
        <sz val="11"/>
        <rFont val="Calibri"/>
        <family val="2"/>
        <scheme val="minor"/>
      </rPr>
      <t>E,ana</t>
    </r>
  </si>
  <si>
    <r>
      <t>q</t>
    </r>
    <r>
      <rPr>
        <vertAlign val="subscript"/>
        <sz val="11"/>
        <rFont val="Calibri"/>
        <family val="2"/>
      </rPr>
      <t>XE,T</t>
    </r>
    <r>
      <rPr>
        <sz val="11"/>
        <rFont val="Calibri"/>
        <family val="2"/>
      </rPr>
      <t>*X</t>
    </r>
    <r>
      <rPr>
        <vertAlign val="subscript"/>
        <sz val="11"/>
        <rFont val="Calibri"/>
        <family val="2"/>
      </rPr>
      <t>E</t>
    </r>
  </si>
  <si>
    <r>
      <t>-1/Y</t>
    </r>
    <r>
      <rPr>
        <vertAlign val="subscript"/>
        <sz val="11"/>
        <rFont val="Calibri"/>
        <family val="2"/>
      </rPr>
      <t>OHO,VFA,ox</t>
    </r>
  </si>
  <si>
    <r>
      <t>-1/Y</t>
    </r>
    <r>
      <rPr>
        <vertAlign val="subscript"/>
        <sz val="11"/>
        <rFont val="Calibri"/>
        <family val="2"/>
      </rPr>
      <t>OHO,SB,ox</t>
    </r>
  </si>
  <si>
    <r>
      <t>-1/Y</t>
    </r>
    <r>
      <rPr>
        <vertAlign val="subscript"/>
        <sz val="11"/>
        <rFont val="Calibri"/>
        <family val="2"/>
      </rPr>
      <t>OHO,SB,ana</t>
    </r>
  </si>
  <si>
    <r>
      <t>-1/Y</t>
    </r>
    <r>
      <rPr>
        <vertAlign val="subscript"/>
        <sz val="11"/>
        <rFont val="Calibri"/>
        <family val="2"/>
      </rPr>
      <t>OHO,SMEOL,ox</t>
    </r>
  </si>
  <si>
    <r>
      <t>-(1-Y</t>
    </r>
    <r>
      <rPr>
        <vertAlign val="subscript"/>
        <sz val="11"/>
        <rFont val="Calibri"/>
        <family val="2"/>
      </rPr>
      <t>OHO,VFA,ox</t>
    </r>
    <r>
      <rPr>
        <sz val="11"/>
        <rFont val="Calibri"/>
        <family val="2"/>
      </rPr>
      <t>)/Y</t>
    </r>
    <r>
      <rPr>
        <vertAlign val="subscript"/>
        <sz val="11"/>
        <rFont val="Calibri"/>
        <family val="2"/>
      </rPr>
      <t>OHO,VFA,ox</t>
    </r>
  </si>
  <si>
    <r>
      <t>-(1-Y</t>
    </r>
    <r>
      <rPr>
        <vertAlign val="subscript"/>
        <sz val="11"/>
        <rFont val="Calibri"/>
        <family val="2"/>
      </rPr>
      <t>OHO,SB,ox</t>
    </r>
    <r>
      <rPr>
        <sz val="11"/>
        <rFont val="Calibri"/>
        <family val="2"/>
      </rPr>
      <t>)/Y</t>
    </r>
    <r>
      <rPr>
        <vertAlign val="subscript"/>
        <sz val="11"/>
        <rFont val="Calibri"/>
        <family val="2"/>
      </rPr>
      <t>OHO,SB,ox</t>
    </r>
  </si>
  <si>
    <r>
      <t>-(1-Y</t>
    </r>
    <r>
      <rPr>
        <vertAlign val="subscript"/>
        <sz val="11"/>
        <rFont val="Calibri"/>
        <family val="2"/>
      </rPr>
      <t>OHO,SMEOL,ox</t>
    </r>
    <r>
      <rPr>
        <sz val="11"/>
        <rFont val="Calibri"/>
        <family val="2"/>
      </rPr>
      <t>)/Y</t>
    </r>
    <r>
      <rPr>
        <vertAlign val="subscript"/>
        <sz val="11"/>
        <rFont val="Calibri"/>
        <family val="2"/>
      </rPr>
      <t>OHO,SMEOL,ox</t>
    </r>
  </si>
  <si>
    <r>
      <t>θ</t>
    </r>
    <r>
      <rPr>
        <vertAlign val="subscript"/>
        <sz val="11"/>
        <color indexed="8"/>
        <rFont val="Calibri"/>
        <family val="2"/>
        <scheme val="minor"/>
      </rPr>
      <t>q,XE</t>
    </r>
  </si>
  <si>
    <r>
      <t>θ</t>
    </r>
    <r>
      <rPr>
        <vertAlign val="subscript"/>
        <sz val="11"/>
        <color indexed="8"/>
        <rFont val="Calibri"/>
        <family val="2"/>
        <scheme val="minor"/>
      </rPr>
      <t>q,SPB</t>
    </r>
  </si>
  <si>
    <r>
      <t>q</t>
    </r>
    <r>
      <rPr>
        <vertAlign val="subscript"/>
        <sz val="11"/>
        <color indexed="8"/>
        <rFont val="Calibri"/>
        <family val="2"/>
        <scheme val="minor"/>
      </rPr>
      <t>SPB</t>
    </r>
  </si>
  <si>
    <r>
      <t>q</t>
    </r>
    <r>
      <rPr>
        <vertAlign val="subscript"/>
        <sz val="11"/>
        <color indexed="8"/>
        <rFont val="Calibri"/>
        <family val="2"/>
        <scheme val="minor"/>
      </rPr>
      <t>XE</t>
    </r>
  </si>
  <si>
    <r>
      <t>X</t>
    </r>
    <r>
      <rPr>
        <vertAlign val="subscript"/>
        <sz val="11"/>
        <rFont val="Calibri"/>
        <family val="2"/>
        <scheme val="minor"/>
      </rPr>
      <t>BIO</t>
    </r>
  </si>
  <si>
    <r>
      <t>X</t>
    </r>
    <r>
      <rPr>
        <vertAlign val="subscript"/>
        <sz val="11"/>
        <rFont val="Calibri"/>
        <family val="2"/>
        <scheme val="minor"/>
      </rPr>
      <t>COD</t>
    </r>
  </si>
  <si>
    <r>
      <t>X</t>
    </r>
    <r>
      <rPr>
        <vertAlign val="subscript"/>
        <sz val="11"/>
        <rFont val="Calibri"/>
        <family val="2"/>
        <scheme val="minor"/>
      </rPr>
      <t>VSS,BIO</t>
    </r>
  </si>
  <si>
    <r>
      <t>X</t>
    </r>
    <r>
      <rPr>
        <vertAlign val="subscript"/>
        <sz val="11"/>
        <rFont val="Calibri"/>
        <family val="2"/>
        <scheme val="minor"/>
      </rPr>
      <t>BIO</t>
    </r>
    <r>
      <rPr>
        <sz val="11"/>
        <rFont val="Calibri"/>
        <family val="2"/>
        <scheme val="minor"/>
      </rPr>
      <t>/i</t>
    </r>
    <r>
      <rPr>
        <vertAlign val="subscript"/>
        <sz val="11"/>
        <rFont val="Calibri"/>
        <family val="2"/>
        <scheme val="minor"/>
      </rPr>
      <t>CV,BIO</t>
    </r>
  </si>
  <si>
    <r>
      <t>g VSS.m</t>
    </r>
    <r>
      <rPr>
        <vertAlign val="superscript"/>
        <sz val="11"/>
        <rFont val="Calibri"/>
        <family val="2"/>
        <scheme val="minor"/>
      </rPr>
      <t>-3</t>
    </r>
  </si>
  <si>
    <r>
      <t>X</t>
    </r>
    <r>
      <rPr>
        <vertAlign val="subscript"/>
        <sz val="11"/>
        <rFont val="Calibri"/>
        <family val="2"/>
        <scheme val="minor"/>
      </rPr>
      <t>VSS</t>
    </r>
  </si>
  <si>
    <r>
      <t>X</t>
    </r>
    <r>
      <rPr>
        <vertAlign val="subscript"/>
        <sz val="11"/>
        <rFont val="Calibri"/>
        <family val="2"/>
        <scheme val="minor"/>
      </rPr>
      <t>TSS</t>
    </r>
  </si>
  <si>
    <r>
      <t>g TSS.m</t>
    </r>
    <r>
      <rPr>
        <vertAlign val="superscript"/>
        <sz val="11"/>
        <rFont val="Calibri"/>
        <family val="2"/>
        <scheme val="minor"/>
      </rPr>
      <t>-3</t>
    </r>
  </si>
  <si>
    <r>
      <t>X</t>
    </r>
    <r>
      <rPr>
        <vertAlign val="subscript"/>
        <sz val="11"/>
        <rFont val="Calibri"/>
        <family val="2"/>
        <scheme val="minor"/>
      </rPr>
      <t>VS</t>
    </r>
  </si>
  <si>
    <r>
      <t>X</t>
    </r>
    <r>
      <rPr>
        <vertAlign val="subscript"/>
        <sz val="11"/>
        <rFont val="Calibri"/>
        <family val="2"/>
        <scheme val="minor"/>
      </rPr>
      <t>VSS</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+S</t>
    </r>
    <r>
      <rPr>
        <vertAlign val="subscript"/>
        <sz val="11"/>
        <rFont val="Calibri"/>
        <family val="2"/>
        <scheme val="minor"/>
      </rPr>
      <t>MEOL</t>
    </r>
    <r>
      <rPr>
        <sz val="11"/>
        <rFont val="Calibri"/>
        <family val="2"/>
        <scheme val="minor"/>
      </rPr>
      <t>/i</t>
    </r>
    <r>
      <rPr>
        <vertAlign val="subscript"/>
        <sz val="11"/>
        <rFont val="Calibri"/>
        <family val="2"/>
        <scheme val="minor"/>
      </rPr>
      <t>CV,MEOL</t>
    </r>
    <r>
      <rPr>
        <sz val="11"/>
        <rFont val="Calibri"/>
        <family val="2"/>
        <scheme val="minor"/>
      </rPr>
      <t>+C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</si>
  <si>
    <r>
      <t>g VS.m</t>
    </r>
    <r>
      <rPr>
        <vertAlign val="superscript"/>
        <sz val="11"/>
        <rFont val="Calibri"/>
        <family val="2"/>
        <scheme val="minor"/>
      </rPr>
      <t>-3</t>
    </r>
  </si>
  <si>
    <r>
      <t>T</t>
    </r>
    <r>
      <rPr>
        <vertAlign val="subscript"/>
        <sz val="11"/>
        <rFont val="Calibri"/>
        <family val="2"/>
        <scheme val="minor"/>
      </rPr>
      <t>COD</t>
    </r>
  </si>
  <si>
    <r>
      <t>SC</t>
    </r>
    <r>
      <rPr>
        <vertAlign val="subscript"/>
        <sz val="11"/>
        <rFont val="Calibri"/>
        <family val="2"/>
        <scheme val="minor"/>
      </rPr>
      <t>COD</t>
    </r>
    <r>
      <rPr>
        <sz val="11"/>
        <rFont val="Calibri"/>
        <family val="2"/>
        <scheme val="minor"/>
      </rPr>
      <t xml:space="preserve"> +X</t>
    </r>
    <r>
      <rPr>
        <vertAlign val="subscript"/>
        <sz val="11"/>
        <rFont val="Calibri"/>
        <family val="2"/>
        <scheme val="minor"/>
      </rPr>
      <t>COD</t>
    </r>
  </si>
  <si>
    <r>
      <t>T</t>
    </r>
    <r>
      <rPr>
        <vertAlign val="subscript"/>
        <sz val="11"/>
        <rFont val="Calibri"/>
        <family val="2"/>
        <scheme val="minor"/>
      </rPr>
      <t>KN</t>
    </r>
  </si>
  <si>
    <r>
      <t>T</t>
    </r>
    <r>
      <rPr>
        <vertAlign val="subscript"/>
        <sz val="11"/>
        <rFont val="Calibri"/>
        <family val="2"/>
        <scheme val="minor"/>
      </rPr>
      <t>N</t>
    </r>
  </si>
  <si>
    <r>
      <t>T</t>
    </r>
    <r>
      <rPr>
        <vertAlign val="subscript"/>
        <sz val="11"/>
        <rFont val="Calibri"/>
        <family val="2"/>
        <scheme val="minor"/>
      </rPr>
      <t>P</t>
    </r>
  </si>
  <si>
    <r>
      <t>X</t>
    </r>
    <r>
      <rPr>
        <vertAlign val="subscript"/>
        <sz val="11"/>
        <rFont val="Calibri"/>
        <family val="2"/>
        <scheme val="minor"/>
      </rPr>
      <t>HFO</t>
    </r>
  </si>
  <si>
    <r>
      <t>X</t>
    </r>
    <r>
      <rPr>
        <vertAlign val="subscript"/>
        <sz val="11"/>
        <rFont val="Calibri"/>
        <family val="2"/>
        <scheme val="minor"/>
      </rPr>
      <t>HFO,H</t>
    </r>
    <r>
      <rPr>
        <sz val="11"/>
        <rFont val="Calibri"/>
        <family val="2"/>
        <scheme val="minor"/>
      </rPr>
      <t>+X</t>
    </r>
    <r>
      <rPr>
        <vertAlign val="subscript"/>
        <sz val="11"/>
        <rFont val="Calibri"/>
        <family val="2"/>
        <scheme val="minor"/>
      </rPr>
      <t>HFO,L</t>
    </r>
    <r>
      <rPr>
        <sz val="11"/>
        <rFont val="Calibri"/>
        <family val="2"/>
        <scheme val="minor"/>
      </rPr>
      <t>+X</t>
    </r>
    <r>
      <rPr>
        <vertAlign val="subscript"/>
        <sz val="11"/>
        <rFont val="Calibri"/>
        <family val="2"/>
        <scheme val="minor"/>
      </rPr>
      <t>HFO,L,P</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HFO,old</t>
    </r>
    <r>
      <rPr>
        <sz val="11"/>
        <rFont val="Calibri"/>
        <family val="2"/>
        <scheme val="minor"/>
      </rPr>
      <t>+X</t>
    </r>
    <r>
      <rPr>
        <vertAlign val="subscript"/>
        <sz val="11"/>
        <rFont val="Calibri"/>
        <family val="2"/>
        <scheme val="minor"/>
      </rPr>
      <t>HFO,L,P,old</t>
    </r>
    <r>
      <rPr>
        <sz val="11"/>
        <rFont val="Calibri"/>
        <family val="2"/>
        <scheme val="minor"/>
      </rPr>
      <t>+X</t>
    </r>
    <r>
      <rPr>
        <vertAlign val="subscript"/>
        <sz val="11"/>
        <rFont val="Calibri"/>
        <family val="2"/>
        <scheme val="minor"/>
      </rPr>
      <t>HFO,H,P,old</t>
    </r>
  </si>
  <si>
    <r>
      <t>T</t>
    </r>
    <r>
      <rPr>
        <vertAlign val="subscript"/>
        <sz val="11"/>
        <rFont val="Calibri"/>
        <family val="2"/>
        <scheme val="minor"/>
      </rPr>
      <t>Fe</t>
    </r>
  </si>
  <si>
    <r>
      <t>X</t>
    </r>
    <r>
      <rPr>
        <vertAlign val="subscript"/>
        <sz val="11"/>
        <rFont val="Calibri"/>
        <family val="2"/>
        <scheme val="minor"/>
      </rPr>
      <t>HFO,P</t>
    </r>
  </si>
  <si>
    <r>
      <t>PrecipDrivingForce</t>
    </r>
    <r>
      <rPr>
        <vertAlign val="subscript"/>
        <sz val="11"/>
        <color theme="1"/>
        <rFont val="Calibri"/>
        <family val="2"/>
        <scheme val="minor"/>
      </rPr>
      <t>STR</t>
    </r>
  </si>
  <si>
    <r>
      <t>(([Mg</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^(1/3)</t>
    </r>
    <r>
      <rPr>
        <sz val="11"/>
        <color theme="1"/>
        <rFont val="Calibri"/>
        <family val="2"/>
        <scheme val="minor"/>
      </rPr>
      <t>*[NH</t>
    </r>
    <r>
      <rPr>
        <vertAlign val="subscript"/>
        <sz val="11"/>
        <color theme="1"/>
        <rFont val="Calibri"/>
        <family val="2"/>
        <scheme val="minor"/>
      </rPr>
      <t>4</t>
    </r>
    <r>
      <rPr>
        <vertAlign val="superscript"/>
        <sz val="11"/>
        <color theme="1"/>
        <rFont val="Calibri"/>
        <family val="2"/>
        <scheme val="minor"/>
      </rPr>
      <t>+</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</si>
  <si>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</si>
  <si>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*[CO</t>
    </r>
    <r>
      <rPr>
        <vertAlign val="subscript"/>
        <sz val="11"/>
        <color theme="1"/>
        <rFont val="Calibri"/>
        <family val="2"/>
        <scheme val="minor"/>
      </rPr>
      <t>3</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</si>
  <si>
    <r>
      <t>PrecipDrivingForce</t>
    </r>
    <r>
      <rPr>
        <vertAlign val="subscript"/>
        <sz val="11"/>
        <color theme="1"/>
        <rFont val="Calibri"/>
        <family val="2"/>
        <scheme val="minor"/>
      </rPr>
      <t>Vivi</t>
    </r>
  </si>
  <si>
    <r>
      <t>(([Fe</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 xml:space="preserve"> - 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t>
    </r>
  </si>
  <si>
    <r>
      <t>g N.m</t>
    </r>
    <r>
      <rPr>
        <vertAlign val="superscript"/>
        <sz val="11"/>
        <rFont val="Calibri"/>
        <family val="2"/>
        <scheme val="minor"/>
      </rPr>
      <t>-3</t>
    </r>
    <r>
      <rPr>
        <sz val="11"/>
        <rFont val="Calibri"/>
        <family val="2"/>
        <scheme val="minor"/>
      </rPr>
      <t>.d</t>
    </r>
    <r>
      <rPr>
        <vertAlign val="superscript"/>
        <sz val="11"/>
        <rFont val="Calibri"/>
        <family val="2"/>
        <scheme val="minor"/>
      </rPr>
      <t>-1</t>
    </r>
  </si>
  <si>
    <r>
      <t>K</t>
    </r>
    <r>
      <rPr>
        <vertAlign val="subscript"/>
        <sz val="11"/>
        <rFont val="Calibri"/>
        <family val="2"/>
        <scheme val="minor"/>
      </rPr>
      <t>SB</t>
    </r>
  </si>
  <si>
    <r>
      <t>K</t>
    </r>
    <r>
      <rPr>
        <vertAlign val="subscript"/>
        <sz val="11"/>
        <rFont val="Calibri"/>
        <family val="2"/>
        <scheme val="minor"/>
      </rPr>
      <t>VFA</t>
    </r>
  </si>
  <si>
    <r>
      <t>g COD.m</t>
    </r>
    <r>
      <rPr>
        <vertAlign val="superscript"/>
        <sz val="11"/>
        <rFont val="Calibri"/>
        <family val="2"/>
        <scheme val="minor"/>
      </rPr>
      <t>-3</t>
    </r>
    <r>
      <rPr>
        <sz val="11"/>
        <color theme="1"/>
        <rFont val="Calibri"/>
        <family val="2"/>
        <scheme val="minor"/>
      </rPr>
      <t/>
    </r>
  </si>
  <si>
    <r>
      <t>K</t>
    </r>
    <r>
      <rPr>
        <vertAlign val="subscript"/>
        <sz val="11"/>
        <rFont val="Calibri"/>
        <family val="2"/>
        <scheme val="minor"/>
      </rPr>
      <t>O2,OHO</t>
    </r>
  </si>
  <si>
    <r>
      <t>K</t>
    </r>
    <r>
      <rPr>
        <vertAlign val="subscript"/>
        <sz val="11"/>
        <rFont val="Calibri"/>
        <family val="2"/>
        <scheme val="minor"/>
      </rPr>
      <t>MEOL,OHO</t>
    </r>
  </si>
  <si>
    <r>
      <t>K</t>
    </r>
    <r>
      <rPr>
        <vertAlign val="subscript"/>
        <sz val="11"/>
        <rFont val="Calibri"/>
        <family val="2"/>
        <scheme val="minor"/>
      </rPr>
      <t>NO3,OHO</t>
    </r>
  </si>
  <si>
    <r>
      <t>K</t>
    </r>
    <r>
      <rPr>
        <vertAlign val="subscript"/>
        <sz val="11"/>
        <rFont val="Calibri"/>
        <family val="2"/>
        <scheme val="minor"/>
      </rPr>
      <t>MEOL</t>
    </r>
  </si>
  <si>
    <r>
      <t>K</t>
    </r>
    <r>
      <rPr>
        <vertAlign val="subscript"/>
        <sz val="11"/>
        <rFont val="Calibri"/>
        <family val="2"/>
        <scheme val="minor"/>
      </rPr>
      <t>NO3,MEOLO</t>
    </r>
  </si>
  <si>
    <r>
      <t>K</t>
    </r>
    <r>
      <rPr>
        <vertAlign val="subscript"/>
        <sz val="11"/>
        <rFont val="Calibri"/>
        <family val="2"/>
        <scheme val="minor"/>
      </rPr>
      <t>PHA</t>
    </r>
  </si>
  <si>
    <r>
      <t>K</t>
    </r>
    <r>
      <rPr>
        <vertAlign val="subscript"/>
        <sz val="11"/>
        <rFont val="Calibri"/>
        <family val="2"/>
        <scheme val="minor"/>
      </rPr>
      <t>VFA,AMETO</t>
    </r>
  </si>
  <si>
    <r>
      <t>K</t>
    </r>
    <r>
      <rPr>
        <vertAlign val="subscript"/>
        <sz val="11"/>
        <rFont val="Calibri"/>
        <family val="2"/>
        <scheme val="minor"/>
      </rPr>
      <t>H2,HMETO</t>
    </r>
  </si>
  <si>
    <r>
      <t>K</t>
    </r>
    <r>
      <rPr>
        <vertAlign val="subscript"/>
        <sz val="11"/>
        <rFont val="Calibri"/>
        <family val="2"/>
        <scheme val="minor"/>
      </rPr>
      <t>P,BIND</t>
    </r>
  </si>
  <si>
    <r>
      <t>K</t>
    </r>
    <r>
      <rPr>
        <vertAlign val="subscript"/>
        <sz val="11"/>
        <rFont val="Calibri"/>
        <family val="2"/>
        <scheme val="minor"/>
      </rPr>
      <t>CO2,BIO</t>
    </r>
  </si>
  <si>
    <r>
      <t>Msat</t>
    </r>
    <r>
      <rPr>
        <vertAlign val="subscript"/>
        <sz val="11"/>
        <rFont val="Calibri"/>
        <family val="2"/>
        <scheme val="minor"/>
      </rPr>
      <t>SO2,KO2,OHO</t>
    </r>
  </si>
  <si>
    <r>
      <t>Msat(S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</si>
  <si>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r>
      <t>Msat</t>
    </r>
    <r>
      <rPr>
        <vertAlign val="subscript"/>
        <sz val="11"/>
        <rFont val="Calibri"/>
        <family val="2"/>
        <scheme val="minor"/>
      </rPr>
      <t>SMEOL,KMEOL,OHO</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</si>
  <si>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MEOL,OHO</t>
    </r>
    <r>
      <rPr>
        <sz val="11"/>
        <rFont val="Calibri"/>
        <family val="2"/>
        <scheme val="minor"/>
      </rPr>
      <t>)</t>
    </r>
  </si>
  <si>
    <r>
      <t>Msat</t>
    </r>
    <r>
      <rPr>
        <vertAlign val="subscript"/>
        <sz val="11"/>
        <rFont val="Calibri"/>
        <family val="2"/>
        <scheme val="minor"/>
      </rPr>
      <t>SPO4,KP,BIND</t>
    </r>
  </si>
  <si>
    <r>
      <t>Msat(S</t>
    </r>
    <r>
      <rPr>
        <vertAlign val="subscript"/>
        <sz val="11"/>
        <rFont val="Calibri"/>
        <family val="2"/>
        <scheme val="minor"/>
      </rPr>
      <t>PO4</t>
    </r>
    <r>
      <rPr>
        <sz val="11"/>
        <rFont val="Calibri"/>
        <family val="2"/>
        <scheme val="minor"/>
      </rPr>
      <t>;K</t>
    </r>
    <r>
      <rPr>
        <vertAlign val="subscript"/>
        <sz val="11"/>
        <rFont val="Calibri"/>
        <family val="2"/>
        <scheme val="minor"/>
      </rPr>
      <t>P,BIND</t>
    </r>
    <r>
      <rPr>
        <sz val="11"/>
        <rFont val="Calibri"/>
        <family val="2"/>
        <scheme val="minor"/>
      </rPr>
      <t>)</t>
    </r>
  </si>
  <si>
    <r>
      <t>Msat</t>
    </r>
    <r>
      <rPr>
        <vertAlign val="subscript"/>
        <sz val="11"/>
        <rFont val="Calibri"/>
        <family val="2"/>
        <scheme val="minor"/>
      </rPr>
      <t>SMEOL,KMEOL</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</si>
  <si>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t>
    </r>
    <r>
      <rPr>
        <sz val="11"/>
        <rFont val="Calibri"/>
        <family val="2"/>
        <scheme val="minor"/>
      </rPr>
      <t>)</t>
    </r>
  </si>
  <si>
    <r>
      <t>Msat</t>
    </r>
    <r>
      <rPr>
        <vertAlign val="subscript"/>
        <sz val="11"/>
        <rFont val="Calibri"/>
        <family val="2"/>
        <scheme val="minor"/>
      </rPr>
      <t>SNHx,KNHx,BIO</t>
    </r>
  </si>
  <si>
    <r>
      <t>Msat(S</t>
    </r>
    <r>
      <rPr>
        <vertAlign val="subscript"/>
        <sz val="11"/>
        <rFont val="Calibri"/>
        <family val="2"/>
        <scheme val="minor"/>
      </rPr>
      <t>NHx</t>
    </r>
    <r>
      <rPr>
        <sz val="11"/>
        <rFont val="Calibri"/>
        <family val="2"/>
        <scheme val="minor"/>
      </rPr>
      <t>;K</t>
    </r>
    <r>
      <rPr>
        <vertAlign val="subscript"/>
        <sz val="11"/>
        <rFont val="Calibri"/>
        <family val="2"/>
        <scheme val="minor"/>
      </rPr>
      <t>NHx,BIO</t>
    </r>
    <r>
      <rPr>
        <sz val="11"/>
        <rFont val="Calibri"/>
        <family val="2"/>
        <scheme val="minor"/>
      </rPr>
      <t>)</t>
    </r>
  </si>
  <si>
    <r>
      <t>Msat</t>
    </r>
    <r>
      <rPr>
        <vertAlign val="subscript"/>
        <sz val="11"/>
        <rFont val="Calibri"/>
        <family val="2"/>
        <scheme val="minor"/>
      </rPr>
      <t>SPO4,KPO4,BIO</t>
    </r>
  </si>
  <si>
    <r>
      <t>Msat(S</t>
    </r>
    <r>
      <rPr>
        <vertAlign val="subscript"/>
        <sz val="11"/>
        <rFont val="Calibri"/>
        <family val="2"/>
        <scheme val="minor"/>
      </rPr>
      <t>PO4</t>
    </r>
    <r>
      <rPr>
        <sz val="11"/>
        <rFont val="Calibri"/>
        <family val="2"/>
        <scheme val="minor"/>
      </rPr>
      <t>;K</t>
    </r>
    <r>
      <rPr>
        <vertAlign val="subscript"/>
        <sz val="11"/>
        <rFont val="Calibri"/>
        <family val="2"/>
        <scheme val="minor"/>
      </rPr>
      <t>PO4,BIO</t>
    </r>
    <r>
      <rPr>
        <sz val="11"/>
        <rFont val="Calibri"/>
        <family val="2"/>
        <scheme val="minor"/>
      </rPr>
      <t>)</t>
    </r>
  </si>
  <si>
    <r>
      <t>Msat</t>
    </r>
    <r>
      <rPr>
        <vertAlign val="subscript"/>
        <sz val="11"/>
        <rFont val="Calibri"/>
        <family val="2"/>
        <scheme val="minor"/>
      </rPr>
      <t>SCAT,KCAT</t>
    </r>
  </si>
  <si>
    <r>
      <t>Msat(S</t>
    </r>
    <r>
      <rPr>
        <vertAlign val="subscript"/>
        <sz val="11"/>
        <rFont val="Calibri"/>
        <family val="2"/>
        <scheme val="minor"/>
      </rPr>
      <t>CAT</t>
    </r>
    <r>
      <rPr>
        <sz val="11"/>
        <rFont val="Calibri"/>
        <family val="2"/>
        <scheme val="minor"/>
      </rPr>
      <t>;K</t>
    </r>
    <r>
      <rPr>
        <vertAlign val="subscript"/>
        <sz val="11"/>
        <rFont val="Calibri"/>
        <family val="2"/>
        <scheme val="minor"/>
      </rPr>
      <t>CAT</t>
    </r>
    <r>
      <rPr>
        <sz val="11"/>
        <rFont val="Calibri"/>
        <family val="2"/>
        <scheme val="minor"/>
      </rPr>
      <t>)</t>
    </r>
  </si>
  <si>
    <r>
      <t>Msat</t>
    </r>
    <r>
      <rPr>
        <vertAlign val="subscript"/>
        <sz val="11"/>
        <rFont val="Calibri"/>
        <family val="2"/>
        <scheme val="minor"/>
      </rPr>
      <t>SAN,KAN</t>
    </r>
  </si>
  <si>
    <r>
      <t>Msat(S</t>
    </r>
    <r>
      <rPr>
        <vertAlign val="subscript"/>
        <sz val="11"/>
        <rFont val="Calibri"/>
        <family val="2"/>
        <scheme val="minor"/>
      </rPr>
      <t>AN</t>
    </r>
    <r>
      <rPr>
        <sz val="11"/>
        <rFont val="Calibri"/>
        <family val="2"/>
        <scheme val="minor"/>
      </rPr>
      <t>;K</t>
    </r>
    <r>
      <rPr>
        <vertAlign val="subscript"/>
        <sz val="11"/>
        <rFont val="Calibri"/>
        <family val="2"/>
        <scheme val="minor"/>
      </rPr>
      <t>AN</t>
    </r>
    <r>
      <rPr>
        <sz val="11"/>
        <rFont val="Calibri"/>
        <family val="2"/>
        <scheme val="minor"/>
      </rPr>
      <t>)</t>
    </r>
  </si>
  <si>
    <r>
      <t>Msat</t>
    </r>
    <r>
      <rPr>
        <vertAlign val="subscript"/>
        <sz val="11"/>
        <rFont val="Calibri"/>
        <family val="2"/>
        <scheme val="minor"/>
      </rPr>
      <t>SB,KSB</t>
    </r>
  </si>
  <si>
    <r>
      <t>Msat(S</t>
    </r>
    <r>
      <rPr>
        <vertAlign val="subscript"/>
        <sz val="11"/>
        <rFont val="Calibri"/>
        <family val="2"/>
        <scheme val="minor"/>
      </rPr>
      <t>B</t>
    </r>
    <r>
      <rPr>
        <sz val="11"/>
        <rFont val="Calibri"/>
        <family val="2"/>
        <scheme val="minor"/>
      </rPr>
      <t>;K</t>
    </r>
    <r>
      <rPr>
        <vertAlign val="subscript"/>
        <sz val="11"/>
        <rFont val="Calibri"/>
        <family val="2"/>
        <scheme val="minor"/>
      </rPr>
      <t>SB</t>
    </r>
    <r>
      <rPr>
        <sz val="11"/>
        <rFont val="Calibri"/>
        <family val="2"/>
        <scheme val="minor"/>
      </rPr>
      <t>)</t>
    </r>
  </si>
  <si>
    <r>
      <t>Msat</t>
    </r>
    <r>
      <rPr>
        <vertAlign val="subscript"/>
        <sz val="11"/>
        <rFont val="Calibri"/>
        <family val="2"/>
        <scheme val="minor"/>
      </rPr>
      <t>SPO4,KPO4,PAO</t>
    </r>
  </si>
  <si>
    <r>
      <t>Msat(S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t>
    </r>
  </si>
  <si>
    <r>
      <t>Msat</t>
    </r>
    <r>
      <rPr>
        <vertAlign val="subscript"/>
        <sz val="11"/>
        <rFont val="Calibri"/>
        <family val="2"/>
        <scheme val="minor"/>
      </rPr>
      <t>SCa,KCa,PAO</t>
    </r>
  </si>
  <si>
    <r>
      <t>Msat(S</t>
    </r>
    <r>
      <rPr>
        <vertAlign val="subscript"/>
        <sz val="11"/>
        <rFont val="Calibri"/>
        <family val="2"/>
        <scheme val="minor"/>
      </rPr>
      <t>Ca</t>
    </r>
    <r>
      <rPr>
        <sz val="11"/>
        <rFont val="Calibri"/>
        <family val="2"/>
        <scheme val="minor"/>
      </rPr>
      <t>;K</t>
    </r>
    <r>
      <rPr>
        <vertAlign val="subscript"/>
        <sz val="11"/>
        <rFont val="Calibri"/>
        <family val="2"/>
        <scheme val="minor"/>
      </rPr>
      <t>Ca,PAO</t>
    </r>
    <r>
      <rPr>
        <sz val="11"/>
        <rFont val="Calibri"/>
        <family val="2"/>
        <scheme val="minor"/>
      </rPr>
      <t>)</t>
    </r>
  </si>
  <si>
    <r>
      <t>Msat</t>
    </r>
    <r>
      <rPr>
        <vertAlign val="subscript"/>
        <sz val="11"/>
        <rFont val="Calibri"/>
        <family val="2"/>
        <scheme val="minor"/>
      </rPr>
      <t>SMg,KMg,PAO</t>
    </r>
  </si>
  <si>
    <r>
      <t>Msat(S</t>
    </r>
    <r>
      <rPr>
        <vertAlign val="subscript"/>
        <sz val="11"/>
        <rFont val="Calibri"/>
        <family val="2"/>
        <scheme val="minor"/>
      </rPr>
      <t>Mg</t>
    </r>
    <r>
      <rPr>
        <sz val="11"/>
        <rFont val="Calibri"/>
        <family val="2"/>
        <scheme val="minor"/>
      </rPr>
      <t>;K</t>
    </r>
    <r>
      <rPr>
        <vertAlign val="subscript"/>
        <sz val="11"/>
        <rFont val="Calibri"/>
        <family val="2"/>
        <scheme val="minor"/>
      </rPr>
      <t>Mg,PAO</t>
    </r>
    <r>
      <rPr>
        <sz val="11"/>
        <rFont val="Calibri"/>
        <family val="2"/>
        <scheme val="minor"/>
      </rPr>
      <t>)</t>
    </r>
  </si>
  <si>
    <r>
      <t>Msat</t>
    </r>
    <r>
      <rPr>
        <vertAlign val="subscript"/>
        <sz val="11"/>
        <rFont val="Calibri"/>
        <family val="2"/>
        <scheme val="minor"/>
      </rPr>
      <t>SK,KK,PAO</t>
    </r>
  </si>
  <si>
    <r>
      <t>Msat(S</t>
    </r>
    <r>
      <rPr>
        <vertAlign val="subscript"/>
        <sz val="11"/>
        <rFont val="Calibri"/>
        <family val="2"/>
        <scheme val="minor"/>
      </rPr>
      <t>K</t>
    </r>
    <r>
      <rPr>
        <sz val="11"/>
        <rFont val="Calibri"/>
        <family val="2"/>
        <scheme val="minor"/>
      </rPr>
      <t>;K</t>
    </r>
    <r>
      <rPr>
        <vertAlign val="subscript"/>
        <sz val="11"/>
        <rFont val="Calibri"/>
        <family val="2"/>
        <scheme val="minor"/>
      </rPr>
      <t>K,PAO</t>
    </r>
    <r>
      <rPr>
        <sz val="11"/>
        <rFont val="Calibri"/>
        <family val="2"/>
        <scheme val="minor"/>
      </rPr>
      <t>)</t>
    </r>
  </si>
  <si>
    <r>
      <t>Msat</t>
    </r>
    <r>
      <rPr>
        <vertAlign val="subscript"/>
        <sz val="11"/>
        <rFont val="Calibri"/>
        <family val="2"/>
        <scheme val="minor"/>
      </rPr>
      <t>SNOx,KNO3,AMETO</t>
    </r>
  </si>
  <si>
    <r>
      <t>Msat</t>
    </r>
    <r>
      <rPr>
        <vertAlign val="subscript"/>
        <sz val="11"/>
        <rFont val="Calibri"/>
        <family val="2"/>
        <scheme val="minor"/>
      </rPr>
      <t>SNOx,KNO3,HMETO</t>
    </r>
  </si>
  <si>
    <r>
      <t>Msat</t>
    </r>
    <r>
      <rPr>
        <vertAlign val="subscript"/>
        <sz val="11"/>
        <rFont val="Calibri"/>
        <family val="2"/>
        <scheme val="minor"/>
      </rPr>
      <t>SCO2,KCO2,BIO</t>
    </r>
  </si>
  <si>
    <r>
      <t>Msat(S</t>
    </r>
    <r>
      <rPr>
        <vertAlign val="subscript"/>
        <sz val="11"/>
        <rFont val="Calibri"/>
        <family val="2"/>
        <scheme val="minor"/>
      </rPr>
      <t>CO2</t>
    </r>
    <r>
      <rPr>
        <sz val="11"/>
        <rFont val="Calibri"/>
        <family val="2"/>
        <scheme val="minor"/>
      </rPr>
      <t>;K</t>
    </r>
    <r>
      <rPr>
        <vertAlign val="subscript"/>
        <sz val="11"/>
        <rFont val="Calibri"/>
        <family val="2"/>
        <scheme val="minor"/>
      </rPr>
      <t>CO2,BIO</t>
    </r>
    <r>
      <rPr>
        <sz val="11"/>
        <rFont val="Calibri"/>
        <family val="2"/>
        <scheme val="minor"/>
      </rPr>
      <t>)</t>
    </r>
  </si>
  <si>
    <r>
      <t>Msat</t>
    </r>
    <r>
      <rPr>
        <vertAlign val="subscript"/>
        <sz val="11"/>
        <rFont val="Calibri"/>
        <family val="2"/>
        <scheme val="minor"/>
      </rPr>
      <t>SH2,KH2,HMETO</t>
    </r>
  </si>
  <si>
    <r>
      <t>Msat(S</t>
    </r>
    <r>
      <rPr>
        <vertAlign val="subscript"/>
        <sz val="11"/>
        <rFont val="Calibri"/>
        <family val="2"/>
        <scheme val="minor"/>
      </rPr>
      <t>H2</t>
    </r>
    <r>
      <rPr>
        <sz val="11"/>
        <rFont val="Calibri"/>
        <family val="2"/>
        <scheme val="minor"/>
      </rPr>
      <t>;K</t>
    </r>
    <r>
      <rPr>
        <vertAlign val="subscript"/>
        <sz val="11"/>
        <rFont val="Calibri"/>
        <family val="2"/>
        <scheme val="minor"/>
      </rPr>
      <t>H2,HMETO</t>
    </r>
    <r>
      <rPr>
        <sz val="11"/>
        <rFont val="Calibri"/>
        <family val="2"/>
        <scheme val="minor"/>
      </rPr>
      <t>)</t>
    </r>
  </si>
  <si>
    <r>
      <t>MRsat</t>
    </r>
    <r>
      <rPr>
        <vertAlign val="subscript"/>
        <sz val="11"/>
        <rFont val="Calibri"/>
        <family val="2"/>
        <scheme val="minor"/>
      </rPr>
      <t>XPHA,XPAO,KPHA</t>
    </r>
  </si>
  <si>
    <r>
      <t>MRsat(X</t>
    </r>
    <r>
      <rPr>
        <vertAlign val="subscript"/>
        <sz val="11"/>
        <rFont val="Calibri"/>
        <family val="2"/>
        <scheme val="minor"/>
      </rPr>
      <t>PHA</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t>
    </r>
    <r>
      <rPr>
        <sz val="11"/>
        <rFont val="Calibri"/>
        <family val="2"/>
        <scheme val="minor"/>
      </rPr>
      <t>)</t>
    </r>
  </si>
  <si>
    <r>
      <t>Minh</t>
    </r>
    <r>
      <rPr>
        <vertAlign val="subscript"/>
        <sz val="11"/>
        <rFont val="Calibri"/>
        <family val="2"/>
        <scheme val="minor"/>
      </rPr>
      <t>SVFA,KVFA</t>
    </r>
  </si>
  <si>
    <r>
      <t>Minh(S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</si>
  <si>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Minh</t>
    </r>
    <r>
      <rPr>
        <vertAlign val="subscript"/>
        <sz val="11"/>
        <rFont val="Calibri"/>
        <family val="2"/>
        <scheme val="minor"/>
      </rPr>
      <t>SO2,KO2,OHO</t>
    </r>
  </si>
  <si>
    <r>
      <t>Minh</t>
    </r>
    <r>
      <rPr>
        <vertAlign val="subscript"/>
        <sz val="11"/>
        <rFont val="Calibri"/>
        <family val="2"/>
        <scheme val="minor"/>
      </rPr>
      <t>SNOx,KNO3,AMETO</t>
    </r>
  </si>
  <si>
    <r>
      <t>Minh</t>
    </r>
    <r>
      <rPr>
        <vertAlign val="subscript"/>
        <sz val="11"/>
        <rFont val="Calibri"/>
        <family val="2"/>
        <scheme val="minor"/>
      </rPr>
      <t>SNOx,KNO3,HMETO</t>
    </r>
  </si>
  <si>
    <r>
      <t>Bellinh</t>
    </r>
    <r>
      <rPr>
        <vertAlign val="subscript"/>
        <sz val="11"/>
        <rFont val="Calibri"/>
        <family val="2"/>
        <scheme val="minor"/>
      </rPr>
      <t>pH</t>
    </r>
  </si>
  <si>
    <r>
      <t>Bellinh(pH;pH</t>
    </r>
    <r>
      <rPr>
        <vertAlign val="subscript"/>
        <sz val="11"/>
        <rFont val="Calibri"/>
        <family val="2"/>
        <scheme val="minor"/>
      </rPr>
      <t>low</t>
    </r>
    <r>
      <rPr>
        <sz val="11"/>
        <rFont val="Calibri"/>
        <family val="2"/>
        <scheme val="minor"/>
      </rPr>
      <t>;pH</t>
    </r>
    <r>
      <rPr>
        <vertAlign val="subscript"/>
        <sz val="11"/>
        <rFont val="Calibri"/>
        <family val="2"/>
        <scheme val="minor"/>
      </rPr>
      <t>high</t>
    </r>
    <r>
      <rPr>
        <sz val="11"/>
        <rFont val="Calibri"/>
        <family val="2"/>
        <scheme val="minor"/>
      </rPr>
      <t>)</t>
    </r>
  </si>
  <si>
    <r>
      <t>µ</t>
    </r>
    <r>
      <rPr>
        <vertAlign val="subscript"/>
        <sz val="11"/>
        <color indexed="8"/>
        <rFont val="Calibri"/>
        <family val="2"/>
        <scheme val="minor"/>
      </rPr>
      <t>OHO,T</t>
    </r>
  </si>
  <si>
    <r>
      <t>µ</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µ,OHO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</si>
  <si>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FERM,OHO,T</t>
    </r>
  </si>
  <si>
    <r>
      <t>µ</t>
    </r>
    <r>
      <rPr>
        <vertAlign val="subscript"/>
        <sz val="11"/>
        <color indexed="8"/>
        <rFont val="Calibri"/>
        <family val="2"/>
        <scheme val="minor"/>
      </rPr>
      <t>FERM,OHO</t>
    </r>
    <r>
      <rPr>
        <sz val="11"/>
        <color indexed="8"/>
        <rFont val="Calibri"/>
        <family val="2"/>
        <scheme val="minor"/>
      </rPr>
      <t>*Arrh(θ</t>
    </r>
    <r>
      <rPr>
        <vertAlign val="subscript"/>
        <sz val="11"/>
        <color indexed="8"/>
        <rFont val="Calibri"/>
        <family val="2"/>
        <scheme val="minor"/>
      </rPr>
      <t>FERM,OHO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</si>
  <si>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OHO,T</t>
    </r>
  </si>
  <si>
    <r>
      <t>b</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b,OHO</t>
    </r>
    <r>
      <rPr>
        <sz val="11"/>
        <color indexed="8"/>
        <rFont val="Calibri"/>
        <family val="2"/>
        <scheme val="minor"/>
      </rPr>
      <t>;T;T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</si>
  <si>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MEOLO,T</t>
    </r>
  </si>
  <si>
    <r>
      <t>µ</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µ,MEOLO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</si>
  <si>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MEOLO,T</t>
    </r>
  </si>
  <si>
    <r>
      <t>b</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b,MEOLO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</si>
  <si>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PAO,PHA,T</t>
    </r>
  </si>
  <si>
    <r>
      <t>q</t>
    </r>
    <r>
      <rPr>
        <vertAlign val="subscript"/>
        <sz val="11"/>
        <color indexed="8"/>
        <rFont val="Calibri"/>
        <family val="2"/>
        <scheme val="minor"/>
      </rPr>
      <t>PAO,PHA</t>
    </r>
    <r>
      <rPr>
        <sz val="11"/>
        <color indexed="8"/>
        <rFont val="Calibri"/>
        <family val="2"/>
        <scheme val="minor"/>
      </rPr>
      <t>*Arrh(θ</t>
    </r>
    <r>
      <rPr>
        <vertAlign val="subscript"/>
        <sz val="11"/>
        <color indexed="8"/>
        <rFont val="Calibri"/>
        <family val="2"/>
        <scheme val="minor"/>
      </rPr>
      <t>q,PAO,PHA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</si>
  <si>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AMETO,T</t>
    </r>
  </si>
  <si>
    <r>
      <t>µ</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µ,AMETO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</si>
  <si>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AMETO,T</t>
    </r>
  </si>
  <si>
    <r>
      <t>b</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b,AMETO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</si>
  <si>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HMETO,T</t>
    </r>
  </si>
  <si>
    <r>
      <t>µ</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µ,HMETO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</si>
  <si>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HMETO,T</t>
    </r>
  </si>
  <si>
    <r>
      <t>b</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b,HMETO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</si>
  <si>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FLOC,T</t>
    </r>
  </si>
  <si>
    <r>
      <t>q</t>
    </r>
    <r>
      <rPr>
        <vertAlign val="subscript"/>
        <sz val="11"/>
        <color indexed="8"/>
        <rFont val="Calibri"/>
        <family val="2"/>
        <scheme val="minor"/>
      </rPr>
      <t>FLOC</t>
    </r>
    <r>
      <rPr>
        <sz val="11"/>
        <color indexed="8"/>
        <rFont val="Calibri"/>
        <family val="2"/>
        <scheme val="minor"/>
      </rPr>
      <t>*Arrh(θ</t>
    </r>
    <r>
      <rPr>
        <vertAlign val="subscript"/>
        <sz val="11"/>
        <color indexed="8"/>
        <rFont val="Calibri"/>
        <family val="2"/>
        <scheme val="minor"/>
      </rPr>
      <t>q,FLOC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</si>
  <si>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HYD,T</t>
    </r>
  </si>
  <si>
    <r>
      <t>q</t>
    </r>
    <r>
      <rPr>
        <vertAlign val="subscript"/>
        <sz val="11"/>
        <color indexed="8"/>
        <rFont val="Calibri"/>
        <family val="2"/>
        <scheme val="minor"/>
      </rPr>
      <t>HYD</t>
    </r>
    <r>
      <rPr>
        <sz val="11"/>
        <color indexed="8"/>
        <rFont val="Calibri"/>
        <family val="2"/>
        <scheme val="minor"/>
      </rPr>
      <t>*Arrh(θ</t>
    </r>
    <r>
      <rPr>
        <vertAlign val="subscript"/>
        <sz val="11"/>
        <color indexed="8"/>
        <rFont val="Calibri"/>
        <family val="2"/>
        <scheme val="minor"/>
      </rPr>
      <t>q,HYD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</si>
  <si>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AMMON,T</t>
    </r>
  </si>
  <si>
    <r>
      <t>q</t>
    </r>
    <r>
      <rPr>
        <vertAlign val="subscript"/>
        <sz val="11"/>
        <color indexed="8"/>
        <rFont val="Calibri"/>
        <family val="2"/>
        <scheme val="minor"/>
      </rPr>
      <t>AMMON</t>
    </r>
    <r>
      <rPr>
        <sz val="11"/>
        <color indexed="8"/>
        <rFont val="Calibri"/>
        <family val="2"/>
        <scheme val="minor"/>
      </rPr>
      <t>*Arrh(θ</t>
    </r>
    <r>
      <rPr>
        <vertAlign val="subscript"/>
        <sz val="11"/>
        <color indexed="8"/>
        <rFont val="Calibri"/>
        <family val="2"/>
        <scheme val="minor"/>
      </rPr>
      <t>q,AMMON</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</si>
  <si>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ASSIM,T</t>
    </r>
  </si>
  <si>
    <r>
      <t>q</t>
    </r>
    <r>
      <rPr>
        <vertAlign val="subscript"/>
        <sz val="11"/>
        <color indexed="8"/>
        <rFont val="Calibri"/>
        <family val="2"/>
        <scheme val="minor"/>
      </rPr>
      <t>ASSIM</t>
    </r>
    <r>
      <rPr>
        <sz val="11"/>
        <color indexed="8"/>
        <rFont val="Calibri"/>
        <family val="2"/>
        <scheme val="minor"/>
      </rPr>
      <t>*Arrh(θ</t>
    </r>
    <r>
      <rPr>
        <vertAlign val="subscript"/>
        <sz val="11"/>
        <color indexed="8"/>
        <rFont val="Calibri"/>
        <family val="2"/>
        <scheme val="minor"/>
      </rPr>
      <t>q,ASSIM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</si>
  <si>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1.82483*10^6*ρ^(0.5)*(ε*T</t>
    </r>
    <r>
      <rPr>
        <vertAlign val="subscript"/>
        <sz val="11"/>
        <rFont val="Calibri"/>
        <family val="2"/>
        <scheme val="minor"/>
      </rPr>
      <t>K</t>
    </r>
    <r>
      <rPr>
        <sz val="11"/>
        <rFont val="Calibri"/>
        <family val="2"/>
        <scheme val="minor"/>
      </rPr>
      <t>)^(-1.5)</t>
    </r>
  </si>
  <si>
    <r>
      <t>10^(-(3404.7/T</t>
    </r>
    <r>
      <rPr>
        <vertAlign val="subscript"/>
        <sz val="11"/>
        <rFont val="Calibri"/>
        <family val="2"/>
        <scheme val="minor"/>
      </rPr>
      <t>K</t>
    </r>
    <r>
      <rPr>
        <sz val="11"/>
        <rFont val="Calibri"/>
        <family val="2"/>
        <scheme val="minor"/>
      </rPr>
      <t>-14.8435+T</t>
    </r>
    <r>
      <rPr>
        <vertAlign val="subscript"/>
        <sz val="11"/>
        <rFont val="Calibri"/>
        <family val="2"/>
        <scheme val="minor"/>
      </rPr>
      <t>K</t>
    </r>
    <r>
      <rPr>
        <sz val="11"/>
        <rFont val="Calibri"/>
        <family val="2"/>
        <scheme val="minor"/>
      </rPr>
      <t>*0.03279))</t>
    </r>
  </si>
  <si>
    <r>
      <t>10^(-(2902.4/T</t>
    </r>
    <r>
      <rPr>
        <vertAlign val="subscript"/>
        <sz val="11"/>
        <rFont val="Calibri"/>
        <family val="2"/>
        <scheme val="minor"/>
      </rPr>
      <t>K</t>
    </r>
    <r>
      <rPr>
        <sz val="11"/>
        <rFont val="Calibri"/>
        <family val="2"/>
        <scheme val="minor"/>
      </rPr>
      <t>-6.498+T</t>
    </r>
    <r>
      <rPr>
        <vertAlign val="subscript"/>
        <sz val="11"/>
        <rFont val="Calibri"/>
        <family val="2"/>
        <scheme val="minor"/>
      </rPr>
      <t>K</t>
    </r>
    <r>
      <rPr>
        <sz val="11"/>
        <rFont val="Calibri"/>
        <family val="2"/>
        <scheme val="minor"/>
      </rPr>
      <t>*0.02379))</t>
    </r>
  </si>
  <si>
    <r>
      <t>10^(-(799.3/T</t>
    </r>
    <r>
      <rPr>
        <vertAlign val="subscript"/>
        <sz val="11"/>
        <rFont val="Calibri"/>
        <family val="2"/>
        <scheme val="minor"/>
      </rPr>
      <t>K</t>
    </r>
    <r>
      <rPr>
        <sz val="11"/>
        <rFont val="Calibri"/>
        <family val="2"/>
        <scheme val="minor"/>
      </rPr>
      <t>-4.5535+T</t>
    </r>
    <r>
      <rPr>
        <vertAlign val="subscript"/>
        <sz val="11"/>
        <rFont val="Calibri"/>
        <family val="2"/>
        <scheme val="minor"/>
      </rPr>
      <t>K</t>
    </r>
    <r>
      <rPr>
        <sz val="11"/>
        <rFont val="Calibri"/>
        <family val="2"/>
        <scheme val="minor"/>
      </rPr>
      <t>*0.01349))</t>
    </r>
  </si>
  <si>
    <r>
      <t>10^(-(1979.5/T</t>
    </r>
    <r>
      <rPr>
        <vertAlign val="subscript"/>
        <sz val="11"/>
        <rFont val="Calibri"/>
        <family val="2"/>
        <scheme val="minor"/>
      </rPr>
      <t>K</t>
    </r>
    <r>
      <rPr>
        <sz val="11"/>
        <rFont val="Calibri"/>
        <family val="2"/>
        <scheme val="minor"/>
      </rPr>
      <t>-5.3541+T</t>
    </r>
    <r>
      <rPr>
        <vertAlign val="subscript"/>
        <sz val="11"/>
        <rFont val="Calibri"/>
        <family val="2"/>
        <scheme val="minor"/>
      </rPr>
      <t>K</t>
    </r>
    <r>
      <rPr>
        <sz val="11"/>
        <rFont val="Calibri"/>
        <family val="2"/>
        <scheme val="minor"/>
      </rPr>
      <t>*0.01984))</t>
    </r>
  </si>
  <si>
    <r>
      <t>10^(-(1170.5/T</t>
    </r>
    <r>
      <rPr>
        <vertAlign val="subscript"/>
        <sz val="11"/>
        <rFont val="Calibri"/>
        <family val="2"/>
        <scheme val="minor"/>
      </rPr>
      <t>K</t>
    </r>
    <r>
      <rPr>
        <sz val="11"/>
        <rFont val="Calibri"/>
        <family val="2"/>
        <scheme val="minor"/>
      </rPr>
      <t>-3.165+T</t>
    </r>
    <r>
      <rPr>
        <vertAlign val="subscript"/>
        <sz val="11"/>
        <rFont val="Calibri"/>
        <family val="2"/>
        <scheme val="minor"/>
      </rPr>
      <t>K</t>
    </r>
    <r>
      <rPr>
        <sz val="11"/>
        <rFont val="Calibri"/>
        <family val="2"/>
        <scheme val="minor"/>
      </rPr>
      <t>*0.0134))</t>
    </r>
  </si>
  <si>
    <r>
      <t>IS -IS</t>
    </r>
    <r>
      <rPr>
        <vertAlign val="subscript"/>
        <sz val="11"/>
        <rFont val="Calibri"/>
        <family val="2"/>
        <scheme val="minor"/>
      </rPr>
      <t>calc</t>
    </r>
  </si>
  <si>
    <r>
      <t>T</t>
    </r>
    <r>
      <rPr>
        <vertAlign val="subscript"/>
        <sz val="11"/>
        <rFont val="Calibri"/>
        <family val="2"/>
        <scheme val="minor"/>
      </rPr>
      <t>K</t>
    </r>
  </si>
  <si>
    <r>
      <t>Msat(S</t>
    </r>
    <r>
      <rPr>
        <vertAlign val="subscript"/>
        <sz val="11"/>
        <rFont val="Calibri"/>
        <family val="2"/>
        <scheme val="minor"/>
      </rPr>
      <t>B</t>
    </r>
    <r>
      <rPr>
        <sz val="11"/>
        <rFont val="Calibri"/>
        <family val="2"/>
        <scheme val="minor"/>
      </rPr>
      <t>;K</t>
    </r>
    <r>
      <rPr>
        <vertAlign val="subscript"/>
        <sz val="11"/>
        <rFont val="Calibri"/>
        <family val="2"/>
        <scheme val="minor"/>
      </rPr>
      <t>SB,ana</t>
    </r>
    <r>
      <rPr>
        <sz val="11"/>
        <rFont val="Calibri"/>
        <family val="2"/>
        <scheme val="minor"/>
      </rPr>
      <t>)</t>
    </r>
  </si>
  <si>
    <r>
      <t>Msat</t>
    </r>
    <r>
      <rPr>
        <vertAlign val="subscript"/>
        <sz val="11"/>
        <rFont val="Calibri"/>
        <family val="2"/>
        <scheme val="minor"/>
      </rPr>
      <t>SB,KSB,ana</t>
    </r>
  </si>
  <si>
    <r>
      <t>µ</t>
    </r>
    <r>
      <rPr>
        <vertAlign val="subscript"/>
        <sz val="11"/>
        <color indexed="8"/>
        <rFont val="Calibri"/>
        <family val="2"/>
        <scheme val="minor"/>
      </rPr>
      <t>PAO,lim,T</t>
    </r>
  </si>
  <si>
    <r>
      <t>q</t>
    </r>
    <r>
      <rPr>
        <vertAlign val="subscript"/>
        <sz val="11"/>
        <color indexed="8"/>
        <rFont val="Calibri"/>
        <family val="2"/>
        <scheme val="minor"/>
      </rPr>
      <t>SPB,T</t>
    </r>
  </si>
  <si>
    <r>
      <t>q</t>
    </r>
    <r>
      <rPr>
        <vertAlign val="subscript"/>
        <sz val="11"/>
        <color indexed="8"/>
        <rFont val="Calibri"/>
        <family val="2"/>
        <scheme val="minor"/>
      </rPr>
      <t>SPB</t>
    </r>
    <r>
      <rPr>
        <sz val="11"/>
        <color indexed="8"/>
        <rFont val="Calibri"/>
        <family val="2"/>
        <scheme val="minor"/>
      </rPr>
      <t>*Arrh(θ</t>
    </r>
    <r>
      <rPr>
        <vertAlign val="subscript"/>
        <sz val="11"/>
        <color indexed="8"/>
        <rFont val="Calibri"/>
        <family val="2"/>
        <scheme val="minor"/>
      </rPr>
      <t>q,SPB</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</si>
  <si>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PAO,lim</t>
    </r>
    <r>
      <rPr>
        <sz val="11"/>
        <color indexed="8"/>
        <rFont val="Calibri"/>
        <family val="2"/>
        <scheme val="minor"/>
      </rPr>
      <t>*Arrh(θ</t>
    </r>
    <r>
      <rPr>
        <vertAlign val="subscript"/>
        <sz val="11"/>
        <color indexed="8"/>
        <rFont val="Calibri"/>
        <family val="2"/>
        <scheme val="minor"/>
      </rPr>
      <t>µ,PAO,lim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</si>
  <si>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XE,T</t>
    </r>
  </si>
  <si>
    <r>
      <t>q</t>
    </r>
    <r>
      <rPr>
        <vertAlign val="subscript"/>
        <sz val="11"/>
        <color indexed="8"/>
        <rFont val="Calibri"/>
        <family val="2"/>
        <scheme val="minor"/>
      </rPr>
      <t>XE</t>
    </r>
    <r>
      <rPr>
        <sz val="11"/>
        <color indexed="8"/>
        <rFont val="Calibri"/>
        <family val="2"/>
        <scheme val="minor"/>
      </rPr>
      <t>*Arrh(θ</t>
    </r>
    <r>
      <rPr>
        <vertAlign val="subscript"/>
        <sz val="11"/>
        <color indexed="8"/>
        <rFont val="Calibri"/>
        <family val="2"/>
        <scheme val="minor"/>
      </rPr>
      <t>q,XE</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</si>
  <si>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HFO,RED,T</t>
    </r>
  </si>
  <si>
    <r>
      <t>q</t>
    </r>
    <r>
      <rPr>
        <vertAlign val="subscript"/>
        <sz val="11"/>
        <color indexed="8"/>
        <rFont val="Calibri"/>
        <family val="2"/>
        <scheme val="minor"/>
      </rPr>
      <t>HFO,RED</t>
    </r>
    <r>
      <rPr>
        <sz val="11"/>
        <color indexed="8"/>
        <rFont val="Calibri"/>
        <family val="2"/>
        <scheme val="minor"/>
      </rPr>
      <t>*Arrh(θ</t>
    </r>
    <r>
      <rPr>
        <vertAlign val="subscript"/>
        <sz val="11"/>
        <color indexed="8"/>
        <rFont val="Calibri"/>
        <family val="2"/>
        <scheme val="minor"/>
      </rPr>
      <t>q,HFO,RED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</si>
  <si>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SB,ana</t>
    </r>
  </si>
  <si>
    <r>
      <t>MRsat</t>
    </r>
    <r>
      <rPr>
        <vertAlign val="subscript"/>
        <sz val="11"/>
        <rFont val="Calibri"/>
        <family val="2"/>
        <scheme val="minor"/>
      </rPr>
      <t>CB,XBIO,KFLOC</t>
    </r>
  </si>
  <si>
    <r>
      <t>MRsat</t>
    </r>
    <r>
      <rPr>
        <vertAlign val="subscript"/>
        <sz val="11"/>
        <rFont val="Calibri"/>
        <family val="2"/>
        <scheme val="minor"/>
      </rPr>
      <t>CU,XBIO,KFLOC</t>
    </r>
  </si>
  <si>
    <r>
      <t>MRsat</t>
    </r>
    <r>
      <rPr>
        <vertAlign val="subscript"/>
        <sz val="11"/>
        <rFont val="Calibri"/>
        <family val="2"/>
        <scheme val="minor"/>
      </rPr>
      <t>XB,XBIO,KHYD</t>
    </r>
  </si>
  <si>
    <r>
      <rPr>
        <sz val="11"/>
        <rFont val="Calibri"/>
        <family val="2"/>
        <scheme val="minor"/>
      </rPr>
      <t>MRsat</t>
    </r>
    <r>
      <rPr>
        <vertAlign val="subscript"/>
        <sz val="11"/>
        <rFont val="Calibri"/>
        <family val="2"/>
        <scheme val="minor"/>
      </rPr>
      <t>XEana,XBIO,KHYD</t>
    </r>
  </si>
  <si>
    <t>%v/v</t>
  </si>
  <si>
    <r>
      <t>c</t>
    </r>
    <r>
      <rPr>
        <vertAlign val="subscript"/>
        <sz val="11"/>
        <rFont val="Calibri"/>
        <family val="2"/>
        <scheme val="minor"/>
      </rPr>
      <t>percent,Vconc</t>
    </r>
  </si>
  <si>
    <t>Conversion coefficient between percents and volumetric concentration</t>
  </si>
  <si>
    <r>
      <t>f(X</t>
    </r>
    <r>
      <rPr>
        <vertAlign val="subscript"/>
        <sz val="11"/>
        <rFont val="Calibri"/>
        <family val="2"/>
      </rPr>
      <t>INORG</t>
    </r>
    <r>
      <rPr>
        <sz val="11"/>
        <rFont val="Calibri"/>
        <family val="2"/>
      </rPr>
      <t>)</t>
    </r>
  </si>
  <si>
    <r>
      <t>IS</t>
    </r>
    <r>
      <rPr>
        <vertAlign val="subscript"/>
        <sz val="11"/>
        <rFont val="Calibri"/>
        <family val="2"/>
        <scheme val="minor"/>
      </rPr>
      <t>lim</t>
    </r>
  </si>
  <si>
    <r>
      <t>The f</t>
    </r>
    <r>
      <rPr>
        <vertAlign val="subscript"/>
        <sz val="11"/>
        <rFont val="Calibri"/>
        <family val="2"/>
        <scheme val="minor"/>
      </rPr>
      <t>mono</t>
    </r>
    <r>
      <rPr>
        <sz val="11"/>
        <rFont val="Calibri"/>
        <family val="2"/>
        <scheme val="minor"/>
      </rPr>
      <t>/f</t>
    </r>
    <r>
      <rPr>
        <vertAlign val="subscript"/>
        <sz val="11"/>
        <rFont val="Calibri"/>
        <family val="2"/>
        <scheme val="minor"/>
      </rPr>
      <t>di</t>
    </r>
    <r>
      <rPr>
        <sz val="11"/>
        <rFont val="Calibri"/>
        <family val="2"/>
        <scheme val="minor"/>
      </rPr>
      <t>/f</t>
    </r>
    <r>
      <rPr>
        <vertAlign val="subscript"/>
        <sz val="11"/>
        <rFont val="Calibri"/>
        <family val="2"/>
        <scheme val="minor"/>
      </rPr>
      <t>tri</t>
    </r>
    <r>
      <rPr>
        <sz val="11"/>
        <rFont val="Calibri"/>
        <family val="2"/>
        <scheme val="minor"/>
      </rPr>
      <t xml:space="preserve"> curves have minima at 0.3 and literally couldn't be used above that</t>
    </r>
  </si>
  <si>
    <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</si>
  <si>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-EEQ</t>
    </r>
    <r>
      <rPr>
        <vertAlign val="subscript"/>
        <sz val="11"/>
        <rFont val="Calibri"/>
        <family val="2"/>
      </rPr>
      <t>Fe2</t>
    </r>
    <r>
      <rPr>
        <sz val="11"/>
        <rFont val="Calibri"/>
        <family val="2"/>
      </rPr>
      <t>*S</t>
    </r>
    <r>
      <rPr>
        <vertAlign val="subscript"/>
        <sz val="11"/>
        <rFont val="Calibri"/>
        <family val="2"/>
      </rPr>
      <t>VFA</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</si>
  <si>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f(X</t>
    </r>
    <r>
      <rPr>
        <vertAlign val="subscript"/>
        <sz val="11"/>
        <rFont val="Calibri"/>
        <family val="2"/>
      </rPr>
      <t>N,B</t>
    </r>
    <r>
      <rPr>
        <sz val="11"/>
        <rFont val="Calibri"/>
        <family val="2"/>
      </rPr>
      <t>);f(X</t>
    </r>
    <r>
      <rPr>
        <vertAlign val="subscript"/>
        <sz val="11"/>
        <rFont val="Calibri"/>
        <family val="2"/>
      </rPr>
      <t>P,B</t>
    </r>
    <r>
      <rPr>
        <sz val="11"/>
        <rFont val="Calibri"/>
        <family val="2"/>
      </rPr>
      <t>)</t>
    </r>
  </si>
  <si>
    <t>Thermal conductivity coefficient</t>
  </si>
  <si>
    <t>Nriagu (1972); Al-Borno and Tomson (1994): 35.755 at 25°C DeltaH°: 5.05 kJ.mol-1 (small temperature dependency)</t>
  </si>
  <si>
    <r>
      <t>c</t>
    </r>
    <r>
      <rPr>
        <vertAlign val="subscript"/>
        <sz val="11"/>
        <rFont val="Calibri"/>
        <family val="2"/>
        <scheme val="minor"/>
      </rPr>
      <t>percent,fraction</t>
    </r>
  </si>
  <si>
    <t>Conversion coefficient between percents and fractions</t>
  </si>
  <si>
    <t>%</t>
  </si>
  <si>
    <r>
      <t>X</t>
    </r>
    <r>
      <rPr>
        <vertAlign val="subscript"/>
        <sz val="11"/>
        <rFont val="Calibri"/>
        <family val="2"/>
        <scheme val="minor"/>
      </rPr>
      <t xml:space="preserve">HFO </t>
    </r>
    <r>
      <rPr>
        <sz val="11"/>
        <rFont val="Calibri"/>
        <family val="2"/>
        <scheme val="minor"/>
      </rPr>
      <t>+ S</t>
    </r>
    <r>
      <rPr>
        <vertAlign val="subscript"/>
        <sz val="11"/>
        <rFont val="Calibri"/>
        <family val="2"/>
        <scheme val="minor"/>
      </rPr>
      <t>Fe2</t>
    </r>
    <r>
      <rPr>
        <sz val="11"/>
        <rFont val="Calibri"/>
        <family val="2"/>
        <scheme val="minor"/>
      </rPr>
      <t>+X</t>
    </r>
    <r>
      <rPr>
        <vertAlign val="subscript"/>
        <sz val="11"/>
        <rFont val="Calibri"/>
        <family val="2"/>
        <scheme val="minor"/>
      </rPr>
      <t>Vivi</t>
    </r>
    <r>
      <rPr>
        <sz val="11"/>
        <rFont val="Calibri"/>
        <family val="2"/>
        <scheme val="minor"/>
      </rPr>
      <t>*3*AM</t>
    </r>
    <r>
      <rPr>
        <vertAlign val="subscript"/>
        <sz val="11"/>
        <rFont val="Calibri"/>
        <family val="2"/>
        <scheme val="minor"/>
      </rPr>
      <t>Fe</t>
    </r>
    <r>
      <rPr>
        <sz val="11"/>
        <rFont val="Calibri"/>
        <family val="2"/>
        <scheme val="minor"/>
      </rPr>
      <t>/MM</t>
    </r>
    <r>
      <rPr>
        <vertAlign val="subscript"/>
        <sz val="11"/>
        <rFont val="Calibri"/>
        <family val="2"/>
        <scheme val="minor"/>
      </rPr>
      <t>Vivi</t>
    </r>
  </si>
  <si>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t>
    </r>
  </si>
  <si>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t>
    </r>
  </si>
  <si>
    <r>
      <t>eq ALK.L</t>
    </r>
    <r>
      <rPr>
        <vertAlign val="superscript"/>
        <sz val="11"/>
        <color theme="1"/>
        <rFont val="Calibri"/>
        <family val="2"/>
        <scheme val="minor"/>
      </rPr>
      <t>-1</t>
    </r>
  </si>
  <si>
    <r>
      <t>eq.L</t>
    </r>
    <r>
      <rPr>
        <vertAlign val="superscript"/>
        <sz val="11"/>
        <color theme="1"/>
        <rFont val="Calibri"/>
        <family val="2"/>
        <scheme val="minor"/>
      </rPr>
      <t>-1</t>
    </r>
  </si>
  <si>
    <t>Unitless</t>
  </si>
  <si>
    <t>PUR</t>
  </si>
  <si>
    <t>Phosphorus uptake rate (PUR)</t>
  </si>
  <si>
    <r>
      <t>g P.m</t>
    </r>
    <r>
      <rPr>
        <vertAlign val="superscript"/>
        <sz val="11"/>
        <rFont val="Calibri"/>
        <family val="2"/>
        <scheme val="minor"/>
      </rPr>
      <t>-3</t>
    </r>
    <r>
      <rPr>
        <sz val="11"/>
        <rFont val="Calibri"/>
        <family val="2"/>
        <scheme val="minor"/>
      </rPr>
      <t>.d</t>
    </r>
    <r>
      <rPr>
        <vertAlign val="superscript"/>
        <sz val="11"/>
        <rFont val="Calibri"/>
        <family val="2"/>
        <scheme val="minor"/>
      </rPr>
      <t>-1</t>
    </r>
  </si>
  <si>
    <r>
      <t>PUR</t>
    </r>
    <r>
      <rPr>
        <vertAlign val="subscript"/>
        <sz val="11"/>
        <rFont val="Calibri"/>
        <family val="2"/>
        <scheme val="minor"/>
      </rPr>
      <t>BIO</t>
    </r>
  </si>
  <si>
    <r>
      <t>PUR</t>
    </r>
    <r>
      <rPr>
        <vertAlign val="subscript"/>
        <sz val="11"/>
        <rFont val="Calibri"/>
        <family val="2"/>
        <scheme val="minor"/>
      </rPr>
      <t>CHEM</t>
    </r>
  </si>
  <si>
    <t>PRR</t>
  </si>
  <si>
    <t>Phosphorus release rate (PRR)</t>
  </si>
  <si>
    <r>
      <t>g N.g COD</t>
    </r>
    <r>
      <rPr>
        <vertAlign val="superscript"/>
        <sz val="11"/>
        <rFont val="Calibri"/>
        <family val="2"/>
        <scheme val="minor"/>
      </rPr>
      <t>-1</t>
    </r>
  </si>
  <si>
    <r>
      <t>g P.g COD</t>
    </r>
    <r>
      <rPr>
        <vertAlign val="superscript"/>
        <sz val="11"/>
        <rFont val="Calibri"/>
        <family val="2"/>
        <scheme val="minor"/>
      </rPr>
      <t>-1</t>
    </r>
  </si>
  <si>
    <r>
      <t>g COD.g VSS</t>
    </r>
    <r>
      <rPr>
        <vertAlign val="superscript"/>
        <sz val="11"/>
        <rFont val="Calibri"/>
        <family val="2"/>
        <scheme val="minor"/>
      </rPr>
      <t>-1</t>
    </r>
  </si>
  <si>
    <r>
      <t>g COD.g VS</t>
    </r>
    <r>
      <rPr>
        <vertAlign val="superscript"/>
        <sz val="11"/>
        <rFont val="Calibri"/>
        <family val="2"/>
        <scheme val="minor"/>
      </rPr>
      <t>-1</t>
    </r>
  </si>
  <si>
    <r>
      <t>g TIC.g COD</t>
    </r>
    <r>
      <rPr>
        <vertAlign val="superscript"/>
        <sz val="11"/>
        <rFont val="Calibri"/>
        <family val="2"/>
      </rPr>
      <t>-1</t>
    </r>
  </si>
  <si>
    <r>
      <t>g N.g TSS</t>
    </r>
    <r>
      <rPr>
        <vertAlign val="superscript"/>
        <sz val="11"/>
        <rFont val="Calibri"/>
        <family val="2"/>
        <scheme val="minor"/>
      </rPr>
      <t>-1</t>
    </r>
  </si>
  <si>
    <r>
      <t>g P.g TSS</t>
    </r>
    <r>
      <rPr>
        <vertAlign val="superscript"/>
        <sz val="11"/>
        <rFont val="Calibri"/>
        <family val="2"/>
        <scheme val="minor"/>
      </rPr>
      <t>-1</t>
    </r>
  </si>
  <si>
    <r>
      <t>mol Ca.mol P</t>
    </r>
    <r>
      <rPr>
        <vertAlign val="superscript"/>
        <sz val="11"/>
        <rFont val="Calibri"/>
        <family val="2"/>
        <scheme val="minor"/>
      </rPr>
      <t>-1</t>
    </r>
  </si>
  <si>
    <r>
      <t>mol Mg.mol P</t>
    </r>
    <r>
      <rPr>
        <vertAlign val="superscript"/>
        <sz val="11"/>
        <rFont val="Calibri"/>
        <family val="2"/>
        <scheme val="minor"/>
      </rPr>
      <t>-1</t>
    </r>
  </si>
  <si>
    <r>
      <t>mol P.mol Fe</t>
    </r>
    <r>
      <rPr>
        <vertAlign val="superscript"/>
        <sz val="11"/>
        <rFont val="Calibri"/>
        <family val="2"/>
        <scheme val="minor"/>
      </rPr>
      <t>-1</t>
    </r>
  </si>
  <si>
    <t>Check the species does exist in the systemcode.xlsx file</t>
  </si>
  <si>
    <t>On Constants Tab add the required thermodynamic constants and molecular masses</t>
  </si>
  <si>
    <t>In Process code/System files/systemcode.xlsx (if necessary)</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</si>
  <si>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</si>
  <si>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</si>
  <si>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</si>
  <si>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</si>
  <si>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</si>
  <si>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</si>
  <si>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</si>
  <si>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</si>
  <si>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</si>
  <si>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</si>
  <si>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</si>
  <si>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</si>
  <si>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</si>
  <si>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r>
      <t>K</t>
    </r>
    <r>
      <rPr>
        <vertAlign val="subscript"/>
        <sz val="11"/>
        <rFont val="Calibri"/>
        <family val="2"/>
        <scheme val="minor"/>
      </rPr>
      <t>SB,AS</t>
    </r>
  </si>
  <si>
    <r>
      <t>K</t>
    </r>
    <r>
      <rPr>
        <vertAlign val="subscript"/>
        <sz val="11"/>
        <rFont val="Calibri"/>
        <family val="2"/>
        <scheme val="minor"/>
      </rPr>
      <t>VFA,AS</t>
    </r>
  </si>
  <si>
    <r>
      <t>K</t>
    </r>
    <r>
      <rPr>
        <vertAlign val="subscript"/>
        <sz val="11"/>
        <rFont val="Calibri"/>
        <family val="2"/>
        <scheme val="minor"/>
      </rPr>
      <t>MEOL,OHO,AS</t>
    </r>
  </si>
  <si>
    <r>
      <t>K</t>
    </r>
    <r>
      <rPr>
        <vertAlign val="subscript"/>
        <sz val="11"/>
        <rFont val="Calibri"/>
        <family val="2"/>
        <scheme val="minor"/>
      </rPr>
      <t>O2,OHO,AS</t>
    </r>
  </si>
  <si>
    <r>
      <t>K</t>
    </r>
    <r>
      <rPr>
        <vertAlign val="subscript"/>
        <sz val="11"/>
        <rFont val="Calibri"/>
        <family val="2"/>
        <scheme val="minor"/>
      </rPr>
      <t>NO3,OHO,AS</t>
    </r>
  </si>
  <si>
    <r>
      <t>K</t>
    </r>
    <r>
      <rPr>
        <vertAlign val="subscript"/>
        <sz val="11"/>
        <rFont val="Calibri"/>
        <family val="2"/>
        <scheme val="minor"/>
      </rPr>
      <t>SB,ana,AS</t>
    </r>
  </si>
  <si>
    <r>
      <t>K</t>
    </r>
    <r>
      <rPr>
        <vertAlign val="subscript"/>
        <sz val="11"/>
        <rFont val="Calibri"/>
        <family val="2"/>
        <scheme val="minor"/>
      </rPr>
      <t>MEOL,AS</t>
    </r>
  </si>
  <si>
    <r>
      <t>K</t>
    </r>
    <r>
      <rPr>
        <vertAlign val="subscript"/>
        <sz val="11"/>
        <rFont val="Calibri"/>
        <family val="2"/>
        <scheme val="minor"/>
      </rPr>
      <t>NO3,MEOLO,AS</t>
    </r>
  </si>
  <si>
    <r>
      <t>K</t>
    </r>
    <r>
      <rPr>
        <vertAlign val="subscript"/>
        <sz val="11"/>
        <rFont val="Calibri"/>
        <family val="2"/>
        <scheme val="minor"/>
      </rPr>
      <t>PO4,PAO,AS</t>
    </r>
  </si>
  <si>
    <r>
      <t>K</t>
    </r>
    <r>
      <rPr>
        <vertAlign val="subscript"/>
        <sz val="11"/>
        <rFont val="Calibri"/>
        <family val="2"/>
        <scheme val="minor"/>
      </rPr>
      <t>Mg,PAO,AS</t>
    </r>
  </si>
  <si>
    <r>
      <t>K</t>
    </r>
    <r>
      <rPr>
        <vertAlign val="subscript"/>
        <sz val="11"/>
        <rFont val="Calibri"/>
        <family val="2"/>
        <scheme val="minor"/>
      </rPr>
      <t>K,PAO,AS</t>
    </r>
  </si>
  <si>
    <r>
      <t>K</t>
    </r>
    <r>
      <rPr>
        <vertAlign val="subscript"/>
        <sz val="11"/>
        <rFont val="Calibri"/>
        <family val="2"/>
        <scheme val="minor"/>
      </rPr>
      <t>Ca,PAO,AS</t>
    </r>
  </si>
  <si>
    <r>
      <t>K</t>
    </r>
    <r>
      <rPr>
        <vertAlign val="subscript"/>
        <sz val="11"/>
        <rFont val="Calibri"/>
        <family val="2"/>
        <scheme val="minor"/>
      </rPr>
      <t>VFA,AMETO,AS</t>
    </r>
  </si>
  <si>
    <r>
      <t>K</t>
    </r>
    <r>
      <rPr>
        <vertAlign val="subscript"/>
        <sz val="11"/>
        <color indexed="8"/>
        <rFont val="Calibri"/>
        <family val="2"/>
        <scheme val="minor"/>
      </rPr>
      <t>H2,HMETO,AS</t>
    </r>
  </si>
  <si>
    <r>
      <t>K</t>
    </r>
    <r>
      <rPr>
        <vertAlign val="subscript"/>
        <sz val="11"/>
        <rFont val="Calibri"/>
        <family val="2"/>
        <scheme val="minor"/>
      </rPr>
      <t>NHx,BIO,AS</t>
    </r>
  </si>
  <si>
    <r>
      <t>K</t>
    </r>
    <r>
      <rPr>
        <vertAlign val="subscript"/>
        <sz val="11"/>
        <rFont val="Calibri"/>
        <family val="2"/>
        <scheme val="minor"/>
      </rPr>
      <t>PO4,BIO,AS</t>
    </r>
  </si>
  <si>
    <r>
      <t>K</t>
    </r>
    <r>
      <rPr>
        <vertAlign val="subscript"/>
        <sz val="11"/>
        <color indexed="8"/>
        <rFont val="Calibri"/>
        <family val="2"/>
        <scheme val="minor"/>
      </rPr>
      <t>CO2,BIO,AS</t>
    </r>
  </si>
  <si>
    <r>
      <t>K</t>
    </r>
    <r>
      <rPr>
        <vertAlign val="subscript"/>
        <sz val="11"/>
        <rFont val="Calibri"/>
        <family val="2"/>
        <scheme val="minor"/>
      </rPr>
      <t>CAT,AS</t>
    </r>
  </si>
  <si>
    <r>
      <t>K</t>
    </r>
    <r>
      <rPr>
        <vertAlign val="subscript"/>
        <sz val="11"/>
        <rFont val="Calibri"/>
        <family val="2"/>
        <scheme val="minor"/>
      </rPr>
      <t>AN,AS</t>
    </r>
  </si>
  <si>
    <r>
      <t>K</t>
    </r>
    <r>
      <rPr>
        <vertAlign val="subscript"/>
        <sz val="11"/>
        <color indexed="8"/>
        <rFont val="Calibri"/>
        <family val="2"/>
        <scheme val="minor"/>
      </rPr>
      <t>FLOC,AS</t>
    </r>
  </si>
  <si>
    <r>
      <t>K</t>
    </r>
    <r>
      <rPr>
        <vertAlign val="subscript"/>
        <sz val="11"/>
        <color indexed="8"/>
        <rFont val="Calibri"/>
        <family val="2"/>
        <scheme val="minor"/>
      </rPr>
      <t>HYD,AS</t>
    </r>
  </si>
  <si>
    <r>
      <t>K</t>
    </r>
    <r>
      <rPr>
        <vertAlign val="subscript"/>
        <sz val="11"/>
        <rFont val="Calibri"/>
        <family val="2"/>
        <scheme val="minor"/>
      </rPr>
      <t>H2,HMETO,AS</t>
    </r>
  </si>
  <si>
    <r>
      <t>K</t>
    </r>
    <r>
      <rPr>
        <vertAlign val="subscript"/>
        <sz val="11"/>
        <rFont val="Calibri"/>
        <family val="2"/>
        <scheme val="minor"/>
      </rPr>
      <t>CO2,BIO,AS</t>
    </r>
  </si>
  <si>
    <r>
      <t>K</t>
    </r>
    <r>
      <rPr>
        <vertAlign val="subscript"/>
        <sz val="11"/>
        <rFont val="Calibri"/>
        <family val="2"/>
        <scheme val="minor"/>
      </rPr>
      <t>FLOC,AS</t>
    </r>
  </si>
  <si>
    <r>
      <t>K</t>
    </r>
    <r>
      <rPr>
        <vertAlign val="subscript"/>
        <sz val="11"/>
        <rFont val="Calibri"/>
        <family val="2"/>
        <scheme val="minor"/>
      </rPr>
      <t>HYD,AS</t>
    </r>
  </si>
  <si>
    <r>
      <t>Minh(S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</si>
  <si>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t>pH related inhibiton functions</t>
  </si>
  <si>
    <r>
      <t>g Fe.m</t>
    </r>
    <r>
      <rPr>
        <vertAlign val="superscript"/>
        <sz val="11"/>
        <rFont val="Calibri"/>
        <family val="2"/>
        <scheme val="minor"/>
      </rPr>
      <t>-3</t>
    </r>
  </si>
  <si>
    <r>
      <t>mol [HCO</t>
    </r>
    <r>
      <rPr>
        <vertAlign val="subscript"/>
        <sz val="11"/>
        <rFont val="Calibri"/>
        <family val="2"/>
        <scheme val="minor"/>
      </rPr>
      <t>3</t>
    </r>
    <r>
      <rPr>
        <vertAlign val="superscript"/>
        <sz val="11"/>
        <rFont val="Calibri"/>
        <family val="2"/>
        <scheme val="minor"/>
      </rPr>
      <t>-</t>
    </r>
    <r>
      <rPr>
        <sz val="11"/>
        <rFont val="Calibri"/>
        <family val="2"/>
        <scheme val="minor"/>
      </rPr>
      <t>].L</t>
    </r>
    <r>
      <rPr>
        <vertAlign val="superscript"/>
        <sz val="11"/>
        <rFont val="Calibri"/>
        <family val="2"/>
        <scheme val="minor"/>
      </rPr>
      <t>-1</t>
    </r>
  </si>
  <si>
    <r>
      <t>g P.m</t>
    </r>
    <r>
      <rPr>
        <vertAlign val="superscript"/>
        <sz val="11"/>
        <rFont val="Calibri"/>
        <family val="2"/>
        <scheme val="minor"/>
      </rPr>
      <t>-3</t>
    </r>
    <r>
      <rPr>
        <sz val="11"/>
        <color theme="1"/>
        <rFont val="Calibri"/>
        <family val="2"/>
        <scheme val="minor"/>
      </rPr>
      <t/>
    </r>
  </si>
  <si>
    <r>
      <t>g Na.m</t>
    </r>
    <r>
      <rPr>
        <vertAlign val="superscript"/>
        <sz val="11"/>
        <rFont val="Calibri"/>
        <family val="2"/>
        <scheme val="minor"/>
      </rPr>
      <t>-3</t>
    </r>
    <r>
      <rPr>
        <sz val="11"/>
        <color theme="1"/>
        <rFont val="Calibri"/>
        <family val="2"/>
        <scheme val="minor"/>
      </rPr>
      <t/>
    </r>
  </si>
  <si>
    <r>
      <t>g Cl.m</t>
    </r>
    <r>
      <rPr>
        <vertAlign val="superscript"/>
        <sz val="11"/>
        <rFont val="Calibri"/>
        <family val="2"/>
        <scheme val="minor"/>
      </rPr>
      <t>-3</t>
    </r>
    <r>
      <rPr>
        <sz val="11"/>
        <color theme="1"/>
        <rFont val="Calibri"/>
        <family val="2"/>
        <scheme val="minor"/>
      </rPr>
      <t/>
    </r>
  </si>
  <si>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scheme val="minor"/>
      </rPr>
      <t>-1</t>
    </r>
  </si>
  <si>
    <r>
      <t>mol K.mol P</t>
    </r>
    <r>
      <rPr>
        <vertAlign val="superscript"/>
        <sz val="11"/>
        <rFont val="Calibri"/>
        <family val="2"/>
        <scheme val="minor"/>
      </rPr>
      <t>-1</t>
    </r>
  </si>
  <si>
    <r>
      <t>g Na.g NaCl</t>
    </r>
    <r>
      <rPr>
        <vertAlign val="superscript"/>
        <sz val="11"/>
        <rFont val="Calibri"/>
        <family val="2"/>
        <scheme val="minor"/>
      </rPr>
      <t>-1</t>
    </r>
  </si>
  <si>
    <t>Activated sludge</t>
  </si>
  <si>
    <t>VSS/TSS ratio</t>
  </si>
  <si>
    <r>
      <t>X</t>
    </r>
    <r>
      <rPr>
        <vertAlign val="subscript"/>
        <sz val="11"/>
        <rFont val="Calibri"/>
        <family val="2"/>
        <scheme val="minor"/>
      </rPr>
      <t>VSS</t>
    </r>
    <r>
      <rPr>
        <sz val="11"/>
        <rFont val="Calibri"/>
        <family val="2"/>
        <scheme val="minor"/>
      </rPr>
      <t>/X</t>
    </r>
    <r>
      <rPr>
        <vertAlign val="subscript"/>
        <sz val="11"/>
        <rFont val="Calibri"/>
        <family val="2"/>
        <scheme val="minor"/>
      </rPr>
      <t>TSS</t>
    </r>
  </si>
  <si>
    <r>
      <t>m</t>
    </r>
    <r>
      <rPr>
        <vertAlign val="subscript"/>
        <sz val="11"/>
        <rFont val="Calibri"/>
        <family val="2"/>
        <scheme val="minor"/>
      </rPr>
      <t>tox,anox</t>
    </r>
  </si>
  <si>
    <r>
      <t>m</t>
    </r>
    <r>
      <rPr>
        <vertAlign val="subscript"/>
        <sz val="11"/>
        <rFont val="Calibri"/>
        <family val="2"/>
        <scheme val="minor"/>
      </rPr>
      <t>tox,aer</t>
    </r>
  </si>
  <si>
    <r>
      <t>i</t>
    </r>
    <r>
      <rPr>
        <vertAlign val="subscript"/>
        <sz val="11"/>
        <rFont val="Calibri"/>
        <family val="2"/>
        <scheme val="minor"/>
      </rPr>
      <t>CIT,CH4</t>
    </r>
  </si>
  <si>
    <r>
      <t>i</t>
    </r>
    <r>
      <rPr>
        <vertAlign val="subscript"/>
        <sz val="11"/>
        <rFont val="Calibri"/>
        <family val="2"/>
        <scheme val="minor"/>
      </rPr>
      <t>CIT,VFA</t>
    </r>
  </si>
  <si>
    <r>
      <t>i</t>
    </r>
    <r>
      <rPr>
        <vertAlign val="subscript"/>
        <sz val="11"/>
        <rFont val="Calibri"/>
        <family val="2"/>
        <scheme val="minor"/>
      </rPr>
      <t>CIT,SB</t>
    </r>
  </si>
  <si>
    <r>
      <t>i</t>
    </r>
    <r>
      <rPr>
        <vertAlign val="subscript"/>
        <sz val="11"/>
        <rFont val="Calibri"/>
        <family val="2"/>
        <scheme val="minor"/>
      </rPr>
      <t>CIT,MEOL</t>
    </r>
  </si>
  <si>
    <r>
      <t>CH</t>
    </r>
    <r>
      <rPr>
        <vertAlign val="subscript"/>
        <sz val="11"/>
        <rFont val="Calibri"/>
        <family val="2"/>
        <scheme val="minor"/>
      </rPr>
      <t>4</t>
    </r>
    <r>
      <rPr>
        <sz val="11"/>
        <rFont val="Calibri"/>
        <family val="2"/>
        <scheme val="minor"/>
      </rPr>
      <t>: 64 g COD/mol C</t>
    </r>
  </si>
  <si>
    <r>
      <t>C</t>
    </r>
    <r>
      <rPr>
        <vertAlign val="subscript"/>
        <sz val="11"/>
        <rFont val="Calibri"/>
        <family val="2"/>
        <scheme val="minor"/>
      </rPr>
      <t>2</t>
    </r>
    <r>
      <rPr>
        <sz val="11"/>
        <rFont val="Calibri"/>
        <family val="2"/>
        <scheme val="minor"/>
      </rPr>
      <t>H</t>
    </r>
    <r>
      <rPr>
        <vertAlign val="subscript"/>
        <sz val="11"/>
        <rFont val="Calibri"/>
        <family val="2"/>
        <scheme val="minor"/>
      </rPr>
      <t>4</t>
    </r>
    <r>
      <rPr>
        <sz val="11"/>
        <rFont val="Calibri"/>
        <family val="2"/>
        <scheme val="minor"/>
      </rPr>
      <t>O</t>
    </r>
    <r>
      <rPr>
        <vertAlign val="subscript"/>
        <sz val="11"/>
        <rFont val="Calibri"/>
        <family val="2"/>
        <scheme val="minor"/>
      </rPr>
      <t>2</t>
    </r>
    <r>
      <rPr>
        <sz val="11"/>
        <rFont val="Calibri"/>
        <family val="2"/>
        <scheme val="minor"/>
      </rPr>
      <t>: 32 g COD/mol C</t>
    </r>
  </si>
  <si>
    <r>
      <t>i</t>
    </r>
    <r>
      <rPr>
        <vertAlign val="subscript"/>
        <sz val="11"/>
        <rFont val="Calibri"/>
        <family val="2"/>
        <scheme val="minor"/>
      </rPr>
      <t>CIT,PHA</t>
    </r>
  </si>
  <si>
    <r>
      <t>C</t>
    </r>
    <r>
      <rPr>
        <vertAlign val="subscript"/>
        <sz val="11"/>
        <rFont val="Calibri"/>
        <family val="2"/>
        <scheme val="minor"/>
      </rPr>
      <t>5</t>
    </r>
    <r>
      <rPr>
        <sz val="11"/>
        <rFont val="Calibri"/>
        <family val="2"/>
        <scheme val="minor"/>
      </rPr>
      <t>H</t>
    </r>
    <r>
      <rPr>
        <vertAlign val="subscript"/>
        <sz val="11"/>
        <rFont val="Calibri"/>
        <family val="2"/>
        <scheme val="minor"/>
      </rPr>
      <t>7</t>
    </r>
    <r>
      <rPr>
        <sz val="11"/>
        <rFont val="Calibri"/>
        <family val="2"/>
        <scheme val="minor"/>
      </rPr>
      <t>O</t>
    </r>
    <r>
      <rPr>
        <vertAlign val="subscript"/>
        <sz val="11"/>
        <rFont val="Calibri"/>
        <family val="2"/>
        <scheme val="minor"/>
      </rPr>
      <t>2</t>
    </r>
    <r>
      <rPr>
        <sz val="11"/>
        <rFont val="Calibri"/>
        <family val="2"/>
        <scheme val="minor"/>
      </rPr>
      <t>N: 32 g COD/mol C</t>
    </r>
  </si>
  <si>
    <r>
      <t>H[C</t>
    </r>
    <r>
      <rPr>
        <vertAlign val="subscript"/>
        <sz val="11"/>
        <color indexed="8"/>
        <rFont val="Calibri"/>
        <family val="2"/>
        <scheme val="minor"/>
      </rPr>
      <t>4</t>
    </r>
    <r>
      <rPr>
        <sz val="11"/>
        <color indexed="8"/>
        <rFont val="Calibri"/>
        <family val="2"/>
        <scheme val="minor"/>
      </rPr>
      <t>H</t>
    </r>
    <r>
      <rPr>
        <vertAlign val="subscript"/>
        <sz val="11"/>
        <color indexed="8"/>
        <rFont val="Calibri"/>
        <family val="2"/>
        <scheme val="minor"/>
      </rPr>
      <t>6</t>
    </r>
    <r>
      <rPr>
        <sz val="11"/>
        <color indexed="8"/>
        <rFont val="Calibri"/>
        <family val="2"/>
        <scheme val="minor"/>
      </rPr>
      <t>O</t>
    </r>
    <r>
      <rPr>
        <vertAlign val="subscript"/>
        <sz val="11"/>
        <color indexed="8"/>
        <rFont val="Calibri"/>
        <family val="2"/>
        <scheme val="minor"/>
      </rPr>
      <t>2</t>
    </r>
    <r>
      <rPr>
        <sz val="11"/>
        <color indexed="8"/>
        <rFont val="Calibri"/>
        <family val="2"/>
        <scheme val="minor"/>
      </rPr>
      <t>]</t>
    </r>
    <r>
      <rPr>
        <vertAlign val="subscript"/>
        <sz val="11"/>
        <color indexed="8"/>
        <rFont val="Calibri"/>
        <family val="2"/>
        <scheme val="minor"/>
      </rPr>
      <t>n</t>
    </r>
    <r>
      <rPr>
        <sz val="11"/>
        <color indexed="8"/>
        <rFont val="Calibri"/>
        <family val="2"/>
        <scheme val="minor"/>
      </rPr>
      <t>OH: 36 g COD/mol C</t>
    </r>
  </si>
  <si>
    <r>
      <t>i</t>
    </r>
    <r>
      <rPr>
        <vertAlign val="subscript"/>
        <sz val="11"/>
        <rFont val="Calibri"/>
        <family val="2"/>
      </rPr>
      <t>CIT,VFA</t>
    </r>
    <r>
      <rPr>
        <sz val="11"/>
        <rFont val="Calibri"/>
        <family val="2"/>
      </rPr>
      <t>/Y</t>
    </r>
    <r>
      <rPr>
        <vertAlign val="subscript"/>
        <sz val="11"/>
        <rFont val="Calibri"/>
        <family val="2"/>
      </rPr>
      <t>OHO,VFA,ox</t>
    </r>
    <r>
      <rPr>
        <sz val="11"/>
        <rFont val="Calibri"/>
        <family val="2"/>
      </rPr>
      <t>-i</t>
    </r>
    <r>
      <rPr>
        <vertAlign val="subscript"/>
        <sz val="11"/>
        <rFont val="Calibri"/>
        <family val="2"/>
      </rPr>
      <t>CIT,BIO</t>
    </r>
  </si>
  <si>
    <r>
      <t>i</t>
    </r>
    <r>
      <rPr>
        <vertAlign val="subscript"/>
        <sz val="11"/>
        <rFont val="Calibri"/>
        <family val="2"/>
      </rPr>
      <t>CIT,SB</t>
    </r>
    <r>
      <rPr>
        <sz val="11"/>
        <rFont val="Calibri"/>
        <family val="2"/>
      </rPr>
      <t>/Y</t>
    </r>
    <r>
      <rPr>
        <vertAlign val="subscript"/>
        <sz val="11"/>
        <rFont val="Calibri"/>
        <family val="2"/>
      </rPr>
      <t>OHO,SB,ox</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</si>
  <si>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MEOLO</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</si>
  <si>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OHO,SMEOL,ox</t>
    </r>
    <r>
      <rPr>
        <sz val="11"/>
        <rFont val="Calibri"/>
        <family val="2"/>
      </rPr>
      <t>-i</t>
    </r>
    <r>
      <rPr>
        <vertAlign val="subscript"/>
        <sz val="11"/>
        <rFont val="Calibri"/>
        <family val="2"/>
      </rPr>
      <t>CIT,BIO</t>
    </r>
  </si>
  <si>
    <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HMETO</t>
    </r>
    <r>
      <rPr>
        <sz val="11"/>
        <rFont val="Calibri"/>
        <family val="2"/>
      </rPr>
      <t>)/Y</t>
    </r>
    <r>
      <rPr>
        <vertAlign val="subscript"/>
        <sz val="11"/>
        <rFont val="Calibri"/>
        <family val="2"/>
      </rPr>
      <t>HMETO</t>
    </r>
  </si>
  <si>
    <r>
      <t>i</t>
    </r>
    <r>
      <rPr>
        <vertAlign val="subscript"/>
        <sz val="11"/>
        <rFont val="Calibri"/>
        <family val="2"/>
      </rPr>
      <t>CIT,MEOL</t>
    </r>
    <r>
      <rPr>
        <sz val="11"/>
        <rFont val="Calibri"/>
        <family val="2"/>
      </rPr>
      <t>-i</t>
    </r>
    <r>
      <rPr>
        <vertAlign val="subscript"/>
        <sz val="11"/>
        <rFont val="Calibri"/>
        <family val="2"/>
      </rPr>
      <t>CIT,VFA</t>
    </r>
    <r>
      <rPr>
        <sz val="11"/>
        <rFont val="Calibri"/>
        <family val="2"/>
      </rPr>
      <t>*2/3</t>
    </r>
  </si>
  <si>
    <r>
      <t>i</t>
    </r>
    <r>
      <rPr>
        <vertAlign val="subscript"/>
        <sz val="11"/>
        <rFont val="Calibri"/>
        <family val="2"/>
      </rPr>
      <t>CIT,VFA</t>
    </r>
    <r>
      <rPr>
        <sz val="11"/>
        <rFont val="Calibri"/>
        <family val="2"/>
      </rPr>
      <t>-i</t>
    </r>
    <r>
      <rPr>
        <vertAlign val="subscript"/>
        <sz val="11"/>
        <rFont val="Calibri"/>
        <family val="2"/>
      </rPr>
      <t>CIT,PHA</t>
    </r>
  </si>
  <si>
    <r>
      <t>i</t>
    </r>
    <r>
      <rPr>
        <vertAlign val="subscript"/>
        <sz val="11"/>
        <rFont val="Calibri"/>
        <family val="2"/>
      </rPr>
      <t>CIT,SB</t>
    </r>
    <r>
      <rPr>
        <sz val="11"/>
        <rFont val="Calibri"/>
        <family val="2"/>
      </rP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)+i</t>
    </r>
    <r>
      <rPr>
        <vertAlign val="subscript"/>
        <sz val="11"/>
        <rFont val="Calibri"/>
        <family val="2"/>
      </rPr>
      <t>CIT,VFA</t>
    </r>
    <r>
      <rPr>
        <sz val="11"/>
        <rFont val="Calibri"/>
        <family val="2"/>
      </rPr>
      <t>*EEQ</t>
    </r>
    <r>
      <rPr>
        <vertAlign val="subscript"/>
        <sz val="11"/>
        <rFont val="Calibri"/>
        <family val="2"/>
      </rPr>
      <t>Fe2</t>
    </r>
    <r>
      <rPr>
        <sz val="11"/>
        <rFont val="Calibri"/>
        <family val="2"/>
      </rPr>
      <t>*S</t>
    </r>
    <r>
      <rPr>
        <vertAlign val="subscript"/>
        <sz val="11"/>
        <rFont val="Calibri"/>
        <family val="2"/>
      </rPr>
      <t>VFA</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</si>
  <si>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pH</t>
    </r>
    <r>
      <rPr>
        <vertAlign val="subscript"/>
        <sz val="11"/>
        <rFont val="Calibri"/>
        <family val="2"/>
        <scheme val="minor"/>
      </rPr>
      <t>low,AMETO</t>
    </r>
  </si>
  <si>
    <r>
      <t>pH</t>
    </r>
    <r>
      <rPr>
        <vertAlign val="subscript"/>
        <sz val="11"/>
        <rFont val="Calibri"/>
        <family val="2"/>
        <scheme val="minor"/>
      </rPr>
      <t>high,AMETO</t>
    </r>
  </si>
  <si>
    <r>
      <t>pH</t>
    </r>
    <r>
      <rPr>
        <vertAlign val="subscript"/>
        <sz val="11"/>
        <rFont val="Calibri"/>
        <family val="2"/>
        <scheme val="minor"/>
      </rPr>
      <t>low,HMETO</t>
    </r>
  </si>
  <si>
    <r>
      <t>pH</t>
    </r>
    <r>
      <rPr>
        <vertAlign val="subscript"/>
        <sz val="11"/>
        <rFont val="Calibri"/>
        <family val="2"/>
        <scheme val="minor"/>
      </rPr>
      <t>high,HMETO</t>
    </r>
  </si>
  <si>
    <r>
      <t>Bellinh</t>
    </r>
    <r>
      <rPr>
        <vertAlign val="subscript"/>
        <sz val="11"/>
        <rFont val="Calibri"/>
        <family val="2"/>
        <scheme val="minor"/>
      </rPr>
      <t>pH,AMETO</t>
    </r>
  </si>
  <si>
    <r>
      <t>Bellinh</t>
    </r>
    <r>
      <rPr>
        <vertAlign val="subscript"/>
        <sz val="11"/>
        <rFont val="Calibri"/>
        <family val="2"/>
        <scheme val="minor"/>
      </rPr>
      <t>pH,HMETO</t>
    </r>
  </si>
  <si>
    <r>
      <t>Bellinh(pH;pH</t>
    </r>
    <r>
      <rPr>
        <vertAlign val="subscript"/>
        <sz val="11"/>
        <rFont val="Calibri"/>
        <family val="2"/>
        <scheme val="minor"/>
      </rPr>
      <t>low,AMETO</t>
    </r>
    <r>
      <rPr>
        <sz val="11"/>
        <rFont val="Calibri"/>
        <family val="2"/>
        <scheme val="minor"/>
      </rPr>
      <t>;pH</t>
    </r>
    <r>
      <rPr>
        <vertAlign val="subscript"/>
        <sz val="11"/>
        <rFont val="Calibri"/>
        <family val="2"/>
        <scheme val="minor"/>
      </rPr>
      <t>high,AMETO</t>
    </r>
    <r>
      <rPr>
        <sz val="11"/>
        <rFont val="Calibri"/>
        <family val="2"/>
        <scheme val="minor"/>
      </rPr>
      <t>)</t>
    </r>
  </si>
  <si>
    <r>
      <t>Bellinh(pH;pH</t>
    </r>
    <r>
      <rPr>
        <vertAlign val="subscript"/>
        <sz val="11"/>
        <rFont val="Calibri"/>
        <family val="2"/>
        <scheme val="minor"/>
      </rPr>
      <t>low,HMETO</t>
    </r>
    <r>
      <rPr>
        <sz val="11"/>
        <rFont val="Calibri"/>
        <family val="2"/>
        <scheme val="minor"/>
      </rPr>
      <t>;pH</t>
    </r>
    <r>
      <rPr>
        <vertAlign val="subscript"/>
        <sz val="11"/>
        <rFont val="Calibri"/>
        <family val="2"/>
        <scheme val="minor"/>
      </rPr>
      <t>high,HMETO</t>
    </r>
    <r>
      <rPr>
        <sz val="11"/>
        <rFont val="Calibri"/>
        <family val="2"/>
        <scheme val="minor"/>
      </rPr>
      <t>)</t>
    </r>
  </si>
  <si>
    <r>
      <t>i</t>
    </r>
    <r>
      <rPr>
        <vertAlign val="subscript"/>
        <sz val="11"/>
        <rFont val="Calibri"/>
        <family val="2"/>
      </rPr>
      <t>CIT,BIO</t>
    </r>
    <r>
      <rPr>
        <sz val="11"/>
        <rFont val="Calibri"/>
        <family val="2"/>
      </rPr>
      <t>-i</t>
    </r>
    <r>
      <rPr>
        <vertAlign val="subscript"/>
        <sz val="11"/>
        <rFont val="Calibri"/>
        <family val="2"/>
      </rPr>
      <t>CIT,SB</t>
    </r>
  </si>
  <si>
    <r>
      <t>(1-f</t>
    </r>
    <r>
      <rPr>
        <vertAlign val="subscript"/>
        <sz val="11"/>
        <rFont val="Calibri"/>
        <family val="2"/>
      </rPr>
      <t>E</t>
    </r>
    <r>
      <rPr>
        <sz val="11"/>
        <rFont val="Calibri"/>
        <family val="2"/>
      </rPr>
      <t>)*(i</t>
    </r>
    <r>
      <rPr>
        <vertAlign val="subscript"/>
        <sz val="11"/>
        <rFont val="Calibri"/>
        <family val="2"/>
      </rPr>
      <t>CIT,BIO</t>
    </r>
    <r>
      <rPr>
        <sz val="11"/>
        <rFont val="Calibri"/>
        <family val="2"/>
      </rPr>
      <t>-i</t>
    </r>
    <r>
      <rPr>
        <vertAlign val="subscript"/>
        <sz val="11"/>
        <rFont val="Calibri"/>
        <family val="2"/>
      </rPr>
      <t>CIT,SB</t>
    </r>
    <r>
      <rPr>
        <sz val="11"/>
        <rFont val="Calibri"/>
        <family val="2"/>
      </rPr>
      <t>)</t>
    </r>
  </si>
  <si>
    <r>
      <t>Hsat</t>
    </r>
    <r>
      <rPr>
        <vertAlign val="subscript"/>
        <sz val="11"/>
        <rFont val="Calibri"/>
        <family val="2"/>
        <scheme val="minor"/>
      </rPr>
      <t>SVFA,AMETO</t>
    </r>
  </si>
  <si>
    <t>HFO kinetics</t>
  </si>
  <si>
    <t>A_MN/M_MSTR</t>
  </si>
  <si>
    <t>A_MP/M_MSTR</t>
  </si>
  <si>
    <t>2*A_MP/M_MACP</t>
  </si>
  <si>
    <t>2*A_MP/M_MVivi</t>
  </si>
  <si>
    <t>HFO stoichiometry</t>
  </si>
  <si>
    <t>Ferrous ions fully dissociated</t>
  </si>
  <si>
    <r>
      <t>m</t>
    </r>
    <r>
      <rPr>
        <vertAlign val="subscript"/>
        <sz val="11"/>
        <rFont val="Calibri"/>
        <family val="2"/>
        <scheme val="minor"/>
      </rPr>
      <t>tox,ana</t>
    </r>
  </si>
  <si>
    <t>unitless</t>
  </si>
  <si>
    <r>
      <t>g X</t>
    </r>
    <r>
      <rPr>
        <vertAlign val="subscript"/>
        <sz val="11"/>
        <rFont val="Calibri"/>
        <family val="2"/>
        <scheme val="minor"/>
      </rPr>
      <t>PAO</t>
    </r>
    <r>
      <rPr>
        <sz val="11"/>
        <rFont val="Calibri"/>
        <family val="2"/>
        <scheme val="minor"/>
      </rPr>
      <t>.g X</t>
    </r>
    <r>
      <rPr>
        <vertAlign val="subscript"/>
        <sz val="11"/>
        <rFont val="Calibri"/>
        <family val="2"/>
        <scheme val="minor"/>
      </rPr>
      <t>PHA</t>
    </r>
    <r>
      <rPr>
        <vertAlign val="superscript"/>
        <sz val="11"/>
        <rFont val="Calibri"/>
        <family val="2"/>
        <scheme val="minor"/>
      </rPr>
      <t>-1</t>
    </r>
  </si>
  <si>
    <r>
      <t>10^(-A</t>
    </r>
    <r>
      <rPr>
        <vertAlign val="subscript"/>
        <sz val="11"/>
        <rFont val="Calibri"/>
        <family val="2"/>
        <scheme val="minor"/>
      </rPr>
      <t>Davies</t>
    </r>
    <r>
      <rPr>
        <sz val="11"/>
        <rFont val="Calibri"/>
        <family val="2"/>
        <scheme val="minor"/>
      </rPr>
      <t>*1^(2)*(IS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</si>
  <si>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*2^(2)*(IS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</si>
  <si>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*3^(2)*(IS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</si>
  <si>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t>Key(930)</t>
  </si>
  <si>
    <t>Key(940)</t>
  </si>
  <si>
    <t>Key(950)</t>
  </si>
  <si>
    <t>Key(960)</t>
  </si>
  <si>
    <t>Key(970)</t>
  </si>
  <si>
    <t>Key(980)</t>
  </si>
  <si>
    <t>Key(1000)</t>
  </si>
  <si>
    <t>Key(990)</t>
  </si>
  <si>
    <r>
      <t>X</t>
    </r>
    <r>
      <rPr>
        <vertAlign val="subscript"/>
        <sz val="11"/>
        <rFont val="Calibri"/>
        <family val="2"/>
        <scheme val="minor"/>
      </rPr>
      <t>ISS</t>
    </r>
  </si>
  <si>
    <r>
      <t>X</t>
    </r>
    <r>
      <rPr>
        <vertAlign val="subscript"/>
        <sz val="11"/>
        <rFont val="Calibri"/>
        <family val="2"/>
        <scheme val="minor"/>
      </rPr>
      <t>precip</t>
    </r>
  </si>
  <si>
    <r>
      <t>X</t>
    </r>
    <r>
      <rPr>
        <vertAlign val="subscript"/>
        <sz val="11"/>
        <rFont val="Calibri"/>
        <family val="2"/>
        <scheme val="minor"/>
      </rPr>
      <t>HFO,TSS</t>
    </r>
  </si>
  <si>
    <r>
      <t>X</t>
    </r>
    <r>
      <rPr>
        <vertAlign val="subscript"/>
        <sz val="11"/>
        <rFont val="Calibri"/>
        <family val="2"/>
        <scheme val="minor"/>
      </rPr>
      <t>VSS</t>
    </r>
    <r>
      <rPr>
        <sz val="11"/>
        <rFont val="Calibri"/>
        <family val="2"/>
        <scheme val="minor"/>
      </rPr>
      <t>+X</t>
    </r>
    <r>
      <rPr>
        <vertAlign val="subscript"/>
        <sz val="11"/>
        <rFont val="Calibri"/>
        <family val="2"/>
        <scheme val="minor"/>
      </rPr>
      <t>ISS</t>
    </r>
  </si>
  <si>
    <t>Total HFOs in TSS unit</t>
  </si>
  <si>
    <t>Dry matter</t>
  </si>
  <si>
    <r>
      <t>X</t>
    </r>
    <r>
      <rPr>
        <vertAlign val="subscript"/>
        <sz val="11"/>
        <rFont val="Calibri"/>
        <family val="2"/>
        <scheme val="minor"/>
      </rPr>
      <t>DM</t>
    </r>
  </si>
  <si>
    <r>
      <t>g.m</t>
    </r>
    <r>
      <rPr>
        <vertAlign val="superscript"/>
        <sz val="11"/>
        <rFont val="Calibri"/>
        <family val="2"/>
      </rPr>
      <t>-3</t>
    </r>
    <r>
      <rPr>
        <sz val="11"/>
        <rFont val="Calibri"/>
        <family val="2"/>
      </rPr>
      <t>.d</t>
    </r>
    <r>
      <rPr>
        <vertAlign val="superscript"/>
        <sz val="11"/>
        <rFont val="Calibri"/>
        <family val="2"/>
      </rPr>
      <t>-1</t>
    </r>
  </si>
  <si>
    <r>
      <t>MM</t>
    </r>
    <r>
      <rPr>
        <vertAlign val="subscript"/>
        <sz val="11"/>
        <rFont val="Calibri"/>
        <family val="2"/>
        <scheme val="minor"/>
      </rPr>
      <t>air</t>
    </r>
  </si>
  <si>
    <t>Molar mass of air</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</si>
  <si>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</si>
  <si>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</si>
  <si>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</si>
  <si>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</si>
  <si>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MMC</t>
    </r>
  </si>
  <si>
    <t>Molecular mass of methyl mercaptan</t>
  </si>
  <si>
    <r>
      <t>g N.mol</t>
    </r>
    <r>
      <rPr>
        <vertAlign val="superscript"/>
        <sz val="11"/>
        <rFont val="Calibri"/>
        <family val="2"/>
        <scheme val="minor"/>
      </rPr>
      <t>-1</t>
    </r>
  </si>
  <si>
    <r>
      <t>g COD.mol</t>
    </r>
    <r>
      <rPr>
        <vertAlign val="superscript"/>
        <sz val="11"/>
        <rFont val="Calibri"/>
        <family val="2"/>
        <scheme val="minor"/>
      </rPr>
      <t>-1</t>
    </r>
  </si>
  <si>
    <r>
      <t>g S.mol</t>
    </r>
    <r>
      <rPr>
        <vertAlign val="superscript"/>
        <sz val="11"/>
        <rFont val="Calibri"/>
        <family val="2"/>
        <scheme val="minor"/>
      </rPr>
      <t>-1</t>
    </r>
  </si>
  <si>
    <r>
      <t>g COD.g N</t>
    </r>
    <r>
      <rPr>
        <vertAlign val="superscript"/>
        <sz val="11"/>
        <rFont val="Calibri"/>
        <family val="2"/>
      </rPr>
      <t>-1</t>
    </r>
  </si>
  <si>
    <r>
      <t>g COD.g Fe</t>
    </r>
    <r>
      <rPr>
        <vertAlign val="superscript"/>
        <sz val="11"/>
        <rFont val="Calibri"/>
        <family val="2"/>
      </rPr>
      <t>-1</t>
    </r>
  </si>
  <si>
    <r>
      <t>g COD.g S</t>
    </r>
    <r>
      <rPr>
        <vertAlign val="superscript"/>
        <sz val="11"/>
        <rFont val="Calibri"/>
        <family val="2"/>
      </rPr>
      <t>-1</t>
    </r>
  </si>
  <si>
    <r>
      <t>g COD.g S</t>
    </r>
    <r>
      <rPr>
        <vertAlign val="superscript"/>
        <sz val="11"/>
        <rFont val="Calibri"/>
        <family val="2"/>
        <scheme val="minor"/>
      </rPr>
      <t>-1</t>
    </r>
  </si>
  <si>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</si>
  <si>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</si>
  <si>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t>Conversion coefficient between pascal and Hgmm</t>
  </si>
  <si>
    <t>Conversion coefficient between pascal and bar</t>
  </si>
  <si>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</si>
  <si>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</si>
  <si>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</si>
  <si>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</si>
  <si>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</si>
  <si>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</si>
  <si>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</si>
  <si>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</si>
  <si>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</si>
  <si>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</si>
  <si>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</si>
  <si>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</si>
  <si>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</si>
  <si>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</si>
  <si>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</si>
  <si>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</si>
  <si>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</si>
  <si>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</si>
  <si>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</si>
  <si>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</si>
  <si>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</si>
  <si>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</si>
  <si>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</si>
  <si>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</si>
  <si>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</si>
  <si>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</si>
  <si>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</si>
  <si>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</si>
  <si>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</si>
  <si>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</si>
  <si>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</si>
  <si>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</si>
  <si>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</si>
  <si>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</si>
  <si>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</si>
  <si>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</si>
  <si>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</si>
  <si>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</si>
  <si>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</si>
  <si>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</si>
  <si>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</si>
  <si>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</si>
  <si>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</si>
  <si>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</si>
  <si>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</si>
  <si>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</si>
  <si>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</si>
  <si>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</si>
  <si>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</si>
  <si>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</si>
  <si>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</si>
  <si>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</si>
  <si>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</si>
  <si>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</si>
  <si>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</si>
  <si>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</si>
  <si>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</si>
  <si>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</si>
  <si>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</si>
  <si>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</si>
  <si>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</si>
  <si>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</si>
  <si>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</si>
  <si>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</si>
  <si>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</si>
  <si>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</si>
  <si>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</si>
  <si>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Volatile solids (VS)</t>
  </si>
  <si>
    <t>Volatile suspended solids (VSS)</t>
  </si>
  <si>
    <r>
      <t>X</t>
    </r>
    <r>
      <rPr>
        <vertAlign val="subscript"/>
        <sz val="11"/>
        <rFont val="Calibri"/>
        <family val="2"/>
        <scheme val="minor"/>
      </rPr>
      <t>VS,ult</t>
    </r>
  </si>
  <si>
    <r>
      <t>Y</t>
    </r>
    <r>
      <rPr>
        <vertAlign val="subscript"/>
        <sz val="11"/>
        <rFont val="Calibri"/>
        <family val="2"/>
        <scheme val="minor"/>
      </rPr>
      <t>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</si>
  <si>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</si>
  <si>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</si>
  <si>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</si>
  <si>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Y</t>
    </r>
    <r>
      <rPr>
        <vertAlign val="subscript"/>
        <sz val="11"/>
        <rFont val="Calibri"/>
        <family val="2"/>
        <scheme val="minor"/>
      </rPr>
      <t>BOD,ult</t>
    </r>
    <r>
      <rPr>
        <sz val="11"/>
        <rFont val="Calibri"/>
        <family val="2"/>
        <scheme val="minor"/>
      </rPr>
      <t>*(S</t>
    </r>
    <r>
      <rPr>
        <vertAlign val="subscript"/>
        <sz val="11"/>
        <rFont val="Calibri"/>
        <family val="2"/>
        <scheme val="minor"/>
      </rPr>
      <t>VFA</t>
    </r>
    <r>
      <rPr>
        <sz val="11"/>
        <rFont val="Calibri"/>
        <family val="2"/>
        <scheme val="minor"/>
      </rPr>
      <t>+S</t>
    </r>
    <r>
      <rPr>
        <vertAlign val="subscript"/>
        <sz val="11"/>
        <rFont val="Calibri"/>
        <family val="2"/>
        <scheme val="minor"/>
      </rPr>
      <t>B</t>
    </r>
    <r>
      <rPr>
        <sz val="11"/>
        <rFont val="Calibri"/>
        <family val="2"/>
        <scheme val="minor"/>
      </rPr>
      <t>+S</t>
    </r>
    <r>
      <rPr>
        <vertAlign val="subscript"/>
        <sz val="11"/>
        <rFont val="Calibri"/>
        <family val="2"/>
        <scheme val="minor"/>
      </rPr>
      <t>MEOL</t>
    </r>
    <r>
      <rPr>
        <sz val="11"/>
        <rFont val="Calibri"/>
        <family val="2"/>
        <scheme val="minor"/>
      </rPr>
      <t>+C</t>
    </r>
    <r>
      <rPr>
        <vertAlign val="subscript"/>
        <sz val="11"/>
        <rFont val="Calibri"/>
        <family val="2"/>
        <scheme val="minor"/>
      </rPr>
      <t>B</t>
    </r>
    <r>
      <rPr>
        <sz val="11"/>
        <rFont val="Calibri"/>
        <family val="2"/>
        <scheme val="minor"/>
      </rPr>
      <t>)</t>
    </r>
  </si>
  <si>
    <r>
      <t>S</t>
    </r>
    <r>
      <rPr>
        <vertAlign val="subscript"/>
        <sz val="11"/>
        <rFont val="Calibri"/>
        <family val="2"/>
        <scheme val="minor"/>
      </rPr>
      <t>BOD,ult</t>
    </r>
    <r>
      <rPr>
        <sz val="11"/>
        <rFont val="Calibri"/>
        <family val="2"/>
        <scheme val="minor"/>
      </rPr>
      <t xml:space="preserve"> +X</t>
    </r>
    <r>
      <rPr>
        <vertAlign val="subscript"/>
        <sz val="11"/>
        <rFont val="Calibri"/>
        <family val="2"/>
        <scheme val="minor"/>
      </rPr>
      <t>BOD,ult</t>
    </r>
  </si>
  <si>
    <t>COUR</t>
  </si>
  <si>
    <t>NOUR</t>
  </si>
  <si>
    <t>Metal</t>
  </si>
  <si>
    <r>
      <t>m</t>
    </r>
    <r>
      <rPr>
        <vertAlign val="subscript"/>
        <sz val="11"/>
        <rFont val="Calibri"/>
        <family val="2"/>
        <scheme val="minor"/>
      </rPr>
      <t>tox,ana,max</t>
    </r>
  </si>
  <si>
    <t>Non-Digester</t>
  </si>
  <si>
    <r>
      <t>X</t>
    </r>
    <r>
      <rPr>
        <b/>
        <vertAlign val="subscript"/>
        <sz val="11"/>
        <rFont val="Calibri"/>
        <family val="2"/>
        <scheme val="minor"/>
      </rPr>
      <t>PP</t>
    </r>
  </si>
  <si>
    <r>
      <t>X</t>
    </r>
    <r>
      <rPr>
        <b/>
        <vertAlign val="subscript"/>
        <sz val="11"/>
        <rFont val="Calibri"/>
        <family val="2"/>
        <scheme val="minor"/>
      </rPr>
      <t>GLY</t>
    </r>
  </si>
  <si>
    <t>Glycogen accumulating organisms</t>
  </si>
  <si>
    <t>GAO's GLY storage from VFAs</t>
  </si>
  <si>
    <r>
      <t>i</t>
    </r>
    <r>
      <rPr>
        <vertAlign val="subscript"/>
        <sz val="11"/>
        <rFont val="Calibri"/>
        <family val="2"/>
      </rPr>
      <t>CIT,VFA</t>
    </r>
    <r>
      <rPr>
        <sz val="11"/>
        <rFont val="Calibri"/>
        <family val="2"/>
      </rPr>
      <t>-i</t>
    </r>
    <r>
      <rPr>
        <vertAlign val="subscript"/>
        <sz val="11"/>
        <rFont val="Calibri"/>
        <family val="2"/>
      </rPr>
      <t>CIT,GLY</t>
    </r>
  </si>
  <si>
    <r>
      <t>b</t>
    </r>
    <r>
      <rPr>
        <vertAlign val="subscript"/>
        <sz val="11"/>
        <rFont val="Calibri"/>
        <family val="2"/>
        <scheme val="minor"/>
      </rPr>
      <t>PP,ana</t>
    </r>
  </si>
  <si>
    <r>
      <t>K</t>
    </r>
    <r>
      <rPr>
        <vertAlign val="subscript"/>
        <sz val="11"/>
        <rFont val="Calibri"/>
        <family val="2"/>
        <scheme val="minor"/>
      </rPr>
      <t>PP</t>
    </r>
  </si>
  <si>
    <r>
      <t>MRsat(X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</si>
  <si>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Msat</t>
    </r>
    <r>
      <rPr>
        <vertAlign val="subscript"/>
        <sz val="11"/>
        <rFont val="Calibri"/>
        <family val="2"/>
        <scheme val="minor"/>
      </rPr>
      <t>XPP,KPP,lim</t>
    </r>
  </si>
  <si>
    <r>
      <t>Msat(X</t>
    </r>
    <r>
      <rPr>
        <vertAlign val="subscript"/>
        <sz val="11"/>
        <rFont val="Calibri"/>
        <family val="2"/>
        <scheme val="minor"/>
      </rPr>
      <t>PP</t>
    </r>
    <r>
      <rPr>
        <sz val="11"/>
        <rFont val="Calibri"/>
        <family val="2"/>
        <scheme val="minor"/>
      </rPr>
      <t>;K</t>
    </r>
    <r>
      <rPr>
        <vertAlign val="subscript"/>
        <sz val="11"/>
        <rFont val="Calibri"/>
        <family val="2"/>
        <scheme val="minor"/>
      </rPr>
      <t>PP,lim</t>
    </r>
    <r>
      <rPr>
        <sz val="11"/>
        <rFont val="Calibri"/>
        <family val="2"/>
        <scheme val="minor"/>
      </rPr>
      <t>)</t>
    </r>
  </si>
  <si>
    <r>
      <t>K</t>
    </r>
    <r>
      <rPr>
        <vertAlign val="subscript"/>
        <sz val="11"/>
        <rFont val="Calibri"/>
        <family val="2"/>
        <scheme val="minor"/>
      </rPr>
      <t>GLY</t>
    </r>
  </si>
  <si>
    <r>
      <t>MRsat</t>
    </r>
    <r>
      <rPr>
        <vertAlign val="subscript"/>
        <sz val="11"/>
        <rFont val="Calibri"/>
        <family val="2"/>
        <scheme val="minor"/>
      </rPr>
      <t>XGLY,XGAO,KGLY</t>
    </r>
  </si>
  <si>
    <r>
      <t>MRsat(X</t>
    </r>
    <r>
      <rPr>
        <vertAlign val="subscript"/>
        <sz val="11"/>
        <rFont val="Calibri"/>
        <family val="2"/>
        <scheme val="minor"/>
      </rPr>
      <t>GLY</t>
    </r>
    <r>
      <rPr>
        <sz val="11"/>
        <rFont val="Calibri"/>
        <family val="2"/>
        <scheme val="minor"/>
      </rPr>
      <t>;X</t>
    </r>
    <r>
      <rPr>
        <vertAlign val="subscript"/>
        <sz val="11"/>
        <rFont val="Calibri"/>
        <family val="2"/>
        <scheme val="minor"/>
      </rPr>
      <t>GAO</t>
    </r>
    <r>
      <rPr>
        <sz val="11"/>
        <rFont val="Calibri"/>
        <family val="2"/>
        <scheme val="minor"/>
      </rPr>
      <t>;K</t>
    </r>
    <r>
      <rPr>
        <vertAlign val="subscript"/>
        <sz val="11"/>
        <rFont val="Calibri"/>
        <family val="2"/>
        <scheme val="minor"/>
      </rPr>
      <t>GLY</t>
    </r>
    <r>
      <rPr>
        <sz val="11"/>
        <rFont val="Calibri"/>
        <family val="2"/>
        <scheme val="minor"/>
      </rPr>
      <t>)</t>
    </r>
  </si>
  <si>
    <r>
      <t>Y</t>
    </r>
    <r>
      <rPr>
        <vertAlign val="subscript"/>
        <sz val="11"/>
        <rFont val="Calibri"/>
        <family val="2"/>
        <scheme val="minor"/>
      </rPr>
      <t>BOD,ult</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B</t>
    </r>
    <r>
      <rPr>
        <sz val="11"/>
        <rFont val="Calibri"/>
        <family val="2"/>
        <scheme val="minor"/>
      </rPr>
      <t>+X</t>
    </r>
    <r>
      <rPr>
        <vertAlign val="subscript"/>
        <sz val="11"/>
        <rFont val="Calibri"/>
        <family val="2"/>
        <scheme val="minor"/>
      </rPr>
      <t>PHA</t>
    </r>
    <r>
      <rPr>
        <sz val="11"/>
        <rFont val="Calibri"/>
        <family val="2"/>
        <scheme val="minor"/>
      </rPr>
      <t>+X</t>
    </r>
    <r>
      <rPr>
        <vertAlign val="subscript"/>
        <sz val="11"/>
        <rFont val="Calibri"/>
        <family val="2"/>
        <scheme val="minor"/>
      </rPr>
      <t>GLY</t>
    </r>
    <r>
      <rPr>
        <sz val="11"/>
        <rFont val="Calibri"/>
        <family val="2"/>
        <scheme val="minor"/>
      </rPr>
      <t>)</t>
    </r>
  </si>
  <si>
    <r>
      <t>X</t>
    </r>
    <r>
      <rPr>
        <vertAlign val="subscript"/>
        <sz val="11"/>
        <rFont val="Calibri"/>
        <family val="2"/>
        <scheme val="minor"/>
      </rPr>
      <t>BIO</t>
    </r>
    <r>
      <rPr>
        <sz val="11"/>
        <rFont val="Calibri"/>
        <family val="2"/>
        <scheme val="minor"/>
      </rPr>
      <t>+X</t>
    </r>
    <r>
      <rPr>
        <vertAlign val="subscript"/>
        <sz val="11"/>
        <rFont val="Calibri"/>
        <family val="2"/>
        <scheme val="minor"/>
      </rPr>
      <t>B</t>
    </r>
    <r>
      <rPr>
        <sz val="11"/>
        <rFont val="Calibri"/>
        <family val="2"/>
        <scheme val="minor"/>
      </rPr>
      <t>+X</t>
    </r>
    <r>
      <rPr>
        <vertAlign val="subscript"/>
        <sz val="11"/>
        <rFont val="Calibri"/>
        <family val="2"/>
        <scheme val="minor"/>
      </rPr>
      <t>U</t>
    </r>
    <r>
      <rPr>
        <sz val="11"/>
        <rFont val="Calibri"/>
        <family val="2"/>
        <scheme val="minor"/>
      </rPr>
      <t>+X</t>
    </r>
    <r>
      <rPr>
        <vertAlign val="subscript"/>
        <sz val="11"/>
        <rFont val="Calibri"/>
        <family val="2"/>
        <scheme val="minor"/>
      </rPr>
      <t>PHA</t>
    </r>
    <r>
      <rPr>
        <sz val="11"/>
        <rFont val="Calibri"/>
        <family val="2"/>
        <scheme val="minor"/>
      </rPr>
      <t>+X</t>
    </r>
    <r>
      <rPr>
        <vertAlign val="subscript"/>
        <sz val="11"/>
        <rFont val="Calibri"/>
        <family val="2"/>
        <scheme val="minor"/>
      </rPr>
      <t>GLY</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</si>
  <si>
    <r>
      <t>i</t>
    </r>
    <r>
      <rPr>
        <vertAlign val="subscript"/>
        <sz val="11"/>
        <rFont val="Calibri"/>
        <family val="2"/>
        <scheme val="minor"/>
      </rPr>
      <t>CV,GLY</t>
    </r>
  </si>
  <si>
    <r>
      <t>b</t>
    </r>
    <r>
      <rPr>
        <vertAlign val="subscript"/>
        <sz val="11"/>
        <color indexed="8"/>
        <rFont val="Calibri"/>
        <family val="2"/>
        <scheme val="minor"/>
      </rPr>
      <t>PP,ana,T</t>
    </r>
  </si>
  <si>
    <r>
      <t>b</t>
    </r>
    <r>
      <rPr>
        <vertAlign val="subscript"/>
        <sz val="11"/>
        <color indexed="8"/>
        <rFont val="Calibri"/>
        <family val="2"/>
        <scheme val="minor"/>
      </rPr>
      <t>PP,ana</t>
    </r>
    <r>
      <rPr>
        <sz val="11"/>
        <color indexed="8"/>
        <rFont val="Calibri"/>
        <family val="2"/>
        <scheme val="minor"/>
      </rPr>
      <t>*Arrh(θ</t>
    </r>
    <r>
      <rPr>
        <vertAlign val="subscript"/>
        <sz val="11"/>
        <color indexed="8"/>
        <rFont val="Calibri"/>
        <family val="2"/>
        <scheme val="minor"/>
      </rPr>
      <t>b,PP,ana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</si>
  <si>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b,PP,ana</t>
    </r>
  </si>
  <si>
    <r>
      <t>i</t>
    </r>
    <r>
      <rPr>
        <vertAlign val="subscript"/>
        <sz val="11"/>
        <rFont val="Calibri"/>
        <family val="2"/>
        <scheme val="minor"/>
      </rPr>
      <t>CIT,GLY</t>
    </r>
  </si>
  <si>
    <r>
      <t>MRsat</t>
    </r>
    <r>
      <rPr>
        <vertAlign val="subscript"/>
        <sz val="11"/>
        <rFont val="Calibri"/>
        <family val="2"/>
        <scheme val="minor"/>
      </rPr>
      <t>XPP,XPAO,KPP</t>
    </r>
  </si>
  <si>
    <r>
      <t>[C</t>
    </r>
    <r>
      <rPr>
        <vertAlign val="subscript"/>
        <sz val="11"/>
        <color indexed="8"/>
        <rFont val="Calibri"/>
        <family val="2"/>
        <scheme val="minor"/>
      </rPr>
      <t>6</t>
    </r>
    <r>
      <rPr>
        <sz val="11"/>
        <color indexed="8"/>
        <rFont val="Calibri"/>
        <family val="2"/>
        <scheme val="minor"/>
      </rPr>
      <t>H</t>
    </r>
    <r>
      <rPr>
        <vertAlign val="subscript"/>
        <sz val="11"/>
        <color indexed="8"/>
        <rFont val="Calibri"/>
        <family val="2"/>
        <scheme val="minor"/>
      </rPr>
      <t>10</t>
    </r>
    <r>
      <rPr>
        <sz val="11"/>
        <color indexed="8"/>
        <rFont val="Calibri"/>
        <family val="2"/>
        <scheme val="minor"/>
      </rPr>
      <t>O</t>
    </r>
    <r>
      <rPr>
        <vertAlign val="subscript"/>
        <sz val="11"/>
        <color indexed="8"/>
        <rFont val="Calibri"/>
        <family val="2"/>
        <scheme val="minor"/>
      </rPr>
      <t>5</t>
    </r>
    <r>
      <rPr>
        <sz val="11"/>
        <color indexed="8"/>
        <rFont val="Calibri"/>
        <family val="2"/>
        <scheme val="minor"/>
      </rPr>
      <t>]</t>
    </r>
    <r>
      <rPr>
        <vertAlign val="subscript"/>
        <sz val="11"/>
        <color indexed="8"/>
        <rFont val="Calibri"/>
        <family val="2"/>
        <scheme val="minor"/>
      </rPr>
      <t>n</t>
    </r>
    <r>
      <rPr>
        <sz val="11"/>
        <color indexed="8"/>
        <rFont val="Calibri"/>
        <family val="2"/>
        <scheme val="minor"/>
      </rPr>
      <t>: 32 g COD/mol C</t>
    </r>
  </si>
  <si>
    <r>
      <t>q</t>
    </r>
    <r>
      <rPr>
        <vertAlign val="subscript"/>
        <sz val="11"/>
        <color indexed="8"/>
        <rFont val="Calibri"/>
        <family val="2"/>
        <scheme val="minor"/>
      </rPr>
      <t>GAO,GLY,T</t>
    </r>
  </si>
  <si>
    <r>
      <t>q</t>
    </r>
    <r>
      <rPr>
        <vertAlign val="subscript"/>
        <sz val="11"/>
        <color indexed="8"/>
        <rFont val="Calibri"/>
        <family val="2"/>
        <scheme val="minor"/>
      </rPr>
      <t>GAO,GLY</t>
    </r>
    <r>
      <rPr>
        <sz val="11"/>
        <color indexed="8"/>
        <rFont val="Calibri"/>
        <family val="2"/>
        <scheme val="minor"/>
      </rPr>
      <t>*Arrh(θ</t>
    </r>
    <r>
      <rPr>
        <vertAlign val="subscript"/>
        <sz val="11"/>
        <color indexed="8"/>
        <rFont val="Calibri"/>
        <family val="2"/>
        <scheme val="minor"/>
      </rPr>
      <t>q,GAO,GLY</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</si>
  <si>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q,GAO,GLY</t>
    </r>
  </si>
  <si>
    <t>Arrhenius coefficient for GLY storage</t>
  </si>
  <si>
    <t>r50</t>
  </si>
  <si>
    <t>r51</t>
  </si>
  <si>
    <t>r52</t>
  </si>
  <si>
    <t>r53</t>
  </si>
  <si>
    <t>r54</t>
  </si>
  <si>
    <t>r55</t>
  </si>
  <si>
    <t>r56</t>
  </si>
  <si>
    <t>r57</t>
  </si>
  <si>
    <r>
      <t>MRinh</t>
    </r>
    <r>
      <rPr>
        <vertAlign val="subscript"/>
        <sz val="11"/>
        <rFont val="Calibri"/>
        <family val="2"/>
        <scheme val="minor"/>
      </rPr>
      <t>XGLY,XGAO,KGLY</t>
    </r>
  </si>
  <si>
    <r>
      <t>MRinh(X</t>
    </r>
    <r>
      <rPr>
        <vertAlign val="subscript"/>
        <sz val="11"/>
        <rFont val="Calibri"/>
        <family val="2"/>
        <scheme val="minor"/>
      </rPr>
      <t>GLY</t>
    </r>
    <r>
      <rPr>
        <sz val="11"/>
        <rFont val="Calibri"/>
        <family val="2"/>
        <scheme val="minor"/>
      </rPr>
      <t>;X</t>
    </r>
    <r>
      <rPr>
        <vertAlign val="subscript"/>
        <sz val="11"/>
        <rFont val="Calibri"/>
        <family val="2"/>
        <scheme val="minor"/>
      </rPr>
      <t>GAO</t>
    </r>
    <r>
      <rPr>
        <sz val="11"/>
        <rFont val="Calibri"/>
        <family val="2"/>
        <scheme val="minor"/>
      </rPr>
      <t>;K</t>
    </r>
    <r>
      <rPr>
        <vertAlign val="subscript"/>
        <sz val="11"/>
        <rFont val="Calibri"/>
        <family val="2"/>
        <scheme val="minor"/>
      </rPr>
      <t>GLY</t>
    </r>
    <r>
      <rPr>
        <sz val="11"/>
        <rFont val="Calibri"/>
        <family val="2"/>
        <scheme val="minor"/>
      </rPr>
      <t>)</t>
    </r>
  </si>
  <si>
    <r>
      <t>f(X</t>
    </r>
    <r>
      <rPr>
        <vertAlign val="subscript"/>
        <sz val="11"/>
        <rFont val="Calibri"/>
        <family val="2"/>
      </rPr>
      <t>INORG</t>
    </r>
    <r>
      <rPr>
        <sz val="11"/>
        <rFont val="Calibri"/>
        <family val="2"/>
      </rPr>
      <t>); f(X</t>
    </r>
    <r>
      <rPr>
        <vertAlign val="subscript"/>
        <sz val="11"/>
        <rFont val="Calibri"/>
        <family val="2"/>
      </rPr>
      <t>PP</t>
    </r>
    <r>
      <rPr>
        <sz val="11"/>
        <rFont val="Calibri"/>
        <family val="2"/>
      </rPr>
      <t>)</t>
    </r>
    <r>
      <rPr>
        <sz val="11"/>
        <rFont val="Calibri"/>
        <family val="2"/>
      </rPr>
      <t>;f(X</t>
    </r>
    <r>
      <rPr>
        <vertAlign val="subscript"/>
        <sz val="11"/>
        <rFont val="Calibri"/>
        <family val="2"/>
      </rPr>
      <t>PHA</t>
    </r>
    <r>
      <rPr>
        <sz val="11"/>
        <rFont val="Calibri"/>
        <family val="2"/>
      </rPr>
      <t>)</t>
    </r>
  </si>
  <si>
    <t>Lopez Vazquez et al., 2009</t>
  </si>
  <si>
    <r>
      <t>g COD.g COD</t>
    </r>
    <r>
      <rPr>
        <vertAlign val="superscript"/>
        <sz val="11"/>
        <rFont val="Calibri"/>
        <family val="2"/>
        <scheme val="minor"/>
      </rPr>
      <t>-1</t>
    </r>
  </si>
  <si>
    <r>
      <t>Loginh</t>
    </r>
    <r>
      <rPr>
        <vertAlign val="subscript"/>
        <sz val="11"/>
        <rFont val="Calibri"/>
        <family val="2"/>
        <scheme val="minor"/>
      </rPr>
      <t>XPHA,XPAO,max</t>
    </r>
  </si>
  <si>
    <r>
      <t>Loginh</t>
    </r>
    <r>
      <rPr>
        <vertAlign val="subscript"/>
        <sz val="11"/>
        <rFont val="Calibri"/>
        <family val="2"/>
        <scheme val="minor"/>
      </rPr>
      <t>XPP,XPAO,max</t>
    </r>
  </si>
  <si>
    <r>
      <t>Loginh</t>
    </r>
    <r>
      <rPr>
        <vertAlign val="subscript"/>
        <sz val="11"/>
        <rFont val="Calibri"/>
        <family val="2"/>
        <scheme val="minor"/>
      </rPr>
      <t>XGLY,XGAO,max</t>
    </r>
  </si>
  <si>
    <r>
      <t>CH</t>
    </r>
    <r>
      <rPr>
        <vertAlign val="subscript"/>
        <sz val="11"/>
        <rFont val="Calibri"/>
        <family val="2"/>
        <scheme val="minor"/>
      </rPr>
      <t>4</t>
    </r>
    <r>
      <rPr>
        <sz val="11"/>
        <rFont val="Calibri"/>
        <family val="2"/>
        <scheme val="minor"/>
      </rPr>
      <t>O: 48 g COD/mol C</t>
    </r>
  </si>
  <si>
    <r>
      <t>i</t>
    </r>
    <r>
      <rPr>
        <vertAlign val="subscript"/>
        <sz val="11"/>
        <rFont val="Calibri"/>
        <family val="2"/>
        <scheme val="minor"/>
      </rPr>
      <t>N,XE</t>
    </r>
  </si>
  <si>
    <t>N content of endogenous products</t>
  </si>
  <si>
    <r>
      <t>i</t>
    </r>
    <r>
      <rPr>
        <vertAlign val="subscript"/>
        <sz val="11"/>
        <rFont val="Calibri"/>
        <family val="2"/>
      </rPr>
      <t>N,XE</t>
    </r>
  </si>
  <si>
    <r>
      <t>-f</t>
    </r>
    <r>
      <rPr>
        <vertAlign val="subscript"/>
        <sz val="11"/>
        <rFont val="Calibri"/>
        <family val="2"/>
      </rPr>
      <t>E</t>
    </r>
    <r>
      <rPr>
        <sz val="11"/>
        <rFont val="Calibri"/>
        <family val="2"/>
      </rPr>
      <t>*(i</t>
    </r>
    <r>
      <rPr>
        <vertAlign val="subscript"/>
        <sz val="11"/>
        <rFont val="Calibri"/>
        <family val="2"/>
      </rPr>
      <t>N,XE</t>
    </r>
    <r>
      <rPr>
        <sz val="11"/>
        <rFont val="Calibri"/>
        <family val="2"/>
      </rPr>
      <t>-i</t>
    </r>
    <r>
      <rPr>
        <vertAlign val="subscript"/>
        <sz val="11"/>
        <rFont val="Calibri"/>
        <family val="2"/>
      </rPr>
      <t>N,BIO</t>
    </r>
    <r>
      <rPr>
        <sz val="11"/>
        <rFont val="Calibri"/>
        <family val="2"/>
      </rPr>
      <t>)</t>
    </r>
  </si>
  <si>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r>
      <rPr>
        <sz val="11"/>
        <rFont val="Calibri"/>
        <family val="2"/>
        <scheme val="minor"/>
      </rPr>
      <t xml:space="preserve"> + X</t>
    </r>
    <r>
      <rPr>
        <vertAlign val="subscript"/>
        <sz val="11"/>
        <rFont val="Calibri"/>
        <family val="2"/>
        <scheme val="minor"/>
      </rPr>
      <t>N,U</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BIO</t>
    </r>
    <r>
      <rPr>
        <sz val="11"/>
        <rFont val="Calibri"/>
        <family val="2"/>
        <scheme val="minor"/>
      </rPr>
      <t>+i</t>
    </r>
    <r>
      <rPr>
        <vertAlign val="subscript"/>
        <sz val="11"/>
        <rFont val="Calibri"/>
        <family val="2"/>
        <scheme val="minor"/>
      </rPr>
      <t>N,XE</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i</t>
    </r>
    <r>
      <rPr>
        <vertAlign val="subscript"/>
        <sz val="11"/>
        <rFont val="Calibri"/>
        <family val="2"/>
        <scheme val="minor"/>
      </rPr>
      <t>N,XSTR</t>
    </r>
    <r>
      <rPr>
        <sz val="11"/>
        <rFont val="Calibri"/>
        <family val="2"/>
        <scheme val="minor"/>
      </rPr>
      <t xml:space="preserve"> * X</t>
    </r>
    <r>
      <rPr>
        <vertAlign val="subscript"/>
        <sz val="11"/>
        <rFont val="Calibri"/>
        <family val="2"/>
        <scheme val="minor"/>
      </rPr>
      <t>STR</t>
    </r>
    <r>
      <rPr>
        <sz val="11"/>
        <rFont val="Calibri"/>
        <family val="2"/>
        <scheme val="minor"/>
      </rPr>
      <t xml:space="preserve"> </t>
    </r>
  </si>
  <si>
    <r>
      <t>g X</t>
    </r>
    <r>
      <rPr>
        <vertAlign val="subscript"/>
        <sz val="11"/>
        <rFont val="Calibri"/>
        <family val="2"/>
        <scheme val="minor"/>
      </rPr>
      <t>OHO</t>
    </r>
    <r>
      <rPr>
        <sz val="11"/>
        <rFont val="Calibri"/>
        <family val="2"/>
        <scheme val="minor"/>
      </rPr>
      <t>.g S</t>
    </r>
    <r>
      <rPr>
        <vertAlign val="subscript"/>
        <sz val="11"/>
        <rFont val="Calibri"/>
        <family val="2"/>
        <scheme val="minor"/>
      </rPr>
      <t>VFA</t>
    </r>
    <r>
      <rPr>
        <vertAlign val="superscript"/>
        <sz val="11"/>
        <rFont val="Calibri"/>
        <family val="2"/>
        <scheme val="minor"/>
      </rPr>
      <t>-1</t>
    </r>
  </si>
  <si>
    <r>
      <t>g X</t>
    </r>
    <r>
      <rPr>
        <vertAlign val="subscript"/>
        <sz val="11"/>
        <rFont val="Calibri"/>
        <family val="2"/>
        <scheme val="minor"/>
      </rPr>
      <t>OHO</t>
    </r>
    <r>
      <rPr>
        <sz val="11"/>
        <rFont val="Calibri"/>
        <family val="2"/>
        <scheme val="minor"/>
      </rPr>
      <t>.g S</t>
    </r>
    <r>
      <rPr>
        <vertAlign val="subscript"/>
        <sz val="11"/>
        <rFont val="Calibri"/>
        <family val="2"/>
        <scheme val="minor"/>
      </rPr>
      <t>B</t>
    </r>
    <r>
      <rPr>
        <vertAlign val="superscript"/>
        <sz val="11"/>
        <rFont val="Calibri"/>
        <family val="2"/>
        <scheme val="minor"/>
      </rPr>
      <t>-1</t>
    </r>
  </si>
  <si>
    <r>
      <t>g X</t>
    </r>
    <r>
      <rPr>
        <vertAlign val="subscript"/>
        <sz val="11"/>
        <rFont val="Calibri"/>
        <family val="2"/>
        <scheme val="minor"/>
      </rPr>
      <t>OHO</t>
    </r>
    <r>
      <rPr>
        <sz val="11"/>
        <rFont val="Calibri"/>
        <family val="2"/>
        <scheme val="minor"/>
      </rPr>
      <t>.g S</t>
    </r>
    <r>
      <rPr>
        <vertAlign val="subscript"/>
        <sz val="11"/>
        <rFont val="Calibri"/>
        <family val="2"/>
        <scheme val="minor"/>
      </rPr>
      <t>MEOL</t>
    </r>
    <r>
      <rPr>
        <vertAlign val="superscript"/>
        <sz val="11"/>
        <rFont val="Calibri"/>
        <family val="2"/>
        <scheme val="minor"/>
      </rPr>
      <t>-1</t>
    </r>
  </si>
  <si>
    <r>
      <t>g X</t>
    </r>
    <r>
      <rPr>
        <vertAlign val="subscript"/>
        <sz val="11"/>
        <rFont val="Calibri"/>
        <family val="2"/>
        <scheme val="minor"/>
      </rPr>
      <t>MEOLO</t>
    </r>
    <r>
      <rPr>
        <sz val="11"/>
        <rFont val="Calibri"/>
        <family val="2"/>
        <scheme val="minor"/>
      </rPr>
      <t>.g S</t>
    </r>
    <r>
      <rPr>
        <vertAlign val="subscript"/>
        <sz val="11"/>
        <rFont val="Calibri"/>
        <family val="2"/>
        <scheme val="minor"/>
      </rPr>
      <t>MEOL</t>
    </r>
    <r>
      <rPr>
        <vertAlign val="superscript"/>
        <sz val="11"/>
        <rFont val="Calibri"/>
        <family val="2"/>
        <scheme val="minor"/>
      </rPr>
      <t>-1</t>
    </r>
  </si>
  <si>
    <r>
      <t>g X</t>
    </r>
    <r>
      <rPr>
        <vertAlign val="subscript"/>
        <sz val="11"/>
        <rFont val="Calibri"/>
        <family val="2"/>
        <scheme val="minor"/>
      </rPr>
      <t>AMETO</t>
    </r>
    <r>
      <rPr>
        <sz val="11"/>
        <rFont val="Calibri"/>
        <family val="2"/>
        <scheme val="minor"/>
      </rPr>
      <t>.g S</t>
    </r>
    <r>
      <rPr>
        <vertAlign val="subscript"/>
        <sz val="11"/>
        <rFont val="Calibri"/>
        <family val="2"/>
        <scheme val="minor"/>
      </rPr>
      <t>VFA</t>
    </r>
    <r>
      <rPr>
        <vertAlign val="superscript"/>
        <sz val="11"/>
        <rFont val="Calibri"/>
        <family val="2"/>
        <scheme val="minor"/>
      </rPr>
      <t>-1</t>
    </r>
  </si>
  <si>
    <r>
      <t>g X</t>
    </r>
    <r>
      <rPr>
        <vertAlign val="subscript"/>
        <sz val="11"/>
        <rFont val="Calibri"/>
        <family val="2"/>
        <scheme val="minor"/>
      </rPr>
      <t>HMETO</t>
    </r>
    <r>
      <rPr>
        <sz val="11"/>
        <rFont val="Calibri"/>
        <family val="2"/>
        <scheme val="minor"/>
      </rPr>
      <t>.g S</t>
    </r>
    <r>
      <rPr>
        <vertAlign val="subscript"/>
        <sz val="11"/>
        <rFont val="Calibri"/>
        <family val="2"/>
        <scheme val="minor"/>
      </rPr>
      <t>H2</t>
    </r>
    <r>
      <rPr>
        <vertAlign val="superscript"/>
        <sz val="11"/>
        <rFont val="Calibri"/>
        <family val="2"/>
        <scheme val="minor"/>
      </rPr>
      <t>-1</t>
    </r>
  </si>
  <si>
    <t>Precipitated solids</t>
  </si>
  <si>
    <t>pH calculation - pH not specified (Non pHSet)</t>
  </si>
  <si>
    <t>Temperature dependency correction</t>
  </si>
  <si>
    <t>Anaerobic toxicity factor</t>
  </si>
  <si>
    <t>Anoxic methanol utilizer kinetics (MEOLO)</t>
  </si>
  <si>
    <t>Oxidation-reduction potential constants</t>
  </si>
  <si>
    <r>
      <t>ORP</t>
    </r>
    <r>
      <rPr>
        <vertAlign val="subscript"/>
        <sz val="11"/>
        <rFont val="Calibri"/>
        <family val="2"/>
        <scheme val="minor"/>
      </rPr>
      <t>base</t>
    </r>
  </si>
  <si>
    <t>Base ORP value</t>
  </si>
  <si>
    <t>mV</t>
  </si>
  <si>
    <r>
      <t>K</t>
    </r>
    <r>
      <rPr>
        <vertAlign val="subscript"/>
        <sz val="11"/>
        <rFont val="Calibri"/>
        <family val="2"/>
        <scheme val="minor"/>
      </rPr>
      <t>ORP,SO2</t>
    </r>
  </si>
  <si>
    <t>Half-saturation of dissolved oxygen for ORP</t>
  </si>
  <si>
    <r>
      <t>K</t>
    </r>
    <r>
      <rPr>
        <vertAlign val="subscript"/>
        <sz val="11"/>
        <rFont val="Calibri"/>
        <family val="2"/>
        <scheme val="minor"/>
      </rPr>
      <t>ORP,SNOx</t>
    </r>
  </si>
  <si>
    <r>
      <t>Half-saturation of NO</t>
    </r>
    <r>
      <rPr>
        <vertAlign val="subscript"/>
        <sz val="11"/>
        <color rgb="FF000000"/>
        <rFont val="Calibri"/>
        <family val="2"/>
        <scheme val="minor"/>
      </rPr>
      <t>x</t>
    </r>
    <r>
      <rPr>
        <sz val="11"/>
        <color rgb="FF000000"/>
        <rFont val="Calibri"/>
        <family val="2"/>
        <charset val="238"/>
        <scheme val="minor"/>
      </rPr>
      <t xml:space="preserve"> for ORP</t>
    </r>
  </si>
  <si>
    <t>Oxidation-reduction potential</t>
  </si>
  <si>
    <r>
      <t>ORP</t>
    </r>
    <r>
      <rPr>
        <vertAlign val="subscript"/>
        <sz val="11"/>
        <rFont val="Calibri"/>
        <family val="2"/>
        <scheme val="minor"/>
      </rPr>
      <t>O2</t>
    </r>
  </si>
  <si>
    <r>
      <t>ORP</t>
    </r>
    <r>
      <rPr>
        <vertAlign val="subscript"/>
        <sz val="11"/>
        <rFont val="Calibri"/>
        <family val="2"/>
      </rPr>
      <t>NOx</t>
    </r>
  </si>
  <si>
    <t>ORP</t>
  </si>
  <si>
    <r>
      <t>Y</t>
    </r>
    <r>
      <rPr>
        <vertAlign val="subscript"/>
        <sz val="11"/>
        <rFont val="Calibri"/>
        <family val="2"/>
        <scheme val="minor"/>
      </rPr>
      <t>OHO,H2,ana,high</t>
    </r>
  </si>
  <si>
    <r>
      <t>Y</t>
    </r>
    <r>
      <rPr>
        <vertAlign val="subscript"/>
        <sz val="11"/>
        <rFont val="Calibri"/>
        <family val="2"/>
        <scheme val="minor"/>
      </rPr>
      <t>OHO,H2,ana,low</t>
    </r>
  </si>
  <si>
    <r>
      <t>K</t>
    </r>
    <r>
      <rPr>
        <vertAlign val="subscript"/>
        <sz val="11"/>
        <rFont val="Calibri"/>
        <family val="2"/>
        <scheme val="minor"/>
      </rPr>
      <t>VFA,FERM,AS</t>
    </r>
  </si>
  <si>
    <r>
      <t>(1-Y</t>
    </r>
    <r>
      <rPr>
        <vertAlign val="subscript"/>
        <sz val="11"/>
        <rFont val="Calibri"/>
        <family val="2"/>
      </rPr>
      <t>OHO,SB,ana</t>
    </r>
    <r>
      <rPr>
        <sz val="11"/>
        <rFont val="Calibri"/>
        <family val="2"/>
      </rPr>
      <t>-Y</t>
    </r>
    <r>
      <rPr>
        <vertAlign val="subscript"/>
        <sz val="11"/>
        <rFont val="Calibri"/>
        <family val="2"/>
      </rPr>
      <t>OHO,H2,ana,high</t>
    </r>
    <r>
      <rPr>
        <sz val="11"/>
        <rFont val="Calibri"/>
        <family val="2"/>
      </rPr>
      <t>)/Y</t>
    </r>
    <r>
      <rPr>
        <vertAlign val="subscript"/>
        <sz val="11"/>
        <rFont val="Calibri"/>
        <family val="2"/>
      </rPr>
      <t>OHO,SB,ana</t>
    </r>
  </si>
  <si>
    <r>
      <t>(1-Y</t>
    </r>
    <r>
      <rPr>
        <vertAlign val="subscript"/>
        <sz val="11"/>
        <rFont val="Calibri"/>
        <family val="2"/>
      </rPr>
      <t>OHO,SB,ana</t>
    </r>
    <r>
      <rPr>
        <sz val="11"/>
        <rFont val="Calibri"/>
        <family val="2"/>
      </rPr>
      <t>-Y</t>
    </r>
    <r>
      <rPr>
        <vertAlign val="subscript"/>
        <sz val="11"/>
        <rFont val="Calibri"/>
        <family val="2"/>
      </rPr>
      <t>OHO,H2,ana,low</t>
    </r>
    <r>
      <rPr>
        <sz val="11"/>
        <rFont val="Calibri"/>
        <family val="2"/>
      </rPr>
      <t>)/Y</t>
    </r>
    <r>
      <rPr>
        <vertAlign val="subscript"/>
        <sz val="11"/>
        <rFont val="Calibri"/>
        <family val="2"/>
      </rPr>
      <t>OHO,SB,ana</t>
    </r>
  </si>
  <si>
    <r>
      <t>S</t>
    </r>
    <r>
      <rPr>
        <vertAlign val="subscript"/>
        <sz val="11"/>
        <rFont val="Calibri"/>
        <family val="2"/>
      </rPr>
      <t>B</t>
    </r>
    <r>
      <rPr>
        <sz val="11"/>
        <rFont val="Calibri"/>
        <family val="2"/>
      </rPr>
      <t xml:space="preserve"> fermentation with high VFA (OHO growth, anaerobic)</t>
    </r>
  </si>
  <si>
    <t>r58</t>
  </si>
  <si>
    <r>
      <t>Y</t>
    </r>
    <r>
      <rPr>
        <vertAlign val="subscript"/>
        <sz val="11"/>
        <rFont val="Calibri"/>
        <family val="2"/>
      </rPr>
      <t>OHO,H2,ana,high</t>
    </r>
    <r>
      <rPr>
        <sz val="11"/>
        <rFont val="Calibri"/>
        <family val="2"/>
      </rPr>
      <t>/Y</t>
    </r>
    <r>
      <rPr>
        <vertAlign val="subscript"/>
        <sz val="11"/>
        <rFont val="Calibri"/>
        <family val="2"/>
      </rPr>
      <t>OHO,SB,ana</t>
    </r>
  </si>
  <si>
    <r>
      <t>Y</t>
    </r>
    <r>
      <rPr>
        <vertAlign val="subscript"/>
        <sz val="11"/>
        <rFont val="Calibri"/>
        <family val="2"/>
      </rPr>
      <t>OHO,H2,ana,low</t>
    </r>
    <r>
      <rPr>
        <sz val="11"/>
        <rFont val="Calibri"/>
        <family val="2"/>
      </rPr>
      <t>/Y</t>
    </r>
    <r>
      <rPr>
        <vertAlign val="subscript"/>
        <sz val="11"/>
        <rFont val="Calibri"/>
        <family val="2"/>
      </rPr>
      <t>OHO,SB,ana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</si>
  <si>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OHO,SB,ana</t>
    </r>
    <r>
      <rPr>
        <sz val="11"/>
        <rFont val="Calibri"/>
        <family val="2"/>
      </rPr>
      <t>-Y</t>
    </r>
    <r>
      <rPr>
        <vertAlign val="subscript"/>
        <sz val="11"/>
        <rFont val="Calibri"/>
        <family val="2"/>
      </rPr>
      <t>OHO,H2,ana,high</t>
    </r>
    <r>
      <rPr>
        <sz val="11"/>
        <rFont val="Calibri"/>
        <family val="2"/>
      </rPr>
      <t>)-i</t>
    </r>
    <r>
      <rPr>
        <vertAlign val="subscript"/>
        <sz val="11"/>
        <rFont val="Calibri"/>
        <family val="2"/>
      </rPr>
      <t>CIT,BIO</t>
    </r>
    <r>
      <rPr>
        <sz val="11"/>
        <rFont val="Calibri"/>
        <family val="2"/>
      </rPr>
      <t>*Y</t>
    </r>
    <r>
      <rPr>
        <vertAlign val="subscript"/>
        <sz val="11"/>
        <rFont val="Calibri"/>
        <family val="2"/>
      </rPr>
      <t>OHO,SB,ana</t>
    </r>
    <r>
      <rPr>
        <sz val="11"/>
        <rFont val="Calibri"/>
        <family val="2"/>
      </rPr>
      <t>)/Y</t>
    </r>
    <r>
      <rPr>
        <vertAlign val="subscript"/>
        <sz val="11"/>
        <rFont val="Calibri"/>
        <family val="2"/>
      </rPr>
      <t>OHO,SB,ana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</si>
  <si>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OHO,SB,ana</t>
    </r>
    <r>
      <rPr>
        <sz val="11"/>
        <rFont val="Calibri"/>
        <family val="2"/>
      </rPr>
      <t>-Y</t>
    </r>
    <r>
      <rPr>
        <vertAlign val="subscript"/>
        <sz val="11"/>
        <rFont val="Calibri"/>
        <family val="2"/>
      </rPr>
      <t>OHO,H2,ana,low</t>
    </r>
    <r>
      <rPr>
        <sz val="11"/>
        <rFont val="Calibri"/>
        <family val="2"/>
      </rPr>
      <t>)-i</t>
    </r>
    <r>
      <rPr>
        <vertAlign val="subscript"/>
        <sz val="11"/>
        <rFont val="Calibri"/>
        <family val="2"/>
      </rPr>
      <t>CIT,BIO</t>
    </r>
    <r>
      <rPr>
        <sz val="11"/>
        <rFont val="Calibri"/>
        <family val="2"/>
      </rPr>
      <t>*Y</t>
    </r>
    <r>
      <rPr>
        <vertAlign val="subscript"/>
        <sz val="11"/>
        <rFont val="Calibri"/>
        <family val="2"/>
      </rPr>
      <t>OHO,SB,ana</t>
    </r>
    <r>
      <rPr>
        <sz val="11"/>
        <rFont val="Calibri"/>
        <family val="2"/>
      </rPr>
      <t>)/Y</t>
    </r>
    <r>
      <rPr>
        <vertAlign val="subscript"/>
        <sz val="11"/>
        <rFont val="Calibri"/>
        <family val="2"/>
      </rPr>
      <t>OHO,SB,ana</t>
    </r>
  </si>
  <si>
    <r>
      <t>K</t>
    </r>
    <r>
      <rPr>
        <vertAlign val="subscript"/>
        <sz val="11"/>
        <rFont val="Calibri"/>
        <family val="2"/>
        <scheme val="minor"/>
      </rPr>
      <t>VFA,FERM</t>
    </r>
  </si>
  <si>
    <t>Saturation term for VFAs in fermentation</t>
  </si>
  <si>
    <t>Inhibition term of VFAs in fermentation</t>
  </si>
  <si>
    <r>
      <t>Logsat</t>
    </r>
    <r>
      <rPr>
        <vertAlign val="subscript"/>
        <sz val="11"/>
        <rFont val="Calibri"/>
        <family val="2"/>
        <scheme val="minor"/>
      </rPr>
      <t>SVFA,KVFA,FERM</t>
    </r>
  </si>
  <si>
    <r>
      <t>Loginh</t>
    </r>
    <r>
      <rPr>
        <vertAlign val="subscript"/>
        <sz val="11"/>
        <rFont val="Calibri"/>
        <family val="2"/>
        <scheme val="minor"/>
      </rPr>
      <t>SVFA,KVFA,FERM</t>
    </r>
  </si>
  <si>
    <t>Acidoclastic methanogen kinetics (AMETO)</t>
  </si>
  <si>
    <t>Hydrogenotrophic methanogen kinetics (HMETO)</t>
  </si>
  <si>
    <t>Key(1200)</t>
  </si>
  <si>
    <r>
      <t>i</t>
    </r>
    <r>
      <rPr>
        <vertAlign val="subscript"/>
        <sz val="11"/>
        <rFont val="Calibri"/>
        <family val="2"/>
      </rPr>
      <t>CIT,VFA</t>
    </r>
    <r>
      <rPr>
        <sz val="11"/>
        <rFont val="Calibri"/>
        <family val="2"/>
      </rPr>
      <t>*1/Y</t>
    </r>
    <r>
      <rPr>
        <vertAlign val="subscript"/>
        <sz val="11"/>
        <rFont val="Calibri"/>
        <family val="2"/>
      </rPr>
      <t>AMETO</t>
    </r>
    <r>
      <rPr>
        <sz val="11"/>
        <rFont val="Calibri"/>
        <family val="2"/>
      </rP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AMETO</t>
    </r>
    <r>
      <rPr>
        <sz val="11"/>
        <rFont val="Calibri"/>
        <family val="2"/>
      </rPr>
      <t>)/Y</t>
    </r>
    <r>
      <rPr>
        <vertAlign val="subscript"/>
        <sz val="11"/>
        <rFont val="Calibri"/>
        <family val="2"/>
      </rPr>
      <t>AMETO</t>
    </r>
  </si>
  <si>
    <r>
      <t>g O2.m</t>
    </r>
    <r>
      <rPr>
        <vertAlign val="superscript"/>
        <sz val="11"/>
        <rFont val="Calibri"/>
        <family val="2"/>
        <scheme val="minor"/>
      </rPr>
      <t>-3</t>
    </r>
  </si>
  <si>
    <t>Ordinary heterotrophic organism kinetics (OHO)</t>
  </si>
  <si>
    <r>
      <t>mol [NH</t>
    </r>
    <r>
      <rPr>
        <vertAlign val="subscript"/>
        <sz val="11"/>
        <color indexed="8"/>
        <rFont val="Calibri"/>
        <family val="2"/>
        <scheme val="minor"/>
      </rPr>
      <t>3</t>
    </r>
    <r>
      <rPr>
        <sz val="11"/>
        <color indexed="8"/>
        <rFont val="Calibri"/>
        <family val="2"/>
        <scheme val="minor"/>
      </rPr>
      <t>].L</t>
    </r>
    <r>
      <rPr>
        <vertAlign val="superscript"/>
        <sz val="11"/>
        <color indexed="8"/>
        <rFont val="Calibri"/>
        <family val="2"/>
        <scheme val="minor"/>
      </rPr>
      <t>-1</t>
    </r>
  </si>
  <si>
    <r>
      <t>g COD.g COD</t>
    </r>
    <r>
      <rPr>
        <vertAlign val="superscript"/>
        <sz val="11"/>
        <color indexed="8"/>
        <rFont val="Calibri"/>
        <family val="2"/>
        <scheme val="minor"/>
      </rPr>
      <t>-1</t>
    </r>
  </si>
  <si>
    <r>
      <t>g TSS.g COD</t>
    </r>
    <r>
      <rPr>
        <vertAlign val="superscript"/>
        <sz val="11"/>
        <rFont val="Calibri"/>
        <family val="2"/>
        <scheme val="minor"/>
      </rPr>
      <t>-1</t>
    </r>
  </si>
  <si>
    <r>
      <t>ORP</t>
    </r>
    <r>
      <rPr>
        <vertAlign val="subscript"/>
        <sz val="11"/>
        <rFont val="Calibri"/>
        <family val="2"/>
        <scheme val="minor"/>
      </rPr>
      <t>max,SO2</t>
    </r>
  </si>
  <si>
    <t>ORP max for dissolved oxygen</t>
  </si>
  <si>
    <r>
      <t>ORP</t>
    </r>
    <r>
      <rPr>
        <vertAlign val="subscript"/>
        <sz val="11"/>
        <rFont val="Calibri"/>
        <family val="2"/>
        <scheme val="minor"/>
      </rPr>
      <t>max,SNOx</t>
    </r>
  </si>
  <si>
    <t>ORP max for dissolved nitrate</t>
  </si>
  <si>
    <t>Oxidation-reduction potential due to dissolved oxygen</t>
  </si>
  <si>
    <t>GAO anaerobic maintenance</t>
  </si>
  <si>
    <r>
      <t>i</t>
    </r>
    <r>
      <rPr>
        <vertAlign val="subscript"/>
        <sz val="11"/>
        <rFont val="Calibri"/>
        <family val="2"/>
      </rPr>
      <t>CIT,GLY</t>
    </r>
    <r>
      <rPr>
        <sz val="11"/>
        <rFont val="Calibri"/>
        <family val="2"/>
      </rPr>
      <t>-i</t>
    </r>
    <r>
      <rPr>
        <vertAlign val="subscript"/>
        <sz val="11"/>
        <rFont val="Calibri"/>
        <family val="2"/>
      </rPr>
      <t>CIT,VFA</t>
    </r>
  </si>
  <si>
    <r>
      <t>η</t>
    </r>
    <r>
      <rPr>
        <vertAlign val="subscript"/>
        <sz val="11"/>
        <rFont val="Calibri"/>
        <family val="2"/>
        <scheme val="minor"/>
      </rPr>
      <t>bGLY,ana</t>
    </r>
  </si>
  <si>
    <t>r59</t>
  </si>
  <si>
    <t>-BigNumber</t>
  </si>
  <si>
    <r>
      <t>g X</t>
    </r>
    <r>
      <rPr>
        <vertAlign val="subscript"/>
        <sz val="11"/>
        <rFont val="Calibri"/>
        <family val="2"/>
        <scheme val="minor"/>
      </rPr>
      <t>GAO</t>
    </r>
    <r>
      <rPr>
        <sz val="11"/>
        <rFont val="Calibri"/>
        <family val="2"/>
        <scheme val="minor"/>
      </rPr>
      <t>.g X</t>
    </r>
    <r>
      <rPr>
        <vertAlign val="subscript"/>
        <sz val="11"/>
        <rFont val="Calibri"/>
        <family val="2"/>
        <scheme val="minor"/>
      </rPr>
      <t>GLY</t>
    </r>
    <r>
      <rPr>
        <vertAlign val="superscript"/>
        <sz val="11"/>
        <rFont val="Calibri"/>
        <family val="2"/>
        <scheme val="minor"/>
      </rPr>
      <t>-1</t>
    </r>
  </si>
  <si>
    <t>PP cleavage for maintenance</t>
  </si>
  <si>
    <r>
      <t>η</t>
    </r>
    <r>
      <rPr>
        <vertAlign val="subscript"/>
        <sz val="11"/>
        <rFont val="Calibri"/>
        <family val="2"/>
        <scheme val="minor"/>
      </rPr>
      <t>bPP,aer</t>
    </r>
  </si>
  <si>
    <r>
      <t>η</t>
    </r>
    <r>
      <rPr>
        <vertAlign val="subscript"/>
        <sz val="11"/>
        <rFont val="Calibri"/>
        <family val="2"/>
        <scheme val="minor"/>
      </rPr>
      <t>bPP,anox</t>
    </r>
  </si>
  <si>
    <r>
      <t>MRinh</t>
    </r>
    <r>
      <rPr>
        <vertAlign val="subscript"/>
        <sz val="11"/>
        <rFont val="Calibri"/>
        <family val="2"/>
        <scheme val="minor"/>
      </rPr>
      <t>XPP,XPAO,KPP</t>
    </r>
  </si>
  <si>
    <r>
      <t>MRinh(X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</si>
  <si>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S</t>
    </r>
    <r>
      <rPr>
        <b/>
        <vertAlign val="subscript"/>
        <sz val="11"/>
        <rFont val="Calibri"/>
        <family val="2"/>
        <charset val="238"/>
        <scheme val="minor"/>
      </rPr>
      <t>NO2</t>
    </r>
  </si>
  <si>
    <t>Damping</t>
  </si>
  <si>
    <r>
      <t>S</t>
    </r>
    <r>
      <rPr>
        <b/>
        <vertAlign val="subscript"/>
        <sz val="11"/>
        <rFont val="Calibri"/>
        <family val="2"/>
        <charset val="238"/>
        <scheme val="minor"/>
      </rPr>
      <t>NO3</t>
    </r>
  </si>
  <si>
    <r>
      <t>X</t>
    </r>
    <r>
      <rPr>
        <b/>
        <vertAlign val="subscript"/>
        <sz val="11"/>
        <rFont val="Calibri"/>
        <family val="2"/>
        <charset val="238"/>
        <scheme val="minor"/>
      </rPr>
      <t>AOB</t>
    </r>
  </si>
  <si>
    <r>
      <t>X</t>
    </r>
    <r>
      <rPr>
        <b/>
        <vertAlign val="subscript"/>
        <sz val="11"/>
        <rFont val="Calibri"/>
        <family val="2"/>
        <charset val="238"/>
        <scheme val="minor"/>
      </rPr>
      <t>NOB</t>
    </r>
  </si>
  <si>
    <r>
      <t>S</t>
    </r>
    <r>
      <rPr>
        <b/>
        <vertAlign val="subscript"/>
        <sz val="11"/>
        <rFont val="Calibri"/>
        <family val="2"/>
        <scheme val="minor"/>
      </rPr>
      <t>NO2</t>
    </r>
  </si>
  <si>
    <r>
      <t>S</t>
    </r>
    <r>
      <rPr>
        <b/>
        <vertAlign val="subscript"/>
        <sz val="11"/>
        <rFont val="Calibri"/>
        <family val="2"/>
        <scheme val="minor"/>
      </rPr>
      <t>NO3</t>
    </r>
  </si>
  <si>
    <r>
      <t>X</t>
    </r>
    <r>
      <rPr>
        <b/>
        <vertAlign val="subscript"/>
        <sz val="11"/>
        <rFont val="Calibri"/>
        <family val="2"/>
        <scheme val="minor"/>
      </rPr>
      <t>NOB</t>
    </r>
  </si>
  <si>
    <r>
      <t>X</t>
    </r>
    <r>
      <rPr>
        <b/>
        <vertAlign val="subscript"/>
        <sz val="11"/>
        <rFont val="Calibri"/>
        <family val="2"/>
        <scheme val="minor"/>
      </rPr>
      <t>AOB</t>
    </r>
  </si>
  <si>
    <r>
      <t>[HNO</t>
    </r>
    <r>
      <rPr>
        <b/>
        <vertAlign val="subscript"/>
        <sz val="11"/>
        <rFont val="Calibri"/>
        <family val="2"/>
      </rPr>
      <t>2</t>
    </r>
    <r>
      <rPr>
        <b/>
        <sz val="11"/>
        <rFont val="Calibri"/>
        <family val="2"/>
      </rPr>
      <t>]</t>
    </r>
  </si>
  <si>
    <t>Nitrous acid</t>
  </si>
  <si>
    <r>
      <t>[NO</t>
    </r>
    <r>
      <rPr>
        <b/>
        <vertAlign val="subscript"/>
        <sz val="11"/>
        <rFont val="Calibri"/>
        <family val="2"/>
      </rPr>
      <t>2</t>
    </r>
    <r>
      <rPr>
        <b/>
        <vertAlign val="superscript"/>
        <sz val="11"/>
        <rFont val="Calibri"/>
        <family val="2"/>
      </rPr>
      <t>-</t>
    </r>
    <r>
      <rPr>
        <b/>
        <sz val="11"/>
        <rFont val="Calibri"/>
        <family val="2"/>
      </rPr>
      <t>]</t>
    </r>
  </si>
  <si>
    <t>Nitrite ion</t>
  </si>
  <si>
    <r>
      <t>diss</t>
    </r>
    <r>
      <rPr>
        <vertAlign val="subscript"/>
        <sz val="11"/>
        <rFont val="Calibri"/>
        <family val="2"/>
      </rPr>
      <t>NO2</t>
    </r>
  </si>
  <si>
    <r>
      <t>-(EEQ</t>
    </r>
    <r>
      <rPr>
        <vertAlign val="subscript"/>
        <sz val="11"/>
        <rFont val="Calibri"/>
        <family val="2"/>
      </rPr>
      <t>NO2,NO3</t>
    </r>
    <r>
      <rPr>
        <sz val="11"/>
        <rFont val="Calibri"/>
        <family val="2"/>
      </rPr>
      <t>-Y</t>
    </r>
    <r>
      <rPr>
        <vertAlign val="subscript"/>
        <sz val="11"/>
        <rFont val="Calibri"/>
        <family val="2"/>
      </rPr>
      <t>NOB</t>
    </r>
    <r>
      <rPr>
        <sz val="11"/>
        <rFont val="Calibri"/>
        <family val="2"/>
      </rPr>
      <t>)/Y</t>
    </r>
    <r>
      <rPr>
        <vertAlign val="subscript"/>
        <sz val="11"/>
        <rFont val="Calibri"/>
        <family val="2"/>
      </rPr>
      <t>NOB</t>
    </r>
  </si>
  <si>
    <r>
      <t>1/Y</t>
    </r>
    <r>
      <rPr>
        <vertAlign val="subscript"/>
        <sz val="11"/>
        <rFont val="Calibri"/>
        <family val="2"/>
      </rPr>
      <t>AOB</t>
    </r>
  </si>
  <si>
    <r>
      <rPr>
        <sz val="11"/>
        <rFont val="Calibri"/>
        <family val="2"/>
      </rPr>
      <t>-i</t>
    </r>
    <r>
      <rPr>
        <vertAlign val="subscript"/>
        <sz val="11"/>
        <rFont val="Calibri"/>
        <family val="2"/>
      </rPr>
      <t>N,BIO</t>
    </r>
  </si>
  <si>
    <r>
      <t>-1/Y</t>
    </r>
    <r>
      <rPr>
        <vertAlign val="subscript"/>
        <sz val="11"/>
        <rFont val="Calibri"/>
        <family val="2"/>
      </rPr>
      <t>NOB</t>
    </r>
  </si>
  <si>
    <r>
      <t>1/Y</t>
    </r>
    <r>
      <rPr>
        <vertAlign val="subscript"/>
        <sz val="11"/>
        <rFont val="Calibri"/>
        <family val="2"/>
      </rPr>
      <t>NOB</t>
    </r>
  </si>
  <si>
    <t>AOB decay</t>
  </si>
  <si>
    <t>NOB growth</t>
  </si>
  <si>
    <t>NOB decay</t>
  </si>
  <si>
    <t>Anammox growth</t>
  </si>
  <si>
    <t>Anammox decay</t>
  </si>
  <si>
    <r>
      <t>X</t>
    </r>
    <r>
      <rPr>
        <b/>
        <vertAlign val="subscript"/>
        <sz val="11"/>
        <rFont val="Calibri"/>
        <family val="2"/>
        <charset val="238"/>
        <scheme val="minor"/>
      </rPr>
      <t>AMX</t>
    </r>
  </si>
  <si>
    <r>
      <t>-(3*i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+2*AM</t>
    </r>
    <r>
      <rPr>
        <vertAlign val="subscript"/>
        <sz val="11"/>
        <color indexed="8"/>
        <rFont val="Calibri"/>
        <family val="2"/>
        <scheme val="minor"/>
      </rPr>
      <t>N</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+3-3*Y</t>
    </r>
    <r>
      <rPr>
        <vertAlign val="subscript"/>
        <sz val="11"/>
        <color indexed="8"/>
        <rFont val="Calibri"/>
        <family val="2"/>
        <scheme val="minor"/>
      </rPr>
      <t>AMX,NO2</t>
    </r>
    <r>
      <rPr>
        <sz val="11"/>
        <color indexed="8"/>
        <rFont val="Calibri"/>
        <family val="2"/>
        <scheme val="minor"/>
      </rPr>
      <t>)/AM</t>
    </r>
    <r>
      <rPr>
        <vertAlign val="subscript"/>
        <sz val="11"/>
        <color indexed="8"/>
        <rFont val="Calibri"/>
        <family val="2"/>
        <scheme val="minor"/>
      </rPr>
      <t>O</t>
    </r>
  </si>
  <si>
    <r>
      <t xml:space="preserve"> -Y</t>
    </r>
    <r>
      <rPr>
        <vertAlign val="subscript"/>
        <sz val="11"/>
        <color indexed="8"/>
        <rFont val="Calibri"/>
        <family val="2"/>
        <charset val="238"/>
      </rPr>
      <t>AMX,NO2</t>
    </r>
    <r>
      <rPr>
        <sz val="11"/>
        <color indexed="8"/>
        <rFont val="Calibri"/>
        <family val="2"/>
      </rPr>
      <t>/(5*Y</t>
    </r>
    <r>
      <rPr>
        <vertAlign val="subscript"/>
        <sz val="11"/>
        <color indexed="8"/>
        <rFont val="Calibri"/>
        <family val="2"/>
        <charset val="238"/>
      </rPr>
      <t>AMX,NO3</t>
    </r>
    <r>
      <rPr>
        <sz val="11"/>
        <color indexed="8"/>
        <rFont val="Calibri"/>
        <family val="2"/>
      </rPr>
      <t>+3-3*Y</t>
    </r>
    <r>
      <rPr>
        <vertAlign val="subscript"/>
        <sz val="11"/>
        <color indexed="8"/>
        <rFont val="Calibri"/>
        <family val="2"/>
        <charset val="238"/>
      </rPr>
      <t>AMX,NO2</t>
    </r>
    <r>
      <rPr>
        <sz val="11"/>
        <color indexed="8"/>
        <rFont val="Calibri"/>
        <family val="2"/>
      </rPr>
      <t>)*(3*i</t>
    </r>
    <r>
      <rPr>
        <vertAlign val="subscript"/>
        <sz val="11"/>
        <color indexed="8"/>
        <rFont val="Calibri"/>
        <family val="2"/>
        <charset val="238"/>
      </rPr>
      <t>N,BIO</t>
    </r>
    <r>
      <rPr>
        <sz val="11"/>
        <color indexed="8"/>
        <rFont val="Calibri"/>
        <family val="2"/>
      </rPr>
      <t>*AM</t>
    </r>
    <r>
      <rPr>
        <vertAlign val="subscript"/>
        <sz val="11"/>
        <color indexed="8"/>
        <rFont val="Calibri"/>
        <family val="2"/>
        <charset val="238"/>
      </rPr>
      <t>O</t>
    </r>
    <r>
      <rPr>
        <sz val="11"/>
        <color indexed="8"/>
        <rFont val="Calibri"/>
        <family val="2"/>
      </rPr>
      <t>+2*AM</t>
    </r>
    <r>
      <rPr>
        <vertAlign val="subscript"/>
        <sz val="11"/>
        <color indexed="8"/>
        <rFont val="Calibri"/>
        <family val="2"/>
        <charset val="238"/>
      </rPr>
      <t>N</t>
    </r>
    <r>
      <rPr>
        <sz val="11"/>
        <color indexed="8"/>
        <rFont val="Calibri"/>
        <family val="2"/>
      </rPr>
      <t>)/AM</t>
    </r>
    <r>
      <rPr>
        <vertAlign val="subscript"/>
        <sz val="11"/>
        <color indexed="8"/>
        <rFont val="Calibri"/>
        <family val="2"/>
        <charset val="238"/>
      </rPr>
      <t>O</t>
    </r>
  </si>
  <si>
    <r>
      <t>Y</t>
    </r>
    <r>
      <rPr>
        <vertAlign val="subscript"/>
        <sz val="11"/>
        <color indexed="8"/>
        <rFont val="Calibri"/>
        <family val="2"/>
        <scheme val="minor"/>
      </rPr>
      <t>AMX,NO3</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+3-3*Y</t>
    </r>
    <r>
      <rPr>
        <vertAlign val="subscript"/>
        <sz val="11"/>
        <color indexed="8"/>
        <rFont val="Calibri"/>
        <family val="2"/>
        <scheme val="minor"/>
      </rPr>
      <t>AMX,NO2</t>
    </r>
    <r>
      <rPr>
        <sz val="11"/>
        <color indexed="8"/>
        <rFont val="Calibri"/>
        <family val="2"/>
        <scheme val="minor"/>
      </rPr>
      <t>)*(3*i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+2*AM</t>
    </r>
    <r>
      <rPr>
        <vertAlign val="subscript"/>
        <sz val="11"/>
        <color indexed="8"/>
        <rFont val="Calibri"/>
        <family val="2"/>
        <scheme val="minor"/>
      </rPr>
      <t>N</t>
    </r>
    <r>
      <rPr>
        <sz val="11"/>
        <color indexed="8"/>
        <rFont val="Calibri"/>
        <family val="2"/>
        <scheme val="minor"/>
      </rPr>
      <t>)/AM</t>
    </r>
    <r>
      <rPr>
        <vertAlign val="subscript"/>
        <sz val="11"/>
        <color indexed="8"/>
        <rFont val="Calibri"/>
        <family val="2"/>
        <scheme val="minor"/>
      </rPr>
      <t>O</t>
    </r>
  </si>
  <si>
    <r>
      <t>2*(Y</t>
    </r>
    <r>
      <rPr>
        <vertAlign val="subscript"/>
        <sz val="11"/>
        <color indexed="8"/>
        <rFont val="Calibri"/>
        <family val="2"/>
        <scheme val="minor"/>
      </rPr>
      <t>AMX,NO3</t>
    </r>
    <r>
      <rPr>
        <sz val="11"/>
        <color indexed="8"/>
        <rFont val="Calibri"/>
        <family val="2"/>
        <scheme val="minor"/>
      </rPr>
      <t>*AM</t>
    </r>
    <r>
      <rPr>
        <vertAlign val="subscript"/>
        <sz val="11"/>
        <color indexed="8"/>
        <rFont val="Calibri"/>
        <family val="2"/>
        <scheme val="minor"/>
      </rPr>
      <t>N</t>
    </r>
    <r>
      <rPr>
        <sz val="11"/>
        <color indexed="8"/>
        <rFont val="Calibri"/>
        <family val="2"/>
        <scheme val="minor"/>
      </rPr>
      <t>-1*AM</t>
    </r>
    <r>
      <rPr>
        <vertAlign val="subscript"/>
        <sz val="11"/>
        <color indexed="8"/>
        <rFont val="Calibri"/>
        <family val="2"/>
        <scheme val="minor"/>
      </rPr>
      <t>N</t>
    </r>
    <r>
      <rPr>
        <sz val="11"/>
        <color indexed="8"/>
        <rFont val="Calibri"/>
        <family val="2"/>
        <scheme val="minor"/>
      </rPr>
      <t>-1*Y</t>
    </r>
    <r>
      <rPr>
        <vertAlign val="subscript"/>
        <sz val="11"/>
        <color indexed="8"/>
        <rFont val="Calibri"/>
        <family val="2"/>
        <scheme val="minor"/>
      </rPr>
      <t>AMX,NO2</t>
    </r>
    <r>
      <rPr>
        <sz val="11"/>
        <color indexed="8"/>
        <rFont val="Calibri"/>
        <family val="2"/>
        <scheme val="minor"/>
      </rPr>
      <t>*AM</t>
    </r>
    <r>
      <rPr>
        <vertAlign val="subscript"/>
        <sz val="11"/>
        <color indexed="8"/>
        <rFont val="Calibri"/>
        <family val="2"/>
        <scheme val="minor"/>
      </rPr>
      <t>N</t>
    </r>
    <r>
      <rPr>
        <sz val="11"/>
        <color indexed="8"/>
        <rFont val="Calibri"/>
        <family val="2"/>
        <scheme val="minor"/>
      </rPr>
      <t>+4*Y</t>
    </r>
    <r>
      <rPr>
        <vertAlign val="subscript"/>
        <sz val="11"/>
        <color indexed="8"/>
        <rFont val="Calibri"/>
        <family val="2"/>
        <scheme val="minor"/>
      </rPr>
      <t>AMX,NO3</t>
    </r>
    <r>
      <rPr>
        <sz val="11"/>
        <color indexed="8"/>
        <rFont val="Calibri"/>
        <family val="2"/>
        <scheme val="minor"/>
      </rPr>
      <t>*i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-3*Y</t>
    </r>
    <r>
      <rPr>
        <vertAlign val="subscript"/>
        <sz val="11"/>
        <color indexed="8"/>
        <rFont val="Calibri"/>
        <family val="2"/>
        <scheme val="minor"/>
      </rPr>
      <t>AMX,NO2</t>
    </r>
    <r>
      <rPr>
        <sz val="11"/>
        <color indexed="8"/>
        <rFont val="Calibri"/>
        <family val="2"/>
        <scheme val="minor"/>
      </rPr>
      <t>*i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)/AM</t>
    </r>
    <r>
      <rPr>
        <vertAlign val="subscript"/>
        <sz val="11"/>
        <color indexed="8"/>
        <rFont val="Calibri"/>
        <family val="2"/>
        <scheme val="minor"/>
      </rPr>
      <t>O</t>
    </r>
    <r>
      <rPr>
        <sz val="11"/>
        <color indexed="8"/>
        <rFont val="Calibri"/>
        <family val="2"/>
        <scheme val="minor"/>
      </rPr>
      <t>/(3*Y</t>
    </r>
    <r>
      <rPr>
        <vertAlign val="subscript"/>
        <sz val="11"/>
        <color indexed="8"/>
        <rFont val="Calibri"/>
        <family val="2"/>
        <scheme val="minor"/>
      </rPr>
      <t>AMX,NO2</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t>
    </r>
  </si>
  <si>
    <r>
      <t>MEOLO growth, NO</t>
    </r>
    <r>
      <rPr>
        <vertAlign val="subscript"/>
        <sz val="11"/>
        <color rgb="FF000000"/>
        <rFont val="Calibri"/>
        <family val="2"/>
        <scheme val="minor"/>
      </rPr>
      <t>2</t>
    </r>
  </si>
  <si>
    <r>
      <t>PAO growth on PHA, NO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</si>
  <si>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-(1-Y</t>
    </r>
    <r>
      <rPr>
        <vertAlign val="subscript"/>
        <sz val="11"/>
        <rFont val="Calibri"/>
        <family val="2"/>
      </rPr>
      <t>MEOLO</t>
    </r>
    <r>
      <rPr>
        <sz val="11"/>
        <rFont val="Calibri"/>
        <family val="2"/>
      </rPr>
      <t>)/(EEQ</t>
    </r>
    <r>
      <rPr>
        <vertAlign val="subscript"/>
        <sz val="11"/>
        <rFont val="Calibri"/>
        <family val="2"/>
      </rPr>
      <t>N2,NO2</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</si>
  <si>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N2,NO2</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</si>
  <si>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NO2,NO3</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</si>
  <si>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NO2,NO3</t>
    </r>
    <r>
      <rPr>
        <sz val="11"/>
        <rFont val="Calibri"/>
        <family val="2"/>
      </rPr>
      <t>*Y</t>
    </r>
    <r>
      <rPr>
        <vertAlign val="subscript"/>
        <sz val="11"/>
        <rFont val="Calibri"/>
        <family val="2"/>
      </rPr>
      <t>MEOLO</t>
    </r>
    <r>
      <rPr>
        <sz val="11"/>
        <rFont val="Calibri"/>
        <family val="2"/>
      </rPr>
      <t>)</t>
    </r>
  </si>
  <si>
    <r>
      <t>K</t>
    </r>
    <r>
      <rPr>
        <vertAlign val="subscript"/>
        <sz val="11"/>
        <rFont val="Calibri"/>
        <family val="2"/>
        <scheme val="minor"/>
      </rPr>
      <t>NO2,OHO,AS</t>
    </r>
  </si>
  <si>
    <r>
      <t>K</t>
    </r>
    <r>
      <rPr>
        <vertAlign val="subscript"/>
        <sz val="11"/>
        <rFont val="Calibri"/>
        <family val="2"/>
        <scheme val="minor"/>
      </rPr>
      <t>NO2,MEOLO,AS</t>
    </r>
  </si>
  <si>
    <r>
      <t>µ</t>
    </r>
    <r>
      <rPr>
        <vertAlign val="subscript"/>
        <sz val="11"/>
        <color indexed="8"/>
        <rFont val="Calibri"/>
        <family val="2"/>
        <scheme val="minor"/>
      </rPr>
      <t>AOB</t>
    </r>
  </si>
  <si>
    <t>Maximum specific growth rate of AOBs</t>
  </si>
  <si>
    <r>
      <t>K</t>
    </r>
    <r>
      <rPr>
        <vertAlign val="subscript"/>
        <sz val="11"/>
        <color indexed="8"/>
        <rFont val="Calibri"/>
        <family val="2"/>
        <scheme val="minor"/>
      </rPr>
      <t>NHx,AOB,AS</t>
    </r>
  </si>
  <si>
    <r>
      <t>b</t>
    </r>
    <r>
      <rPr>
        <vertAlign val="subscript"/>
        <sz val="11"/>
        <color indexed="8"/>
        <rFont val="Calibri"/>
        <family val="2"/>
        <scheme val="minor"/>
      </rPr>
      <t>AOB</t>
    </r>
  </si>
  <si>
    <r>
      <t>K</t>
    </r>
    <r>
      <rPr>
        <vertAlign val="subscript"/>
        <sz val="11"/>
        <color indexed="8"/>
        <rFont val="Calibri"/>
        <family val="2"/>
        <scheme val="minor"/>
      </rPr>
      <t>CO2,AOB,sidestream</t>
    </r>
  </si>
  <si>
    <r>
      <t>K</t>
    </r>
    <r>
      <rPr>
        <vertAlign val="subscript"/>
        <sz val="11"/>
        <color indexed="8"/>
        <rFont val="Calibri"/>
        <family val="2"/>
        <scheme val="minor"/>
      </rPr>
      <t>CO2,AOB,AS</t>
    </r>
  </si>
  <si>
    <r>
      <t>K</t>
    </r>
    <r>
      <rPr>
        <vertAlign val="subscript"/>
        <sz val="11"/>
        <color indexed="8"/>
        <rFont val="Calibri"/>
        <family val="2"/>
        <scheme val="minor"/>
      </rPr>
      <t>CO2,AOB,pH,sidestream</t>
    </r>
  </si>
  <si>
    <r>
      <t>K</t>
    </r>
    <r>
      <rPr>
        <vertAlign val="subscript"/>
        <sz val="11"/>
        <color indexed="8"/>
        <rFont val="Calibri"/>
        <family val="2"/>
        <scheme val="minor"/>
      </rPr>
      <t>CO2,AOB,pH,AS</t>
    </r>
  </si>
  <si>
    <r>
      <t>K</t>
    </r>
    <r>
      <rPr>
        <vertAlign val="subscript"/>
        <sz val="11"/>
        <color indexed="8"/>
        <rFont val="Calibri"/>
        <family val="2"/>
        <scheme val="minor"/>
      </rPr>
      <t>NOx,AOB,AS</t>
    </r>
  </si>
  <si>
    <r>
      <t>µ</t>
    </r>
    <r>
      <rPr>
        <vertAlign val="subscript"/>
        <sz val="11"/>
        <color indexed="8"/>
        <rFont val="Calibri"/>
        <family val="2"/>
        <scheme val="minor"/>
      </rPr>
      <t>NOB</t>
    </r>
  </si>
  <si>
    <t>Maximum specific growth rate of NOBs</t>
  </si>
  <si>
    <r>
      <t>K</t>
    </r>
    <r>
      <rPr>
        <vertAlign val="subscript"/>
        <sz val="11"/>
        <color indexed="8"/>
        <rFont val="Calibri"/>
        <family val="2"/>
        <scheme val="minor"/>
      </rPr>
      <t>NO2,NOB,AS</t>
    </r>
  </si>
  <si>
    <r>
      <t>b</t>
    </r>
    <r>
      <rPr>
        <vertAlign val="subscript"/>
        <sz val="11"/>
        <color indexed="8"/>
        <rFont val="Calibri"/>
        <family val="2"/>
        <scheme val="minor"/>
      </rPr>
      <t>NOB</t>
    </r>
  </si>
  <si>
    <r>
      <t>K</t>
    </r>
    <r>
      <rPr>
        <vertAlign val="subscript"/>
        <sz val="11"/>
        <color indexed="8"/>
        <rFont val="Calibri"/>
        <family val="2"/>
        <scheme val="minor"/>
      </rPr>
      <t>CO2,NOB,AS</t>
    </r>
  </si>
  <si>
    <r>
      <t>g CO</t>
    </r>
    <r>
      <rPr>
        <vertAlign val="subscript"/>
        <sz val="11"/>
        <color indexed="8"/>
        <rFont val="Calibri"/>
        <family val="2"/>
        <scheme val="minor"/>
      </rPr>
      <t>2</t>
    </r>
    <r>
      <rPr>
        <sz val="11"/>
        <color indexed="8"/>
        <rFont val="Calibri"/>
        <family val="2"/>
        <scheme val="minor"/>
      </rPr>
      <t>.m</t>
    </r>
    <r>
      <rPr>
        <vertAlign val="superscript"/>
        <sz val="11"/>
        <color indexed="8"/>
        <rFont val="Calibri"/>
        <family val="2"/>
        <scheme val="minor"/>
      </rPr>
      <t>-3</t>
    </r>
  </si>
  <si>
    <r>
      <t>K</t>
    </r>
    <r>
      <rPr>
        <vertAlign val="subscript"/>
        <sz val="11"/>
        <color indexed="8"/>
        <rFont val="Calibri"/>
        <family val="2"/>
        <scheme val="minor"/>
      </rPr>
      <t>CO2,NOB,pH,AS</t>
    </r>
  </si>
  <si>
    <r>
      <t>K</t>
    </r>
    <r>
      <rPr>
        <vertAlign val="subscript"/>
        <sz val="11"/>
        <color indexed="8"/>
        <rFont val="Calibri"/>
        <family val="2"/>
        <scheme val="minor"/>
      </rPr>
      <t>O2,NOB,sidestream</t>
    </r>
  </si>
  <si>
    <r>
      <t>K</t>
    </r>
    <r>
      <rPr>
        <vertAlign val="subscript"/>
        <sz val="11"/>
        <color indexed="8"/>
        <rFont val="Calibri"/>
        <family val="2"/>
        <scheme val="minor"/>
      </rPr>
      <t>O2,NOB,AS</t>
    </r>
  </si>
  <si>
    <r>
      <t>K</t>
    </r>
    <r>
      <rPr>
        <vertAlign val="subscript"/>
        <sz val="11"/>
        <color indexed="8"/>
        <rFont val="Calibri"/>
        <family val="2"/>
        <scheme val="minor"/>
      </rPr>
      <t>NOx,NOB,AS</t>
    </r>
  </si>
  <si>
    <r>
      <t>µ</t>
    </r>
    <r>
      <rPr>
        <vertAlign val="subscript"/>
        <sz val="11"/>
        <color indexed="8"/>
        <rFont val="Calibri"/>
        <family val="2"/>
        <scheme val="minor"/>
      </rPr>
      <t>AMX</t>
    </r>
  </si>
  <si>
    <r>
      <t>b</t>
    </r>
    <r>
      <rPr>
        <vertAlign val="subscript"/>
        <sz val="11"/>
        <color indexed="8"/>
        <rFont val="Calibri"/>
        <family val="2"/>
        <scheme val="minor"/>
      </rPr>
      <t>AMX</t>
    </r>
  </si>
  <si>
    <r>
      <t>K</t>
    </r>
    <r>
      <rPr>
        <vertAlign val="subscript"/>
        <sz val="11"/>
        <color indexed="8"/>
        <rFont val="Calibri"/>
        <family val="2"/>
        <scheme val="minor"/>
      </rPr>
      <t>NHx,AMX,AS</t>
    </r>
  </si>
  <si>
    <r>
      <t>K</t>
    </r>
    <r>
      <rPr>
        <vertAlign val="subscript"/>
        <sz val="11"/>
        <color indexed="8"/>
        <rFont val="Calibri"/>
        <family val="2"/>
        <scheme val="minor"/>
      </rPr>
      <t>NO2,AMX,AS</t>
    </r>
  </si>
  <si>
    <r>
      <t>K</t>
    </r>
    <r>
      <rPr>
        <vertAlign val="subscript"/>
        <sz val="11"/>
        <color indexed="8"/>
        <rFont val="Calibri"/>
        <family val="2"/>
        <scheme val="minor"/>
      </rPr>
      <t>CO2,AMX,AS</t>
    </r>
  </si>
  <si>
    <r>
      <t>K</t>
    </r>
    <r>
      <rPr>
        <vertAlign val="subscript"/>
        <sz val="11"/>
        <color indexed="8"/>
        <rFont val="Calibri"/>
        <family val="2"/>
        <scheme val="minor"/>
      </rPr>
      <t>CO2,AMX,pH,AS</t>
    </r>
  </si>
  <si>
    <r>
      <t>K</t>
    </r>
    <r>
      <rPr>
        <vertAlign val="subscript"/>
        <sz val="11"/>
        <color indexed="8"/>
        <rFont val="Calibri"/>
        <family val="2"/>
        <scheme val="minor"/>
      </rPr>
      <t>NOx,AMX,AS</t>
    </r>
  </si>
  <si>
    <r>
      <t>θ</t>
    </r>
    <r>
      <rPr>
        <vertAlign val="subscript"/>
        <sz val="11"/>
        <color indexed="8"/>
        <rFont val="Calibri"/>
        <family val="2"/>
        <scheme val="minor"/>
      </rPr>
      <t>µ,AOB</t>
    </r>
  </si>
  <si>
    <t>Arrhenius coefficient for AOB growth</t>
  </si>
  <si>
    <r>
      <t>θ</t>
    </r>
    <r>
      <rPr>
        <vertAlign val="subscript"/>
        <sz val="11"/>
        <color indexed="8"/>
        <rFont val="Calibri"/>
        <family val="2"/>
        <scheme val="minor"/>
      </rPr>
      <t>b,AOB</t>
    </r>
  </si>
  <si>
    <t>Arrhenius coefficient for AOB decay</t>
  </si>
  <si>
    <r>
      <t>θ</t>
    </r>
    <r>
      <rPr>
        <vertAlign val="subscript"/>
        <sz val="11"/>
        <color indexed="8"/>
        <rFont val="Calibri"/>
        <family val="2"/>
        <scheme val="minor"/>
      </rPr>
      <t>µ,NOB</t>
    </r>
  </si>
  <si>
    <t>Arrhenius coefficient for NOB growth</t>
  </si>
  <si>
    <r>
      <t>θ</t>
    </r>
    <r>
      <rPr>
        <vertAlign val="subscript"/>
        <sz val="11"/>
        <color indexed="8"/>
        <rFont val="Calibri"/>
        <family val="2"/>
        <scheme val="minor"/>
      </rPr>
      <t>b,NOB</t>
    </r>
  </si>
  <si>
    <t>Arrhenius coefficient for NOB decay</t>
  </si>
  <si>
    <r>
      <t>θ</t>
    </r>
    <r>
      <rPr>
        <vertAlign val="subscript"/>
        <sz val="11"/>
        <color indexed="8"/>
        <rFont val="Calibri"/>
        <family val="2"/>
        <scheme val="minor"/>
      </rPr>
      <t>µ,AMX</t>
    </r>
  </si>
  <si>
    <t>Arrhenius coefficient for anammox growth</t>
  </si>
  <si>
    <r>
      <t>θ</t>
    </r>
    <r>
      <rPr>
        <vertAlign val="subscript"/>
        <sz val="11"/>
        <color indexed="8"/>
        <rFont val="Calibri"/>
        <family val="2"/>
        <scheme val="minor"/>
      </rPr>
      <t>b,AMX</t>
    </r>
  </si>
  <si>
    <t>Arrhenius coefficient for anammox decay</t>
  </si>
  <si>
    <r>
      <t>Y</t>
    </r>
    <r>
      <rPr>
        <vertAlign val="subscript"/>
        <sz val="11"/>
        <rFont val="Calibri"/>
        <family val="2"/>
        <scheme val="minor"/>
      </rPr>
      <t>AOB</t>
    </r>
  </si>
  <si>
    <r>
      <t>Y</t>
    </r>
    <r>
      <rPr>
        <vertAlign val="subscript"/>
        <sz val="11"/>
        <rFont val="Calibri"/>
        <family val="2"/>
        <scheme val="minor"/>
      </rPr>
      <t>NOB</t>
    </r>
  </si>
  <si>
    <r>
      <t>Y</t>
    </r>
    <r>
      <rPr>
        <vertAlign val="subscript"/>
        <sz val="11"/>
        <rFont val="Calibri"/>
        <family val="2"/>
        <scheme val="minor"/>
      </rPr>
      <t>AMX,NO2</t>
    </r>
  </si>
  <si>
    <r>
      <t>Y</t>
    </r>
    <r>
      <rPr>
        <vertAlign val="subscript"/>
        <sz val="11"/>
        <rFont val="Calibri"/>
        <family val="2"/>
        <scheme val="minor"/>
      </rPr>
      <t>AMX,NO3</t>
    </r>
  </si>
  <si>
    <t>BigReal</t>
  </si>
  <si>
    <r>
      <t>S</t>
    </r>
    <r>
      <rPr>
        <vertAlign val="subscript"/>
        <sz val="11"/>
        <rFont val="Calibri"/>
        <family val="2"/>
      </rPr>
      <t>NOx</t>
    </r>
  </si>
  <si>
    <t>Nitrite uptake rate (N2UR)</t>
  </si>
  <si>
    <r>
      <t>K</t>
    </r>
    <r>
      <rPr>
        <vertAlign val="subscript"/>
        <sz val="11"/>
        <rFont val="Calibri"/>
        <family val="2"/>
        <scheme val="minor"/>
      </rPr>
      <t>NHx,AOB</t>
    </r>
  </si>
  <si>
    <r>
      <t>K</t>
    </r>
    <r>
      <rPr>
        <vertAlign val="subscript"/>
        <sz val="11"/>
        <rFont val="Calibri"/>
        <family val="2"/>
      </rPr>
      <t>NHx,AOB,AS</t>
    </r>
  </si>
  <si>
    <r>
      <t>K</t>
    </r>
    <r>
      <rPr>
        <vertAlign val="subscript"/>
        <sz val="11"/>
        <rFont val="Calibri"/>
        <family val="2"/>
        <scheme val="minor"/>
      </rPr>
      <t>CO2,AOB</t>
    </r>
  </si>
  <si>
    <r>
      <t>K</t>
    </r>
    <r>
      <rPr>
        <vertAlign val="subscript"/>
        <sz val="11"/>
        <rFont val="Calibri"/>
        <family val="2"/>
      </rPr>
      <t>CO2,AOB,AS</t>
    </r>
  </si>
  <si>
    <r>
      <t>K</t>
    </r>
    <r>
      <rPr>
        <vertAlign val="subscript"/>
        <sz val="11"/>
        <rFont val="Calibri"/>
        <family val="2"/>
      </rPr>
      <t>CO2,AOB,sidestream</t>
    </r>
  </si>
  <si>
    <r>
      <t>K</t>
    </r>
    <r>
      <rPr>
        <vertAlign val="subscript"/>
        <sz val="11"/>
        <rFont val="Calibri"/>
        <family val="2"/>
        <scheme val="minor"/>
      </rPr>
      <t>CO2,AOB,pH</t>
    </r>
  </si>
  <si>
    <r>
      <t>K</t>
    </r>
    <r>
      <rPr>
        <vertAlign val="subscript"/>
        <sz val="11"/>
        <rFont val="Calibri"/>
        <family val="2"/>
      </rPr>
      <t>CO2,AOB,pH,AS</t>
    </r>
  </si>
  <si>
    <r>
      <t>K</t>
    </r>
    <r>
      <rPr>
        <vertAlign val="subscript"/>
        <sz val="11"/>
        <rFont val="Calibri"/>
        <family val="2"/>
      </rPr>
      <t>CO2,AOB,pH,sidestream</t>
    </r>
  </si>
  <si>
    <r>
      <t>K</t>
    </r>
    <r>
      <rPr>
        <vertAlign val="subscript"/>
        <sz val="11"/>
        <rFont val="Calibri"/>
        <family val="2"/>
        <scheme val="minor"/>
      </rPr>
      <t>O2,AOB</t>
    </r>
  </si>
  <si>
    <r>
      <t>K</t>
    </r>
    <r>
      <rPr>
        <vertAlign val="subscript"/>
        <sz val="11"/>
        <rFont val="Calibri"/>
        <family val="2"/>
      </rPr>
      <t>O2,AOB,AS</t>
    </r>
  </si>
  <si>
    <r>
      <t>K</t>
    </r>
    <r>
      <rPr>
        <vertAlign val="subscript"/>
        <sz val="11"/>
        <rFont val="Calibri"/>
        <family val="2"/>
      </rPr>
      <t>O2,AOB,sidestream</t>
    </r>
  </si>
  <si>
    <r>
      <t>K</t>
    </r>
    <r>
      <rPr>
        <vertAlign val="subscript"/>
        <sz val="11"/>
        <rFont val="Calibri"/>
        <family val="2"/>
        <scheme val="minor"/>
      </rPr>
      <t>NOx,AOB</t>
    </r>
  </si>
  <si>
    <r>
      <t>K</t>
    </r>
    <r>
      <rPr>
        <vertAlign val="subscript"/>
        <sz val="11"/>
        <rFont val="Calibri"/>
        <family val="2"/>
      </rPr>
      <t>NOx,AOB,AS</t>
    </r>
  </si>
  <si>
    <r>
      <t>K</t>
    </r>
    <r>
      <rPr>
        <vertAlign val="subscript"/>
        <sz val="11"/>
        <rFont val="Calibri"/>
        <family val="2"/>
        <scheme val="minor"/>
      </rPr>
      <t>NO2,NOB</t>
    </r>
  </si>
  <si>
    <r>
      <t>K</t>
    </r>
    <r>
      <rPr>
        <vertAlign val="subscript"/>
        <sz val="11"/>
        <rFont val="Calibri"/>
        <family val="2"/>
      </rPr>
      <t>NO2,NOB,AS</t>
    </r>
  </si>
  <si>
    <r>
      <t>K</t>
    </r>
    <r>
      <rPr>
        <vertAlign val="subscript"/>
        <sz val="11"/>
        <rFont val="Calibri"/>
        <family val="2"/>
        <scheme val="minor"/>
      </rPr>
      <t>CO2,NOB</t>
    </r>
  </si>
  <si>
    <r>
      <t>K</t>
    </r>
    <r>
      <rPr>
        <vertAlign val="subscript"/>
        <sz val="11"/>
        <rFont val="Calibri"/>
        <family val="2"/>
      </rPr>
      <t>CO2,NOB,AS</t>
    </r>
  </si>
  <si>
    <r>
      <t>g CO</t>
    </r>
    <r>
      <rPr>
        <vertAlign val="subscript"/>
        <sz val="11"/>
        <rFont val="Calibri"/>
        <family val="2"/>
        <scheme val="minor"/>
      </rPr>
      <t>2</t>
    </r>
    <r>
      <rPr>
        <sz val="11"/>
        <rFont val="Calibri"/>
        <family val="2"/>
        <scheme val="minor"/>
      </rPr>
      <t>.m</t>
    </r>
    <r>
      <rPr>
        <vertAlign val="superscript"/>
        <sz val="11"/>
        <rFont val="Calibri"/>
        <family val="2"/>
        <scheme val="minor"/>
      </rPr>
      <t>-3</t>
    </r>
  </si>
  <si>
    <r>
      <t>K</t>
    </r>
    <r>
      <rPr>
        <vertAlign val="subscript"/>
        <sz val="11"/>
        <rFont val="Calibri"/>
        <family val="2"/>
        <scheme val="minor"/>
      </rPr>
      <t>CO2,NOB,pH</t>
    </r>
  </si>
  <si>
    <r>
      <t>K</t>
    </r>
    <r>
      <rPr>
        <vertAlign val="subscript"/>
        <sz val="11"/>
        <rFont val="Calibri"/>
        <family val="2"/>
      </rPr>
      <t>CO2,NOB,pH,AS</t>
    </r>
  </si>
  <si>
    <r>
      <t>K</t>
    </r>
    <r>
      <rPr>
        <vertAlign val="subscript"/>
        <sz val="11"/>
        <rFont val="Calibri"/>
        <family val="2"/>
        <scheme val="minor"/>
      </rPr>
      <t>O2,NOB</t>
    </r>
  </si>
  <si>
    <r>
      <t>K</t>
    </r>
    <r>
      <rPr>
        <vertAlign val="subscript"/>
        <sz val="11"/>
        <rFont val="Calibri"/>
        <family val="2"/>
      </rPr>
      <t>O2,NOB,AS</t>
    </r>
  </si>
  <si>
    <r>
      <t>K</t>
    </r>
    <r>
      <rPr>
        <vertAlign val="subscript"/>
        <sz val="11"/>
        <rFont val="Calibri"/>
        <family val="2"/>
      </rPr>
      <t>O2,NOB,sidestream</t>
    </r>
  </si>
  <si>
    <r>
      <t>K</t>
    </r>
    <r>
      <rPr>
        <vertAlign val="subscript"/>
        <sz val="11"/>
        <rFont val="Calibri"/>
        <family val="2"/>
        <scheme val="minor"/>
      </rPr>
      <t>NOx,NOB</t>
    </r>
  </si>
  <si>
    <r>
      <t>K</t>
    </r>
    <r>
      <rPr>
        <vertAlign val="subscript"/>
        <sz val="11"/>
        <rFont val="Calibri"/>
        <family val="2"/>
      </rPr>
      <t>NOx,NOB,AS</t>
    </r>
  </si>
  <si>
    <r>
      <t>K</t>
    </r>
    <r>
      <rPr>
        <vertAlign val="subscript"/>
        <sz val="11"/>
        <rFont val="Calibri"/>
        <family val="2"/>
        <scheme val="minor"/>
      </rPr>
      <t>NHx,AMX</t>
    </r>
  </si>
  <si>
    <r>
      <t>K</t>
    </r>
    <r>
      <rPr>
        <vertAlign val="subscript"/>
        <sz val="11"/>
        <rFont val="Calibri"/>
        <family val="2"/>
      </rPr>
      <t>NHx,AMX,AS</t>
    </r>
  </si>
  <si>
    <r>
      <t>K</t>
    </r>
    <r>
      <rPr>
        <vertAlign val="subscript"/>
        <sz val="11"/>
        <rFont val="Calibri"/>
        <family val="2"/>
        <scheme val="minor"/>
      </rPr>
      <t>NO2,AMX</t>
    </r>
  </si>
  <si>
    <r>
      <t>K</t>
    </r>
    <r>
      <rPr>
        <vertAlign val="subscript"/>
        <sz val="11"/>
        <rFont val="Calibri"/>
        <family val="2"/>
      </rPr>
      <t>NO2,AMX,AS</t>
    </r>
  </si>
  <si>
    <r>
      <t>K</t>
    </r>
    <r>
      <rPr>
        <vertAlign val="subscript"/>
        <sz val="11"/>
        <rFont val="Calibri"/>
        <family val="2"/>
        <scheme val="minor"/>
      </rPr>
      <t>CO2,AMX</t>
    </r>
  </si>
  <si>
    <r>
      <t>K</t>
    </r>
    <r>
      <rPr>
        <vertAlign val="subscript"/>
        <sz val="11"/>
        <rFont val="Calibri"/>
        <family val="2"/>
      </rPr>
      <t>CO2,AMX,AS</t>
    </r>
  </si>
  <si>
    <r>
      <t>K</t>
    </r>
    <r>
      <rPr>
        <vertAlign val="subscript"/>
        <sz val="11"/>
        <rFont val="Calibri"/>
        <family val="2"/>
        <scheme val="minor"/>
      </rPr>
      <t>CO2,AMX,pH</t>
    </r>
  </si>
  <si>
    <r>
      <t>K</t>
    </r>
    <r>
      <rPr>
        <vertAlign val="subscript"/>
        <sz val="11"/>
        <rFont val="Calibri"/>
        <family val="2"/>
      </rPr>
      <t>CO2,AMX,pH,AS</t>
    </r>
  </si>
  <si>
    <r>
      <t>K</t>
    </r>
    <r>
      <rPr>
        <vertAlign val="subscript"/>
        <sz val="11"/>
        <rFont val="Calibri"/>
        <family val="2"/>
        <scheme val="minor"/>
      </rPr>
      <t>NOx,AMX</t>
    </r>
  </si>
  <si>
    <r>
      <t>K</t>
    </r>
    <r>
      <rPr>
        <vertAlign val="subscript"/>
        <sz val="11"/>
        <rFont val="Calibri"/>
        <family val="2"/>
      </rPr>
      <t>NOx,AMX,AS</t>
    </r>
  </si>
  <si>
    <r>
      <t>K</t>
    </r>
    <r>
      <rPr>
        <vertAlign val="subscript"/>
        <sz val="11"/>
        <rFont val="Calibri"/>
        <family val="2"/>
      </rPr>
      <t>NO2,MEOLO</t>
    </r>
  </si>
  <si>
    <r>
      <t>K</t>
    </r>
    <r>
      <rPr>
        <vertAlign val="subscript"/>
        <sz val="11"/>
        <rFont val="Calibri"/>
        <family val="2"/>
      </rPr>
      <t>NO2,MEOLO,AS</t>
    </r>
  </si>
  <si>
    <r>
      <t>K</t>
    </r>
    <r>
      <rPr>
        <vertAlign val="subscript"/>
        <sz val="11"/>
        <rFont val="Calibri"/>
        <family val="2"/>
        <scheme val="minor"/>
      </rPr>
      <t>NO2,ASSIM</t>
    </r>
  </si>
  <si>
    <r>
      <t>K</t>
    </r>
    <r>
      <rPr>
        <vertAlign val="subscript"/>
        <sz val="11"/>
        <rFont val="Calibri"/>
        <family val="2"/>
        <scheme val="minor"/>
      </rPr>
      <t>NO2,ASSIM,AS</t>
    </r>
  </si>
  <si>
    <r>
      <t>K</t>
    </r>
    <r>
      <rPr>
        <vertAlign val="subscript"/>
        <sz val="11"/>
        <rFont val="Calibri"/>
        <family val="2"/>
        <scheme val="minor"/>
      </rPr>
      <t>NO3,ASSIM</t>
    </r>
  </si>
  <si>
    <r>
      <t>K</t>
    </r>
    <r>
      <rPr>
        <vertAlign val="subscript"/>
        <sz val="11"/>
        <rFont val="Calibri"/>
        <family val="2"/>
        <scheme val="minor"/>
      </rPr>
      <t>NO3,ASSIM,AS</t>
    </r>
  </si>
  <si>
    <r>
      <t>NO</t>
    </r>
    <r>
      <rPr>
        <vertAlign val="subscript"/>
        <sz val="11"/>
        <color rgb="FF000000"/>
        <rFont val="Calibri"/>
        <family val="2"/>
        <scheme val="minor"/>
      </rPr>
      <t>2</t>
    </r>
    <r>
      <rPr>
        <sz val="11"/>
        <color rgb="FF000000"/>
        <rFont val="Calibri"/>
        <family val="2"/>
        <charset val="238"/>
        <scheme val="minor"/>
      </rPr>
      <t xml:space="preserve"> assimilative reduction</t>
    </r>
  </si>
  <si>
    <r>
      <t>1+EEQ</t>
    </r>
    <r>
      <rPr>
        <vertAlign val="subscript"/>
        <sz val="11"/>
        <rFont val="Calibri"/>
        <family val="2"/>
      </rPr>
      <t>NO2</t>
    </r>
    <r>
      <rPr>
        <sz val="11"/>
        <rFont val="Calibri"/>
        <family val="2"/>
      </rPr>
      <t>*i</t>
    </r>
    <r>
      <rPr>
        <vertAlign val="subscript"/>
        <sz val="11"/>
        <rFont val="Calibri"/>
        <family val="2"/>
      </rPr>
      <t>N,BIO</t>
    </r>
  </si>
  <si>
    <r>
      <t>EEQ</t>
    </r>
    <r>
      <rPr>
        <vertAlign val="subscript"/>
        <sz val="11"/>
        <rFont val="Calibri"/>
        <family val="2"/>
      </rPr>
      <t>NO2</t>
    </r>
    <r>
      <rPr>
        <sz val="11"/>
        <rFont val="Calibri"/>
        <family val="2"/>
      </rPr>
      <t>*i</t>
    </r>
    <r>
      <rPr>
        <vertAlign val="subscript"/>
        <sz val="11"/>
        <rFont val="Calibri"/>
        <family val="2"/>
      </rPr>
      <t>P,BIO</t>
    </r>
  </si>
  <si>
    <r>
      <t>i</t>
    </r>
    <r>
      <rPr>
        <vertAlign val="subscript"/>
        <sz val="11"/>
        <rFont val="Calibri"/>
        <family val="2"/>
      </rPr>
      <t>CIT,BIO</t>
    </r>
    <r>
      <rPr>
        <sz val="11"/>
        <rFont val="Calibri"/>
        <family val="2"/>
      </rPr>
      <t>*EEQ</t>
    </r>
    <r>
      <rPr>
        <vertAlign val="subscript"/>
        <sz val="11"/>
        <rFont val="Calibri"/>
        <family val="2"/>
      </rPr>
      <t>NO2</t>
    </r>
  </si>
  <si>
    <r>
      <t>LogsatpH</t>
    </r>
    <r>
      <rPr>
        <vertAlign val="subscript"/>
        <sz val="11"/>
        <rFont val="Calibri"/>
        <family val="2"/>
        <scheme val="minor"/>
      </rPr>
      <t>CO2,AOB</t>
    </r>
  </si>
  <si>
    <r>
      <t>MinhpH</t>
    </r>
    <r>
      <rPr>
        <vertAlign val="subscript"/>
        <sz val="11"/>
        <rFont val="Calibri"/>
        <family val="2"/>
        <scheme val="minor"/>
      </rPr>
      <t>NH3,NOB</t>
    </r>
  </si>
  <si>
    <r>
      <t>LogsatpH</t>
    </r>
    <r>
      <rPr>
        <vertAlign val="subscript"/>
        <sz val="11"/>
        <rFont val="Calibri"/>
        <family val="2"/>
        <scheme val="minor"/>
      </rPr>
      <t>CO2,NOB</t>
    </r>
  </si>
  <si>
    <r>
      <t>LogsatpH</t>
    </r>
    <r>
      <rPr>
        <vertAlign val="subscript"/>
        <sz val="11"/>
        <rFont val="Calibri"/>
        <family val="2"/>
        <scheme val="minor"/>
      </rPr>
      <t>CO2,AMX</t>
    </r>
  </si>
  <si>
    <r>
      <t>MinhpH</t>
    </r>
    <r>
      <rPr>
        <vertAlign val="subscript"/>
        <sz val="11"/>
        <rFont val="Calibri"/>
        <family val="2"/>
        <scheme val="minor"/>
      </rPr>
      <t>HNO2,AMX</t>
    </r>
  </si>
  <si>
    <r>
      <t>Minh</t>
    </r>
    <r>
      <rPr>
        <vertAlign val="subscript"/>
        <sz val="11"/>
        <rFont val="Calibri"/>
        <family val="2"/>
        <scheme val="minor"/>
      </rPr>
      <t>SNO2,KNO2,OHO</t>
    </r>
  </si>
  <si>
    <r>
      <t>Minh(S</t>
    </r>
    <r>
      <rPr>
        <vertAlign val="subscript"/>
        <sz val="11"/>
        <rFont val="Calibri"/>
        <family val="2"/>
        <scheme val="minor"/>
      </rPr>
      <t>NO2</t>
    </r>
    <r>
      <rPr>
        <sz val="11"/>
        <rFont val="Calibri"/>
        <family val="2"/>
        <scheme val="minor"/>
      </rPr>
      <t>;K</t>
    </r>
    <r>
      <rPr>
        <vertAlign val="subscript"/>
        <sz val="11"/>
        <rFont val="Calibri"/>
        <family val="2"/>
        <scheme val="minor"/>
      </rPr>
      <t>NO2,OHO</t>
    </r>
    <r>
      <rPr>
        <sz val="11"/>
        <rFont val="Calibri"/>
        <family val="2"/>
        <scheme val="minor"/>
      </rPr>
      <t>)</t>
    </r>
  </si>
  <si>
    <r>
      <t>Minh</t>
    </r>
    <r>
      <rPr>
        <vertAlign val="subscript"/>
        <sz val="11"/>
        <rFont val="Calibri"/>
        <family val="2"/>
        <scheme val="minor"/>
      </rPr>
      <t>SNO3,KNO3,OHO</t>
    </r>
  </si>
  <si>
    <r>
      <t>Minh(S</t>
    </r>
    <r>
      <rPr>
        <vertAlign val="subscript"/>
        <sz val="11"/>
        <rFont val="Calibri"/>
        <family val="2"/>
        <scheme val="minor"/>
      </rPr>
      <t>NO3</t>
    </r>
    <r>
      <rPr>
        <sz val="11"/>
        <rFont val="Calibri"/>
        <family val="2"/>
        <scheme val="minor"/>
      </rPr>
      <t>;K</t>
    </r>
    <r>
      <rPr>
        <vertAlign val="subscript"/>
        <sz val="11"/>
        <rFont val="Calibri"/>
        <family val="2"/>
        <scheme val="minor"/>
      </rPr>
      <t>NO3,OHO</t>
    </r>
    <r>
      <rPr>
        <sz val="11"/>
        <rFont val="Calibri"/>
        <family val="2"/>
        <scheme val="minor"/>
      </rPr>
      <t>)</t>
    </r>
  </si>
  <si>
    <r>
      <t>Minh</t>
    </r>
    <r>
      <rPr>
        <vertAlign val="subscript"/>
        <sz val="11"/>
        <rFont val="Calibri"/>
        <family val="2"/>
        <scheme val="minor"/>
      </rPr>
      <t>SNO2,KNO2,MEOLO</t>
    </r>
  </si>
  <si>
    <r>
      <t>Minh(S</t>
    </r>
    <r>
      <rPr>
        <vertAlign val="subscript"/>
        <sz val="11"/>
        <rFont val="Calibri"/>
        <family val="2"/>
        <scheme val="minor"/>
      </rPr>
      <t>NO2</t>
    </r>
    <r>
      <rPr>
        <sz val="11"/>
        <rFont val="Calibri"/>
        <family val="2"/>
        <scheme val="minor"/>
      </rPr>
      <t>;K</t>
    </r>
    <r>
      <rPr>
        <vertAlign val="subscript"/>
        <sz val="11"/>
        <rFont val="Calibri"/>
        <family val="2"/>
        <scheme val="minor"/>
      </rPr>
      <t>NO2,MEOLO</t>
    </r>
    <r>
      <rPr>
        <sz val="11"/>
        <rFont val="Calibri"/>
        <family val="2"/>
        <scheme val="minor"/>
      </rPr>
      <t>)</t>
    </r>
  </si>
  <si>
    <r>
      <t>Minh</t>
    </r>
    <r>
      <rPr>
        <vertAlign val="subscript"/>
        <sz val="11"/>
        <rFont val="Calibri"/>
        <family val="2"/>
        <scheme val="minor"/>
      </rPr>
      <t>SNO3,KNO3,MEOLO</t>
    </r>
  </si>
  <si>
    <r>
      <t>Minh(S</t>
    </r>
    <r>
      <rPr>
        <vertAlign val="subscript"/>
        <sz val="11"/>
        <rFont val="Calibri"/>
        <family val="2"/>
        <scheme val="minor"/>
      </rPr>
      <t>NO3</t>
    </r>
    <r>
      <rPr>
        <sz val="11"/>
        <rFont val="Calibri"/>
        <family val="2"/>
        <scheme val="minor"/>
      </rPr>
      <t>;K</t>
    </r>
    <r>
      <rPr>
        <vertAlign val="subscript"/>
        <sz val="11"/>
        <rFont val="Calibri"/>
        <family val="2"/>
        <scheme val="minor"/>
      </rPr>
      <t>NO3,MEOLO</t>
    </r>
    <r>
      <rPr>
        <sz val="11"/>
        <rFont val="Calibri"/>
        <family val="2"/>
        <scheme val="minor"/>
      </rPr>
      <t>)</t>
    </r>
  </si>
  <si>
    <r>
      <t>Msat</t>
    </r>
    <r>
      <rPr>
        <vertAlign val="subscript"/>
        <sz val="11"/>
        <rFont val="Calibri"/>
        <family val="2"/>
      </rPr>
      <t>SNO2,KNO2,MEOLO</t>
    </r>
  </si>
  <si>
    <r>
      <t>Msat(S</t>
    </r>
    <r>
      <rPr>
        <vertAlign val="subscript"/>
        <sz val="11"/>
        <rFont val="Calibri"/>
        <family val="2"/>
      </rPr>
      <t>NO2</t>
    </r>
    <r>
      <rPr>
        <sz val="11"/>
        <rFont val="Calibri"/>
        <family val="2"/>
      </rPr>
      <t>;K</t>
    </r>
    <r>
      <rPr>
        <vertAlign val="subscript"/>
        <sz val="11"/>
        <rFont val="Calibri"/>
        <family val="2"/>
      </rPr>
      <t>NO2,MEOLO</t>
    </r>
    <r>
      <rPr>
        <sz val="11"/>
        <rFont val="Calibri"/>
        <family val="2"/>
      </rPr>
      <t>)</t>
    </r>
  </si>
  <si>
    <r>
      <t>Msat</t>
    </r>
    <r>
      <rPr>
        <vertAlign val="subscript"/>
        <sz val="11"/>
        <rFont val="Calibri"/>
        <family val="2"/>
      </rPr>
      <t>SNO3,KNO3,MEOLO</t>
    </r>
  </si>
  <si>
    <r>
      <t>Msat(S</t>
    </r>
    <r>
      <rPr>
        <vertAlign val="subscript"/>
        <sz val="11"/>
        <rFont val="Calibri"/>
        <family val="2"/>
      </rPr>
      <t>NO3</t>
    </r>
    <r>
      <rPr>
        <sz val="11"/>
        <rFont val="Calibri"/>
        <family val="2"/>
      </rPr>
      <t>;K</t>
    </r>
    <r>
      <rPr>
        <vertAlign val="subscript"/>
        <sz val="11"/>
        <rFont val="Calibri"/>
        <family val="2"/>
      </rPr>
      <t>NO3,MEOLO</t>
    </r>
    <r>
      <rPr>
        <sz val="11"/>
        <rFont val="Calibri"/>
        <family val="2"/>
      </rPr>
      <t>)</t>
    </r>
  </si>
  <si>
    <r>
      <t>Minh</t>
    </r>
    <r>
      <rPr>
        <vertAlign val="subscript"/>
        <sz val="11"/>
        <rFont val="Calibri"/>
        <family val="2"/>
      </rPr>
      <t>SO2,KO2,AOB</t>
    </r>
  </si>
  <si>
    <r>
      <t>Minh(S</t>
    </r>
    <r>
      <rPr>
        <vertAlign val="subscript"/>
        <sz val="11"/>
        <rFont val="Calibri"/>
        <family val="2"/>
      </rPr>
      <t>O2</t>
    </r>
    <r>
      <rPr>
        <sz val="11"/>
        <rFont val="Calibri"/>
        <family val="2"/>
      </rPr>
      <t>;K</t>
    </r>
    <r>
      <rPr>
        <vertAlign val="subscript"/>
        <sz val="11"/>
        <rFont val="Calibri"/>
        <family val="2"/>
      </rPr>
      <t>O2,AOB</t>
    </r>
    <r>
      <rPr>
        <sz val="11"/>
        <rFont val="Calibri"/>
        <family val="2"/>
      </rPr>
      <t>)</t>
    </r>
  </si>
  <si>
    <r>
      <t>Msat</t>
    </r>
    <r>
      <rPr>
        <vertAlign val="subscript"/>
        <sz val="11"/>
        <rFont val="Calibri"/>
        <family val="2"/>
      </rPr>
      <t>SNHx,KNHx,AOB</t>
    </r>
  </si>
  <si>
    <r>
      <t>Msat(S</t>
    </r>
    <r>
      <rPr>
        <vertAlign val="subscript"/>
        <sz val="11"/>
        <rFont val="Calibri"/>
        <family val="2"/>
      </rPr>
      <t>NHx</t>
    </r>
    <r>
      <rPr>
        <sz val="11"/>
        <rFont val="Calibri"/>
        <family val="2"/>
      </rPr>
      <t>;K</t>
    </r>
    <r>
      <rPr>
        <vertAlign val="subscript"/>
        <sz val="11"/>
        <rFont val="Calibri"/>
        <family val="2"/>
      </rPr>
      <t>NHx,AOB</t>
    </r>
    <r>
      <rPr>
        <sz val="11"/>
        <rFont val="Calibri"/>
        <family val="2"/>
      </rPr>
      <t>)</t>
    </r>
  </si>
  <si>
    <r>
      <t>Msat</t>
    </r>
    <r>
      <rPr>
        <vertAlign val="subscript"/>
        <sz val="11"/>
        <rFont val="Calibri"/>
        <family val="2"/>
      </rPr>
      <t>SO2,KO2,AOB</t>
    </r>
  </si>
  <si>
    <r>
      <t>Msat(S</t>
    </r>
    <r>
      <rPr>
        <vertAlign val="subscript"/>
        <sz val="11"/>
        <rFont val="Calibri"/>
        <family val="2"/>
      </rPr>
      <t>O2</t>
    </r>
    <r>
      <rPr>
        <sz val="11"/>
        <rFont val="Calibri"/>
        <family val="2"/>
      </rPr>
      <t>;K</t>
    </r>
    <r>
      <rPr>
        <vertAlign val="subscript"/>
        <sz val="11"/>
        <rFont val="Calibri"/>
        <family val="2"/>
      </rPr>
      <t>O2,AOB</t>
    </r>
    <r>
      <rPr>
        <sz val="11"/>
        <rFont val="Calibri"/>
        <family val="2"/>
      </rPr>
      <t>)</t>
    </r>
  </si>
  <si>
    <r>
      <t>Minh</t>
    </r>
    <r>
      <rPr>
        <vertAlign val="subscript"/>
        <sz val="11"/>
        <rFont val="Calibri"/>
        <family val="2"/>
      </rPr>
      <t>SO2,KO2,NOB</t>
    </r>
  </si>
  <si>
    <r>
      <t>Minh(S</t>
    </r>
    <r>
      <rPr>
        <vertAlign val="subscript"/>
        <sz val="11"/>
        <rFont val="Calibri"/>
        <family val="2"/>
      </rPr>
      <t>O2</t>
    </r>
    <r>
      <rPr>
        <sz val="11"/>
        <rFont val="Calibri"/>
        <family val="2"/>
      </rPr>
      <t>;K</t>
    </r>
    <r>
      <rPr>
        <vertAlign val="subscript"/>
        <sz val="11"/>
        <rFont val="Calibri"/>
        <family val="2"/>
      </rPr>
      <t>O2,NOB</t>
    </r>
    <r>
      <rPr>
        <sz val="11"/>
        <rFont val="Calibri"/>
        <family val="2"/>
      </rPr>
      <t>)</t>
    </r>
  </si>
  <si>
    <r>
      <t>Msat</t>
    </r>
    <r>
      <rPr>
        <vertAlign val="subscript"/>
        <sz val="11"/>
        <rFont val="Calibri"/>
        <family val="2"/>
      </rPr>
      <t>SNO2,KNO2,NOB</t>
    </r>
  </si>
  <si>
    <r>
      <t>Msat(S</t>
    </r>
    <r>
      <rPr>
        <vertAlign val="subscript"/>
        <sz val="11"/>
        <rFont val="Calibri"/>
        <family val="2"/>
      </rPr>
      <t>NO2</t>
    </r>
    <r>
      <rPr>
        <sz val="11"/>
        <rFont val="Calibri"/>
        <family val="2"/>
      </rPr>
      <t>;K</t>
    </r>
    <r>
      <rPr>
        <vertAlign val="subscript"/>
        <sz val="11"/>
        <rFont val="Calibri"/>
        <family val="2"/>
      </rPr>
      <t>NO2,NOB</t>
    </r>
    <r>
      <rPr>
        <sz val="11"/>
        <rFont val="Calibri"/>
        <family val="2"/>
      </rPr>
      <t>)</t>
    </r>
  </si>
  <si>
    <r>
      <t>Msat</t>
    </r>
    <r>
      <rPr>
        <vertAlign val="subscript"/>
        <sz val="11"/>
        <rFont val="Calibri"/>
        <family val="2"/>
      </rPr>
      <t>SO2,KO2,NOB</t>
    </r>
  </si>
  <si>
    <r>
      <t>Msat(S</t>
    </r>
    <r>
      <rPr>
        <vertAlign val="subscript"/>
        <sz val="11"/>
        <rFont val="Calibri"/>
        <family val="2"/>
      </rPr>
      <t>O2</t>
    </r>
    <r>
      <rPr>
        <sz val="11"/>
        <rFont val="Calibri"/>
        <family val="2"/>
      </rPr>
      <t>;K</t>
    </r>
    <r>
      <rPr>
        <vertAlign val="subscript"/>
        <sz val="11"/>
        <rFont val="Calibri"/>
        <family val="2"/>
      </rPr>
      <t>O2,NOB</t>
    </r>
    <r>
      <rPr>
        <sz val="11"/>
        <rFont val="Calibri"/>
        <family val="2"/>
      </rPr>
      <t>)</t>
    </r>
  </si>
  <si>
    <r>
      <t>Msat</t>
    </r>
    <r>
      <rPr>
        <vertAlign val="subscript"/>
        <sz val="11"/>
        <rFont val="Calibri"/>
        <family val="2"/>
      </rPr>
      <t>SNHx,KNHx,AMX</t>
    </r>
  </si>
  <si>
    <r>
      <t>Msat(S</t>
    </r>
    <r>
      <rPr>
        <vertAlign val="subscript"/>
        <sz val="11"/>
        <rFont val="Calibri"/>
        <family val="2"/>
      </rPr>
      <t>NHx</t>
    </r>
    <r>
      <rPr>
        <sz val="11"/>
        <rFont val="Calibri"/>
        <family val="2"/>
      </rPr>
      <t>;K</t>
    </r>
    <r>
      <rPr>
        <vertAlign val="subscript"/>
        <sz val="11"/>
        <rFont val="Calibri"/>
        <family val="2"/>
      </rPr>
      <t>NHx,AMX</t>
    </r>
    <r>
      <rPr>
        <sz val="11"/>
        <rFont val="Calibri"/>
        <family val="2"/>
      </rPr>
      <t>)</t>
    </r>
  </si>
  <si>
    <r>
      <t>Msat</t>
    </r>
    <r>
      <rPr>
        <vertAlign val="subscript"/>
        <sz val="11"/>
        <rFont val="Calibri"/>
        <family val="2"/>
      </rPr>
      <t>SNO2,KNO2,AMX</t>
    </r>
  </si>
  <si>
    <r>
      <t>Msat(S</t>
    </r>
    <r>
      <rPr>
        <vertAlign val="subscript"/>
        <sz val="11"/>
        <rFont val="Calibri"/>
        <family val="2"/>
      </rPr>
      <t>NO2</t>
    </r>
    <r>
      <rPr>
        <sz val="11"/>
        <rFont val="Calibri"/>
        <family val="2"/>
      </rPr>
      <t>;K</t>
    </r>
    <r>
      <rPr>
        <vertAlign val="subscript"/>
        <sz val="11"/>
        <rFont val="Calibri"/>
        <family val="2"/>
      </rPr>
      <t>NO2,AMX</t>
    </r>
    <r>
      <rPr>
        <sz val="11"/>
        <rFont val="Calibri"/>
        <family val="2"/>
      </rPr>
      <t>)</t>
    </r>
  </si>
  <si>
    <r>
      <t>µ</t>
    </r>
    <r>
      <rPr>
        <vertAlign val="subscript"/>
        <sz val="11"/>
        <color indexed="8"/>
        <rFont val="Calibri"/>
        <family val="2"/>
        <charset val="238"/>
      </rPr>
      <t>AOB,T</t>
    </r>
  </si>
  <si>
    <r>
      <t>µ</t>
    </r>
    <r>
      <rPr>
        <vertAlign val="subscript"/>
        <sz val="11"/>
        <color indexed="8"/>
        <rFont val="Calibri"/>
        <family val="2"/>
        <charset val="238"/>
      </rPr>
      <t>AOB</t>
    </r>
    <r>
      <rPr>
        <sz val="11"/>
        <color indexed="8"/>
        <rFont val="Calibri"/>
        <family val="2"/>
      </rPr>
      <t>*Arrh(θ</t>
    </r>
    <r>
      <rPr>
        <vertAlign val="subscript"/>
        <sz val="11"/>
        <color indexed="8"/>
        <rFont val="Calibri"/>
        <family val="2"/>
        <charset val="238"/>
      </rPr>
      <t>µ,AOB</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</si>
  <si>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AOB,T</t>
    </r>
  </si>
  <si>
    <r>
      <t>b</t>
    </r>
    <r>
      <rPr>
        <vertAlign val="subscript"/>
        <sz val="11"/>
        <color indexed="8"/>
        <rFont val="Calibri"/>
        <family val="2"/>
        <charset val="238"/>
      </rPr>
      <t>AOB</t>
    </r>
    <r>
      <rPr>
        <sz val="11"/>
        <color indexed="8"/>
        <rFont val="Calibri"/>
        <family val="2"/>
      </rPr>
      <t>*Arrh(θ</t>
    </r>
    <r>
      <rPr>
        <vertAlign val="subscript"/>
        <sz val="11"/>
        <color indexed="8"/>
        <rFont val="Calibri"/>
        <family val="2"/>
        <charset val="238"/>
      </rPr>
      <t>b,AOB</t>
    </r>
    <r>
      <rPr>
        <sz val="11"/>
        <color indexed="8"/>
        <rFont val="Calibri"/>
        <family val="2"/>
      </rPr>
      <t>; T; T</t>
    </r>
    <r>
      <rPr>
        <vertAlign val="subscript"/>
        <sz val="11"/>
        <color indexed="8"/>
        <rFont val="Calibri"/>
        <family val="2"/>
        <charset val="238"/>
      </rPr>
      <t>base</t>
    </r>
    <r>
      <rPr>
        <sz val="11"/>
        <color indexed="8"/>
        <rFont val="Calibri"/>
        <family val="2"/>
      </rPr>
      <t>)</t>
    </r>
  </si>
  <si>
    <r>
      <t>µ</t>
    </r>
    <r>
      <rPr>
        <vertAlign val="subscript"/>
        <sz val="11"/>
        <color indexed="8"/>
        <rFont val="Calibri"/>
        <family val="2"/>
        <charset val="238"/>
      </rPr>
      <t>NOB,T</t>
    </r>
  </si>
  <si>
    <r>
      <t>µ</t>
    </r>
    <r>
      <rPr>
        <vertAlign val="subscript"/>
        <sz val="11"/>
        <color indexed="8"/>
        <rFont val="Calibri"/>
        <family val="2"/>
        <charset val="238"/>
      </rPr>
      <t>NOB</t>
    </r>
    <r>
      <rPr>
        <sz val="11"/>
        <color indexed="8"/>
        <rFont val="Calibri"/>
        <family val="2"/>
      </rPr>
      <t>*Arrh(θ</t>
    </r>
    <r>
      <rPr>
        <vertAlign val="subscript"/>
        <sz val="11"/>
        <color indexed="8"/>
        <rFont val="Calibri"/>
        <family val="2"/>
        <charset val="238"/>
      </rPr>
      <t>µ,NOB</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</si>
  <si>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NOB,T</t>
    </r>
  </si>
  <si>
    <r>
      <t>b</t>
    </r>
    <r>
      <rPr>
        <vertAlign val="subscript"/>
        <sz val="11"/>
        <color indexed="8"/>
        <rFont val="Calibri"/>
        <family val="2"/>
        <charset val="238"/>
      </rPr>
      <t>NOB</t>
    </r>
    <r>
      <rPr>
        <sz val="11"/>
        <color indexed="8"/>
        <rFont val="Calibri"/>
        <family val="2"/>
      </rPr>
      <t>*Arrh(θ</t>
    </r>
    <r>
      <rPr>
        <vertAlign val="subscript"/>
        <sz val="11"/>
        <color indexed="8"/>
        <rFont val="Calibri"/>
        <family val="2"/>
        <charset val="238"/>
      </rPr>
      <t>b,NOB</t>
    </r>
    <r>
      <rPr>
        <sz val="11"/>
        <color indexed="8"/>
        <rFont val="Calibri"/>
        <family val="2"/>
      </rPr>
      <t>; T; T</t>
    </r>
    <r>
      <rPr>
        <vertAlign val="subscript"/>
        <sz val="11"/>
        <color indexed="8"/>
        <rFont val="Calibri"/>
        <family val="2"/>
        <charset val="238"/>
      </rPr>
      <t>base</t>
    </r>
    <r>
      <rPr>
        <sz val="11"/>
        <color indexed="8"/>
        <rFont val="Calibri"/>
        <family val="2"/>
      </rPr>
      <t>)</t>
    </r>
  </si>
  <si>
    <r>
      <t>µ</t>
    </r>
    <r>
      <rPr>
        <vertAlign val="subscript"/>
        <sz val="11"/>
        <color indexed="8"/>
        <rFont val="Calibri"/>
        <family val="2"/>
        <charset val="238"/>
      </rPr>
      <t>AMX,T</t>
    </r>
  </si>
  <si>
    <r>
      <t>µ</t>
    </r>
    <r>
      <rPr>
        <vertAlign val="subscript"/>
        <sz val="11"/>
        <color indexed="8"/>
        <rFont val="Calibri"/>
        <family val="2"/>
        <charset val="238"/>
      </rPr>
      <t>AMX</t>
    </r>
    <r>
      <rPr>
        <sz val="11"/>
        <color indexed="8"/>
        <rFont val="Calibri"/>
        <family val="2"/>
      </rPr>
      <t>*Arrh(θ</t>
    </r>
    <r>
      <rPr>
        <vertAlign val="subscript"/>
        <sz val="11"/>
        <color indexed="8"/>
        <rFont val="Calibri"/>
        <family val="2"/>
        <charset val="238"/>
      </rPr>
      <t>µ,AMX</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</si>
  <si>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AMX,T</t>
    </r>
  </si>
  <si>
    <r>
      <t>b</t>
    </r>
    <r>
      <rPr>
        <vertAlign val="subscript"/>
        <sz val="11"/>
        <color indexed="8"/>
        <rFont val="Calibri"/>
        <family val="2"/>
        <charset val="238"/>
      </rPr>
      <t>AMX</t>
    </r>
    <r>
      <rPr>
        <sz val="11"/>
        <color indexed="8"/>
        <rFont val="Calibri"/>
        <family val="2"/>
      </rPr>
      <t>*Arrh(θ</t>
    </r>
    <r>
      <rPr>
        <vertAlign val="subscript"/>
        <sz val="11"/>
        <color indexed="8"/>
        <rFont val="Calibri"/>
        <family val="2"/>
        <charset val="238"/>
      </rPr>
      <t>b,AMX</t>
    </r>
    <r>
      <rPr>
        <sz val="11"/>
        <color indexed="8"/>
        <rFont val="Calibri"/>
        <family val="2"/>
      </rPr>
      <t>; T; T</t>
    </r>
    <r>
      <rPr>
        <vertAlign val="subscript"/>
        <sz val="11"/>
        <color indexed="8"/>
        <rFont val="Calibri"/>
        <family val="2"/>
        <charset val="238"/>
      </rPr>
      <t>base</t>
    </r>
    <r>
      <rPr>
        <sz val="11"/>
        <color indexed="8"/>
        <rFont val="Calibri"/>
        <family val="2"/>
      </rPr>
      <t>)</t>
    </r>
  </si>
  <si>
    <r>
      <t>K</t>
    </r>
    <r>
      <rPr>
        <vertAlign val="subscript"/>
        <sz val="11"/>
        <color indexed="8"/>
        <rFont val="Calibri"/>
        <family val="2"/>
        <scheme val="minor"/>
      </rPr>
      <t>NO3,ASSIM,AS</t>
    </r>
  </si>
  <si>
    <r>
      <t>K</t>
    </r>
    <r>
      <rPr>
        <vertAlign val="subscript"/>
        <sz val="11"/>
        <color indexed="8"/>
        <rFont val="Calibri"/>
        <family val="2"/>
        <scheme val="minor"/>
      </rPr>
      <t>NO2,ASSIM,AS</t>
    </r>
  </si>
  <si>
    <r>
      <t>Minh</t>
    </r>
    <r>
      <rPr>
        <vertAlign val="subscript"/>
        <sz val="11"/>
        <rFont val="Calibri"/>
        <family val="2"/>
        <scheme val="minor"/>
      </rPr>
      <t>SNO2,KNO2,ASSIM</t>
    </r>
  </si>
  <si>
    <r>
      <t>Minh(S</t>
    </r>
    <r>
      <rPr>
        <vertAlign val="subscript"/>
        <sz val="11"/>
        <rFont val="Calibri"/>
        <family val="2"/>
        <scheme val="minor"/>
      </rPr>
      <t>NO2</t>
    </r>
    <r>
      <rPr>
        <sz val="11"/>
        <rFont val="Calibri"/>
        <family val="2"/>
        <scheme val="minor"/>
      </rPr>
      <t>;K</t>
    </r>
    <r>
      <rPr>
        <vertAlign val="subscript"/>
        <sz val="11"/>
        <rFont val="Calibri"/>
        <family val="2"/>
        <scheme val="minor"/>
      </rPr>
      <t>NO2,ASSIM</t>
    </r>
    <r>
      <rPr>
        <sz val="11"/>
        <rFont val="Calibri"/>
        <family val="2"/>
        <scheme val="minor"/>
      </rPr>
      <t>)</t>
    </r>
  </si>
  <si>
    <r>
      <t>Msat</t>
    </r>
    <r>
      <rPr>
        <vertAlign val="subscript"/>
        <sz val="11"/>
        <rFont val="Calibri"/>
        <family val="2"/>
      </rPr>
      <t>SNO2,KNO2,ASSIM</t>
    </r>
  </si>
  <si>
    <r>
      <t>Msat(S</t>
    </r>
    <r>
      <rPr>
        <vertAlign val="subscript"/>
        <sz val="11"/>
        <rFont val="Calibri"/>
        <family val="2"/>
      </rPr>
      <t>NO2</t>
    </r>
    <r>
      <rPr>
        <sz val="11"/>
        <rFont val="Calibri"/>
        <family val="2"/>
      </rPr>
      <t>;K</t>
    </r>
    <r>
      <rPr>
        <vertAlign val="subscript"/>
        <sz val="11"/>
        <rFont val="Calibri"/>
        <family val="2"/>
      </rPr>
      <t>NO2,ASSIM</t>
    </r>
    <r>
      <rPr>
        <sz val="11"/>
        <rFont val="Calibri"/>
        <family val="2"/>
      </rPr>
      <t>)</t>
    </r>
  </si>
  <si>
    <r>
      <t>Msat</t>
    </r>
    <r>
      <rPr>
        <vertAlign val="subscript"/>
        <sz val="11"/>
        <rFont val="Calibri"/>
        <family val="2"/>
      </rPr>
      <t>SNO3,KNO3,ASSIM</t>
    </r>
  </si>
  <si>
    <r>
      <t>Msat(S</t>
    </r>
    <r>
      <rPr>
        <vertAlign val="subscript"/>
        <sz val="11"/>
        <rFont val="Calibri"/>
        <family val="2"/>
      </rPr>
      <t>NO3</t>
    </r>
    <r>
      <rPr>
        <sz val="11"/>
        <rFont val="Calibri"/>
        <family val="2"/>
      </rPr>
      <t>;K</t>
    </r>
    <r>
      <rPr>
        <vertAlign val="subscript"/>
        <sz val="11"/>
        <rFont val="Calibri"/>
        <family val="2"/>
      </rPr>
      <t>NO3,ASSIM</t>
    </r>
    <r>
      <rPr>
        <sz val="11"/>
        <rFont val="Calibri"/>
        <family val="2"/>
      </rPr>
      <t>)</t>
    </r>
  </si>
  <si>
    <r>
      <t>K</t>
    </r>
    <r>
      <rPr>
        <vertAlign val="subscript"/>
        <sz val="11"/>
        <rFont val="Calibri"/>
        <family val="2"/>
        <scheme val="minor"/>
      </rPr>
      <t>NOx,AMETO,AS</t>
    </r>
  </si>
  <si>
    <r>
      <t>K</t>
    </r>
    <r>
      <rPr>
        <vertAlign val="subscript"/>
        <sz val="11"/>
        <color indexed="8"/>
        <rFont val="Calibri"/>
        <family val="2"/>
        <scheme val="minor"/>
      </rPr>
      <t>NOx,HMETO,AS</t>
    </r>
  </si>
  <si>
    <r>
      <t>K</t>
    </r>
    <r>
      <rPr>
        <vertAlign val="subscript"/>
        <sz val="11"/>
        <rFont val="Calibri"/>
        <family val="2"/>
        <scheme val="minor"/>
      </rPr>
      <t>NOx,AMETO</t>
    </r>
  </si>
  <si>
    <r>
      <t>K</t>
    </r>
    <r>
      <rPr>
        <vertAlign val="subscript"/>
        <sz val="11"/>
        <rFont val="Calibri"/>
        <family val="2"/>
        <scheme val="minor"/>
      </rPr>
      <t>NOx,HMETO</t>
    </r>
  </si>
  <si>
    <r>
      <t>K</t>
    </r>
    <r>
      <rPr>
        <vertAlign val="subscript"/>
        <sz val="11"/>
        <rFont val="Calibri"/>
        <family val="2"/>
        <scheme val="minor"/>
      </rPr>
      <t>NOx,HMETO,AS</t>
    </r>
  </si>
  <si>
    <r>
      <t>[NO</t>
    </r>
    <r>
      <rPr>
        <vertAlign val="subscript"/>
        <sz val="11"/>
        <rFont val="Calibri"/>
        <family val="2"/>
        <scheme val="minor"/>
      </rPr>
      <t>2</t>
    </r>
    <r>
      <rPr>
        <vertAlign val="superscript"/>
        <sz val="11"/>
        <rFont val="Calibri"/>
        <family val="2"/>
        <scheme val="minor"/>
      </rPr>
      <t>-</t>
    </r>
    <r>
      <rPr>
        <sz val="11"/>
        <rFont val="Calibri"/>
        <family val="2"/>
        <scheme val="minor"/>
      </rPr>
      <t>]</t>
    </r>
    <r>
      <rPr>
        <vertAlign val="subscript"/>
        <sz val="11"/>
        <rFont val="Calibri"/>
        <family val="2"/>
        <scheme val="minor"/>
      </rPr>
      <t>eq</t>
    </r>
  </si>
  <si>
    <t>Nitrite molar concentration in equivalence point</t>
  </si>
  <si>
    <r>
      <t>(3*[PO</t>
    </r>
    <r>
      <rPr>
        <vertAlign val="subscript"/>
        <sz val="11"/>
        <rFont val="Calibri"/>
        <family val="2"/>
        <scheme val="minor"/>
      </rPr>
      <t>4</t>
    </r>
    <r>
      <rPr>
        <vertAlign val="superscript"/>
        <sz val="11"/>
        <rFont val="Calibri"/>
        <family val="2"/>
        <scheme val="minor"/>
      </rPr>
      <t>3-</t>
    </r>
    <r>
      <rPr>
        <sz val="11"/>
        <rFont val="Calibri"/>
        <family val="2"/>
        <scheme val="minor"/>
      </rPr>
      <t>] + 2*[HPO</t>
    </r>
    <r>
      <rPr>
        <vertAlign val="subscript"/>
        <sz val="11"/>
        <rFont val="Calibri"/>
        <family val="2"/>
        <scheme val="minor"/>
      </rPr>
      <t>4</t>
    </r>
    <r>
      <rPr>
        <vertAlign val="superscript"/>
        <sz val="11"/>
        <rFont val="Calibri"/>
        <family val="2"/>
        <scheme val="minor"/>
      </rPr>
      <t>2-</t>
    </r>
    <r>
      <rPr>
        <sz val="11"/>
        <rFont val="Calibri"/>
        <family val="2"/>
        <scheme val="minor"/>
      </rPr>
      <t>])- 2*[HPO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r>
      <rPr>
        <sz val="11"/>
        <rFont val="Calibri"/>
        <family val="2"/>
        <scheme val="minor"/>
      </rPr>
      <t xml:space="preserve"> +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[OH</t>
    </r>
    <r>
      <rPr>
        <vertAlign val="superscript"/>
        <sz val="11"/>
        <rFont val="Calibri"/>
        <family val="2"/>
        <scheme val="minor"/>
      </rPr>
      <t>-</t>
    </r>
    <r>
      <rPr>
        <sz val="11"/>
        <rFont val="Calibri"/>
        <family val="2"/>
        <scheme val="minor"/>
      </rPr>
      <t>]+ [NO</t>
    </r>
    <r>
      <rPr>
        <vertAlign val="subscript"/>
        <sz val="11"/>
        <rFont val="Calibri"/>
        <family val="2"/>
        <scheme val="minor"/>
      </rPr>
      <t>2</t>
    </r>
    <r>
      <rPr>
        <vertAlign val="superscript"/>
        <sz val="11"/>
        <rFont val="Calibri"/>
        <family val="2"/>
        <scheme val="minor"/>
      </rPr>
      <t>-</t>
    </r>
    <r>
      <rPr>
        <sz val="11"/>
        <rFont val="Calibri"/>
        <family val="2"/>
        <scheme val="minor"/>
      </rPr>
      <t>] - [NO</t>
    </r>
    <r>
      <rPr>
        <vertAlign val="subscript"/>
        <sz val="11"/>
        <rFont val="Calibri"/>
        <family val="2"/>
        <scheme val="minor"/>
      </rPr>
      <t>2</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[NH</t>
    </r>
    <r>
      <rPr>
        <vertAlign val="subscript"/>
        <sz val="11"/>
        <rFont val="Calibri"/>
        <family val="2"/>
        <scheme val="minor"/>
      </rPr>
      <t>3</t>
    </r>
    <r>
      <rPr>
        <sz val="11"/>
        <rFont val="Calibri"/>
        <family val="2"/>
        <scheme val="minor"/>
      </rPr>
      <t>] + 2*[CO</t>
    </r>
    <r>
      <rPr>
        <vertAlign val="subscript"/>
        <sz val="11"/>
        <rFont val="Calibri"/>
        <family val="2"/>
        <scheme val="minor"/>
      </rPr>
      <t>3</t>
    </r>
    <r>
      <rPr>
        <vertAlign val="superscript"/>
        <sz val="11"/>
        <rFont val="Calibri"/>
        <family val="2"/>
        <scheme val="minor"/>
      </rPr>
      <t>2-</t>
    </r>
    <r>
      <rPr>
        <sz val="11"/>
        <rFont val="Calibri"/>
        <family val="2"/>
        <scheme val="minor"/>
      </rPr>
      <t>]+ [HCO</t>
    </r>
    <r>
      <rPr>
        <vertAlign val="subscript"/>
        <sz val="11"/>
        <rFont val="Calibri"/>
        <family val="2"/>
        <scheme val="minor"/>
      </rPr>
      <t>3</t>
    </r>
    <r>
      <rPr>
        <vertAlign val="superscript"/>
        <sz val="11"/>
        <rFont val="Calibri"/>
        <family val="2"/>
        <scheme val="minor"/>
      </rPr>
      <t>-</t>
    </r>
    <r>
      <rPr>
        <sz val="11"/>
        <rFont val="Calibri"/>
        <family val="2"/>
        <scheme val="minor"/>
      </rPr>
      <t>]+ [Ac</t>
    </r>
    <r>
      <rPr>
        <vertAlign val="superscript"/>
        <sz val="11"/>
        <rFont val="Calibri"/>
        <family val="2"/>
        <scheme val="minor"/>
      </rPr>
      <t>-</t>
    </r>
    <r>
      <rPr>
        <sz val="11"/>
        <rFont val="Calibri"/>
        <family val="2"/>
        <scheme val="minor"/>
      </rPr>
      <t>] - [Ac</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t>
    </r>
    <r>
      <rPr>
        <sz val="11"/>
        <rFont val="Calibri"/>
        <family val="2"/>
        <scheme val="minor"/>
      </rPr>
      <t>- [H</t>
    </r>
    <r>
      <rPr>
        <vertAlign val="superscript"/>
        <sz val="11"/>
        <rFont val="Calibri"/>
        <family val="2"/>
        <scheme val="minor"/>
      </rPr>
      <t>+</t>
    </r>
    <r>
      <rPr>
        <sz val="11"/>
        <rFont val="Calibri"/>
        <family val="2"/>
        <scheme val="minor"/>
      </rPr>
      <t>]</t>
    </r>
  </si>
  <si>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</si>
  <si>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</si>
  <si>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</si>
  <si>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</si>
  <si>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</si>
  <si>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</si>
  <si>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</si>
  <si>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</si>
  <si>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</si>
  <si>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MgOH2</t>
    </r>
  </si>
  <si>
    <t>Molecular mass of Mg(OH)2</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</si>
  <si>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</si>
  <si>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</si>
  <si>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</si>
  <si>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</si>
  <si>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r>
      <t>λ</t>
    </r>
    <r>
      <rPr>
        <vertAlign val="subscript"/>
        <sz val="11"/>
        <rFont val="Calibri"/>
        <family val="2"/>
      </rPr>
      <t>H</t>
    </r>
  </si>
  <si>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</si>
  <si>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</si>
  <si>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</si>
  <si>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</si>
  <si>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</si>
  <si>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</si>
  <si>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</si>
  <si>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</si>
  <si>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</si>
  <si>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</si>
  <si>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</si>
  <si>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</si>
  <si>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r>
      <t>PUR</t>
    </r>
    <r>
      <rPr>
        <vertAlign val="subscript"/>
        <sz val="11"/>
        <rFont val="Calibri"/>
        <family val="2"/>
        <scheme val="minor"/>
      </rPr>
      <t>BIO</t>
    </r>
    <r>
      <rPr>
        <sz val="11"/>
        <rFont val="Calibri"/>
        <family val="2"/>
        <scheme val="minor"/>
      </rPr>
      <t>+PUR</t>
    </r>
    <r>
      <rPr>
        <vertAlign val="subscript"/>
        <sz val="11"/>
        <rFont val="Calibri"/>
        <family val="2"/>
        <scheme val="minor"/>
      </rPr>
      <t>CHEM</t>
    </r>
  </si>
  <si>
    <t>r60</t>
  </si>
  <si>
    <t>r61</t>
  </si>
  <si>
    <t>r62</t>
  </si>
  <si>
    <t>r63</t>
  </si>
  <si>
    <t>r64</t>
  </si>
  <si>
    <t>r65</t>
  </si>
  <si>
    <t>r66</t>
  </si>
  <si>
    <t>r67</t>
  </si>
  <si>
    <t>r68</t>
  </si>
  <si>
    <t>r69</t>
  </si>
  <si>
    <t>r70</t>
  </si>
  <si>
    <r>
      <t>Msat</t>
    </r>
    <r>
      <rPr>
        <vertAlign val="subscript"/>
        <sz val="11"/>
        <rFont val="Calibri"/>
        <family val="2"/>
      </rPr>
      <t>SNO2,KNO2,OHO</t>
    </r>
  </si>
  <si>
    <r>
      <t>Msat(S</t>
    </r>
    <r>
      <rPr>
        <vertAlign val="subscript"/>
        <sz val="11"/>
        <rFont val="Calibri"/>
        <family val="2"/>
      </rPr>
      <t>NO2</t>
    </r>
    <r>
      <rPr>
        <sz val="11"/>
        <rFont val="Calibri"/>
        <family val="2"/>
      </rPr>
      <t>;K</t>
    </r>
    <r>
      <rPr>
        <vertAlign val="subscript"/>
        <sz val="11"/>
        <rFont val="Calibri"/>
        <family val="2"/>
      </rPr>
      <t>NO2,OHO</t>
    </r>
    <r>
      <rPr>
        <sz val="11"/>
        <rFont val="Calibri"/>
        <family val="2"/>
      </rPr>
      <t>)</t>
    </r>
  </si>
  <si>
    <r>
      <t>Msat</t>
    </r>
    <r>
      <rPr>
        <vertAlign val="subscript"/>
        <sz val="11"/>
        <rFont val="Calibri"/>
        <family val="2"/>
      </rPr>
      <t>SNO3,KNO3,OHO</t>
    </r>
  </si>
  <si>
    <r>
      <t>Msat(S</t>
    </r>
    <r>
      <rPr>
        <vertAlign val="subscript"/>
        <sz val="11"/>
        <rFont val="Calibri"/>
        <family val="2"/>
      </rPr>
      <t>NO3</t>
    </r>
    <r>
      <rPr>
        <sz val="11"/>
        <rFont val="Calibri"/>
        <family val="2"/>
      </rPr>
      <t>;K</t>
    </r>
    <r>
      <rPr>
        <vertAlign val="subscript"/>
        <sz val="11"/>
        <rFont val="Calibri"/>
        <family val="2"/>
      </rPr>
      <t>NO3,OHO</t>
    </r>
    <r>
      <rPr>
        <sz val="11"/>
        <rFont val="Calibri"/>
        <family val="2"/>
      </rPr>
      <t>)</t>
    </r>
  </si>
  <si>
    <r>
      <t>q</t>
    </r>
    <r>
      <rPr>
        <vertAlign val="subscript"/>
        <sz val="11"/>
        <rFont val="Calibri"/>
        <family val="2"/>
      </rPr>
      <t>MEOL</t>
    </r>
    <r>
      <rPr>
        <sz val="11"/>
        <rFont val="Calibri"/>
        <family val="2"/>
      </rPr>
      <t>*S</t>
    </r>
    <r>
      <rPr>
        <vertAlign val="subscript"/>
        <sz val="11"/>
        <rFont val="Calibri"/>
        <family val="2"/>
      </rPr>
      <t>MEOL</t>
    </r>
    <r>
      <rPr>
        <sz val="11"/>
        <rFont val="Calibri"/>
        <family val="2"/>
      </rPr>
      <t>*Msat</t>
    </r>
    <r>
      <rPr>
        <vertAlign val="subscript"/>
        <sz val="11"/>
        <rFont val="Calibri"/>
        <family val="2"/>
      </rPr>
      <t>SCO2,KCO2,BIO</t>
    </r>
    <r>
      <rPr>
        <sz val="11"/>
        <rFont val="Calibri"/>
        <family val="2"/>
      </rPr>
      <t>*Minh</t>
    </r>
    <r>
      <rPr>
        <vertAlign val="subscript"/>
        <sz val="11"/>
        <rFont val="Calibri"/>
        <family val="2"/>
      </rPr>
      <t>SO2,KO2,OHO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SNO2,KNO2,OHO</t>
    </r>
  </si>
  <si>
    <r>
      <t>-EEQ</t>
    </r>
    <r>
      <rPr>
        <vertAlign val="subscript"/>
        <sz val="11"/>
        <rFont val="Calibri"/>
        <family val="2"/>
        <scheme val="minor"/>
      </rPr>
      <t>NO2</t>
    </r>
  </si>
  <si>
    <r>
      <t>-1/EEQ</t>
    </r>
    <r>
      <rPr>
        <vertAlign val="subscript"/>
        <sz val="11"/>
        <rFont val="Calibri"/>
        <family val="2"/>
      </rPr>
      <t>N2,NO2</t>
    </r>
  </si>
  <si>
    <r>
      <t>1/EEQ</t>
    </r>
    <r>
      <rPr>
        <vertAlign val="subscript"/>
        <sz val="11"/>
        <rFont val="Calibri"/>
        <family val="2"/>
      </rPr>
      <t>N2,NO2</t>
    </r>
  </si>
  <si>
    <r>
      <t>-1/EEQ</t>
    </r>
    <r>
      <rPr>
        <vertAlign val="subscript"/>
        <sz val="11"/>
        <rFont val="Calibri"/>
        <family val="2"/>
      </rPr>
      <t>NO2,NO3</t>
    </r>
    <r>
      <rPr>
        <sz val="11"/>
        <rFont val="Calibri"/>
        <family val="2"/>
      </rPr>
      <t/>
    </r>
  </si>
  <si>
    <r>
      <t>1/EEQ</t>
    </r>
    <r>
      <rPr>
        <vertAlign val="subscript"/>
        <sz val="11"/>
        <rFont val="Calibri"/>
        <family val="2"/>
      </rPr>
      <t>NO2,NO3</t>
    </r>
    <r>
      <rPr>
        <sz val="11"/>
        <rFont val="Calibri"/>
        <family val="2"/>
      </rPr>
      <t/>
    </r>
  </si>
  <si>
    <t>r71</t>
  </si>
  <si>
    <t>r72</t>
  </si>
  <si>
    <t>Key(995)</t>
  </si>
  <si>
    <t>Key(994)</t>
  </si>
  <si>
    <r>
      <t>g X</t>
    </r>
    <r>
      <rPr>
        <vertAlign val="subscript"/>
        <sz val="11"/>
        <rFont val="Calibri"/>
        <family val="2"/>
        <scheme val="minor"/>
      </rPr>
      <t>PP</t>
    </r>
    <r>
      <rPr>
        <sz val="11"/>
        <rFont val="Calibri"/>
        <family val="2"/>
        <scheme val="minor"/>
      </rPr>
      <t>.g S</t>
    </r>
    <r>
      <rPr>
        <vertAlign val="subscript"/>
        <sz val="11"/>
        <rFont val="Calibri"/>
        <family val="2"/>
        <scheme val="minor"/>
      </rPr>
      <t>VFA</t>
    </r>
    <r>
      <rPr>
        <vertAlign val="superscript"/>
        <sz val="11"/>
        <rFont val="Calibri"/>
        <family val="2"/>
        <scheme val="minor"/>
      </rPr>
      <t>-1</t>
    </r>
  </si>
  <si>
    <r>
      <t>g X</t>
    </r>
    <r>
      <rPr>
        <vertAlign val="subscript"/>
        <sz val="11"/>
        <rFont val="Calibri"/>
        <family val="2"/>
        <scheme val="minor"/>
      </rPr>
      <t>TSS</t>
    </r>
    <r>
      <rPr>
        <sz val="11"/>
        <rFont val="Calibri"/>
        <family val="2"/>
        <scheme val="minor"/>
      </rPr>
      <t>.g X</t>
    </r>
    <r>
      <rPr>
        <vertAlign val="subscript"/>
        <sz val="11"/>
        <rFont val="Calibri"/>
        <family val="2"/>
        <scheme val="minor"/>
      </rPr>
      <t>PP</t>
    </r>
    <r>
      <rPr>
        <vertAlign val="superscript"/>
        <sz val="11"/>
        <rFont val="Calibri"/>
        <family val="2"/>
        <scheme val="minor"/>
      </rPr>
      <t>-1</t>
    </r>
  </si>
  <si>
    <r>
      <t>T</t>
    </r>
    <r>
      <rPr>
        <vertAlign val="subscript"/>
        <sz val="11"/>
        <rFont val="Calibri"/>
        <family val="2"/>
        <scheme val="minor"/>
      </rPr>
      <t>COD,Th</t>
    </r>
  </si>
  <si>
    <t>Theoretical total chemical oxygen demand</t>
  </si>
  <si>
    <t>Calculated only for influent</t>
  </si>
  <si>
    <r>
      <t>S</t>
    </r>
    <r>
      <rPr>
        <vertAlign val="subscript"/>
        <sz val="11"/>
        <rFont val="Calibri"/>
        <family val="2"/>
        <scheme val="minor"/>
      </rPr>
      <t>AN</t>
    </r>
  </si>
  <si>
    <r>
      <t>S</t>
    </r>
    <r>
      <rPr>
        <i/>
        <vertAlign val="subscript"/>
        <sz val="11"/>
        <rFont val="Calibri"/>
        <family val="2"/>
        <scheme val="minor"/>
      </rPr>
      <t>CAT,ini</t>
    </r>
  </si>
  <si>
    <t>Strong cations</t>
  </si>
  <si>
    <r>
      <t>S</t>
    </r>
    <r>
      <rPr>
        <i/>
        <vertAlign val="subscript"/>
        <sz val="11"/>
        <rFont val="Calibri"/>
        <family val="2"/>
        <scheme val="minor"/>
      </rPr>
      <t>AN,ini</t>
    </r>
  </si>
  <si>
    <t>Strong anions</t>
  </si>
  <si>
    <t>Inorganics in influent and biomass</t>
  </si>
  <si>
    <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</si>
  <si>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(S</t>
    </r>
    <r>
      <rPr>
        <vertAlign val="subscript"/>
        <sz val="11"/>
        <rFont val="Calibri"/>
        <family val="2"/>
      </rPr>
      <t>NO2</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NO2</t>
    </r>
    <r>
      <rPr>
        <sz val="11"/>
        <rFont val="Calibri"/>
        <family val="2"/>
      </rPr>
      <t>)</t>
    </r>
  </si>
  <si>
    <r>
      <t>(K</t>
    </r>
    <r>
      <rPr>
        <vertAlign val="subscript"/>
        <sz val="11"/>
        <rFont val="Calibri"/>
        <family val="2"/>
      </rPr>
      <t>NO2</t>
    </r>
    <r>
      <rPr>
        <sz val="11"/>
        <rFont val="Calibri"/>
        <family val="2"/>
      </rPr>
      <t>*S</t>
    </r>
    <r>
      <rPr>
        <vertAlign val="subscript"/>
        <sz val="11"/>
        <rFont val="Calibri"/>
        <family val="2"/>
      </rPr>
      <t>NO2</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]+K</t>
    </r>
    <r>
      <rPr>
        <vertAlign val="subscript"/>
        <sz val="11"/>
        <rFont val="Calibri"/>
        <family val="2"/>
      </rPr>
      <t>NO2</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</si>
  <si>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</si>
  <si>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</si>
  <si>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[H</t>
    </r>
    <r>
      <rPr>
        <vertAlign val="superscript"/>
        <sz val="11"/>
        <rFont val="Calibri"/>
        <family val="2"/>
      </rPr>
      <t>+</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</si>
  <si>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K</t>
    </r>
    <r>
      <rPr>
        <vertAlign val="subscript"/>
        <sz val="11"/>
        <rFont val="Calibri"/>
        <family val="2"/>
      </rPr>
      <t>C2</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</si>
  <si>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diss</t>
    </r>
    <r>
      <rPr>
        <vertAlign val="subscript"/>
        <sz val="11"/>
        <rFont val="Calibri"/>
        <family val="2"/>
      </rPr>
      <t>NH3</t>
    </r>
  </si>
  <si>
    <r>
      <t>-AM</t>
    </r>
    <r>
      <rPr>
        <vertAlign val="subscript"/>
        <sz val="11"/>
        <rFont val="Calibri"/>
        <family val="2"/>
      </rPr>
      <t>C</t>
    </r>
    <r>
      <rPr>
        <sz val="11"/>
        <rFont val="Calibri"/>
        <family val="2"/>
      </rPr>
      <t>/MM</t>
    </r>
    <r>
      <rPr>
        <vertAlign val="subscript"/>
        <sz val="11"/>
        <rFont val="Calibri"/>
        <family val="2"/>
      </rPr>
      <t>CaCO3</t>
    </r>
  </si>
  <si>
    <r>
      <t>AM</t>
    </r>
    <r>
      <rPr>
        <vertAlign val="subscript"/>
        <sz val="11"/>
        <rFont val="Calibri"/>
        <family val="2"/>
        <scheme val="minor"/>
      </rPr>
      <t>C</t>
    </r>
    <r>
      <rPr>
        <sz val="11"/>
        <rFont val="Calibri"/>
        <family val="2"/>
        <scheme val="minor"/>
      </rPr>
      <t>/MM</t>
    </r>
    <r>
      <rPr>
        <vertAlign val="subscript"/>
        <sz val="11"/>
        <rFont val="Calibri"/>
        <family val="2"/>
        <scheme val="minor"/>
      </rPr>
      <t>CaCO3</t>
    </r>
  </si>
  <si>
    <r>
      <t>i</t>
    </r>
    <r>
      <rPr>
        <vertAlign val="subscript"/>
        <sz val="11"/>
        <rFont val="Calibri"/>
        <family val="2"/>
      </rPr>
      <t>INORG</t>
    </r>
    <r>
      <rPr>
        <sz val="11"/>
        <color indexed="8"/>
        <rFont val="Calibri"/>
        <family val="2"/>
      </rPr>
      <t/>
    </r>
  </si>
  <si>
    <r>
      <t>-i</t>
    </r>
    <r>
      <rPr>
        <vertAlign val="subscript"/>
        <sz val="11"/>
        <rFont val="Calibri"/>
        <family val="2"/>
      </rPr>
      <t>INORG</t>
    </r>
    <r>
      <rPr>
        <sz val="11"/>
        <color indexed="8"/>
        <rFont val="Calibri"/>
        <family val="2"/>
      </rPr>
      <t/>
    </r>
  </si>
  <si>
    <r>
      <t>i</t>
    </r>
    <r>
      <rPr>
        <vertAlign val="subscript"/>
        <sz val="11"/>
        <rFont val="Calibri"/>
        <family val="2"/>
        <scheme val="minor"/>
      </rPr>
      <t>INORG</t>
    </r>
  </si>
  <si>
    <t>Fermentation growth rate of OHOs</t>
  </si>
  <si>
    <t>Decay rate of OHOs</t>
  </si>
  <si>
    <t>Half-saturation of readily biodegradable substrate for OHOs (AS)</t>
  </si>
  <si>
    <r>
      <t>Half-saturation of O</t>
    </r>
    <r>
      <rPr>
        <vertAlign val="subscript"/>
        <sz val="11"/>
        <color rgb="FF000000"/>
        <rFont val="Calibri"/>
        <family val="2"/>
        <scheme val="minor"/>
      </rPr>
      <t>2</t>
    </r>
    <r>
      <rPr>
        <sz val="11"/>
        <color rgb="FF000000"/>
        <rFont val="Calibri"/>
        <family val="2"/>
        <charset val="238"/>
        <scheme val="minor"/>
      </rPr>
      <t xml:space="preserve"> for OHOs (AS)</t>
    </r>
  </si>
  <si>
    <t>Half-saturation of VFA for OHOs (AS)</t>
  </si>
  <si>
    <t>Half-saturation of methanol for OHOs (AS)</t>
  </si>
  <si>
    <r>
      <t>Half-saturation of NO</t>
    </r>
    <r>
      <rPr>
        <vertAlign val="subscript"/>
        <sz val="11"/>
        <color rgb="FF000000"/>
        <rFont val="Calibri"/>
        <family val="2"/>
        <scheme val="minor"/>
      </rPr>
      <t>3</t>
    </r>
    <r>
      <rPr>
        <sz val="11"/>
        <color rgb="FF000000"/>
        <rFont val="Calibri"/>
        <family val="2"/>
        <charset val="238"/>
        <scheme val="minor"/>
      </rPr>
      <t xml:space="preserve"> for OHOs (AS)</t>
    </r>
  </si>
  <si>
    <r>
      <t>Half-saturation of NO</t>
    </r>
    <r>
      <rPr>
        <vertAlign val="subscript"/>
        <sz val="11"/>
        <color rgb="FF000000"/>
        <rFont val="Calibri"/>
        <family val="2"/>
        <scheme val="minor"/>
      </rPr>
      <t>2</t>
    </r>
    <r>
      <rPr>
        <sz val="11"/>
        <color rgb="FF000000"/>
        <rFont val="Calibri"/>
        <family val="2"/>
        <charset val="238"/>
        <scheme val="minor"/>
      </rPr>
      <t xml:space="preserve"> for OHOs (AS)</t>
    </r>
  </si>
  <si>
    <t>Half-saturation of readily biodegradable substrate in fermentation by OHOs (AS)</t>
  </si>
  <si>
    <t>Maximum specific growth rate of MEOLOs</t>
  </si>
  <si>
    <t>Decay rate of MEOLOs</t>
  </si>
  <si>
    <t xml:space="preserve">Rate of methanol degradation by MEOLOs under anaerobic conditions </t>
  </si>
  <si>
    <t>Half-saturation of methanol for MEOLOs (AS)</t>
  </si>
  <si>
    <r>
      <t>Half-saturation of NO</t>
    </r>
    <r>
      <rPr>
        <vertAlign val="subscript"/>
        <sz val="11"/>
        <color rgb="FF000000"/>
        <rFont val="Calibri"/>
        <family val="2"/>
        <scheme val="minor"/>
      </rPr>
      <t>3</t>
    </r>
    <r>
      <rPr>
        <sz val="11"/>
        <color rgb="FF000000"/>
        <rFont val="Calibri"/>
        <family val="2"/>
        <charset val="238"/>
        <scheme val="minor"/>
      </rPr>
      <t xml:space="preserve"> for MEOLOs (AS)</t>
    </r>
  </si>
  <si>
    <r>
      <t>Half-saturation of NO</t>
    </r>
    <r>
      <rPr>
        <vertAlign val="subscript"/>
        <sz val="11"/>
        <color rgb="FF000000"/>
        <rFont val="Calibri"/>
        <family val="2"/>
        <scheme val="minor"/>
      </rPr>
      <t>2</t>
    </r>
    <r>
      <rPr>
        <sz val="11"/>
        <color rgb="FF000000"/>
        <rFont val="Calibri"/>
        <family val="2"/>
        <charset val="238"/>
        <scheme val="minor"/>
      </rPr>
      <t xml:space="preserve"> for MEOLOs (AS)</t>
    </r>
  </si>
  <si>
    <t>Fermentation growth rate of PAOs</t>
  </si>
  <si>
    <t>Maximum specific growth rate of PAOs under P limited</t>
  </si>
  <si>
    <t>Rate of PAOs maintenance under anaerobic conditions (PP cleavage)</t>
  </si>
  <si>
    <t>Rate of VFA storage into PHA for PAOs</t>
  </si>
  <si>
    <t>Reduction factor for aerobic maintenance of PAOs on PP</t>
  </si>
  <si>
    <t>Reduction factor for anoxic maintenance of PAOs on PP</t>
  </si>
  <si>
    <r>
      <t>Half-saturation of PO</t>
    </r>
    <r>
      <rPr>
        <vertAlign val="subscript"/>
        <sz val="11"/>
        <color rgb="FF000000"/>
        <rFont val="Calibri"/>
        <family val="2"/>
        <scheme val="minor"/>
      </rPr>
      <t>4</t>
    </r>
    <r>
      <rPr>
        <sz val="11"/>
        <color rgb="FF000000"/>
        <rFont val="Calibri"/>
        <family val="2"/>
        <charset val="238"/>
        <scheme val="minor"/>
      </rPr>
      <t xml:space="preserve"> for PAOs (AS)</t>
    </r>
  </si>
  <si>
    <t>Half-saturation of PHA for PAOs</t>
  </si>
  <si>
    <r>
      <t>µ</t>
    </r>
    <r>
      <rPr>
        <vertAlign val="subscript"/>
        <sz val="11"/>
        <rFont val="Calibri"/>
        <family val="2"/>
        <scheme val="minor"/>
      </rPr>
      <t>FERM,PAO</t>
    </r>
  </si>
  <si>
    <r>
      <t>Ki</t>
    </r>
    <r>
      <rPr>
        <vertAlign val="subscript"/>
        <sz val="11"/>
        <rFont val="Calibri"/>
        <family val="2"/>
        <scheme val="minor"/>
      </rPr>
      <t>PO4,lim,AS</t>
    </r>
  </si>
  <si>
    <r>
      <t>Logsat</t>
    </r>
    <r>
      <rPr>
        <vertAlign val="subscript"/>
        <sz val="11"/>
        <rFont val="Calibri"/>
        <family val="2"/>
        <scheme val="minor"/>
      </rPr>
      <t>ORP,PAO,Half</t>
    </r>
  </si>
  <si>
    <t>Logistic half-saturation of ORP switching in fermentation of PAO</t>
  </si>
  <si>
    <r>
      <t>Logsat</t>
    </r>
    <r>
      <rPr>
        <vertAlign val="subscript"/>
        <sz val="11"/>
        <rFont val="Calibri"/>
        <family val="2"/>
        <scheme val="minor"/>
      </rPr>
      <t>ORP,PAO,Slope</t>
    </r>
  </si>
  <si>
    <t>Logistic slope of ORP switching in fermentation of PAO</t>
  </si>
  <si>
    <t>Half-inhibition of maximum PP content of PAOs</t>
  </si>
  <si>
    <t>Half-inhibition of maximum PHA content of PAOs</t>
  </si>
  <si>
    <t>Half-saturation of Mg (counter-ion in PP storage) for PAOs (AS)</t>
  </si>
  <si>
    <t>Half-saturation of K (counter-ion in PP storage) for PAOs (AS)</t>
  </si>
  <si>
    <t>Half-saturation of Ca (counter-ion in PP storage) for PAOs (AS)</t>
  </si>
  <si>
    <t>Half-saturation of PP (nutrient) for PAOs under PO4 limitation (AS)</t>
  </si>
  <si>
    <r>
      <t>Half-inhibition of PO</t>
    </r>
    <r>
      <rPr>
        <vertAlign val="subscript"/>
        <sz val="11"/>
        <color rgb="FF000000"/>
        <rFont val="Calibri"/>
        <family val="2"/>
        <scheme val="minor"/>
      </rPr>
      <t>4</t>
    </r>
    <r>
      <rPr>
        <sz val="11"/>
        <color rgb="FF000000"/>
        <rFont val="Calibri"/>
        <family val="2"/>
        <charset val="238"/>
        <scheme val="minor"/>
      </rPr>
      <t xml:space="preserve"> for PAOs under PO4 limitation (AS)</t>
    </r>
  </si>
  <si>
    <t>Rate of VFA storage into glycogen for GAOs</t>
  </si>
  <si>
    <t>Reduction factor for anaerobic maintenance of GAOs on glycogen</t>
  </si>
  <si>
    <t>Half-saturation of glycogen for GAOs (AS)</t>
  </si>
  <si>
    <t>Half-inhibition of maximum glycogen content of GAOs (AS)</t>
  </si>
  <si>
    <t>Logistic slope of ORP switching of GAOs</t>
  </si>
  <si>
    <t>Decay rate of AOBs</t>
  </si>
  <si>
    <r>
      <t>Half-saturation of NH</t>
    </r>
    <r>
      <rPr>
        <vertAlign val="subscript"/>
        <sz val="11"/>
        <color rgb="FF000000"/>
        <rFont val="Calibri"/>
        <family val="2"/>
        <scheme val="minor"/>
      </rPr>
      <t>x</t>
    </r>
    <r>
      <rPr>
        <sz val="11"/>
        <color rgb="FF000000"/>
        <rFont val="Calibri"/>
        <family val="2"/>
        <charset val="238"/>
        <scheme val="minor"/>
      </rPr>
      <t xml:space="preserve"> for AOBs (AS)</t>
    </r>
  </si>
  <si>
    <r>
      <t>Half-saturation of CO</t>
    </r>
    <r>
      <rPr>
        <vertAlign val="subscript"/>
        <sz val="11"/>
        <color rgb="FF000000"/>
        <rFont val="Calibri"/>
        <family val="2"/>
        <scheme val="minor"/>
      </rPr>
      <t>2</t>
    </r>
    <r>
      <rPr>
        <sz val="11"/>
        <color rgb="FF000000"/>
        <rFont val="Calibri"/>
        <family val="2"/>
        <charset val="238"/>
        <scheme val="minor"/>
      </rPr>
      <t xml:space="preserve"> for AOBs (Sidestream)</t>
    </r>
  </si>
  <si>
    <r>
      <t>Half-saturation of CO</t>
    </r>
    <r>
      <rPr>
        <vertAlign val="subscript"/>
        <sz val="11"/>
        <color rgb="FF000000"/>
        <rFont val="Calibri"/>
        <family val="2"/>
        <scheme val="minor"/>
      </rPr>
      <t>2</t>
    </r>
    <r>
      <rPr>
        <sz val="11"/>
        <color rgb="FF000000"/>
        <rFont val="Calibri"/>
        <family val="2"/>
        <charset val="238"/>
        <scheme val="minor"/>
      </rPr>
      <t xml:space="preserve"> for AOBs (AS)</t>
    </r>
  </si>
  <si>
    <t>Half-saturation of bicarbonate for AOBs (Sidestream)</t>
  </si>
  <si>
    <t>Half-saturation of bicarbonate for AOBs (AS)</t>
  </si>
  <si>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AOBs (AS)</t>
    </r>
  </si>
  <si>
    <r>
      <t>Ki</t>
    </r>
    <r>
      <rPr>
        <vertAlign val="subscript"/>
        <sz val="11"/>
        <color indexed="8"/>
        <rFont val="Calibri"/>
        <family val="2"/>
        <scheme val="minor"/>
      </rPr>
      <t>NH3,NOB,pH,AS</t>
    </r>
  </si>
  <si>
    <t>Decay rate of NOBs</t>
  </si>
  <si>
    <r>
      <t>Half-saturation of NO</t>
    </r>
    <r>
      <rPr>
        <vertAlign val="subscript"/>
        <sz val="11"/>
        <color rgb="FF000000"/>
        <rFont val="Calibri"/>
        <family val="2"/>
        <scheme val="minor"/>
      </rPr>
      <t>2</t>
    </r>
    <r>
      <rPr>
        <sz val="11"/>
        <color rgb="FF000000"/>
        <rFont val="Calibri"/>
        <family val="2"/>
        <charset val="238"/>
        <scheme val="minor"/>
      </rPr>
      <t xml:space="preserve"> for NOBs (AS)</t>
    </r>
  </si>
  <si>
    <r>
      <t>Half-saturation of CO</t>
    </r>
    <r>
      <rPr>
        <vertAlign val="subscript"/>
        <sz val="11"/>
        <color rgb="FF000000"/>
        <rFont val="Calibri"/>
        <family val="2"/>
        <scheme val="minor"/>
      </rPr>
      <t>2</t>
    </r>
    <r>
      <rPr>
        <sz val="11"/>
        <color rgb="FF000000"/>
        <rFont val="Calibri"/>
        <family val="2"/>
        <charset val="238"/>
        <scheme val="minor"/>
      </rPr>
      <t xml:space="preserve"> for NOBs (AS)</t>
    </r>
  </si>
  <si>
    <t>Half-saturation of bicarbonate for NOBs (AS)</t>
  </si>
  <si>
    <r>
      <t>Half-saturation of O</t>
    </r>
    <r>
      <rPr>
        <vertAlign val="subscript"/>
        <sz val="11"/>
        <color rgb="FF000000"/>
        <rFont val="Calibri"/>
        <family val="2"/>
        <scheme val="minor"/>
      </rPr>
      <t>2</t>
    </r>
    <r>
      <rPr>
        <sz val="11"/>
        <color rgb="FF000000"/>
        <rFont val="Calibri"/>
        <family val="2"/>
        <charset val="238"/>
        <scheme val="minor"/>
      </rPr>
      <t xml:space="preserve"> for NOBs (Sidestream)</t>
    </r>
  </si>
  <si>
    <r>
      <t>Half-saturation of O</t>
    </r>
    <r>
      <rPr>
        <vertAlign val="subscript"/>
        <sz val="11"/>
        <color rgb="FF000000"/>
        <rFont val="Calibri"/>
        <family val="2"/>
        <scheme val="minor"/>
      </rPr>
      <t>2</t>
    </r>
    <r>
      <rPr>
        <sz val="11"/>
        <color rgb="FF000000"/>
        <rFont val="Calibri"/>
        <family val="2"/>
        <charset val="238"/>
        <scheme val="minor"/>
      </rPr>
      <t xml:space="preserve"> for NOBs (AS)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</si>
  <si>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NOBs (AS)</t>
    </r>
  </si>
  <si>
    <r>
      <t>Half-inhibition of NH</t>
    </r>
    <r>
      <rPr>
        <vertAlign val="subscript"/>
        <sz val="11"/>
        <color rgb="FF000000"/>
        <rFont val="Calibri"/>
        <family val="2"/>
        <scheme val="minor"/>
      </rPr>
      <t>3</t>
    </r>
    <r>
      <rPr>
        <sz val="11"/>
        <color rgb="FF000000"/>
        <rFont val="Calibri"/>
        <family val="2"/>
        <charset val="238"/>
        <scheme val="minor"/>
      </rPr>
      <t xml:space="preserve"> for NOBs (AS)</t>
    </r>
  </si>
  <si>
    <r>
      <t>Ki</t>
    </r>
    <r>
      <rPr>
        <vertAlign val="subscript"/>
        <sz val="11"/>
        <color indexed="8"/>
        <rFont val="Calibri"/>
        <family val="2"/>
        <scheme val="minor"/>
      </rPr>
      <t>HNO2,AMX,pH,AS</t>
    </r>
  </si>
  <si>
    <t>Maximum specific growth rate of AMX</t>
  </si>
  <si>
    <t>Decay rate of AMXs</t>
  </si>
  <si>
    <r>
      <t>Half-saturation of NH</t>
    </r>
    <r>
      <rPr>
        <vertAlign val="subscript"/>
        <sz val="11"/>
        <color rgb="FF000000"/>
        <rFont val="Calibri"/>
        <family val="2"/>
        <scheme val="minor"/>
      </rPr>
      <t>x</t>
    </r>
    <r>
      <rPr>
        <sz val="11"/>
        <color rgb="FF000000"/>
        <rFont val="Calibri"/>
        <family val="2"/>
        <charset val="238"/>
        <scheme val="minor"/>
      </rPr>
      <t xml:space="preserve"> for AMX</t>
    </r>
  </si>
  <si>
    <r>
      <t>Half-saturation of N</t>
    </r>
    <r>
      <rPr>
        <vertAlign val="subscript"/>
        <sz val="11"/>
        <color rgb="FF000000"/>
        <rFont val="Calibri"/>
        <family val="2"/>
        <scheme val="minor"/>
      </rPr>
      <t>O2</t>
    </r>
    <r>
      <rPr>
        <sz val="11"/>
        <color rgb="FF000000"/>
        <rFont val="Calibri"/>
        <family val="2"/>
        <charset val="238"/>
        <scheme val="minor"/>
      </rPr>
      <t xml:space="preserve"> for AMX</t>
    </r>
  </si>
  <si>
    <r>
      <t>Half-saturation of CO</t>
    </r>
    <r>
      <rPr>
        <vertAlign val="subscript"/>
        <sz val="11"/>
        <color rgb="FF000000"/>
        <rFont val="Calibri"/>
        <family val="2"/>
        <scheme val="minor"/>
      </rPr>
      <t>2</t>
    </r>
    <r>
      <rPr>
        <sz val="11"/>
        <color rgb="FF000000"/>
        <rFont val="Calibri"/>
        <family val="2"/>
        <charset val="238"/>
        <scheme val="minor"/>
      </rPr>
      <t xml:space="preserve"> for AMX</t>
    </r>
  </si>
  <si>
    <t>Half-saturation of bicarbonate for AMX</t>
  </si>
  <si>
    <r>
      <t>Half-saturation of NO</t>
    </r>
    <r>
      <rPr>
        <vertAlign val="subscript"/>
        <sz val="11"/>
        <color rgb="FF000000"/>
        <rFont val="Calibri"/>
        <family val="2"/>
        <scheme val="minor"/>
      </rPr>
      <t>x</t>
    </r>
    <r>
      <rPr>
        <sz val="11"/>
        <color rgb="FF000000"/>
        <rFont val="Calibri"/>
        <family val="2"/>
        <charset val="238"/>
        <scheme val="minor"/>
      </rPr>
      <t xml:space="preserve"> for AMX</t>
    </r>
  </si>
  <si>
    <t>Half-inhibition of nitrous acid for AMX</t>
  </si>
  <si>
    <r>
      <t>Ki</t>
    </r>
    <r>
      <rPr>
        <vertAlign val="subscript"/>
        <sz val="11"/>
        <rFont val="Calibri"/>
        <family val="2"/>
        <scheme val="minor"/>
      </rPr>
      <t>VFA,AMETO,AS</t>
    </r>
  </si>
  <si>
    <t>Decay rate of AMETOs</t>
  </si>
  <si>
    <t>Half-saturation of VFA for AMETOs (AS)</t>
  </si>
  <si>
    <t>Haldane inhibition of VFA for AMETOs (AS)</t>
  </si>
  <si>
    <r>
      <t>Half-saturation of NO</t>
    </r>
    <r>
      <rPr>
        <vertAlign val="subscript"/>
        <sz val="11"/>
        <color rgb="FF000000"/>
        <rFont val="Calibri"/>
        <family val="2"/>
        <scheme val="minor"/>
      </rPr>
      <t>x</t>
    </r>
    <r>
      <rPr>
        <sz val="11"/>
        <color rgb="FF000000"/>
        <rFont val="Calibri"/>
        <family val="2"/>
        <charset val="238"/>
        <scheme val="minor"/>
      </rPr>
      <t xml:space="preserve"> for AMETOs (AS)</t>
    </r>
  </si>
  <si>
    <t>pH inhibition low value for AMETOs</t>
  </si>
  <si>
    <t>pH inhibition high value for AMETOs</t>
  </si>
  <si>
    <t>Decay rate of HMETOs</t>
  </si>
  <si>
    <r>
      <t>Half-saturation of H</t>
    </r>
    <r>
      <rPr>
        <vertAlign val="subscript"/>
        <sz val="11"/>
        <color rgb="FF000000"/>
        <rFont val="Calibri"/>
        <family val="2"/>
        <scheme val="minor"/>
      </rPr>
      <t>2</t>
    </r>
    <r>
      <rPr>
        <sz val="11"/>
        <color rgb="FF000000"/>
        <rFont val="Calibri"/>
        <family val="2"/>
        <charset val="238"/>
        <scheme val="minor"/>
      </rPr>
      <t xml:space="preserve"> for HMETOs (AS)</t>
    </r>
  </si>
  <si>
    <r>
      <t>Half-saturation of NO</t>
    </r>
    <r>
      <rPr>
        <vertAlign val="subscript"/>
        <sz val="11"/>
        <color rgb="FF000000"/>
        <rFont val="Calibri"/>
        <family val="2"/>
        <scheme val="minor"/>
      </rPr>
      <t>x</t>
    </r>
    <r>
      <rPr>
        <sz val="11"/>
        <color rgb="FF000000"/>
        <rFont val="Calibri"/>
        <family val="2"/>
        <charset val="238"/>
        <scheme val="minor"/>
      </rPr>
      <t xml:space="preserve"> for HMETOs (AS)</t>
    </r>
  </si>
  <si>
    <t>pH inhibition low value for HMETOs</t>
  </si>
  <si>
    <t>pH inhibition high value for HMETOs</t>
  </si>
  <si>
    <r>
      <t>Rate of CaCO</t>
    </r>
    <r>
      <rPr>
        <vertAlign val="subscript"/>
        <sz val="11"/>
        <color rgb="FF000000"/>
        <rFont val="Calibri"/>
        <family val="2"/>
        <scheme val="minor"/>
      </rPr>
      <t>3</t>
    </r>
    <r>
      <rPr>
        <sz val="11"/>
        <color rgb="FF000000"/>
        <rFont val="Calibri"/>
        <family val="2"/>
        <charset val="238"/>
        <scheme val="minor"/>
      </rPr>
      <t xml:space="preserve"> precipitation</t>
    </r>
  </si>
  <si>
    <r>
      <t>Rate of CaCO</t>
    </r>
    <r>
      <rPr>
        <vertAlign val="subscript"/>
        <sz val="11"/>
        <color rgb="FF000000"/>
        <rFont val="Calibri"/>
        <family val="2"/>
        <scheme val="minor"/>
      </rPr>
      <t>3</t>
    </r>
    <r>
      <rPr>
        <sz val="11"/>
        <color rgb="FF000000"/>
        <rFont val="Calibri"/>
        <family val="2"/>
        <charset val="238"/>
        <scheme val="minor"/>
      </rPr>
      <t xml:space="preserve"> dissolution</t>
    </r>
  </si>
  <si>
    <t>Rate of struvite precipitation</t>
  </si>
  <si>
    <t>Rate of struvite dissolution</t>
  </si>
  <si>
    <t>Rate of ACP precipitation</t>
  </si>
  <si>
    <t>Rate of ACP dissolution</t>
  </si>
  <si>
    <t>Rate of vivianite precipitation</t>
  </si>
  <si>
    <t>Rate of vivianite dissolution</t>
  </si>
  <si>
    <t>Half-saturation of struvite redissolution</t>
  </si>
  <si>
    <t>Half-saturation of ACP redissolution</t>
  </si>
  <si>
    <r>
      <t>Half-saturation of CaCO</t>
    </r>
    <r>
      <rPr>
        <vertAlign val="subscript"/>
        <sz val="11"/>
        <color rgb="FF000000"/>
        <rFont val="Calibri"/>
        <family val="2"/>
        <scheme val="minor"/>
      </rPr>
      <t>3</t>
    </r>
    <r>
      <rPr>
        <sz val="11"/>
        <color rgb="FF000000"/>
        <rFont val="Calibri"/>
        <family val="2"/>
        <charset val="238"/>
        <scheme val="minor"/>
      </rPr>
      <t xml:space="preserve"> redissolution</t>
    </r>
  </si>
  <si>
    <t>Half-saturation of vivianite redissolution</t>
  </si>
  <si>
    <r>
      <t>q</t>
    </r>
    <r>
      <rPr>
        <vertAlign val="subscript"/>
        <sz val="11"/>
        <color indexed="8"/>
        <rFont val="Calibri"/>
        <family val="2"/>
        <scheme val="minor"/>
      </rPr>
      <t>Fe2,OX</t>
    </r>
  </si>
  <si>
    <r>
      <t>Rate of X</t>
    </r>
    <r>
      <rPr>
        <vertAlign val="subscript"/>
        <sz val="11"/>
        <color rgb="FF000000"/>
        <rFont val="Calibri"/>
        <family val="2"/>
        <scheme val="minor"/>
      </rPr>
      <t>HFO,H</t>
    </r>
    <r>
      <rPr>
        <sz val="11"/>
        <color rgb="FF000000"/>
        <rFont val="Calibri"/>
        <family val="2"/>
        <charset val="238"/>
        <scheme val="minor"/>
      </rPr>
      <t xml:space="preserve"> aging</t>
    </r>
  </si>
  <si>
    <r>
      <t>Rate of X</t>
    </r>
    <r>
      <rPr>
        <vertAlign val="subscript"/>
        <sz val="11"/>
        <color rgb="FF000000"/>
        <rFont val="Calibri"/>
        <family val="2"/>
        <scheme val="minor"/>
      </rPr>
      <t>HFO,L</t>
    </r>
    <r>
      <rPr>
        <sz val="11"/>
        <color rgb="FF000000"/>
        <rFont val="Calibri"/>
        <family val="2"/>
        <charset val="238"/>
        <scheme val="minor"/>
      </rPr>
      <t xml:space="preserve"> aging</t>
    </r>
  </si>
  <si>
    <t>Rate of P binding and coprecipitation on XHFO,H</t>
  </si>
  <si>
    <t>Rate of P binding on XHFO,L</t>
  </si>
  <si>
    <t>Rate of HFO reduction with organics</t>
  </si>
  <si>
    <r>
      <t>Rate of Fe</t>
    </r>
    <r>
      <rPr>
        <vertAlign val="subscript"/>
        <sz val="11"/>
        <color rgb="FF000000"/>
        <rFont val="Calibri"/>
        <family val="2"/>
        <scheme val="minor"/>
      </rPr>
      <t>2</t>
    </r>
    <r>
      <rPr>
        <sz val="11"/>
        <color rgb="FF000000"/>
        <rFont val="Calibri"/>
        <family val="2"/>
        <charset val="238"/>
        <scheme val="minor"/>
      </rPr>
      <t xml:space="preserve"> oxidation</t>
    </r>
  </si>
  <si>
    <r>
      <t>Half-inhibition of PO</t>
    </r>
    <r>
      <rPr>
        <vertAlign val="subscript"/>
        <sz val="11"/>
        <color rgb="FF000000"/>
        <rFont val="Calibri"/>
        <family val="2"/>
        <scheme val="minor"/>
      </rPr>
      <t>4</t>
    </r>
    <r>
      <rPr>
        <sz val="11"/>
        <color rgb="FF000000"/>
        <rFont val="Calibri"/>
        <family val="2"/>
        <charset val="238"/>
        <scheme val="minor"/>
      </rPr>
      <t xml:space="preserve"> in HFO redissolution</t>
    </r>
  </si>
  <si>
    <r>
      <t>Half-saturation of PO</t>
    </r>
    <r>
      <rPr>
        <vertAlign val="subscript"/>
        <sz val="11"/>
        <color rgb="FF000000"/>
        <rFont val="Calibri"/>
        <family val="2"/>
        <scheme val="minor"/>
      </rPr>
      <t>4</t>
    </r>
    <r>
      <rPr>
        <sz val="11"/>
        <color rgb="FF000000"/>
        <rFont val="Calibri"/>
        <family val="2"/>
        <charset val="238"/>
        <scheme val="minor"/>
      </rPr>
      <t xml:space="preserve"> in binding on HFO</t>
    </r>
  </si>
  <si>
    <r>
      <t>Half-saturation of NH</t>
    </r>
    <r>
      <rPr>
        <vertAlign val="subscript"/>
        <sz val="11"/>
        <color rgb="FF000000"/>
        <rFont val="Calibri"/>
        <family val="2"/>
        <scheme val="minor"/>
      </rPr>
      <t>x</t>
    </r>
    <r>
      <rPr>
        <sz val="11"/>
        <color rgb="FF000000"/>
        <rFont val="Calibri"/>
        <family val="2"/>
        <charset val="238"/>
        <scheme val="minor"/>
      </rPr>
      <t xml:space="preserve"> as nutrient for biomasses (AS)</t>
    </r>
  </si>
  <si>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 (AS)</t>
    </r>
  </si>
  <si>
    <r>
      <t>Half-saturation of CO</t>
    </r>
    <r>
      <rPr>
        <vertAlign val="subscript"/>
        <sz val="11"/>
        <color rgb="FF000000"/>
        <rFont val="Calibri"/>
        <family val="2"/>
        <scheme val="minor"/>
      </rPr>
      <t>2</t>
    </r>
    <r>
      <rPr>
        <sz val="11"/>
        <color rgb="FF000000"/>
        <rFont val="Calibri"/>
        <family val="2"/>
        <charset val="238"/>
        <scheme val="minor"/>
      </rPr>
      <t xml:space="preserve"> for biomasses (except NITOs)</t>
    </r>
  </si>
  <si>
    <t>Half-saturation of strong cations (as Na+)</t>
  </si>
  <si>
    <t>Half-saturation of strong anions (as Cl-)</t>
  </si>
  <si>
    <t>Reduction factor for anoxic decay</t>
  </si>
  <si>
    <t>Reduction factor for anaerobic decay</t>
  </si>
  <si>
    <t>Reduction factor for anoxic hydrolysis</t>
  </si>
  <si>
    <t>Reduction factor for anaerobic hydrolysis</t>
  </si>
  <si>
    <t>Toxicity factor of anaerobes under anoxic conditions</t>
  </si>
  <si>
    <t>Toxicity factor of anaerobes under aerobic conditions</t>
  </si>
  <si>
    <t>Toxicity factor of aerobes under anaerobic conditions (maximum)</t>
  </si>
  <si>
    <t>pH inhibition low value</t>
  </si>
  <si>
    <t>pH inhibition high value</t>
  </si>
  <si>
    <r>
      <t>Ki</t>
    </r>
    <r>
      <rPr>
        <vertAlign val="subscript"/>
        <sz val="11"/>
        <color indexed="8"/>
        <rFont val="Calibri"/>
        <family val="2"/>
        <scheme val="minor"/>
      </rPr>
      <t>NHx,ASSIM,AS</t>
    </r>
  </si>
  <si>
    <t>Rate of hydrolysis</t>
  </si>
  <si>
    <t>Rate of flocculation</t>
  </si>
  <si>
    <t>Half-saturation of colloids in flocculation (AS)</t>
  </si>
  <si>
    <t>Half-saturation of particulates in hydrolysis (AS)</t>
  </si>
  <si>
    <t>Rate of ammonification</t>
  </si>
  <si>
    <t>Rate of soluble biodegradable organic P conversion</t>
  </si>
  <si>
    <t>Rate of endogenous decay products conversion</t>
  </si>
  <si>
    <t>Rate of assimilative nutrient production</t>
  </si>
  <si>
    <r>
      <t>Half-saturation of NO</t>
    </r>
    <r>
      <rPr>
        <vertAlign val="subscript"/>
        <sz val="11"/>
        <color rgb="FF000000"/>
        <rFont val="Calibri"/>
        <family val="2"/>
        <scheme val="minor"/>
      </rPr>
      <t>2</t>
    </r>
    <r>
      <rPr>
        <sz val="11"/>
        <color rgb="FF000000"/>
        <rFont val="Calibri"/>
        <family val="2"/>
        <charset val="238"/>
        <scheme val="minor"/>
      </rPr>
      <t xml:space="preserve"> in NO</t>
    </r>
    <r>
      <rPr>
        <vertAlign val="subscript"/>
        <sz val="11"/>
        <color rgb="FF000000"/>
        <rFont val="Calibri"/>
        <family val="2"/>
        <scheme val="minor"/>
      </rPr>
      <t>2</t>
    </r>
    <r>
      <rPr>
        <sz val="11"/>
        <color rgb="FF000000"/>
        <rFont val="Calibri"/>
        <family val="2"/>
        <charset val="238"/>
        <scheme val="minor"/>
      </rPr>
      <t xml:space="preserve"> assimilative reduction (AS)</t>
    </r>
  </si>
  <si>
    <r>
      <t>Half-saturation of NO</t>
    </r>
    <r>
      <rPr>
        <vertAlign val="subscript"/>
        <sz val="11"/>
        <color rgb="FF000000"/>
        <rFont val="Calibri"/>
        <family val="2"/>
        <scheme val="minor"/>
      </rPr>
      <t>3</t>
    </r>
    <r>
      <rPr>
        <sz val="11"/>
        <color rgb="FF000000"/>
        <rFont val="Calibri"/>
        <family val="2"/>
        <charset val="238"/>
        <scheme val="minor"/>
      </rPr>
      <t xml:space="preserve"> in NO</t>
    </r>
    <r>
      <rPr>
        <vertAlign val="subscript"/>
        <sz val="11"/>
        <color rgb="FF000000"/>
        <rFont val="Calibri"/>
        <family val="2"/>
        <scheme val="minor"/>
      </rPr>
      <t>3</t>
    </r>
    <r>
      <rPr>
        <sz val="11"/>
        <color rgb="FF000000"/>
        <rFont val="Calibri"/>
        <family val="2"/>
        <charset val="238"/>
        <scheme val="minor"/>
      </rPr>
      <t xml:space="preserve"> assimilative reduction (AS)</t>
    </r>
  </si>
  <si>
    <r>
      <t>θ</t>
    </r>
    <r>
      <rPr>
        <vertAlign val="subscript"/>
        <sz val="11"/>
        <color indexed="8"/>
        <rFont val="Calibri"/>
        <family val="2"/>
        <scheme val="minor"/>
      </rPr>
      <t>FERM,PAO</t>
    </r>
  </si>
  <si>
    <t>Arrhenius coefficient for fermentation (PAO)</t>
  </si>
  <si>
    <t>Diffusion factor for half-saturation coefficients</t>
  </si>
  <si>
    <t>Yield of OHOs on VFA under aerobic conditions</t>
  </si>
  <si>
    <t>Yield of OHOs on readily biodegradable substrate under aerobic conditions</t>
  </si>
  <si>
    <t>Yield of OHOs on readily biodegradable substrate under anaerobic conditions</t>
  </si>
  <si>
    <t>Yield of H2 production in fermentation with high VFA concentration (OHO)</t>
  </si>
  <si>
    <t>Yield of H2 production in fermentation with low VFA concentration (OHO)</t>
  </si>
  <si>
    <t>Yield of OHOs on methanol under aerobic conditions</t>
  </si>
  <si>
    <t>Yield of MEOLOs on methanol</t>
  </si>
  <si>
    <t>Ratio of P released per VFA stored</t>
  </si>
  <si>
    <t>Yield of AMETOs on VFA</t>
  </si>
  <si>
    <r>
      <t>Yield of HMETOs on H</t>
    </r>
    <r>
      <rPr>
        <vertAlign val="subscript"/>
        <sz val="11"/>
        <color rgb="FF000000"/>
        <rFont val="Calibri"/>
        <family val="2"/>
        <scheme val="minor"/>
      </rPr>
      <t>2</t>
    </r>
  </si>
  <si>
    <r>
      <t>Yield of AOBs on NH</t>
    </r>
    <r>
      <rPr>
        <vertAlign val="subscript"/>
        <sz val="11"/>
        <color rgb="FF000000"/>
        <rFont val="Calibri"/>
        <family val="2"/>
        <scheme val="minor"/>
      </rPr>
      <t>x</t>
    </r>
  </si>
  <si>
    <r>
      <t>Yield of NOBs on NO</t>
    </r>
    <r>
      <rPr>
        <vertAlign val="subscript"/>
        <sz val="11"/>
        <color rgb="FF000000"/>
        <rFont val="Calibri"/>
        <family val="2"/>
        <scheme val="minor"/>
      </rPr>
      <t>2</t>
    </r>
  </si>
  <si>
    <r>
      <t>Yield of AMX on NO</t>
    </r>
    <r>
      <rPr>
        <vertAlign val="subscript"/>
        <sz val="11"/>
        <color rgb="FF000000"/>
        <rFont val="Calibri"/>
        <family val="2"/>
        <scheme val="minor"/>
      </rPr>
      <t>2</t>
    </r>
  </si>
  <si>
    <r>
      <t>Yield of AMX on NO</t>
    </r>
    <r>
      <rPr>
        <vertAlign val="subscript"/>
        <sz val="11"/>
        <color rgb="FF000000"/>
        <rFont val="Calibri"/>
        <family val="2"/>
        <scheme val="minor"/>
      </rPr>
      <t>3</t>
    </r>
  </si>
  <si>
    <r>
      <t>i</t>
    </r>
    <r>
      <rPr>
        <vertAlign val="subscript"/>
        <sz val="11"/>
        <rFont val="Calibri"/>
        <family val="2"/>
        <scheme val="minor"/>
      </rPr>
      <t>CV,XB</t>
    </r>
  </si>
  <si>
    <r>
      <t>i</t>
    </r>
    <r>
      <rPr>
        <vertAlign val="subscript"/>
        <sz val="11"/>
        <rFont val="Calibri"/>
        <family val="2"/>
        <scheme val="minor"/>
      </rPr>
      <t>CV,XU</t>
    </r>
  </si>
  <si>
    <r>
      <t>i</t>
    </r>
    <r>
      <rPr>
        <vertAlign val="subscript"/>
        <sz val="11"/>
        <rFont val="Calibri"/>
        <family val="2"/>
        <scheme val="minor"/>
      </rPr>
      <t>CV,XE</t>
    </r>
  </si>
  <si>
    <t>Fraction of endogenous products produced in biomass decay</t>
  </si>
  <si>
    <t>N content of colloidal biodegradable substrate</t>
  </si>
  <si>
    <t>N content of colloidal unbiodegradable organics</t>
  </si>
  <si>
    <t>N content of soluble unbiodegradable organics</t>
  </si>
  <si>
    <t>N content of struvite</t>
  </si>
  <si>
    <t>P content of colloidal biodegradable substrate</t>
  </si>
  <si>
    <t>P content of colloidal unbiodegradable organics</t>
  </si>
  <si>
    <t>P content of soluble unbiodegradable organics</t>
  </si>
  <si>
    <t>P content of struvite</t>
  </si>
  <si>
    <t>P content of ACP</t>
  </si>
  <si>
    <t>P content of vivianite</t>
  </si>
  <si>
    <t>COD of biomass in volatile solids</t>
  </si>
  <si>
    <t>COD of biodegradable substrate in volatile solids</t>
  </si>
  <si>
    <t>COD of particulate unbiodegradable organics in volatile solids</t>
  </si>
  <si>
    <t>COD of VFA in volatile solids</t>
  </si>
  <si>
    <t>COD of readily biodegradable substrate in volatile solids</t>
  </si>
  <si>
    <t>COD of methanol in volatile solids</t>
  </si>
  <si>
    <t>COD of soluble unbiodegradable organics in volatile solids</t>
  </si>
  <si>
    <t>COD of colloidal biodegradable substrate in volatile solids</t>
  </si>
  <si>
    <t>COD of colloidal unbiodegradable organics in volatile solids</t>
  </si>
  <si>
    <t>COD of PHA in volatile solids</t>
  </si>
  <si>
    <t>COD of glycogen in volatile solids</t>
  </si>
  <si>
    <t>COD of endogenous products in volatile solids</t>
  </si>
  <si>
    <t>Inorganic carbon content of biomass</t>
  </si>
  <si>
    <r>
      <t>Inorganic carbon content of S</t>
    </r>
    <r>
      <rPr>
        <vertAlign val="subscript"/>
        <sz val="11"/>
        <color rgb="FF000000"/>
        <rFont val="Calibri"/>
        <family val="2"/>
        <scheme val="minor"/>
      </rPr>
      <t>B</t>
    </r>
    <r>
      <rPr>
        <sz val="11"/>
        <color rgb="FF000000"/>
        <rFont val="Calibri"/>
        <family val="2"/>
        <charset val="238"/>
        <scheme val="minor"/>
      </rPr>
      <t xml:space="preserve"> and S</t>
    </r>
    <r>
      <rPr>
        <vertAlign val="subscript"/>
        <sz val="11"/>
        <color rgb="FF000000"/>
        <rFont val="Calibri"/>
        <family val="2"/>
        <scheme val="minor"/>
      </rPr>
      <t>U</t>
    </r>
  </si>
  <si>
    <t>Inorganic carbon content of methanol</t>
  </si>
  <si>
    <t>Inorganic carbon content of CH4</t>
  </si>
  <si>
    <t>Inorganic carbon content of VFA</t>
  </si>
  <si>
    <t>Inorganic carbon content of PHA</t>
  </si>
  <si>
    <t>Inorganic carbon content of glycogen</t>
  </si>
  <si>
    <t>Inorganic content of biomass</t>
  </si>
  <si>
    <t>Calcium content of PP</t>
  </si>
  <si>
    <t>Magnesium content of PP</t>
  </si>
  <si>
    <t>Potassium content of PP</t>
  </si>
  <si>
    <t>Fraction of Na in NaCl</t>
  </si>
  <si>
    <r>
      <t>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</si>
  <si>
    <r>
      <t>ratio</t>
    </r>
    <r>
      <rPr>
        <vertAlign val="subscript"/>
        <sz val="11"/>
        <rFont val="Calibri"/>
        <family val="2"/>
        <scheme val="minor"/>
      </rPr>
      <t>VSS,TSS</t>
    </r>
  </si>
  <si>
    <r>
      <t>Correction factor for mass transfer of N</t>
    </r>
    <r>
      <rPr>
        <vertAlign val="subscript"/>
        <sz val="11"/>
        <color rgb="FF000000"/>
        <rFont val="Calibri"/>
        <family val="2"/>
        <scheme val="minor"/>
      </rPr>
      <t>2</t>
    </r>
  </si>
  <si>
    <r>
      <t>Correction factor for mass transfer of CO</t>
    </r>
    <r>
      <rPr>
        <vertAlign val="subscript"/>
        <sz val="11"/>
        <color rgb="FF000000"/>
        <rFont val="Calibri"/>
        <family val="2"/>
        <scheme val="minor"/>
      </rPr>
      <t>2</t>
    </r>
  </si>
  <si>
    <r>
      <t>Correction factor for mass transfer of CH</t>
    </r>
    <r>
      <rPr>
        <vertAlign val="subscript"/>
        <sz val="11"/>
        <color rgb="FF000000"/>
        <rFont val="Calibri"/>
        <family val="2"/>
        <scheme val="minor"/>
      </rPr>
      <t>4</t>
    </r>
  </si>
  <si>
    <r>
      <t>Correction factor for mass transfer of H</t>
    </r>
    <r>
      <rPr>
        <vertAlign val="subscript"/>
        <sz val="11"/>
        <color rgb="FF000000"/>
        <rFont val="Calibri"/>
        <family val="2"/>
        <scheme val="minor"/>
      </rPr>
      <t>2</t>
    </r>
  </si>
  <si>
    <r>
      <t>Correction factor for mass transfer of NH</t>
    </r>
    <r>
      <rPr>
        <vertAlign val="subscript"/>
        <sz val="11"/>
        <color rgb="FF000000"/>
        <rFont val="Calibri"/>
        <family val="2"/>
        <scheme val="minor"/>
      </rPr>
      <t>3</t>
    </r>
  </si>
  <si>
    <t>COD of particulates</t>
  </si>
  <si>
    <t>Volatile suspended solids of biomasses</t>
  </si>
  <si>
    <t>Volatile ultimately degradable solids</t>
  </si>
  <si>
    <t>Total inorganic suspended solids (ISS)</t>
  </si>
  <si>
    <t>Total suspended solids (TSS)</t>
  </si>
  <si>
    <t>Filtered ultimate biochemical oxygen demand</t>
  </si>
  <si>
    <t>Filtered biochemical oxygen demand (5 days)</t>
  </si>
  <si>
    <t>Filtered chemical oxygen demand</t>
  </si>
  <si>
    <r>
      <t>Nitrate and nitrite (NO</t>
    </r>
    <r>
      <rPr>
        <vertAlign val="subscript"/>
        <sz val="11"/>
        <color rgb="FF000000"/>
        <rFont val="Calibri"/>
        <family val="2"/>
        <scheme val="minor"/>
      </rPr>
      <t>x</t>
    </r>
    <r>
      <rPr>
        <sz val="11"/>
        <color rgb="FF000000"/>
        <rFont val="Calibri"/>
        <family val="2"/>
        <charset val="238"/>
        <scheme val="minor"/>
      </rPr>
      <t>)</t>
    </r>
  </si>
  <si>
    <t>Total phosphorus in HFOs</t>
  </si>
  <si>
    <t>Rate expression of struvite precipitation (driving force)</t>
  </si>
  <si>
    <r>
      <t>If(PrecipDrivingForce</t>
    </r>
    <r>
      <rPr>
        <vertAlign val="subscript"/>
        <sz val="11"/>
        <color theme="1"/>
        <rFont val="Calibri"/>
        <family val="2"/>
        <scheme val="minor"/>
      </rPr>
      <t>STR</t>
    </r>
    <r>
      <rPr>
        <sz val="11"/>
        <color theme="1"/>
        <rFont val="Calibri"/>
        <family val="2"/>
        <scheme val="minor"/>
      </rPr>
      <t>&gt;0;q</t>
    </r>
    <r>
      <rPr>
        <vertAlign val="subscript"/>
        <sz val="11"/>
        <color theme="1"/>
        <rFont val="Calibri"/>
        <family val="2"/>
        <scheme val="minor"/>
      </rPr>
      <t>STR,PREC</t>
    </r>
    <r>
      <rPr>
        <sz val="11"/>
        <color theme="1"/>
        <rFont val="Calibri"/>
        <family val="2"/>
        <scheme val="minor"/>
      </rPr>
      <t>;q</t>
    </r>
    <r>
      <rPr>
        <vertAlign val="subscript"/>
        <sz val="11"/>
        <color theme="1"/>
        <rFont val="Calibri"/>
        <family val="2"/>
        <scheme val="minor"/>
      </rPr>
      <t>STR,DISS</t>
    </r>
    <r>
      <rPr>
        <sz val="11"/>
        <color theme="1"/>
        <rFont val="Calibri"/>
        <family val="2"/>
        <scheme val="minor"/>
      </rPr>
      <t>*Msat</t>
    </r>
    <r>
      <rPr>
        <vertAlign val="subscript"/>
        <sz val="11"/>
        <color theme="1"/>
        <rFont val="Calibri"/>
        <family val="2"/>
        <scheme val="minor"/>
      </rPr>
      <t>XSTR,KSTR,DISS</t>
    </r>
    <r>
      <rPr>
        <sz val="11"/>
        <color theme="1"/>
        <rFont val="Calibri"/>
        <family val="2"/>
        <scheme val="minor"/>
      </rPr>
      <t>)</t>
    </r>
  </si>
  <si>
    <t>Rate expression of ACP precipitation (driving force)</t>
  </si>
  <si>
    <r>
      <t>If(PrecipDrivingForce</t>
    </r>
    <r>
      <rPr>
        <vertAlign val="subscript"/>
        <sz val="11"/>
        <color theme="1"/>
        <rFont val="Calibri"/>
        <family val="2"/>
        <scheme val="minor"/>
      </rPr>
      <t>ACP</t>
    </r>
    <r>
      <rPr>
        <sz val="11"/>
        <color theme="1"/>
        <rFont val="Calibri"/>
        <family val="2"/>
        <scheme val="minor"/>
      </rPr>
      <t>&gt;0;q</t>
    </r>
    <r>
      <rPr>
        <vertAlign val="subscript"/>
        <sz val="11"/>
        <color theme="1"/>
        <rFont val="Calibri"/>
        <family val="2"/>
        <scheme val="minor"/>
      </rPr>
      <t>ACP,PREC</t>
    </r>
    <r>
      <rPr>
        <sz val="11"/>
        <color theme="1"/>
        <rFont val="Calibri"/>
        <family val="2"/>
        <scheme val="minor"/>
      </rPr>
      <t>;-q</t>
    </r>
    <r>
      <rPr>
        <vertAlign val="subscript"/>
        <sz val="11"/>
        <color theme="1"/>
        <rFont val="Calibri"/>
        <family val="2"/>
        <scheme val="minor"/>
      </rPr>
      <t>ACP,DISS</t>
    </r>
    <r>
      <rPr>
        <sz val="11"/>
        <color theme="1"/>
        <rFont val="Calibri"/>
        <family val="2"/>
        <scheme val="minor"/>
      </rPr>
      <t>*Msat</t>
    </r>
    <r>
      <rPr>
        <vertAlign val="subscript"/>
        <sz val="11"/>
        <color theme="1"/>
        <rFont val="Calibri"/>
        <family val="2"/>
        <scheme val="minor"/>
      </rPr>
      <t>XACP,KACP,DISS</t>
    </r>
    <r>
      <rPr>
        <sz val="11"/>
        <color theme="1"/>
        <rFont val="Calibri"/>
        <family val="2"/>
        <scheme val="minor"/>
      </rPr>
      <t>)</t>
    </r>
  </si>
  <si>
    <r>
      <t>Rate expression of CaCO</t>
    </r>
    <r>
      <rPr>
        <vertAlign val="subscript"/>
        <sz val="11"/>
        <color rgb="FF000000"/>
        <rFont val="Calibri"/>
        <family val="2"/>
        <scheme val="minor"/>
      </rPr>
      <t>3</t>
    </r>
    <r>
      <rPr>
        <sz val="11"/>
        <color rgb="FF000000"/>
        <rFont val="Calibri"/>
        <family val="2"/>
        <charset val="238"/>
        <scheme val="minor"/>
      </rPr>
      <t xml:space="preserve"> precipitation (driving force)</t>
    </r>
  </si>
  <si>
    <r>
      <t>If(PrecipDrivingForce</t>
    </r>
    <r>
      <rPr>
        <vertAlign val="subscript"/>
        <sz val="11"/>
        <color theme="1"/>
        <rFont val="Calibri"/>
        <family val="2"/>
        <scheme val="minor"/>
      </rPr>
      <t>CaCO3</t>
    </r>
    <r>
      <rPr>
        <sz val="11"/>
        <color theme="1"/>
        <rFont val="Calibri"/>
        <family val="2"/>
        <scheme val="minor"/>
      </rPr>
      <t>&gt;0;q</t>
    </r>
    <r>
      <rPr>
        <vertAlign val="subscript"/>
        <sz val="11"/>
        <color theme="1"/>
        <rFont val="Calibri"/>
        <family val="2"/>
        <scheme val="minor"/>
      </rPr>
      <t>CaCO3,PREC</t>
    </r>
    <r>
      <rPr>
        <sz val="11"/>
        <color theme="1"/>
        <rFont val="Calibri"/>
        <family val="2"/>
        <scheme val="minor"/>
      </rPr>
      <t>;-q</t>
    </r>
    <r>
      <rPr>
        <vertAlign val="subscript"/>
        <sz val="11"/>
        <color theme="1"/>
        <rFont val="Calibri"/>
        <family val="2"/>
        <scheme val="minor"/>
      </rPr>
      <t>CaCO3,DISS</t>
    </r>
    <r>
      <rPr>
        <sz val="11"/>
        <color theme="1"/>
        <rFont val="Calibri"/>
        <family val="2"/>
        <scheme val="minor"/>
      </rPr>
      <t>*Msat</t>
    </r>
    <r>
      <rPr>
        <vertAlign val="subscript"/>
        <sz val="11"/>
        <color theme="1"/>
        <rFont val="Calibri"/>
        <family val="2"/>
        <scheme val="minor"/>
      </rPr>
      <t>XCaCO3,KCaCO3,DISS</t>
    </r>
    <r>
      <rPr>
        <sz val="11"/>
        <color theme="1"/>
        <rFont val="Calibri"/>
        <family val="2"/>
        <scheme val="minor"/>
      </rPr>
      <t>)</t>
    </r>
  </si>
  <si>
    <t>Rate expression of vivianite precipitation (driving force)</t>
  </si>
  <si>
    <r>
      <t>If(PrecipDrivingForce</t>
    </r>
    <r>
      <rPr>
        <vertAlign val="subscript"/>
        <sz val="11"/>
        <color theme="1"/>
        <rFont val="Calibri"/>
        <family val="2"/>
        <scheme val="minor"/>
      </rPr>
      <t>Vivi</t>
    </r>
    <r>
      <rPr>
        <sz val="11"/>
        <color theme="1"/>
        <rFont val="Calibri"/>
        <family val="2"/>
        <scheme val="minor"/>
      </rPr>
      <t>&gt;0;q</t>
    </r>
    <r>
      <rPr>
        <vertAlign val="subscript"/>
        <sz val="11"/>
        <color theme="1"/>
        <rFont val="Calibri"/>
        <family val="2"/>
        <scheme val="minor"/>
      </rPr>
      <t>Vivi,PREC</t>
    </r>
    <r>
      <rPr>
        <sz val="11"/>
        <color theme="1"/>
        <rFont val="Calibri"/>
        <family val="2"/>
        <scheme val="minor"/>
      </rPr>
      <t>;-q</t>
    </r>
    <r>
      <rPr>
        <vertAlign val="subscript"/>
        <sz val="11"/>
        <color theme="1"/>
        <rFont val="Calibri"/>
        <family val="2"/>
        <scheme val="minor"/>
      </rPr>
      <t>Vivi,DISS</t>
    </r>
    <r>
      <rPr>
        <sz val="11"/>
        <color theme="1"/>
        <rFont val="Calibri"/>
        <family val="2"/>
        <scheme val="minor"/>
      </rPr>
      <t>*Msat</t>
    </r>
    <r>
      <rPr>
        <vertAlign val="subscript"/>
        <sz val="11"/>
        <color theme="1"/>
        <rFont val="Calibri"/>
        <family val="2"/>
        <scheme val="minor"/>
      </rPr>
      <t>XVivi,KVivi,DISS</t>
    </r>
    <r>
      <rPr>
        <sz val="11"/>
        <color theme="1"/>
        <rFont val="Calibri"/>
        <family val="2"/>
        <scheme val="minor"/>
      </rPr>
      <t>)</t>
    </r>
  </si>
  <si>
    <t>N3UR</t>
  </si>
  <si>
    <t>N2UR</t>
  </si>
  <si>
    <t>Carbonaceous oxygen uptake rate (COUR)</t>
  </si>
  <si>
    <t>Nitrification oxygen uptake rate (NOUR)</t>
  </si>
  <si>
    <t>Toxicity factor of aerobes under anaerobic conditions (in digester)</t>
  </si>
  <si>
    <t>Toxicity factor of aerobes under anaerobic conditions (not in digester)</t>
  </si>
  <si>
    <r>
      <t>Half-saturation of NH</t>
    </r>
    <r>
      <rPr>
        <vertAlign val="subscript"/>
        <sz val="11"/>
        <color rgb="FF000000"/>
        <rFont val="Calibri"/>
        <family val="2"/>
        <scheme val="minor"/>
      </rPr>
      <t>x</t>
    </r>
    <r>
      <rPr>
        <sz val="11"/>
        <color rgb="FF000000"/>
        <rFont val="Calibri"/>
        <family val="2"/>
        <charset val="238"/>
        <scheme val="minor"/>
      </rPr>
      <t xml:space="preserve"> for AOBs</t>
    </r>
  </si>
  <si>
    <r>
      <t>Half-saturation of CO</t>
    </r>
    <r>
      <rPr>
        <vertAlign val="subscript"/>
        <sz val="11"/>
        <color rgb="FF000000"/>
        <rFont val="Calibri"/>
        <family val="2"/>
        <scheme val="minor"/>
      </rPr>
      <t>2</t>
    </r>
    <r>
      <rPr>
        <sz val="11"/>
        <color rgb="FF000000"/>
        <rFont val="Calibri"/>
        <family val="2"/>
        <charset val="238"/>
        <scheme val="minor"/>
      </rPr>
      <t xml:space="preserve"> for AOBs</t>
    </r>
  </si>
  <si>
    <t>Half-saturation of bicarbonate for AOBs</t>
  </si>
  <si>
    <r>
      <t>Half-saturation of O</t>
    </r>
    <r>
      <rPr>
        <vertAlign val="subscript"/>
        <sz val="11"/>
        <color rgb="FF000000"/>
        <rFont val="Calibri"/>
        <family val="2"/>
        <scheme val="minor"/>
      </rPr>
      <t>2</t>
    </r>
    <r>
      <rPr>
        <sz val="11"/>
        <color rgb="FF000000"/>
        <rFont val="Calibri"/>
        <family val="2"/>
        <charset val="238"/>
        <scheme val="minor"/>
      </rPr>
      <t xml:space="preserve"> for AOBs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</si>
  <si>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AOBs</t>
    </r>
  </si>
  <si>
    <r>
      <t>Ki</t>
    </r>
    <r>
      <rPr>
        <vertAlign val="subscript"/>
        <sz val="11"/>
        <rFont val="Calibri"/>
        <family val="2"/>
        <scheme val="minor"/>
      </rPr>
      <t>NH3,NOB,pH</t>
    </r>
  </si>
  <si>
    <r>
      <t>Half-inhibition of NH</t>
    </r>
    <r>
      <rPr>
        <vertAlign val="subscript"/>
        <sz val="11"/>
        <color rgb="FF000000"/>
        <rFont val="Calibri"/>
        <family val="2"/>
        <scheme val="minor"/>
      </rPr>
      <t>3</t>
    </r>
    <r>
      <rPr>
        <sz val="11"/>
        <color rgb="FF000000"/>
        <rFont val="Calibri"/>
        <family val="2"/>
        <charset val="238"/>
        <scheme val="minor"/>
      </rPr>
      <t xml:space="preserve"> for NOBs</t>
    </r>
  </si>
  <si>
    <r>
      <t>Ki</t>
    </r>
    <r>
      <rPr>
        <vertAlign val="subscript"/>
        <sz val="11"/>
        <rFont val="Calibri"/>
        <family val="2"/>
      </rPr>
      <t>NH3,NOB,pH,AS</t>
    </r>
  </si>
  <si>
    <r>
      <t>Half-saturation of NO</t>
    </r>
    <r>
      <rPr>
        <vertAlign val="subscript"/>
        <sz val="11"/>
        <color rgb="FF000000"/>
        <rFont val="Calibri"/>
        <family val="2"/>
        <scheme val="minor"/>
      </rPr>
      <t>2</t>
    </r>
    <r>
      <rPr>
        <sz val="11"/>
        <color rgb="FF000000"/>
        <rFont val="Calibri"/>
        <family val="2"/>
        <charset val="238"/>
        <scheme val="minor"/>
      </rPr>
      <t xml:space="preserve"> for NOBs</t>
    </r>
  </si>
  <si>
    <r>
      <t>Half-saturation of CO</t>
    </r>
    <r>
      <rPr>
        <vertAlign val="subscript"/>
        <sz val="11"/>
        <color rgb="FF000000"/>
        <rFont val="Calibri"/>
        <family val="2"/>
        <scheme val="minor"/>
      </rPr>
      <t>2</t>
    </r>
    <r>
      <rPr>
        <sz val="11"/>
        <color rgb="FF000000"/>
        <rFont val="Calibri"/>
        <family val="2"/>
        <charset val="238"/>
        <scheme val="minor"/>
      </rPr>
      <t xml:space="preserve"> for NOBs</t>
    </r>
  </si>
  <si>
    <t>Half-saturation of bicarbonate for NOBs</t>
  </si>
  <si>
    <r>
      <t>Half-saturation of O</t>
    </r>
    <r>
      <rPr>
        <vertAlign val="subscript"/>
        <sz val="11"/>
        <color rgb="FF000000"/>
        <rFont val="Calibri"/>
        <family val="2"/>
        <scheme val="minor"/>
      </rPr>
      <t>2</t>
    </r>
    <r>
      <rPr>
        <sz val="11"/>
        <color rgb="FF000000"/>
        <rFont val="Calibri"/>
        <family val="2"/>
        <charset val="238"/>
        <scheme val="minor"/>
      </rPr>
      <t xml:space="preserve"> for NOBs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</si>
  <si>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NOBs</t>
    </r>
  </si>
  <si>
    <t>Half-saturations for nitrite oxidizers (NOB)</t>
  </si>
  <si>
    <t>Half-saturations for anammox organisms (AMX)</t>
  </si>
  <si>
    <t>Half-saturations for ordinary heterotrophic organisms (OHO)</t>
  </si>
  <si>
    <t>Half-saturations for anoxic methanol utilizers (MEOLO)</t>
  </si>
  <si>
    <t>Half-saturation of readily biodegradable substrate for OHOs</t>
  </si>
  <si>
    <t>Half-saturation of VFA for OHOs</t>
  </si>
  <si>
    <r>
      <t>Half-saturation of O</t>
    </r>
    <r>
      <rPr>
        <vertAlign val="subscript"/>
        <sz val="11"/>
        <color rgb="FF000000"/>
        <rFont val="Calibri"/>
        <family val="2"/>
        <scheme val="minor"/>
      </rPr>
      <t>2</t>
    </r>
    <r>
      <rPr>
        <sz val="11"/>
        <color rgb="FF000000"/>
        <rFont val="Calibri"/>
        <family val="2"/>
        <charset val="238"/>
        <scheme val="minor"/>
      </rPr>
      <t xml:space="preserve"> for OHOs</t>
    </r>
  </si>
  <si>
    <t>Half-saturation of methanol for OHOs</t>
  </si>
  <si>
    <r>
      <t>Half-saturation of NO</t>
    </r>
    <r>
      <rPr>
        <vertAlign val="subscript"/>
        <sz val="11"/>
        <color rgb="FF000000"/>
        <rFont val="Calibri"/>
        <family val="2"/>
        <scheme val="minor"/>
      </rPr>
      <t>2</t>
    </r>
    <r>
      <rPr>
        <sz val="11"/>
        <color rgb="FF000000"/>
        <rFont val="Calibri"/>
        <family val="2"/>
        <charset val="238"/>
        <scheme val="minor"/>
      </rPr>
      <t xml:space="preserve"> for OHOs</t>
    </r>
  </si>
  <si>
    <r>
      <t>Half-saturation of NO</t>
    </r>
    <r>
      <rPr>
        <vertAlign val="subscript"/>
        <sz val="11"/>
        <color rgb="FF000000"/>
        <rFont val="Calibri"/>
        <family val="2"/>
        <scheme val="minor"/>
      </rPr>
      <t>3</t>
    </r>
    <r>
      <rPr>
        <sz val="11"/>
        <color rgb="FF000000"/>
        <rFont val="Calibri"/>
        <family val="2"/>
        <charset val="238"/>
        <scheme val="minor"/>
      </rPr>
      <t xml:space="preserve"> for OHOs</t>
    </r>
  </si>
  <si>
    <t>Half-saturation of readily biodegradable substrate in fermentation by OHOs</t>
  </si>
  <si>
    <t>Half-saturation of VFA in fermentation of OHOs (AS)</t>
  </si>
  <si>
    <t>Half-saturation of VFA in fermentation of OHOs</t>
  </si>
  <si>
    <t>Half-saturation of methanol for MEOLOs</t>
  </si>
  <si>
    <r>
      <t>Half-saturation of NO</t>
    </r>
    <r>
      <rPr>
        <vertAlign val="subscript"/>
        <sz val="11"/>
        <color rgb="FF000000"/>
        <rFont val="Calibri"/>
        <family val="2"/>
        <scheme val="minor"/>
      </rPr>
      <t>2</t>
    </r>
    <r>
      <rPr>
        <sz val="11"/>
        <color rgb="FF000000"/>
        <rFont val="Calibri"/>
        <family val="2"/>
        <charset val="238"/>
        <scheme val="minor"/>
      </rPr>
      <t xml:space="preserve"> for MEOLOs</t>
    </r>
  </si>
  <si>
    <r>
      <t>Half-saturation of NO</t>
    </r>
    <r>
      <rPr>
        <vertAlign val="subscript"/>
        <sz val="11"/>
        <color rgb="FF000000"/>
        <rFont val="Calibri"/>
        <family val="2"/>
        <scheme val="minor"/>
      </rPr>
      <t>3</t>
    </r>
    <r>
      <rPr>
        <sz val="11"/>
        <color rgb="FF000000"/>
        <rFont val="Calibri"/>
        <family val="2"/>
        <charset val="238"/>
        <scheme val="minor"/>
      </rPr>
      <t xml:space="preserve"> for MEOLOs</t>
    </r>
  </si>
  <si>
    <t>Half-saturation of PP for PAOs</t>
  </si>
  <si>
    <r>
      <t>Half-saturation of PO</t>
    </r>
    <r>
      <rPr>
        <vertAlign val="subscript"/>
        <sz val="11"/>
        <color rgb="FF000000"/>
        <rFont val="Calibri"/>
        <family val="2"/>
        <scheme val="minor"/>
      </rPr>
      <t>4</t>
    </r>
    <r>
      <rPr>
        <sz val="11"/>
        <color rgb="FF000000"/>
        <rFont val="Calibri"/>
        <family val="2"/>
        <charset val="238"/>
        <scheme val="minor"/>
      </rPr>
      <t xml:space="preserve"> for PAOs</t>
    </r>
  </si>
  <si>
    <t>Half-saturation of Mg (counter-ion in PP storage) for PAOs</t>
  </si>
  <si>
    <t>Half-saturation of K (counter-ion in PP storage) for PAOs</t>
  </si>
  <si>
    <t>Half-saturation of Ca (counter-ion in PP storage) for PAOs</t>
  </si>
  <si>
    <r>
      <t>Half-inhibition of PO</t>
    </r>
    <r>
      <rPr>
        <vertAlign val="subscript"/>
        <sz val="11"/>
        <color rgb="FF000000"/>
        <rFont val="Calibri"/>
        <family val="2"/>
        <scheme val="minor"/>
      </rPr>
      <t>4</t>
    </r>
    <r>
      <rPr>
        <sz val="11"/>
        <color rgb="FF000000"/>
        <rFont val="Calibri"/>
        <family val="2"/>
        <charset val="238"/>
        <scheme val="minor"/>
      </rPr>
      <t xml:space="preserve"> for PP use as nutrient for PAOs</t>
    </r>
  </si>
  <si>
    <r>
      <t>Ki</t>
    </r>
    <r>
      <rPr>
        <vertAlign val="subscript"/>
        <sz val="11"/>
        <rFont val="Calibri"/>
        <family val="2"/>
        <scheme val="minor"/>
      </rPr>
      <t>PP,PAO,max</t>
    </r>
  </si>
  <si>
    <r>
      <t>Ki</t>
    </r>
    <r>
      <rPr>
        <vertAlign val="subscript"/>
        <sz val="11"/>
        <rFont val="Calibri"/>
        <family val="2"/>
        <scheme val="minor"/>
      </rPr>
      <t>PHA,PAO,max</t>
    </r>
  </si>
  <si>
    <r>
      <t>Ki</t>
    </r>
    <r>
      <rPr>
        <vertAlign val="subscript"/>
        <sz val="11"/>
        <rFont val="Calibri"/>
        <family val="2"/>
        <scheme val="minor"/>
      </rPr>
      <t>PO4,lim</t>
    </r>
  </si>
  <si>
    <r>
      <t>Ki</t>
    </r>
    <r>
      <rPr>
        <vertAlign val="subscript"/>
        <sz val="11"/>
        <rFont val="Calibri"/>
        <family val="2"/>
        <scheme val="minor"/>
      </rPr>
      <t>GLY,GAO,max</t>
    </r>
  </si>
  <si>
    <t>Half-saturations for acidoclastic methanogens (AMETO)</t>
  </si>
  <si>
    <t>Half-saturations for hydrogenotrophic methanogens (HMETO)</t>
  </si>
  <si>
    <t>Half-saturation of VFA for AMETOs</t>
  </si>
  <si>
    <t>Haldane inhibition of VFA for AMETOs</t>
  </si>
  <si>
    <r>
      <t>Half-saturation of NO</t>
    </r>
    <r>
      <rPr>
        <vertAlign val="subscript"/>
        <sz val="11"/>
        <color rgb="FF000000"/>
        <rFont val="Calibri"/>
        <family val="2"/>
        <scheme val="minor"/>
      </rPr>
      <t>x</t>
    </r>
    <r>
      <rPr>
        <sz val="11"/>
        <color rgb="FF000000"/>
        <rFont val="Calibri"/>
        <family val="2"/>
        <charset val="238"/>
        <scheme val="minor"/>
      </rPr>
      <t xml:space="preserve"> for AMETOs</t>
    </r>
  </si>
  <si>
    <r>
      <t>Ki</t>
    </r>
    <r>
      <rPr>
        <vertAlign val="subscript"/>
        <sz val="11"/>
        <rFont val="Calibri"/>
        <family val="2"/>
        <scheme val="minor"/>
      </rPr>
      <t>VFA,AMETO</t>
    </r>
  </si>
  <si>
    <r>
      <t>Half-saturation of H</t>
    </r>
    <r>
      <rPr>
        <vertAlign val="subscript"/>
        <sz val="11"/>
        <color rgb="FF000000"/>
        <rFont val="Calibri"/>
        <family val="2"/>
        <scheme val="minor"/>
      </rPr>
      <t>2</t>
    </r>
    <r>
      <rPr>
        <sz val="11"/>
        <color rgb="FF000000"/>
        <rFont val="Calibri"/>
        <family val="2"/>
        <charset val="238"/>
        <scheme val="minor"/>
      </rPr>
      <t xml:space="preserve"> for HMETOs</t>
    </r>
  </si>
  <si>
    <r>
      <t>Half-saturation of NO</t>
    </r>
    <r>
      <rPr>
        <vertAlign val="subscript"/>
        <sz val="11"/>
        <color rgb="FF000000"/>
        <rFont val="Calibri"/>
        <family val="2"/>
        <scheme val="minor"/>
      </rPr>
      <t>x</t>
    </r>
    <r>
      <rPr>
        <sz val="11"/>
        <color rgb="FF000000"/>
        <rFont val="Calibri"/>
        <family val="2"/>
        <charset val="238"/>
        <scheme val="minor"/>
      </rPr>
      <t xml:space="preserve"> for HMETOs</t>
    </r>
  </si>
  <si>
    <r>
      <t>Ki</t>
    </r>
    <r>
      <rPr>
        <vertAlign val="subscript"/>
        <sz val="11"/>
        <rFont val="Calibri"/>
        <family val="2"/>
        <scheme val="minor"/>
      </rPr>
      <t>NHx,ASSIM</t>
    </r>
  </si>
  <si>
    <r>
      <t>Ki</t>
    </r>
    <r>
      <rPr>
        <vertAlign val="subscript"/>
        <sz val="11"/>
        <rFont val="Calibri"/>
        <family val="2"/>
        <scheme val="minor"/>
      </rPr>
      <t>NHx,ASSIM,AS</t>
    </r>
  </si>
  <si>
    <t>Half-saturation of NHx as nutrient for biomasses</t>
  </si>
  <si>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t>
    </r>
  </si>
  <si>
    <t>Half-saturation of colloids in flocculation</t>
  </si>
  <si>
    <t>Half-saturation of particulates in hydrolysis</t>
  </si>
  <si>
    <r>
      <t>Half-saturation of NO</t>
    </r>
    <r>
      <rPr>
        <vertAlign val="subscript"/>
        <sz val="11"/>
        <color rgb="FF000000"/>
        <rFont val="Calibri"/>
        <family val="2"/>
        <scheme val="minor"/>
      </rPr>
      <t>2</t>
    </r>
    <r>
      <rPr>
        <sz val="11"/>
        <color rgb="FF000000"/>
        <rFont val="Calibri"/>
        <family val="2"/>
        <charset val="238"/>
        <scheme val="minor"/>
      </rPr>
      <t xml:space="preserve"> in NO</t>
    </r>
    <r>
      <rPr>
        <vertAlign val="subscript"/>
        <sz val="11"/>
        <color rgb="FF000000"/>
        <rFont val="Calibri"/>
        <family val="2"/>
        <scheme val="minor"/>
      </rPr>
      <t>2</t>
    </r>
    <r>
      <rPr>
        <sz val="11"/>
        <color rgb="FF000000"/>
        <rFont val="Calibri"/>
        <family val="2"/>
        <charset val="238"/>
        <scheme val="minor"/>
      </rPr>
      <t xml:space="preserve"> assimilative reduction</t>
    </r>
  </si>
  <si>
    <r>
      <t>Half-saturation of NO</t>
    </r>
    <r>
      <rPr>
        <vertAlign val="subscript"/>
        <sz val="11"/>
        <color rgb="FF000000"/>
        <rFont val="Calibri"/>
        <family val="2"/>
        <scheme val="minor"/>
      </rPr>
      <t>3</t>
    </r>
    <r>
      <rPr>
        <sz val="11"/>
        <color rgb="FF000000"/>
        <rFont val="Calibri"/>
        <family val="2"/>
        <charset val="238"/>
        <scheme val="minor"/>
      </rPr>
      <t xml:space="preserve"> in NO</t>
    </r>
    <r>
      <rPr>
        <vertAlign val="subscript"/>
        <sz val="11"/>
        <color rgb="FF000000"/>
        <rFont val="Calibri"/>
        <family val="2"/>
        <scheme val="minor"/>
      </rPr>
      <t>3</t>
    </r>
    <r>
      <rPr>
        <sz val="11"/>
        <color rgb="FF000000"/>
        <rFont val="Calibri"/>
        <family val="2"/>
        <charset val="238"/>
        <scheme val="minor"/>
      </rPr>
      <t xml:space="preserve"> assimilative reduction</t>
    </r>
  </si>
  <si>
    <t>pH inhibition (Bell shaped)</t>
  </si>
  <si>
    <t>pH inhibition (Bell shaped) (AMETO)</t>
  </si>
  <si>
    <t>pH inhibition (Bell shaped) (HMETO)</t>
  </si>
  <si>
    <t>Logistic saturation term for bicarbonate (AOB)</t>
  </si>
  <si>
    <t>Logistic saturation term for inorganic carbon (AOB)</t>
  </si>
  <si>
    <r>
      <t>Inhibition term for NH</t>
    </r>
    <r>
      <rPr>
        <vertAlign val="subscript"/>
        <sz val="11"/>
        <color rgb="FF000000"/>
        <rFont val="Calibri"/>
        <family val="2"/>
        <scheme val="minor"/>
      </rPr>
      <t>3</t>
    </r>
    <r>
      <rPr>
        <sz val="11"/>
        <color rgb="FF000000"/>
        <rFont val="Calibri"/>
        <family val="2"/>
        <charset val="238"/>
        <scheme val="minor"/>
      </rPr>
      <t xml:space="preserve"> (NOB)</t>
    </r>
  </si>
  <si>
    <t>Logistic saturation term for bicarbonate (NOB)</t>
  </si>
  <si>
    <t>Logistic saturation term for inorganic carbon (NOB)</t>
  </si>
  <si>
    <t>Logistic saturation term for bicarbonate (AMX)</t>
  </si>
  <si>
    <t>Logistic saturation term for inorganic carbon (AMX)</t>
  </si>
  <si>
    <t>Inhibition term for nitrous acid (AMX)</t>
  </si>
  <si>
    <r>
      <t>Minh([HNO</t>
    </r>
    <r>
      <rPr>
        <vertAlign val="subscript"/>
        <sz val="11"/>
        <rFont val="Calibri"/>
        <family val="2"/>
      </rPr>
      <t>2</t>
    </r>
    <r>
      <rPr>
        <sz val="11"/>
        <rFont val="Calibri"/>
        <family val="2"/>
      </rPr>
      <t>]; Ki</t>
    </r>
    <r>
      <rPr>
        <vertAlign val="subscript"/>
        <sz val="11"/>
        <rFont val="Calibri"/>
        <family val="2"/>
      </rPr>
      <t>HNO2,AMX,pH</t>
    </r>
    <r>
      <rPr>
        <sz val="11"/>
        <rFont val="Calibri"/>
        <family val="2"/>
      </rPr>
      <t>)</t>
    </r>
  </si>
  <si>
    <r>
      <t>Minh([NH</t>
    </r>
    <r>
      <rPr>
        <vertAlign val="subscript"/>
        <sz val="11"/>
        <rFont val="Calibri"/>
        <family val="2"/>
        <scheme val="minor"/>
      </rPr>
      <t>3</t>
    </r>
    <r>
      <rPr>
        <sz val="11"/>
        <rFont val="Calibri"/>
        <family val="2"/>
        <scheme val="minor"/>
      </rPr>
      <t>];Ki</t>
    </r>
    <r>
      <rPr>
        <vertAlign val="subscript"/>
        <sz val="11"/>
        <rFont val="Calibri"/>
        <family val="2"/>
        <scheme val="minor"/>
      </rPr>
      <t>NH3,NOB,pH</t>
    </r>
    <r>
      <rPr>
        <sz val="11"/>
        <rFont val="Calibri"/>
        <family val="2"/>
        <scheme val="minor"/>
      </rPr>
      <t>)</t>
    </r>
  </si>
  <si>
    <r>
      <t>Loginh</t>
    </r>
    <r>
      <rPr>
        <vertAlign val="subscript"/>
        <sz val="11"/>
        <rFont val="Calibri"/>
        <family val="2"/>
      </rPr>
      <t>ORP,PAO</t>
    </r>
  </si>
  <si>
    <t>ORP switch of fermentation by PAOs</t>
  </si>
  <si>
    <t>ORP switch of glycogen storage by GAO</t>
  </si>
  <si>
    <r>
      <t>Saturation term for strong anion (as Cl</t>
    </r>
    <r>
      <rPr>
        <vertAlign val="superscript"/>
        <sz val="11"/>
        <color rgb="FF000000"/>
        <rFont val="Calibri"/>
        <family val="2"/>
        <scheme val="minor"/>
      </rPr>
      <t>-</t>
    </r>
    <r>
      <rPr>
        <sz val="11"/>
        <color rgb="FF000000"/>
        <rFont val="Calibri"/>
        <family val="2"/>
        <charset val="238"/>
        <scheme val="minor"/>
      </rPr>
      <t>)</t>
    </r>
  </si>
  <si>
    <r>
      <t>Saturation term for strong cation (as Na</t>
    </r>
    <r>
      <rPr>
        <vertAlign val="superscript"/>
        <sz val="11"/>
        <color rgb="FF000000"/>
        <rFont val="Calibri"/>
        <family val="2"/>
        <scheme val="minor"/>
      </rPr>
      <t>+</t>
    </r>
    <r>
      <rPr>
        <sz val="11"/>
        <color rgb="FF000000"/>
        <rFont val="Calibri"/>
        <family val="2"/>
        <charset val="238"/>
        <scheme val="minor"/>
      </rPr>
      <t>)</t>
    </r>
  </si>
  <si>
    <t>Saturation term for inorganic carbon (BIO except NITO)</t>
  </si>
  <si>
    <r>
      <t>Saturation term for NH</t>
    </r>
    <r>
      <rPr>
        <vertAlign val="subscript"/>
        <sz val="11"/>
        <color rgb="FF000000"/>
        <rFont val="Calibri"/>
        <family val="2"/>
        <scheme val="minor"/>
      </rPr>
      <t>x</t>
    </r>
    <r>
      <rPr>
        <sz val="11"/>
        <color rgb="FF000000"/>
        <rFont val="Calibri"/>
        <family val="2"/>
        <charset val="238"/>
        <scheme val="minor"/>
      </rPr>
      <t xml:space="preserve"> (biomass)</t>
    </r>
  </si>
  <si>
    <r>
      <t>Saturation term for PO</t>
    </r>
    <r>
      <rPr>
        <vertAlign val="subscript"/>
        <sz val="11"/>
        <color rgb="FF000000"/>
        <rFont val="Calibri"/>
        <family val="2"/>
        <scheme val="minor"/>
      </rPr>
      <t>4</t>
    </r>
    <r>
      <rPr>
        <sz val="11"/>
        <color rgb="FF000000"/>
        <rFont val="Calibri"/>
        <family val="2"/>
        <charset val="238"/>
        <scheme val="minor"/>
      </rPr>
      <t xml:space="preserve"> (biomass)</t>
    </r>
  </si>
  <si>
    <r>
      <t>Inhibition term for O</t>
    </r>
    <r>
      <rPr>
        <vertAlign val="subscript"/>
        <sz val="11"/>
        <color rgb="FF000000"/>
        <rFont val="Calibri"/>
        <family val="2"/>
        <scheme val="minor"/>
      </rPr>
      <t>2</t>
    </r>
    <r>
      <rPr>
        <sz val="11"/>
        <color rgb="FF000000"/>
        <rFont val="Calibri"/>
        <family val="2"/>
        <charset val="238"/>
        <scheme val="minor"/>
      </rPr>
      <t xml:space="preserve"> (OHO)</t>
    </r>
  </si>
  <si>
    <t>Inhibition term for VFA</t>
  </si>
  <si>
    <t>Saturation term for readily biodegradable substrate (OHO)</t>
  </si>
  <si>
    <t>Saturation term for readily biodegradable substrate (OHO, anaerobic)</t>
  </si>
  <si>
    <t>Saturation term for methanol (OHO)</t>
  </si>
  <si>
    <r>
      <t>Saturation term for O</t>
    </r>
    <r>
      <rPr>
        <vertAlign val="subscript"/>
        <sz val="11"/>
        <color rgb="FF000000"/>
        <rFont val="Calibri"/>
        <family val="2"/>
        <scheme val="minor"/>
      </rPr>
      <t>2</t>
    </r>
    <r>
      <rPr>
        <sz val="11"/>
        <color rgb="FF000000"/>
        <rFont val="Calibri"/>
        <family val="2"/>
        <charset val="238"/>
        <scheme val="minor"/>
      </rPr>
      <t xml:space="preserve"> (OHO)</t>
    </r>
  </si>
  <si>
    <t>Saturation term for VFA</t>
  </si>
  <si>
    <r>
      <t>Inhibition term for O</t>
    </r>
    <r>
      <rPr>
        <vertAlign val="subscript"/>
        <sz val="11"/>
        <color rgb="FF000000"/>
        <rFont val="Calibri"/>
        <family val="2"/>
        <scheme val="minor"/>
      </rPr>
      <t>2</t>
    </r>
    <r>
      <rPr>
        <sz val="11"/>
        <color rgb="FF000000"/>
        <rFont val="Calibri"/>
        <family val="2"/>
        <charset val="238"/>
        <scheme val="minor"/>
      </rPr>
      <t xml:space="preserve"> (MEOLO)</t>
    </r>
  </si>
  <si>
    <t>Saturation term for methanol (MEOLO)</t>
  </si>
  <si>
    <r>
      <t>Saturation term for O</t>
    </r>
    <r>
      <rPr>
        <vertAlign val="subscript"/>
        <sz val="11"/>
        <color rgb="FF000000"/>
        <rFont val="Calibri"/>
        <family val="2"/>
        <scheme val="minor"/>
      </rPr>
      <t>2</t>
    </r>
    <r>
      <rPr>
        <sz val="11"/>
        <color rgb="FF000000"/>
        <rFont val="Calibri"/>
        <family val="2"/>
        <charset val="238"/>
        <scheme val="minor"/>
      </rPr>
      <t xml:space="preserve"> (MEOLO)</t>
    </r>
  </si>
  <si>
    <r>
      <t>Saturation term for NO</t>
    </r>
    <r>
      <rPr>
        <vertAlign val="subscript"/>
        <sz val="11"/>
        <color rgb="FF000000"/>
        <rFont val="Calibri"/>
        <family val="2"/>
        <scheme val="minor"/>
      </rPr>
      <t>3</t>
    </r>
    <r>
      <rPr>
        <sz val="11"/>
        <color rgb="FF000000"/>
        <rFont val="Calibri"/>
        <family val="2"/>
        <charset val="238"/>
        <scheme val="minor"/>
      </rPr>
      <t xml:space="preserve"> (OHO)</t>
    </r>
  </si>
  <si>
    <r>
      <t>Saturation term for NO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</si>
  <si>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2</t>
    </r>
    <r>
      <rPr>
        <sz val="11"/>
        <color rgb="FF000000"/>
        <rFont val="Calibri"/>
        <family val="2"/>
        <charset val="238"/>
        <scheme val="minor"/>
      </rPr>
      <t xml:space="preserve"> (MEOLO)</t>
    </r>
  </si>
  <si>
    <r>
      <t>Inhibition term for NO</t>
    </r>
    <r>
      <rPr>
        <vertAlign val="subscript"/>
        <sz val="11"/>
        <color rgb="FF000000"/>
        <rFont val="Calibri"/>
        <family val="2"/>
        <scheme val="minor"/>
      </rPr>
      <t>3</t>
    </r>
    <r>
      <rPr>
        <sz val="11"/>
        <color rgb="FF000000"/>
        <rFont val="Calibri"/>
        <family val="2"/>
        <charset val="238"/>
        <scheme val="minor"/>
      </rPr>
      <t xml:space="preserve"> (MEOLO)</t>
    </r>
  </si>
  <si>
    <r>
      <t>Saturation term for NO</t>
    </r>
    <r>
      <rPr>
        <vertAlign val="subscript"/>
        <sz val="11"/>
        <color rgb="FF000000"/>
        <rFont val="Calibri"/>
        <family val="2"/>
        <scheme val="minor"/>
      </rPr>
      <t>2</t>
    </r>
    <r>
      <rPr>
        <sz val="11"/>
        <color rgb="FF000000"/>
        <rFont val="Calibri"/>
        <family val="2"/>
        <charset val="238"/>
        <scheme val="minor"/>
      </rPr>
      <t xml:space="preserve"> (MEOLO)</t>
    </r>
  </si>
  <si>
    <r>
      <t>Saturation term for NO</t>
    </r>
    <r>
      <rPr>
        <vertAlign val="subscript"/>
        <sz val="11"/>
        <color rgb="FF000000"/>
        <rFont val="Calibri"/>
        <family val="2"/>
        <scheme val="minor"/>
      </rPr>
      <t>3</t>
    </r>
    <r>
      <rPr>
        <sz val="11"/>
        <color rgb="FF000000"/>
        <rFont val="Calibri"/>
        <family val="2"/>
        <charset val="238"/>
        <scheme val="minor"/>
      </rPr>
      <t xml:space="preserve"> (MEOLO)</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</si>
  <si>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(AOB)</t>
    </r>
  </si>
  <si>
    <r>
      <t>Inhibition term for O</t>
    </r>
    <r>
      <rPr>
        <vertAlign val="subscript"/>
        <sz val="11"/>
        <color rgb="FF000000"/>
        <rFont val="Calibri"/>
        <family val="2"/>
        <scheme val="minor"/>
      </rPr>
      <t>2</t>
    </r>
    <r>
      <rPr>
        <sz val="11"/>
        <color rgb="FF000000"/>
        <rFont val="Calibri"/>
        <family val="2"/>
        <charset val="238"/>
        <scheme val="minor"/>
      </rPr>
      <t xml:space="preserve"> (AOB)</t>
    </r>
  </si>
  <si>
    <r>
      <t>Saturation term for NH</t>
    </r>
    <r>
      <rPr>
        <vertAlign val="subscript"/>
        <sz val="11"/>
        <color rgb="FF000000"/>
        <rFont val="Calibri"/>
        <family val="2"/>
        <scheme val="minor"/>
      </rPr>
      <t>x</t>
    </r>
    <r>
      <rPr>
        <sz val="11"/>
        <color rgb="FF000000"/>
        <rFont val="Calibri"/>
        <family val="2"/>
        <charset val="238"/>
        <scheme val="minor"/>
      </rPr>
      <t xml:space="preserve"> (AOB)</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</si>
  <si>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(AOB)</t>
    </r>
  </si>
  <si>
    <r>
      <t>Saturation term for O</t>
    </r>
    <r>
      <rPr>
        <vertAlign val="subscript"/>
        <sz val="11"/>
        <color rgb="FF000000"/>
        <rFont val="Calibri"/>
        <family val="2"/>
        <scheme val="minor"/>
      </rPr>
      <t>2</t>
    </r>
    <r>
      <rPr>
        <sz val="11"/>
        <color rgb="FF000000"/>
        <rFont val="Calibri"/>
        <family val="2"/>
        <charset val="238"/>
        <scheme val="minor"/>
      </rPr>
      <t xml:space="preserve"> (AOB)</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</si>
  <si>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(NOB)</t>
    </r>
  </si>
  <si>
    <r>
      <t>Inhibition term for O</t>
    </r>
    <r>
      <rPr>
        <vertAlign val="subscript"/>
        <sz val="11"/>
        <color rgb="FF000000"/>
        <rFont val="Calibri"/>
        <family val="2"/>
        <scheme val="minor"/>
      </rPr>
      <t>2</t>
    </r>
    <r>
      <rPr>
        <sz val="11"/>
        <color rgb="FF000000"/>
        <rFont val="Calibri"/>
        <family val="2"/>
        <charset val="238"/>
        <scheme val="minor"/>
      </rPr>
      <t xml:space="preserve"> (NOB)</t>
    </r>
  </si>
  <si>
    <r>
      <t>Saturation term for NO</t>
    </r>
    <r>
      <rPr>
        <vertAlign val="subscript"/>
        <sz val="11"/>
        <color rgb="FF000000"/>
        <rFont val="Calibri"/>
        <family val="2"/>
        <scheme val="minor"/>
      </rPr>
      <t>2</t>
    </r>
    <r>
      <rPr>
        <sz val="11"/>
        <color rgb="FF000000"/>
        <rFont val="Calibri"/>
        <family val="2"/>
        <charset val="238"/>
        <scheme val="minor"/>
      </rPr>
      <t xml:space="preserve"> (NOB)</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</si>
  <si>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(NOB )</t>
    </r>
  </si>
  <si>
    <r>
      <t>Saturation term for O</t>
    </r>
    <r>
      <rPr>
        <vertAlign val="subscript"/>
        <sz val="11"/>
        <color rgb="FF000000"/>
        <rFont val="Calibri"/>
        <family val="2"/>
        <scheme val="minor"/>
      </rPr>
      <t>2</t>
    </r>
    <r>
      <rPr>
        <sz val="11"/>
        <color rgb="FF000000"/>
        <rFont val="Calibri"/>
        <family val="2"/>
        <charset val="238"/>
        <scheme val="minor"/>
      </rPr>
      <t xml:space="preserve"> (NOB)</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</si>
  <si>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(AMX)</t>
    </r>
  </si>
  <si>
    <r>
      <t>Inhibition term for O</t>
    </r>
    <r>
      <rPr>
        <vertAlign val="subscript"/>
        <sz val="11"/>
        <color rgb="FF000000"/>
        <rFont val="Calibri"/>
        <family val="2"/>
        <scheme val="minor"/>
      </rPr>
      <t>2</t>
    </r>
    <r>
      <rPr>
        <sz val="11"/>
        <color rgb="FF000000"/>
        <rFont val="Calibri"/>
        <family val="2"/>
        <charset val="238"/>
        <scheme val="minor"/>
      </rPr>
      <t xml:space="preserve"> (AMX)</t>
    </r>
  </si>
  <si>
    <r>
      <t>Saturation term for NH</t>
    </r>
    <r>
      <rPr>
        <vertAlign val="subscript"/>
        <sz val="11"/>
        <color rgb="FF000000"/>
        <rFont val="Calibri"/>
        <family val="2"/>
        <scheme val="minor"/>
      </rPr>
      <t>x</t>
    </r>
    <r>
      <rPr>
        <sz val="11"/>
        <color rgb="FF000000"/>
        <rFont val="Calibri"/>
        <family val="2"/>
        <charset val="238"/>
        <scheme val="minor"/>
      </rPr>
      <t xml:space="preserve"> (AMX)</t>
    </r>
  </si>
  <si>
    <r>
      <t>Saturation term for NO</t>
    </r>
    <r>
      <rPr>
        <vertAlign val="subscript"/>
        <sz val="11"/>
        <color rgb="FF000000"/>
        <rFont val="Calibri"/>
        <family val="2"/>
        <scheme val="minor"/>
      </rPr>
      <t>2</t>
    </r>
    <r>
      <rPr>
        <sz val="11"/>
        <color rgb="FF000000"/>
        <rFont val="Calibri"/>
        <family val="2"/>
        <charset val="238"/>
        <scheme val="minor"/>
      </rPr>
      <t xml:space="preserve"> (AMX)</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</si>
  <si>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(AMX)</t>
    </r>
  </si>
  <si>
    <r>
      <t>Saturation term for O</t>
    </r>
    <r>
      <rPr>
        <vertAlign val="subscript"/>
        <sz val="11"/>
        <color rgb="FF000000"/>
        <rFont val="Calibri"/>
        <family val="2"/>
        <scheme val="minor"/>
      </rPr>
      <t>2</t>
    </r>
    <r>
      <rPr>
        <sz val="11"/>
        <color rgb="FF000000"/>
        <rFont val="Calibri"/>
        <family val="2"/>
        <charset val="238"/>
        <scheme val="minor"/>
      </rPr>
      <t xml:space="preserve"> (AMX)</t>
    </r>
  </si>
  <si>
    <r>
      <t>Minh</t>
    </r>
    <r>
      <rPr>
        <vertAlign val="subscript"/>
        <sz val="11"/>
        <rFont val="Calibri"/>
        <family val="2"/>
        <scheme val="minor"/>
      </rPr>
      <t>SPO4,KiPO4,lim</t>
    </r>
  </si>
  <si>
    <t>Inhibition term for PO4 (PAO)</t>
  </si>
  <si>
    <r>
      <t>Minh(S</t>
    </r>
    <r>
      <rPr>
        <vertAlign val="subscript"/>
        <sz val="11"/>
        <rFont val="Calibri"/>
        <family val="2"/>
        <scheme val="minor"/>
      </rPr>
      <t>PO4</t>
    </r>
    <r>
      <rPr>
        <sz val="11"/>
        <rFont val="Calibri"/>
        <family val="2"/>
        <scheme val="minor"/>
      </rPr>
      <t>;Ki</t>
    </r>
    <r>
      <rPr>
        <vertAlign val="subscript"/>
        <sz val="11"/>
        <rFont val="Calibri"/>
        <family val="2"/>
        <scheme val="minor"/>
      </rPr>
      <t>PO4,lim</t>
    </r>
    <r>
      <rPr>
        <sz val="11"/>
        <rFont val="Calibri"/>
        <family val="2"/>
        <scheme val="minor"/>
      </rPr>
      <t>)</t>
    </r>
  </si>
  <si>
    <t>Saturation term for Ca as counter ion for PP (PAO)</t>
  </si>
  <si>
    <t>Saturation term for K as counter ion for PP (PAO)</t>
  </si>
  <si>
    <t>Saturation term for Mg as counter ion for PP (PAO)</t>
  </si>
  <si>
    <r>
      <t>Saturation term for PO</t>
    </r>
    <r>
      <rPr>
        <vertAlign val="subscript"/>
        <sz val="11"/>
        <color rgb="FF000000"/>
        <rFont val="Calibri"/>
        <family val="2"/>
        <scheme val="minor"/>
      </rPr>
      <t>4</t>
    </r>
    <r>
      <rPr>
        <sz val="11"/>
        <color rgb="FF000000"/>
        <rFont val="Calibri"/>
        <family val="2"/>
        <charset val="238"/>
        <scheme val="minor"/>
      </rPr>
      <t xml:space="preserve"> (PAO)</t>
    </r>
  </si>
  <si>
    <t>Saturation term for PP as nutrient (PAO)</t>
  </si>
  <si>
    <t>Saturation term for glycogen (GAO)</t>
  </si>
  <si>
    <t>Inhibition term for glycogen (GAO)</t>
  </si>
  <si>
    <r>
      <t>Inhibition term for NO</t>
    </r>
    <r>
      <rPr>
        <vertAlign val="subscript"/>
        <sz val="11"/>
        <color rgb="FF000000"/>
        <rFont val="Calibri"/>
        <family val="2"/>
        <scheme val="minor"/>
      </rPr>
      <t>x</t>
    </r>
    <r>
      <rPr>
        <sz val="11"/>
        <color rgb="FF000000"/>
        <rFont val="Calibri"/>
        <family val="2"/>
        <charset val="238"/>
        <scheme val="minor"/>
      </rPr>
      <t xml:space="preserve"> (AMETO)</t>
    </r>
  </si>
  <si>
    <r>
      <t>Inhibition term for O</t>
    </r>
    <r>
      <rPr>
        <vertAlign val="subscript"/>
        <sz val="11"/>
        <color rgb="FF000000"/>
        <rFont val="Calibri"/>
        <family val="2"/>
        <scheme val="minor"/>
      </rPr>
      <t>2</t>
    </r>
    <r>
      <rPr>
        <sz val="11"/>
        <color rgb="FF000000"/>
        <rFont val="Calibri"/>
        <family val="2"/>
        <charset val="238"/>
        <scheme val="minor"/>
      </rPr>
      <t xml:space="preserve"> (AMETO)</t>
    </r>
  </si>
  <si>
    <r>
      <t>Saturation term for NO</t>
    </r>
    <r>
      <rPr>
        <vertAlign val="subscript"/>
        <sz val="11"/>
        <color rgb="FF000000"/>
        <rFont val="Calibri"/>
        <family val="2"/>
        <scheme val="minor"/>
      </rPr>
      <t>x</t>
    </r>
    <r>
      <rPr>
        <sz val="11"/>
        <color rgb="FF000000"/>
        <rFont val="Calibri"/>
        <family val="2"/>
        <charset val="238"/>
        <scheme val="minor"/>
      </rPr>
      <t xml:space="preserve"> (AMETO)</t>
    </r>
  </si>
  <si>
    <r>
      <t>Saturation term for O</t>
    </r>
    <r>
      <rPr>
        <vertAlign val="subscript"/>
        <sz val="11"/>
        <color rgb="FF000000"/>
        <rFont val="Calibri"/>
        <family val="2"/>
        <scheme val="minor"/>
      </rPr>
      <t>2</t>
    </r>
    <r>
      <rPr>
        <sz val="11"/>
        <color rgb="FF000000"/>
        <rFont val="Calibri"/>
        <family val="2"/>
        <charset val="238"/>
        <scheme val="minor"/>
      </rPr>
      <t xml:space="preserve"> (AMETO)</t>
    </r>
  </si>
  <si>
    <t>Haldane term for VFA (AMETO)</t>
  </si>
  <si>
    <r>
      <t>Inhibition term for NO</t>
    </r>
    <r>
      <rPr>
        <vertAlign val="subscript"/>
        <sz val="11"/>
        <color rgb="FF000000"/>
        <rFont val="Calibri"/>
        <family val="2"/>
        <scheme val="minor"/>
      </rPr>
      <t>x</t>
    </r>
    <r>
      <rPr>
        <sz val="11"/>
        <color rgb="FF000000"/>
        <rFont val="Calibri"/>
        <family val="2"/>
        <charset val="238"/>
        <scheme val="minor"/>
      </rPr>
      <t xml:space="preserve"> (HMETO)</t>
    </r>
  </si>
  <si>
    <r>
      <t>Inhibition term for O</t>
    </r>
    <r>
      <rPr>
        <vertAlign val="subscript"/>
        <sz val="11"/>
        <color rgb="FF000000"/>
        <rFont val="Calibri"/>
        <family val="2"/>
        <scheme val="minor"/>
      </rPr>
      <t>2</t>
    </r>
    <r>
      <rPr>
        <sz val="11"/>
        <color rgb="FF000000"/>
        <rFont val="Calibri"/>
        <family val="2"/>
        <charset val="238"/>
        <scheme val="minor"/>
      </rPr>
      <t xml:space="preserve"> (HMETO)</t>
    </r>
  </si>
  <si>
    <r>
      <t>Saturation term for H</t>
    </r>
    <r>
      <rPr>
        <vertAlign val="subscript"/>
        <sz val="11"/>
        <color rgb="FF000000"/>
        <rFont val="Calibri"/>
        <family val="2"/>
        <scheme val="minor"/>
      </rPr>
      <t>2</t>
    </r>
    <r>
      <rPr>
        <sz val="11"/>
        <color rgb="FF000000"/>
        <rFont val="Calibri"/>
        <family val="2"/>
        <charset val="238"/>
        <scheme val="minor"/>
      </rPr>
      <t xml:space="preserve"> (HMETO)</t>
    </r>
  </si>
  <si>
    <r>
      <t>Saturation term for NO</t>
    </r>
    <r>
      <rPr>
        <vertAlign val="subscript"/>
        <sz val="11"/>
        <color rgb="FF000000"/>
        <rFont val="Calibri"/>
        <family val="2"/>
        <scheme val="minor"/>
      </rPr>
      <t>x</t>
    </r>
    <r>
      <rPr>
        <sz val="11"/>
        <color rgb="FF000000"/>
        <rFont val="Calibri"/>
        <family val="2"/>
        <charset val="238"/>
        <scheme val="minor"/>
      </rPr>
      <t xml:space="preserve"> (HMETO)</t>
    </r>
  </si>
  <si>
    <r>
      <t>Saturation term for O</t>
    </r>
    <r>
      <rPr>
        <vertAlign val="subscript"/>
        <sz val="11"/>
        <color rgb="FF000000"/>
        <rFont val="Calibri"/>
        <family val="2"/>
        <scheme val="minor"/>
      </rPr>
      <t>2</t>
    </r>
    <r>
      <rPr>
        <sz val="11"/>
        <color rgb="FF000000"/>
        <rFont val="Calibri"/>
        <family val="2"/>
        <charset val="238"/>
        <scheme val="minor"/>
      </rPr>
      <t xml:space="preserve"> (HMETO)</t>
    </r>
  </si>
  <si>
    <r>
      <t>Hsat(S</t>
    </r>
    <r>
      <rPr>
        <vertAlign val="subscript"/>
        <sz val="11"/>
        <rFont val="Calibri"/>
        <family val="2"/>
        <scheme val="minor"/>
      </rPr>
      <t>VFA</t>
    </r>
    <r>
      <rPr>
        <sz val="11"/>
        <rFont val="Calibri"/>
        <family val="2"/>
        <scheme val="minor"/>
      </rPr>
      <t>;K</t>
    </r>
    <r>
      <rPr>
        <vertAlign val="subscript"/>
        <sz val="11"/>
        <rFont val="Calibri"/>
        <family val="2"/>
        <scheme val="minor"/>
      </rPr>
      <t>VFA,AMETO</t>
    </r>
    <r>
      <rPr>
        <sz val="11"/>
        <rFont val="Calibri"/>
        <family val="2"/>
        <scheme val="minor"/>
      </rPr>
      <t>;Ki</t>
    </r>
    <r>
      <rPr>
        <vertAlign val="subscript"/>
        <sz val="11"/>
        <rFont val="Calibri"/>
        <family val="2"/>
        <scheme val="minor"/>
      </rPr>
      <t>VFA,AMETO</t>
    </r>
    <r>
      <rPr>
        <sz val="11"/>
        <rFont val="Calibri"/>
        <family val="2"/>
        <scheme val="minor"/>
      </rPr>
      <t>)</t>
    </r>
  </si>
  <si>
    <r>
      <t>Minh</t>
    </r>
    <r>
      <rPr>
        <vertAlign val="subscript"/>
        <sz val="11"/>
        <rFont val="Calibri"/>
        <family val="2"/>
        <scheme val="minor"/>
      </rPr>
      <t>SNHx,KiNHx,ASSIM</t>
    </r>
  </si>
  <si>
    <r>
      <t>Minh(S</t>
    </r>
    <r>
      <rPr>
        <vertAlign val="subscript"/>
        <sz val="11"/>
        <rFont val="Calibri"/>
        <family val="2"/>
        <scheme val="minor"/>
      </rPr>
      <t>NHx</t>
    </r>
    <r>
      <rPr>
        <sz val="11"/>
        <rFont val="Calibri"/>
        <family val="2"/>
        <scheme val="minor"/>
      </rPr>
      <t>;Ki</t>
    </r>
    <r>
      <rPr>
        <vertAlign val="subscript"/>
        <sz val="11"/>
        <rFont val="Calibri"/>
        <family val="2"/>
        <scheme val="minor"/>
      </rPr>
      <t>NHx,ASSIM</t>
    </r>
    <r>
      <rPr>
        <sz val="11"/>
        <rFont val="Calibri"/>
        <family val="2"/>
        <scheme val="minor"/>
      </rPr>
      <t>)</t>
    </r>
  </si>
  <si>
    <t>Saturation term for colloidal biodegradable substrate (flocculation)</t>
  </si>
  <si>
    <t>Saturation term for slowly biodegradable substrate (hydrolysis)</t>
  </si>
  <si>
    <t>Saturation term for anaerobic endogenous decay products (hydrolysis)</t>
  </si>
  <si>
    <r>
      <t>Saturation term for NO</t>
    </r>
    <r>
      <rPr>
        <vertAlign val="subscript"/>
        <sz val="11"/>
        <color rgb="FF000000"/>
        <rFont val="Calibri"/>
        <family val="2"/>
        <scheme val="minor"/>
      </rPr>
      <t>2</t>
    </r>
    <r>
      <rPr>
        <sz val="11"/>
        <color rgb="FF000000"/>
        <rFont val="Calibri"/>
        <family val="2"/>
        <charset val="238"/>
        <scheme val="minor"/>
      </rPr>
      <t xml:space="preserve"> (assimilative reduction)</t>
    </r>
  </si>
  <si>
    <r>
      <t>Saturation term for NO</t>
    </r>
    <r>
      <rPr>
        <vertAlign val="subscript"/>
        <sz val="11"/>
        <color rgb="FF000000"/>
        <rFont val="Calibri"/>
        <family val="2"/>
        <scheme val="minor"/>
      </rPr>
      <t>3</t>
    </r>
    <r>
      <rPr>
        <sz val="11"/>
        <color rgb="FF000000"/>
        <rFont val="Calibri"/>
        <family val="2"/>
        <charset val="238"/>
        <scheme val="minor"/>
      </rPr>
      <t xml:space="preserve"> (assimilative reduction)</t>
    </r>
  </si>
  <si>
    <r>
      <t>Inhibition term for NO</t>
    </r>
    <r>
      <rPr>
        <vertAlign val="subscript"/>
        <sz val="11"/>
        <color rgb="FF000000"/>
        <rFont val="Calibri"/>
        <family val="2"/>
        <scheme val="minor"/>
      </rPr>
      <t>2</t>
    </r>
    <r>
      <rPr>
        <sz val="11"/>
        <color rgb="FF000000"/>
        <rFont val="Calibri"/>
        <family val="2"/>
        <charset val="238"/>
        <scheme val="minor"/>
      </rPr>
      <t xml:space="preserve"> (assimilative reduction)</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</si>
  <si>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HFO</t>
    </r>
  </si>
  <si>
    <r>
      <t>Saturation term for PO</t>
    </r>
    <r>
      <rPr>
        <vertAlign val="subscript"/>
        <sz val="11"/>
        <color rgb="FF000000"/>
        <rFont val="Calibri"/>
        <family val="2"/>
        <scheme val="minor"/>
      </rPr>
      <t>4</t>
    </r>
    <r>
      <rPr>
        <sz val="11"/>
        <color rgb="FF000000"/>
        <rFont val="Calibri"/>
        <family val="2"/>
        <charset val="238"/>
        <scheme val="minor"/>
      </rPr>
      <t xml:space="preserve"> binding on HFO</t>
    </r>
  </si>
  <si>
    <r>
      <t>Msat</t>
    </r>
    <r>
      <rPr>
        <vertAlign val="subscript"/>
        <sz val="11"/>
        <rFont val="Calibri"/>
        <family val="2"/>
        <scheme val="minor"/>
      </rPr>
      <t>XACP,KACP,DISS</t>
    </r>
  </si>
  <si>
    <t>Saturation term for ACP dissolution</t>
  </si>
  <si>
    <r>
      <t>Msat(X</t>
    </r>
    <r>
      <rPr>
        <vertAlign val="subscript"/>
        <sz val="11"/>
        <rFont val="Calibri"/>
        <family val="2"/>
        <scheme val="minor"/>
      </rPr>
      <t>ACP</t>
    </r>
    <r>
      <rPr>
        <sz val="11"/>
        <rFont val="Calibri"/>
        <family val="2"/>
        <scheme val="minor"/>
      </rPr>
      <t>;K</t>
    </r>
    <r>
      <rPr>
        <vertAlign val="subscript"/>
        <sz val="11"/>
        <rFont val="Calibri"/>
        <family val="2"/>
        <scheme val="minor"/>
      </rPr>
      <t>ACP,DISS</t>
    </r>
    <r>
      <rPr>
        <sz val="11"/>
        <rFont val="Calibri"/>
        <family val="2"/>
        <scheme val="minor"/>
      </rPr>
      <t>)</t>
    </r>
  </si>
  <si>
    <r>
      <t>Msat</t>
    </r>
    <r>
      <rPr>
        <vertAlign val="subscript"/>
        <sz val="11"/>
        <rFont val="Calibri"/>
        <family val="2"/>
        <scheme val="minor"/>
      </rPr>
      <t>XCaCO3,KCaCO3,DISS</t>
    </r>
  </si>
  <si>
    <t>Saturation term for calcium carbonate dissolution</t>
  </si>
  <si>
    <r>
      <t>Msat(X</t>
    </r>
    <r>
      <rPr>
        <vertAlign val="subscript"/>
        <sz val="11"/>
        <rFont val="Calibri"/>
        <family val="2"/>
        <scheme val="minor"/>
      </rPr>
      <t>CaCO3</t>
    </r>
    <r>
      <rPr>
        <sz val="11"/>
        <rFont val="Calibri"/>
        <family val="2"/>
        <scheme val="minor"/>
      </rPr>
      <t>;K</t>
    </r>
    <r>
      <rPr>
        <vertAlign val="subscript"/>
        <sz val="11"/>
        <rFont val="Calibri"/>
        <family val="2"/>
        <scheme val="minor"/>
      </rPr>
      <t>CaCO3,DISS</t>
    </r>
    <r>
      <rPr>
        <sz val="11"/>
        <rFont val="Calibri"/>
        <family val="2"/>
        <scheme val="minor"/>
      </rPr>
      <t>)</t>
    </r>
  </si>
  <si>
    <r>
      <t>Msat</t>
    </r>
    <r>
      <rPr>
        <vertAlign val="subscript"/>
        <sz val="11"/>
        <rFont val="Calibri"/>
        <family val="2"/>
        <scheme val="minor"/>
      </rPr>
      <t>XSTR,KSTR,DISS</t>
    </r>
  </si>
  <si>
    <t>Saturation term for struvite dissolution</t>
  </si>
  <si>
    <r>
      <t>Msat(X</t>
    </r>
    <r>
      <rPr>
        <vertAlign val="subscript"/>
        <sz val="11"/>
        <rFont val="Calibri"/>
        <family val="2"/>
        <scheme val="minor"/>
      </rPr>
      <t>STR</t>
    </r>
    <r>
      <rPr>
        <sz val="11"/>
        <rFont val="Calibri"/>
        <family val="2"/>
        <scheme val="minor"/>
      </rPr>
      <t>;K</t>
    </r>
    <r>
      <rPr>
        <vertAlign val="subscript"/>
        <sz val="11"/>
        <rFont val="Calibri"/>
        <family val="2"/>
        <scheme val="minor"/>
      </rPr>
      <t>STR,DISS</t>
    </r>
    <r>
      <rPr>
        <sz val="11"/>
        <rFont val="Calibri"/>
        <family val="2"/>
        <scheme val="minor"/>
      </rPr>
      <t>)</t>
    </r>
  </si>
  <si>
    <r>
      <t>Msat</t>
    </r>
    <r>
      <rPr>
        <vertAlign val="subscript"/>
        <sz val="11"/>
        <rFont val="Calibri"/>
        <family val="2"/>
        <scheme val="minor"/>
      </rPr>
      <t>XVivi,KVivi,DISS</t>
    </r>
  </si>
  <si>
    <t>Saturation term for vivianite dissolution</t>
  </si>
  <si>
    <r>
      <t>Msat(X</t>
    </r>
    <r>
      <rPr>
        <vertAlign val="subscript"/>
        <sz val="11"/>
        <rFont val="Calibri"/>
        <family val="2"/>
        <scheme val="minor"/>
      </rPr>
      <t>Vivi</t>
    </r>
    <r>
      <rPr>
        <sz val="11"/>
        <rFont val="Calibri"/>
        <family val="2"/>
        <scheme val="minor"/>
      </rPr>
      <t>;K</t>
    </r>
    <r>
      <rPr>
        <vertAlign val="subscript"/>
        <sz val="11"/>
        <rFont val="Calibri"/>
        <family val="2"/>
        <scheme val="minor"/>
      </rPr>
      <t>Vivi,DISS</t>
    </r>
    <r>
      <rPr>
        <sz val="11"/>
        <rFont val="Calibri"/>
        <family val="2"/>
        <scheme val="minor"/>
      </rPr>
      <t>)</t>
    </r>
  </si>
  <si>
    <r>
      <t>µ</t>
    </r>
    <r>
      <rPr>
        <vertAlign val="subscript"/>
        <sz val="11"/>
        <color indexed="8"/>
        <rFont val="Calibri"/>
        <family val="2"/>
        <scheme val="minor"/>
      </rPr>
      <t>FERM,PAO,T</t>
    </r>
  </si>
  <si>
    <t>Fermentation growth rate of PAOs (temperature corrected)</t>
  </si>
  <si>
    <r>
      <t>µ</t>
    </r>
    <r>
      <rPr>
        <vertAlign val="subscript"/>
        <sz val="11"/>
        <color indexed="8"/>
        <rFont val="Calibri"/>
        <family val="2"/>
        <scheme val="minor"/>
      </rPr>
      <t>FERM,PAO</t>
    </r>
    <r>
      <rPr>
        <sz val="11"/>
        <color indexed="8"/>
        <rFont val="Calibri"/>
        <family val="2"/>
        <scheme val="minor"/>
      </rPr>
      <t>*Arrh(θ</t>
    </r>
    <r>
      <rPr>
        <vertAlign val="subscript"/>
        <sz val="11"/>
        <color indexed="8"/>
        <rFont val="Calibri"/>
        <family val="2"/>
        <scheme val="minor"/>
      </rPr>
      <t>FERM,PAO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</si>
  <si>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Maximum specific growth rate of OHOs (temperature corrected)</t>
  </si>
  <si>
    <t>Fermentation growth rate of OHOs (temperature corrected)</t>
  </si>
  <si>
    <t>Decay rate of OHOs (temperature corrected)</t>
  </si>
  <si>
    <t>Maximum specific growth rate of MEOLOs (temperature corrected)</t>
  </si>
  <si>
    <t>Decay rate of MEOLOs (temperature corrected)</t>
  </si>
  <si>
    <t>Maximum specific growth rate of PAOs under P limited (temperature corrected)</t>
  </si>
  <si>
    <t>Rate of VFA storage into PHA for PAOs (temperature corrected)</t>
  </si>
  <si>
    <t>Rate of maintenance under anaerobic conditions (PP cleavage) of PAOs (temperature corrected)</t>
  </si>
  <si>
    <t>Rate of VFA storage into glycogen for GAOs (temperature corrected)</t>
  </si>
  <si>
    <t>Maximum specific growth rate of AOBs (temperature corrected)</t>
  </si>
  <si>
    <t>Decay rate of AOBs (temperature corrected)</t>
  </si>
  <si>
    <t>Maximum specific growth rate of NOBs (temperature corrected)</t>
  </si>
  <si>
    <t>Decay rate of NOBs (temperature corrected)</t>
  </si>
  <si>
    <t>Maximum specific growth rate of AMXs (temperature corrected)</t>
  </si>
  <si>
    <t>Decay rate of AMXs (temperature corrected)</t>
  </si>
  <si>
    <t>Maximum specific growth rate of AMETOs (temperature corrected)</t>
  </si>
  <si>
    <t>Decay rate of AMETOs (temperature corrected)</t>
  </si>
  <si>
    <t>Maximum specific growth rate of HMETOs (temperature corrected)</t>
  </si>
  <si>
    <t>Decay rate of HMETOs (temperature corrected)</t>
  </si>
  <si>
    <t>Rate of flocculation (temperature corrected)</t>
  </si>
  <si>
    <t>Rate of hydrolysis (temperature corrected)</t>
  </si>
  <si>
    <t>Rate of ammonification (temperature corrected)</t>
  </si>
  <si>
    <t>Rate of soluble biodegradable organic P conversion (temperature corrected)</t>
  </si>
  <si>
    <t>Rate of endogenous decay products conversion (temperature corrected)</t>
  </si>
  <si>
    <t>Rate of assimilative nutrient reduction (temperature corrected)</t>
  </si>
  <si>
    <r>
      <t>Rate of Fe</t>
    </r>
    <r>
      <rPr>
        <vertAlign val="subscript"/>
        <sz val="11"/>
        <color rgb="FF000000"/>
        <rFont val="Calibri"/>
        <family val="2"/>
        <scheme val="minor"/>
      </rPr>
      <t>2</t>
    </r>
    <r>
      <rPr>
        <sz val="11"/>
        <color rgb="FF000000"/>
        <rFont val="Calibri"/>
        <family val="2"/>
        <charset val="238"/>
        <scheme val="minor"/>
      </rPr>
      <t xml:space="preserve"> oxidation (temperature corrected)</t>
    </r>
  </si>
  <si>
    <t>Rate of HFO reduction with organics (temperature corrected)</t>
  </si>
  <si>
    <r>
      <t>q</t>
    </r>
    <r>
      <rPr>
        <vertAlign val="subscript"/>
        <sz val="11"/>
        <color indexed="8"/>
        <rFont val="Calibri"/>
        <family val="2"/>
        <scheme val="minor"/>
      </rPr>
      <t>Fe2,OX,T</t>
    </r>
  </si>
  <si>
    <r>
      <t>q</t>
    </r>
    <r>
      <rPr>
        <vertAlign val="subscript"/>
        <sz val="11"/>
        <color indexed="8"/>
        <rFont val="Calibri"/>
        <family val="2"/>
        <scheme val="minor"/>
      </rPr>
      <t>Fe2,OX</t>
    </r>
    <r>
      <rPr>
        <sz val="11"/>
        <color indexed="8"/>
        <rFont val="Calibri"/>
        <family val="2"/>
        <scheme val="minor"/>
      </rPr>
      <t>*Arrh(θ</t>
    </r>
    <r>
      <rPr>
        <vertAlign val="subscript"/>
        <sz val="11"/>
        <color indexed="8"/>
        <rFont val="Calibri"/>
        <family val="2"/>
        <scheme val="minor"/>
      </rPr>
      <t>q,Fe2,OX</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</si>
  <si>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q,Fe2,OX</t>
    </r>
  </si>
  <si>
    <t>Dissociation constant of water (temperature corrected)</t>
  </si>
  <si>
    <t>Dissociation constant of carbonate first step (temperature corrected)</t>
  </si>
  <si>
    <t>Dissociation constant of carbonate second step (temperature corrected)</t>
  </si>
  <si>
    <t>Dissociation constant of phosphate first step (temperature corrected)</t>
  </si>
  <si>
    <t>Dissociation constant of phosphate second step (temperature corrected)</t>
  </si>
  <si>
    <t>Dissociation constant of phosphate third step (temperature corrected)</t>
  </si>
  <si>
    <t>Dissociation constant of acetate (temperature corrected)</t>
  </si>
  <si>
    <t>Dissociation constant of ammonia (temperature corrected)</t>
  </si>
  <si>
    <t>Dissociation constant of water (activity corrected)</t>
  </si>
  <si>
    <t>Dissociation constant of carbonate first step (activity corrected)</t>
  </si>
  <si>
    <t>Dissociation constant of carbonate second step (activity corrected)</t>
  </si>
  <si>
    <t>Dissociation constant of phosphate first step (activity corrected)</t>
  </si>
  <si>
    <t>Dissociation constant of phosphate second step (activity corrected)</t>
  </si>
  <si>
    <t>Dissociation constant of phosphate third step (activity corrected)</t>
  </si>
  <si>
    <t>Dissociation constant of acetate (activity corrected)</t>
  </si>
  <si>
    <t>Dissociation constant of ammonia (activity corrected)</t>
  </si>
  <si>
    <t>Dissociation constant of nitrous acid (temperature corrected)</t>
  </si>
  <si>
    <r>
      <t>K</t>
    </r>
    <r>
      <rPr>
        <vertAlign val="subscript"/>
        <sz val="11"/>
        <rFont val="Calibri"/>
        <family val="2"/>
        <scheme val="minor"/>
      </rPr>
      <t>Ac</t>
    </r>
  </si>
  <si>
    <r>
      <t>K</t>
    </r>
    <r>
      <rPr>
        <vertAlign val="subscript"/>
        <sz val="11"/>
        <rFont val="Calibri"/>
        <family val="2"/>
        <scheme val="minor"/>
      </rPr>
      <t>Ac,T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</si>
  <si>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NO2</t>
    </r>
  </si>
  <si>
    <r>
      <t>K</t>
    </r>
    <r>
      <rPr>
        <vertAlign val="subscript"/>
        <sz val="11"/>
        <rFont val="Calibri"/>
        <family val="2"/>
        <scheme val="minor"/>
      </rPr>
      <t>NO2,T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</si>
  <si>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NH3</t>
    </r>
  </si>
  <si>
    <r>
      <t>K</t>
    </r>
    <r>
      <rPr>
        <vertAlign val="subscript"/>
        <sz val="11"/>
        <rFont val="Calibri"/>
        <family val="2"/>
        <scheme val="minor"/>
      </rPr>
      <t>NH3,T</t>
    </r>
  </si>
  <si>
    <t>r73</t>
  </si>
  <si>
    <t>r74</t>
  </si>
  <si>
    <r>
      <t>Ki</t>
    </r>
    <r>
      <rPr>
        <vertAlign val="subscript"/>
        <sz val="11"/>
        <rFont val="Calibri"/>
        <family val="2"/>
        <scheme val="minor"/>
      </rPr>
      <t>HNO2,AMX,pH</t>
    </r>
  </si>
  <si>
    <r>
      <t>Ki</t>
    </r>
    <r>
      <rPr>
        <vertAlign val="subscript"/>
        <sz val="11"/>
        <rFont val="Calibri"/>
        <family val="2"/>
      </rPr>
      <t>HNO2,AMX,pH,AS</t>
    </r>
  </si>
  <si>
    <r>
      <t>K</t>
    </r>
    <r>
      <rPr>
        <vertAlign val="subscript"/>
        <sz val="11"/>
        <color indexed="8"/>
        <rFont val="Calibri"/>
        <family val="2"/>
        <scheme val="minor"/>
      </rPr>
      <t>STR,DISS</t>
    </r>
  </si>
  <si>
    <r>
      <t>K</t>
    </r>
    <r>
      <rPr>
        <vertAlign val="subscript"/>
        <sz val="11"/>
        <color indexed="8"/>
        <rFont val="Calibri"/>
        <family val="2"/>
        <scheme val="minor"/>
      </rPr>
      <t>ACP,DISS</t>
    </r>
  </si>
  <si>
    <r>
      <t>K</t>
    </r>
    <r>
      <rPr>
        <vertAlign val="subscript"/>
        <sz val="11"/>
        <color indexed="8"/>
        <rFont val="Calibri"/>
        <family val="2"/>
        <scheme val="minor"/>
      </rPr>
      <t>CaCO3,DISS</t>
    </r>
  </si>
  <si>
    <r>
      <t>K</t>
    </r>
    <r>
      <rPr>
        <vertAlign val="subscript"/>
        <sz val="11"/>
        <color indexed="8"/>
        <rFont val="Calibri"/>
        <family val="2"/>
        <scheme val="minor"/>
      </rPr>
      <t>Vivi,DISS</t>
    </r>
  </si>
  <si>
    <r>
      <t>K</t>
    </r>
    <r>
      <rPr>
        <vertAlign val="subscript"/>
        <sz val="11"/>
        <rFont val="Calibri"/>
        <family val="2"/>
        <scheme val="minor"/>
      </rPr>
      <t>Ac,T</t>
    </r>
  </si>
  <si>
    <r>
      <t>K</t>
    </r>
    <r>
      <rPr>
        <vertAlign val="subscript"/>
        <sz val="11"/>
        <rFont val="Calibri"/>
        <family val="2"/>
      </rPr>
      <t>NO2,T</t>
    </r>
  </si>
  <si>
    <r>
      <t>S</t>
    </r>
    <r>
      <rPr>
        <vertAlign val="subscript"/>
        <sz val="11"/>
        <rFont val="Calibri"/>
        <family val="2"/>
        <scheme val="minor"/>
      </rPr>
      <t>VFA</t>
    </r>
    <r>
      <rPr>
        <sz val="11"/>
        <rFont val="Calibri"/>
        <family val="2"/>
        <scheme val="minor"/>
      </rPr>
      <t>/(4*AM</t>
    </r>
    <r>
      <rPr>
        <vertAlign val="subscript"/>
        <sz val="11"/>
        <rFont val="Calibri"/>
        <family val="2"/>
        <scheme val="minor"/>
      </rPr>
      <t>O</t>
    </r>
    <r>
      <rPr>
        <sz val="11"/>
        <rFont val="Calibri"/>
        <family val="2"/>
        <scheme val="minor"/>
      </rPr>
      <t>*1000)*K</t>
    </r>
    <r>
      <rPr>
        <vertAlign val="subscript"/>
        <sz val="11"/>
        <rFont val="Calibri"/>
        <family val="2"/>
        <scheme val="minor"/>
      </rPr>
      <t>Ac</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K</t>
    </r>
    <r>
      <rPr>
        <vertAlign val="subscript"/>
        <sz val="11"/>
        <rFont val="Calibri"/>
        <family val="2"/>
        <scheme val="minor"/>
      </rPr>
      <t>Ac</t>
    </r>
    <r>
      <rPr>
        <sz val="11"/>
        <rFont val="Calibri"/>
        <family val="2"/>
        <scheme val="minor"/>
      </rPr>
      <t>)</t>
    </r>
  </si>
  <si>
    <r>
      <t>K</t>
    </r>
    <r>
      <rPr>
        <vertAlign val="subscript"/>
        <sz val="11"/>
        <rFont val="Calibri"/>
        <family val="2"/>
        <scheme val="minor"/>
      </rPr>
      <t>NO2</t>
    </r>
    <r>
      <rPr>
        <sz val="11"/>
        <rFont val="Calibri"/>
        <family val="2"/>
        <scheme val="minor"/>
      </rPr>
      <t>*S</t>
    </r>
    <r>
      <rPr>
        <vertAlign val="subscript"/>
        <sz val="11"/>
        <rFont val="Calibri"/>
        <family val="2"/>
        <scheme val="minor"/>
      </rPr>
      <t>NO2</t>
    </r>
    <r>
      <rPr>
        <sz val="11"/>
        <rFont val="Calibri"/>
        <family val="2"/>
        <scheme val="minor"/>
      </rPr>
      <t>/(AM</t>
    </r>
    <r>
      <rPr>
        <vertAlign val="subscript"/>
        <sz val="11"/>
        <rFont val="Calibri"/>
        <family val="2"/>
        <scheme val="minor"/>
      </rPr>
      <t>N</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NO2</t>
    </r>
    <r>
      <rPr>
        <sz val="11"/>
        <rFont val="Calibri"/>
        <family val="2"/>
        <scheme val="minor"/>
      </rPr>
      <t>)</t>
    </r>
  </si>
  <si>
    <r>
      <t>[H</t>
    </r>
    <r>
      <rPr>
        <vertAlign val="superscript"/>
        <sz val="11"/>
        <rFont val="Calibri"/>
        <family val="2"/>
      </rPr>
      <t>+</t>
    </r>
    <r>
      <rPr>
        <sz val="11"/>
        <rFont val="Calibri"/>
        <family val="2"/>
      </rPr>
      <t>]*S</t>
    </r>
    <r>
      <rPr>
        <vertAlign val="subscript"/>
        <sz val="11"/>
        <rFont val="Calibri"/>
        <family val="2"/>
      </rPr>
      <t>VFA</t>
    </r>
    <r>
      <rPr>
        <sz val="11"/>
        <rFont val="Calibri"/>
        <family val="2"/>
      </rPr>
      <t>/(4*AM</t>
    </r>
    <r>
      <rPr>
        <vertAlign val="subscript"/>
        <sz val="11"/>
        <rFont val="Calibri"/>
        <family val="2"/>
      </rPr>
      <t>O</t>
    </r>
    <r>
      <rPr>
        <sz val="11"/>
        <rFont val="Calibri"/>
        <family val="2"/>
      </rPr>
      <t>*1000)/([H</t>
    </r>
    <r>
      <rPr>
        <vertAlign val="superscript"/>
        <sz val="11"/>
        <rFont val="Calibri"/>
        <family val="2"/>
      </rPr>
      <t>+</t>
    </r>
    <r>
      <rPr>
        <sz val="11"/>
        <rFont val="Calibri"/>
        <family val="2"/>
      </rPr>
      <t>]+K</t>
    </r>
    <r>
      <rPr>
        <vertAlign val="subscript"/>
        <sz val="11"/>
        <rFont val="Calibri"/>
        <family val="2"/>
      </rPr>
      <t>Ac</t>
    </r>
    <r>
      <rPr>
        <sz val="11"/>
        <rFont val="Calibri"/>
        <family val="2"/>
      </rPr>
      <t>)</t>
    </r>
  </si>
  <si>
    <r>
      <t>S</t>
    </r>
    <r>
      <rPr>
        <vertAlign val="subscript"/>
        <sz val="11"/>
        <rFont val="Calibri"/>
        <family val="2"/>
      </rPr>
      <t>VFA</t>
    </r>
    <r>
      <rPr>
        <sz val="11"/>
        <rFont val="Calibri"/>
        <family val="2"/>
      </rPr>
      <t>/(4*AM</t>
    </r>
    <r>
      <rPr>
        <vertAlign val="subscript"/>
        <sz val="11"/>
        <rFont val="Calibri"/>
        <family val="2"/>
      </rPr>
      <t>O</t>
    </r>
    <r>
      <rPr>
        <sz val="11"/>
        <rFont val="Calibri"/>
        <family val="2"/>
      </rPr>
      <t>*1000)*K</t>
    </r>
    <r>
      <rPr>
        <vertAlign val="subscript"/>
        <sz val="11"/>
        <rFont val="Calibri"/>
        <family val="2"/>
      </rPr>
      <t>Ac</t>
    </r>
    <r>
      <rPr>
        <sz val="11"/>
        <rFont val="Calibri"/>
        <family val="2"/>
      </rPr>
      <t>/([H</t>
    </r>
    <r>
      <rPr>
        <vertAlign val="superscript"/>
        <sz val="11"/>
        <rFont val="Calibri"/>
        <family val="2"/>
      </rPr>
      <t>+</t>
    </r>
    <r>
      <rPr>
        <sz val="11"/>
        <rFont val="Calibri"/>
        <family val="2"/>
      </rPr>
      <t>]+K</t>
    </r>
    <r>
      <rPr>
        <vertAlign val="subscript"/>
        <sz val="11"/>
        <rFont val="Calibri"/>
        <family val="2"/>
      </rPr>
      <t>Ac</t>
    </r>
    <r>
      <rPr>
        <sz val="11"/>
        <rFont val="Calibri"/>
        <family val="2"/>
      </rPr>
      <t>)</t>
    </r>
  </si>
  <si>
    <r>
      <t>Inhibition term for NO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</si>
  <si>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3</t>
    </r>
    <r>
      <rPr>
        <sz val="11"/>
        <color rgb="FF000000"/>
        <rFont val="Calibri"/>
        <family val="2"/>
        <charset val="238"/>
        <scheme val="minor"/>
      </rPr>
      <t xml:space="preserve"> (OHO)</t>
    </r>
  </si>
  <si>
    <r>
      <t>g X</t>
    </r>
    <r>
      <rPr>
        <vertAlign val="subscript"/>
        <sz val="11"/>
        <rFont val="Calibri"/>
        <family val="2"/>
        <scheme val="minor"/>
      </rPr>
      <t>AOB</t>
    </r>
    <r>
      <rPr>
        <sz val="11"/>
        <rFont val="Calibri"/>
        <family val="2"/>
        <scheme val="minor"/>
      </rPr>
      <t>.g S</t>
    </r>
    <r>
      <rPr>
        <vertAlign val="subscript"/>
        <sz val="11"/>
        <rFont val="Calibri"/>
        <family val="2"/>
        <scheme val="minor"/>
      </rPr>
      <t>NHx</t>
    </r>
    <r>
      <rPr>
        <vertAlign val="superscript"/>
        <sz val="11"/>
        <rFont val="Calibri"/>
        <family val="2"/>
        <scheme val="minor"/>
      </rPr>
      <t>-1</t>
    </r>
  </si>
  <si>
    <r>
      <t>g X</t>
    </r>
    <r>
      <rPr>
        <vertAlign val="subscript"/>
        <sz val="11"/>
        <rFont val="Calibri"/>
        <family val="2"/>
        <scheme val="minor"/>
      </rPr>
      <t>NOB</t>
    </r>
    <r>
      <rPr>
        <sz val="11"/>
        <rFont val="Calibri"/>
        <family val="2"/>
        <scheme val="minor"/>
      </rPr>
      <t>.g S</t>
    </r>
    <r>
      <rPr>
        <vertAlign val="subscript"/>
        <sz val="11"/>
        <rFont val="Calibri"/>
        <family val="2"/>
        <scheme val="minor"/>
      </rPr>
      <t>NO2</t>
    </r>
    <r>
      <rPr>
        <vertAlign val="superscript"/>
        <sz val="11"/>
        <rFont val="Calibri"/>
        <family val="2"/>
        <scheme val="minor"/>
      </rPr>
      <t>-1</t>
    </r>
  </si>
  <si>
    <r>
      <t>S</t>
    </r>
    <r>
      <rPr>
        <vertAlign val="subscript"/>
        <sz val="11"/>
        <rFont val="Calibri"/>
        <family val="2"/>
      </rPr>
      <t>B</t>
    </r>
    <r>
      <rPr>
        <sz val="11"/>
        <rFont val="Calibri"/>
        <family val="2"/>
      </rPr>
      <t xml:space="preserve"> fermentation with low VFA (OHO growth, anaerobic)</t>
    </r>
  </si>
  <si>
    <t>Aging of active HFO,H</t>
  </si>
  <si>
    <t>Aging of active HFO,L</t>
  </si>
  <si>
    <t>Fast binding of P on active HFO,H</t>
  </si>
  <si>
    <t>Slow binding of P on active HFO,L</t>
  </si>
  <si>
    <t>Volatile fatty acids (VFA)</t>
  </si>
  <si>
    <t>Methanol (MEOL)</t>
  </si>
  <si>
    <t>Stored polyhydroxyalkanoates (PHA)</t>
  </si>
  <si>
    <t>Stored glycogen (GLY)</t>
  </si>
  <si>
    <t>Ordinary heterotrophic organisms (OHO)</t>
  </si>
  <si>
    <t>Glycogen accumulating organisms (GAO)</t>
  </si>
  <si>
    <t>Anoxic methanol utilizers (MEOLO)</t>
  </si>
  <si>
    <t>Aerobic ammonia oxidizers (AOB)</t>
  </si>
  <si>
    <t>Nitrite oxidizers (NOB)</t>
  </si>
  <si>
    <t>Anammox organisms (AMX)</t>
  </si>
  <si>
    <t>Acidoclastic methanogens (AMETO)</t>
  </si>
  <si>
    <t>Hydrogenotrophic methanogens (HMETO)</t>
  </si>
  <si>
    <r>
      <t>Total ammonia (NH</t>
    </r>
    <r>
      <rPr>
        <vertAlign val="subscript"/>
        <sz val="11"/>
        <color theme="1"/>
        <rFont val="Calibri"/>
        <family val="2"/>
        <scheme val="minor"/>
      </rPr>
      <t>x</t>
    </r>
    <r>
      <rPr>
        <sz val="11"/>
        <color indexed="8"/>
        <rFont val="Calibri"/>
        <family val="2"/>
      </rPr>
      <t>)</t>
    </r>
  </si>
  <si>
    <r>
      <t>Nitrite (NO</t>
    </r>
    <r>
      <rPr>
        <vertAlign val="subscript"/>
        <sz val="11"/>
        <color rgb="FF000000"/>
        <rFont val="Calibri"/>
        <family val="2"/>
        <scheme val="minor"/>
      </rPr>
      <t>2</t>
    </r>
    <r>
      <rPr>
        <sz val="11"/>
        <color rgb="FF000000"/>
        <rFont val="Calibri"/>
        <family val="2"/>
        <charset val="238"/>
        <scheme val="minor"/>
      </rPr>
      <t>)</t>
    </r>
  </si>
  <si>
    <r>
      <t>Nitrate (NO</t>
    </r>
    <r>
      <rPr>
        <vertAlign val="subscript"/>
        <sz val="11"/>
        <color rgb="FF000000"/>
        <rFont val="Calibri"/>
        <family val="2"/>
        <scheme val="minor"/>
      </rPr>
      <t>3</t>
    </r>
    <r>
      <rPr>
        <sz val="11"/>
        <color rgb="FF000000"/>
        <rFont val="Calibri"/>
        <family val="2"/>
        <charset val="238"/>
        <scheme val="minor"/>
      </rPr>
      <t>)</t>
    </r>
  </si>
  <si>
    <r>
      <t>Dissolved nitrogen (N</t>
    </r>
    <r>
      <rPr>
        <vertAlign val="subscript"/>
        <sz val="11"/>
        <color rgb="FF000000"/>
        <rFont val="Calibri"/>
        <family val="2"/>
        <scheme val="minor"/>
      </rPr>
      <t>2</t>
    </r>
    <r>
      <rPr>
        <sz val="11"/>
        <color rgb="FF000000"/>
        <rFont val="Calibri"/>
        <family val="2"/>
        <charset val="238"/>
        <scheme val="minor"/>
      </rPr>
      <t>)</t>
    </r>
  </si>
  <si>
    <r>
      <t>Particulate biodegradable organic N (from X</t>
    </r>
    <r>
      <rPr>
        <vertAlign val="subscript"/>
        <sz val="11"/>
        <color rgb="FF000000"/>
        <rFont val="Calibri"/>
        <family val="2"/>
        <scheme val="minor"/>
      </rPr>
      <t>B</t>
    </r>
    <r>
      <rPr>
        <sz val="11"/>
        <color rgb="FF000000"/>
        <rFont val="Calibri"/>
        <family val="2"/>
        <charset val="238"/>
        <scheme val="minor"/>
      </rPr>
      <t>)</t>
    </r>
  </si>
  <si>
    <r>
      <t>Orthophosphate (PO</t>
    </r>
    <r>
      <rPr>
        <vertAlign val="subscript"/>
        <sz val="11"/>
        <color rgb="FF000000"/>
        <rFont val="Calibri"/>
        <family val="2"/>
        <scheme val="minor"/>
      </rPr>
      <t>4</t>
    </r>
    <r>
      <rPr>
        <sz val="11"/>
        <color rgb="FF000000"/>
        <rFont val="Calibri"/>
        <family val="2"/>
        <charset val="238"/>
        <scheme val="minor"/>
      </rPr>
      <t>)</t>
    </r>
  </si>
  <si>
    <t>Stored polyphosphate (PP)</t>
  </si>
  <si>
    <t>Soluble biodegradable organic P (from SB)</t>
  </si>
  <si>
    <r>
      <t>Particulate biodegradable organic P (from X</t>
    </r>
    <r>
      <rPr>
        <vertAlign val="subscript"/>
        <sz val="11"/>
        <color rgb="FF000000"/>
        <rFont val="Calibri"/>
        <family val="2"/>
        <scheme val="minor"/>
      </rPr>
      <t>B</t>
    </r>
    <r>
      <rPr>
        <sz val="11"/>
        <color rgb="FF000000"/>
        <rFont val="Calibri"/>
        <family val="2"/>
        <charset val="238"/>
        <scheme val="minor"/>
      </rPr>
      <t>)</t>
    </r>
  </si>
  <si>
    <t>Particulate unbiodegradable organic P</t>
  </si>
  <si>
    <r>
      <t>Dissolved oxygen (O</t>
    </r>
    <r>
      <rPr>
        <vertAlign val="subscript"/>
        <sz val="11"/>
        <color rgb="FF000000"/>
        <rFont val="Calibri"/>
        <family val="2"/>
        <scheme val="minor"/>
      </rPr>
      <t>2</t>
    </r>
    <r>
      <rPr>
        <sz val="11"/>
        <color rgb="FF000000"/>
        <rFont val="Calibri"/>
        <family val="2"/>
        <charset val="238"/>
        <scheme val="minor"/>
      </rPr>
      <t>)</t>
    </r>
  </si>
  <si>
    <r>
      <t>Dissolved methane (CH</t>
    </r>
    <r>
      <rPr>
        <vertAlign val="subscript"/>
        <sz val="11"/>
        <color rgb="FF000000"/>
        <rFont val="Calibri"/>
        <family val="2"/>
        <scheme val="minor"/>
      </rPr>
      <t>4</t>
    </r>
    <r>
      <rPr>
        <sz val="11"/>
        <color rgb="FF000000"/>
        <rFont val="Calibri"/>
        <family val="2"/>
        <charset val="238"/>
        <scheme val="minor"/>
      </rPr>
      <t>)</t>
    </r>
  </si>
  <si>
    <r>
      <t>Dissolved hydrogen (H</t>
    </r>
    <r>
      <rPr>
        <vertAlign val="subscript"/>
        <sz val="11"/>
        <color rgb="FF000000"/>
        <rFont val="Calibri"/>
        <family val="2"/>
        <scheme val="minor"/>
      </rPr>
      <t>2</t>
    </r>
    <r>
      <rPr>
        <sz val="11"/>
        <color rgb="FF000000"/>
        <rFont val="Calibri"/>
        <family val="2"/>
        <charset val="238"/>
        <scheme val="minor"/>
      </rPr>
      <t>)</t>
    </r>
  </si>
  <si>
    <r>
      <t>Total inorganic carbon (CO</t>
    </r>
    <r>
      <rPr>
        <vertAlign val="subscript"/>
        <sz val="11"/>
        <color rgb="FF000000"/>
        <rFont val="Calibri"/>
        <family val="2"/>
        <scheme val="minor"/>
      </rPr>
      <t>2</t>
    </r>
    <r>
      <rPr>
        <sz val="11"/>
        <color rgb="FF000000"/>
        <rFont val="Calibri"/>
        <family val="2"/>
        <charset val="238"/>
        <scheme val="minor"/>
      </rPr>
      <t>)</t>
    </r>
  </si>
  <si>
    <r>
      <t>Other strong cations (as Na</t>
    </r>
    <r>
      <rPr>
        <vertAlign val="superscript"/>
        <sz val="11"/>
        <color rgb="FF000000"/>
        <rFont val="Calibri"/>
        <family val="2"/>
        <scheme val="minor"/>
      </rPr>
      <t>+</t>
    </r>
    <r>
      <rPr>
        <sz val="11"/>
        <color rgb="FF000000"/>
        <rFont val="Calibri"/>
        <family val="2"/>
        <charset val="238"/>
        <scheme val="minor"/>
      </rPr>
      <t>)</t>
    </r>
  </si>
  <si>
    <r>
      <t>Other strong anions (as Cl</t>
    </r>
    <r>
      <rPr>
        <vertAlign val="superscript"/>
        <sz val="11"/>
        <color rgb="FF000000"/>
        <rFont val="Calibri"/>
        <family val="2"/>
        <scheme val="minor"/>
      </rPr>
      <t>-</t>
    </r>
    <r>
      <rPr>
        <sz val="11"/>
        <color rgb="FF000000"/>
        <rFont val="Calibri"/>
        <family val="2"/>
        <charset val="238"/>
        <scheme val="minor"/>
      </rPr>
      <t>)</t>
    </r>
  </si>
  <si>
    <r>
      <t>Ferrous ion (Fe</t>
    </r>
    <r>
      <rPr>
        <vertAlign val="subscript"/>
        <sz val="11"/>
        <color rgb="FF000000"/>
        <rFont val="Calibri"/>
        <family val="2"/>
        <scheme val="minor"/>
      </rPr>
      <t>2</t>
    </r>
    <r>
      <rPr>
        <sz val="11"/>
        <color rgb="FF000000"/>
        <rFont val="Calibri"/>
        <family val="2"/>
        <charset val="238"/>
        <scheme val="minor"/>
      </rPr>
      <t>)</t>
    </r>
  </si>
  <si>
    <t>Active hydrous ferric oxide, high surface (HFO,H)</t>
  </si>
  <si>
    <t>Active hydrous ferric oxide, low surface (HFO,L)</t>
  </si>
  <si>
    <t>Aged unused hydrous ferric oxide (HFO,old)</t>
  </si>
  <si>
    <t>P-bound hydrous ferric oxide, high surface (HFO,H,P)</t>
  </si>
  <si>
    <t>P-bound hydrous ferric oxide, low surface (HFO,L,P)</t>
  </si>
  <si>
    <t>Aged used hydrous ferric oxide, high surface (HFO,H,P,old)</t>
  </si>
  <si>
    <t>Aged used hydrous ferric oxide, low surface (HFO,L,P,old)</t>
  </si>
  <si>
    <r>
      <t>Calcium carbonate (CaCO</t>
    </r>
    <r>
      <rPr>
        <vertAlign val="subscript"/>
        <sz val="11"/>
        <color theme="1"/>
        <rFont val="Calibri"/>
        <family val="2"/>
        <scheme val="minor"/>
      </rPr>
      <t>3</t>
    </r>
    <r>
      <rPr>
        <sz val="11"/>
        <color indexed="8"/>
        <rFont val="Calibri"/>
        <family val="2"/>
      </rPr>
      <t>)</t>
    </r>
  </si>
  <si>
    <t>Amorphous calcium phosphate (ACP)</t>
  </si>
  <si>
    <t>Struvite (STR)</t>
  </si>
  <si>
    <t>Vivianite (Vivi)</t>
  </si>
  <si>
    <r>
      <t>Inhibition term for NH</t>
    </r>
    <r>
      <rPr>
        <vertAlign val="subscript"/>
        <sz val="11"/>
        <color rgb="FF000000"/>
        <rFont val="Calibri"/>
        <family val="2"/>
        <scheme val="minor"/>
      </rPr>
      <t>x</t>
    </r>
    <r>
      <rPr>
        <sz val="11"/>
        <color rgb="FF000000"/>
        <rFont val="Calibri"/>
        <family val="2"/>
        <charset val="238"/>
        <scheme val="minor"/>
      </rPr>
      <t xml:space="preserve"> (assimilative reduction)</t>
    </r>
  </si>
  <si>
    <t>Dielectric constant</t>
  </si>
  <si>
    <t>Solution density</t>
  </si>
  <si>
    <t>Dissociation constant of nitrous acid (activity corrected)</t>
  </si>
  <si>
    <r>
      <t>Solubility constant of CaCO</t>
    </r>
    <r>
      <rPr>
        <vertAlign val="subscript"/>
        <sz val="11"/>
        <color rgb="FF000000"/>
        <rFont val="Calibri"/>
        <family val="2"/>
        <scheme val="minor"/>
      </rPr>
      <t>3</t>
    </r>
    <r>
      <rPr>
        <sz val="11"/>
        <color rgb="FF000000"/>
        <rFont val="Calibri"/>
        <family val="2"/>
        <charset val="238"/>
        <scheme val="minor"/>
      </rPr>
      <t xml:space="preserve"> (activity corrected)</t>
    </r>
  </si>
  <si>
    <t>Solubility constant of struvite (activity corrected)</t>
  </si>
  <si>
    <t>Solubility constant of vivianite (activity corrected)</t>
  </si>
  <si>
    <t>Solubility constant of ACP (activity corrected)</t>
  </si>
  <si>
    <t>Half-saturations for aerobic ammonia oxidizers (AOB)</t>
  </si>
  <si>
    <t>Aerobic ammonia oxidizer kinetics (AOB)</t>
  </si>
  <si>
    <t>Nitrite oxidizer kinetics (NOB)</t>
  </si>
  <si>
    <t>Anammox organism kinetics (AMX)</t>
  </si>
  <si>
    <r>
      <t>Half-inhibition of NH</t>
    </r>
    <r>
      <rPr>
        <vertAlign val="subscript"/>
        <sz val="11"/>
        <color rgb="FF000000"/>
        <rFont val="Calibri"/>
        <family val="2"/>
        <scheme val="minor"/>
      </rPr>
      <t>x</t>
    </r>
    <r>
      <rPr>
        <sz val="11"/>
        <color rgb="FF000000"/>
        <rFont val="Calibri"/>
        <family val="2"/>
        <charset val="238"/>
        <scheme val="minor"/>
      </rPr>
      <t xml:space="preserve"> in NO</t>
    </r>
    <r>
      <rPr>
        <vertAlign val="subscript"/>
        <sz val="11"/>
        <color rgb="FF000000"/>
        <rFont val="Calibri"/>
        <family val="2"/>
        <scheme val="minor"/>
      </rPr>
      <t>x</t>
    </r>
    <r>
      <rPr>
        <sz val="11"/>
        <color rgb="FF000000"/>
        <rFont val="Calibri"/>
        <family val="2"/>
        <charset val="238"/>
        <scheme val="minor"/>
      </rPr>
      <t xml:space="preserve"> assimilative reduction</t>
    </r>
  </si>
  <si>
    <r>
      <t>mol [HNO</t>
    </r>
    <r>
      <rPr>
        <vertAlign val="subscript"/>
        <sz val="11"/>
        <color indexed="8"/>
        <rFont val="Calibri"/>
        <family val="2"/>
        <scheme val="minor"/>
      </rPr>
      <t>2</t>
    </r>
    <r>
      <rPr>
        <sz val="11"/>
        <color indexed="8"/>
        <rFont val="Calibri"/>
        <family val="2"/>
        <scheme val="minor"/>
      </rPr>
      <t>].L</t>
    </r>
    <r>
      <rPr>
        <vertAlign val="superscript"/>
        <sz val="11"/>
        <color indexed="8"/>
        <rFont val="Calibri"/>
        <family val="2"/>
        <scheme val="minor"/>
      </rPr>
      <t>-1</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</si>
  <si>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AMX</t>
    </r>
  </si>
  <si>
    <t>Half-saturations for conversions</t>
  </si>
  <si>
    <r>
      <t>g Na.m</t>
    </r>
    <r>
      <rPr>
        <vertAlign val="superscript"/>
        <sz val="11"/>
        <rFont val="Calibri"/>
        <family val="2"/>
        <scheme val="minor"/>
      </rPr>
      <t>-3</t>
    </r>
  </si>
  <si>
    <r>
      <t>g Cl.m</t>
    </r>
    <r>
      <rPr>
        <vertAlign val="superscript"/>
        <sz val="11"/>
        <rFont val="Calibri"/>
        <family val="2"/>
        <scheme val="minor"/>
      </rPr>
      <t>-3</t>
    </r>
  </si>
  <si>
    <r>
      <t>g S</t>
    </r>
    <r>
      <rPr>
        <vertAlign val="subscript"/>
        <sz val="11"/>
        <rFont val="Calibri"/>
        <family val="2"/>
        <scheme val="minor"/>
      </rPr>
      <t>H2</t>
    </r>
    <r>
      <rPr>
        <sz val="11"/>
        <rFont val="Calibri"/>
        <family val="2"/>
        <scheme val="minor"/>
      </rPr>
      <t>.g S</t>
    </r>
    <r>
      <rPr>
        <vertAlign val="subscript"/>
        <sz val="11"/>
        <rFont val="Calibri"/>
        <family val="2"/>
        <scheme val="minor"/>
      </rPr>
      <t>B</t>
    </r>
    <r>
      <rPr>
        <vertAlign val="superscript"/>
        <sz val="11"/>
        <rFont val="Calibri"/>
        <family val="2"/>
        <scheme val="minor"/>
      </rPr>
      <t>-1</t>
    </r>
  </si>
  <si>
    <r>
      <t>g X</t>
    </r>
    <r>
      <rPr>
        <vertAlign val="subscript"/>
        <sz val="11"/>
        <rFont val="Calibri"/>
        <family val="2"/>
        <scheme val="minor"/>
      </rPr>
      <t>PAO</t>
    </r>
    <r>
      <rPr>
        <sz val="11"/>
        <rFont val="Calibri"/>
        <family val="2"/>
        <scheme val="minor"/>
      </rPr>
      <t>.g S</t>
    </r>
    <r>
      <rPr>
        <vertAlign val="subscript"/>
        <sz val="11"/>
        <rFont val="Calibri"/>
        <family val="2"/>
        <scheme val="minor"/>
      </rPr>
      <t>B</t>
    </r>
    <r>
      <rPr>
        <vertAlign val="superscript"/>
        <sz val="11"/>
        <rFont val="Calibri"/>
        <family val="2"/>
        <scheme val="minor"/>
      </rPr>
      <t>-1</t>
    </r>
  </si>
  <si>
    <r>
      <t>g X</t>
    </r>
    <r>
      <rPr>
        <vertAlign val="subscript"/>
        <sz val="11"/>
        <rFont val="Calibri"/>
        <family val="2"/>
        <scheme val="minor"/>
      </rPr>
      <t>E</t>
    </r>
    <r>
      <rPr>
        <sz val="11"/>
        <rFont val="Calibri"/>
        <family val="2"/>
        <scheme val="minor"/>
      </rPr>
      <t>.g X</t>
    </r>
    <r>
      <rPr>
        <vertAlign val="subscript"/>
        <sz val="11"/>
        <rFont val="Calibri"/>
        <family val="2"/>
        <scheme val="minor"/>
      </rPr>
      <t>BIO</t>
    </r>
    <r>
      <rPr>
        <vertAlign val="superscript"/>
        <sz val="11"/>
        <rFont val="Calibri"/>
        <family val="2"/>
        <scheme val="minor"/>
      </rPr>
      <t>-1</t>
    </r>
  </si>
  <si>
    <r>
      <t>g O2.g COD</t>
    </r>
    <r>
      <rPr>
        <vertAlign val="superscript"/>
        <sz val="11"/>
        <color theme="1"/>
        <rFont val="Calibri"/>
        <family val="2"/>
        <scheme val="minor"/>
      </rPr>
      <t>-1</t>
    </r>
  </si>
  <si>
    <r>
      <t>f</t>
    </r>
    <r>
      <rPr>
        <vertAlign val="subscript"/>
        <sz val="11"/>
        <rFont val="Calibri"/>
        <family val="2"/>
        <scheme val="minor"/>
      </rPr>
      <t>S,BOD5,BODult</t>
    </r>
  </si>
  <si>
    <t>Fraction of BOD5 to ultimate BOD in soluble biodegradable substrates</t>
  </si>
  <si>
    <r>
      <t>f</t>
    </r>
    <r>
      <rPr>
        <vertAlign val="subscript"/>
        <sz val="11"/>
        <rFont val="Calibri"/>
        <family val="2"/>
        <scheme val="minor"/>
      </rPr>
      <t>C,BOD5,BODult</t>
    </r>
  </si>
  <si>
    <t>Fraction of BOD5 to ultimate BOD in colloidal biodegradable substrates</t>
  </si>
  <si>
    <r>
      <t>f</t>
    </r>
    <r>
      <rPr>
        <vertAlign val="subscript"/>
        <sz val="11"/>
        <rFont val="Calibri"/>
        <family val="2"/>
        <scheme val="minor"/>
      </rPr>
      <t>X,BOD5,BODult</t>
    </r>
  </si>
  <si>
    <t>Fraction of BOD5 to ultimate BOD in particulate biodegradable substrates</t>
  </si>
  <si>
    <r>
      <t>Y</t>
    </r>
    <r>
      <rPr>
        <vertAlign val="subscript"/>
        <sz val="11"/>
        <rFont val="Calibri"/>
        <family val="2"/>
        <scheme val="minor"/>
      </rPr>
      <t>BOD,ult</t>
    </r>
    <r>
      <rPr>
        <sz val="11"/>
        <rFont val="Calibri"/>
        <family val="2"/>
        <scheme val="minor"/>
      </rPr>
      <t>*(S</t>
    </r>
    <r>
      <rPr>
        <vertAlign val="subscript"/>
        <sz val="11"/>
        <rFont val="Calibri"/>
        <family val="2"/>
        <scheme val="minor"/>
      </rPr>
      <t>VFA</t>
    </r>
    <r>
      <rPr>
        <sz val="11"/>
        <rFont val="Calibri"/>
        <family val="2"/>
        <scheme val="minor"/>
      </rPr>
      <t>+S</t>
    </r>
    <r>
      <rPr>
        <vertAlign val="subscript"/>
        <sz val="11"/>
        <rFont val="Calibri"/>
        <family val="2"/>
        <scheme val="minor"/>
      </rPr>
      <t>B</t>
    </r>
    <r>
      <rPr>
        <sz val="11"/>
        <rFont val="Calibri"/>
        <family val="2"/>
        <scheme val="minor"/>
      </rPr>
      <t>+S</t>
    </r>
    <r>
      <rPr>
        <vertAlign val="subscript"/>
        <sz val="11"/>
        <rFont val="Calibri"/>
        <family val="2"/>
        <scheme val="minor"/>
      </rPr>
      <t>MEOL</t>
    </r>
    <r>
      <rPr>
        <sz val="11"/>
        <rFont val="Calibri"/>
        <family val="2"/>
        <scheme val="minor"/>
      </rPr>
      <t>)*f</t>
    </r>
    <r>
      <rPr>
        <vertAlign val="subscript"/>
        <sz val="11"/>
        <rFont val="Calibri"/>
        <family val="2"/>
        <scheme val="minor"/>
      </rPr>
      <t xml:space="preserve">S,BOD5,BODult </t>
    </r>
    <r>
      <rPr>
        <sz val="11"/>
        <rFont val="Calibri"/>
        <family val="2"/>
        <scheme val="minor"/>
      </rPr>
      <t>+ Y</t>
    </r>
    <r>
      <rPr>
        <vertAlign val="subscript"/>
        <sz val="11"/>
        <rFont val="Calibri"/>
        <family val="2"/>
        <scheme val="minor"/>
      </rPr>
      <t>BOD,ult</t>
    </r>
    <r>
      <rPr>
        <sz val="11"/>
        <rFont val="Calibri"/>
        <family val="2"/>
        <scheme val="minor"/>
      </rPr>
      <t>*C</t>
    </r>
    <r>
      <rPr>
        <vertAlign val="subscript"/>
        <sz val="11"/>
        <rFont val="Calibri"/>
        <family val="2"/>
        <scheme val="minor"/>
      </rPr>
      <t>B</t>
    </r>
    <r>
      <rPr>
        <sz val="11"/>
        <rFont val="Calibri"/>
        <family val="2"/>
        <scheme val="minor"/>
      </rPr>
      <t>*f</t>
    </r>
    <r>
      <rPr>
        <vertAlign val="subscript"/>
        <sz val="11"/>
        <rFont val="Calibri"/>
        <family val="2"/>
        <scheme val="minor"/>
      </rPr>
      <t>C,BOD5,BODult</t>
    </r>
  </si>
  <si>
    <r>
      <t>X</t>
    </r>
    <r>
      <rPr>
        <vertAlign val="subscript"/>
        <sz val="11"/>
        <rFont val="Calibri"/>
        <family val="2"/>
        <scheme val="minor"/>
      </rPr>
      <t>BOD,ult</t>
    </r>
    <r>
      <rPr>
        <sz val="11"/>
        <rFont val="Calibri"/>
        <family val="2"/>
        <scheme val="minor"/>
      </rPr>
      <t>*f</t>
    </r>
    <r>
      <rPr>
        <vertAlign val="subscript"/>
        <sz val="11"/>
        <rFont val="Calibri"/>
        <family val="2"/>
        <scheme val="minor"/>
      </rPr>
      <t>X,BOD5,BODult</t>
    </r>
  </si>
  <si>
    <r>
      <t>S</t>
    </r>
    <r>
      <rPr>
        <vertAlign val="subscript"/>
        <sz val="11"/>
        <rFont val="Calibri"/>
        <family val="2"/>
      </rPr>
      <t>rbCOD</t>
    </r>
  </si>
  <si>
    <t>COD of readily biodegradable substrates</t>
  </si>
  <si>
    <r>
      <t>XC</t>
    </r>
    <r>
      <rPr>
        <vertAlign val="subscript"/>
        <sz val="11"/>
        <rFont val="Calibri"/>
        <family val="2"/>
      </rPr>
      <t>sbCOD</t>
    </r>
  </si>
  <si>
    <t>COD of slowly biodegradable substrates</t>
  </si>
  <si>
    <r>
      <t>X</t>
    </r>
    <r>
      <rPr>
        <vertAlign val="subscript"/>
        <sz val="11"/>
        <rFont val="Calibri"/>
        <family val="2"/>
      </rPr>
      <t>B</t>
    </r>
    <r>
      <rPr>
        <sz val="11"/>
        <rFont val="Calibri"/>
        <family val="2"/>
      </rPr>
      <t xml:space="preserve"> + C</t>
    </r>
    <r>
      <rPr>
        <vertAlign val="subscript"/>
        <sz val="11"/>
        <rFont val="Calibri"/>
        <family val="2"/>
      </rPr>
      <t>B</t>
    </r>
  </si>
  <si>
    <t>Oxygen uptake rate (OUR)</t>
  </si>
  <si>
    <t>Phosphorus uptake rate, biologically (PURBIO)</t>
  </si>
  <si>
    <t>Phosphorus uptake rate, chemically (PURCHEM)</t>
  </si>
  <si>
    <r>
      <t>S</t>
    </r>
    <r>
      <rPr>
        <vertAlign val="subscript"/>
        <sz val="11"/>
        <rFont val="Calibri"/>
        <family val="2"/>
      </rPr>
      <t>B</t>
    </r>
    <r>
      <rPr>
        <sz val="11"/>
        <rFont val="Calibri"/>
        <family val="2"/>
      </rPr>
      <t xml:space="preserve"> + S</t>
    </r>
    <r>
      <rPr>
        <vertAlign val="subscript"/>
        <sz val="11"/>
        <rFont val="Calibri"/>
        <family val="2"/>
      </rPr>
      <t xml:space="preserve">VFA </t>
    </r>
    <r>
      <rPr>
        <sz val="11"/>
        <rFont val="Calibri"/>
        <family val="2"/>
      </rPr>
      <t>+ S</t>
    </r>
    <r>
      <rPr>
        <vertAlign val="subscript"/>
        <sz val="11"/>
        <rFont val="Calibri"/>
        <family val="2"/>
      </rPr>
      <t>MEOL</t>
    </r>
  </si>
  <si>
    <r>
      <t>S</t>
    </r>
    <r>
      <rPr>
        <vertAlign val="subscript"/>
        <sz val="11"/>
        <rFont val="Calibri"/>
        <family val="2"/>
        <scheme val="minor"/>
      </rPr>
      <t>IC</t>
    </r>
  </si>
  <si>
    <t>Strong ion correction</t>
  </si>
  <si>
    <r>
      <t>S</t>
    </r>
    <r>
      <rPr>
        <vertAlign val="subscript"/>
        <sz val="11"/>
        <rFont val="Calibri"/>
        <family val="2"/>
        <scheme val="minor"/>
      </rPr>
      <t>CAT,ini,corr</t>
    </r>
  </si>
  <si>
    <r>
      <t>Other strong cations (as Na</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</si>
  <si>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CAT,ini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t>
    </r>
  </si>
  <si>
    <r>
      <t>S</t>
    </r>
    <r>
      <rPr>
        <vertAlign val="subscript"/>
        <sz val="11"/>
        <rFont val="Calibri"/>
        <family val="2"/>
        <scheme val="minor"/>
      </rPr>
      <t>AN,ini,corr</t>
    </r>
  </si>
  <si>
    <r>
      <t>Other strong anions (as Cl</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</si>
  <si>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AN,ini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t>
    </r>
  </si>
  <si>
    <r>
      <t>Other strong cations (as Na</t>
    </r>
    <r>
      <rPr>
        <vertAlign val="superscript"/>
        <sz val="11"/>
        <color rgb="FF000000"/>
        <rFont val="Calibri"/>
        <family val="2"/>
        <scheme val="minor"/>
      </rPr>
      <t>+</t>
    </r>
    <r>
      <rPr>
        <sz val="11"/>
        <color rgb="FF000000"/>
        <rFont val="Calibri"/>
        <family val="2"/>
        <charset val="238"/>
        <scheme val="minor"/>
      </rPr>
      <t>)</t>
    </r>
  </si>
  <si>
    <r>
      <t>If(S</t>
    </r>
    <r>
      <rPr>
        <vertAlign val="subscript"/>
        <sz val="11"/>
        <color indexed="8"/>
        <rFont val="Calibri"/>
        <family val="2"/>
      </rPr>
      <t>CAT,ini,corr</t>
    </r>
    <r>
      <rPr>
        <sz val="11"/>
        <color indexed="8"/>
        <rFont val="Calibri"/>
        <family val="2"/>
      </rPr>
      <t>&gt; 0; S</t>
    </r>
    <r>
      <rPr>
        <vertAlign val="subscript"/>
        <sz val="11"/>
        <color indexed="8"/>
        <rFont val="Calibri"/>
        <family val="2"/>
      </rPr>
      <t>CAT,ini,corr</t>
    </r>
    <r>
      <rPr>
        <sz val="11"/>
        <color theme="1"/>
        <rFont val="Calibri"/>
        <family val="2"/>
        <scheme val="minor"/>
      </rPr>
      <t>; S</t>
    </r>
    <r>
      <rPr>
        <vertAlign val="subscript"/>
        <sz val="11"/>
        <color theme="1"/>
        <rFont val="Calibri"/>
        <family val="2"/>
        <scheme val="minor"/>
      </rPr>
      <t>CAT,ini</t>
    </r>
    <r>
      <rPr>
        <sz val="11"/>
        <color indexed="8"/>
        <rFont val="Calibri"/>
        <family val="2"/>
      </rPr>
      <t>)</t>
    </r>
  </si>
  <si>
    <r>
      <t>Other strong anions (as Cl</t>
    </r>
    <r>
      <rPr>
        <vertAlign val="superscript"/>
        <sz val="11"/>
        <color rgb="FF000000"/>
        <rFont val="Calibri"/>
        <family val="2"/>
        <scheme val="minor"/>
      </rPr>
      <t>-</t>
    </r>
    <r>
      <rPr>
        <sz val="11"/>
        <color rgb="FF000000"/>
        <rFont val="Calibri"/>
        <family val="2"/>
        <charset val="238"/>
        <scheme val="minor"/>
      </rPr>
      <t>)</t>
    </r>
  </si>
  <si>
    <r>
      <t>If(S</t>
    </r>
    <r>
      <rPr>
        <vertAlign val="subscript"/>
        <sz val="11"/>
        <color theme="1"/>
        <rFont val="Calibri"/>
        <family val="2"/>
        <scheme val="minor"/>
      </rPr>
      <t>CAT,ini,corr</t>
    </r>
    <r>
      <rPr>
        <sz val="11"/>
        <color indexed="8"/>
        <rFont val="Calibri"/>
        <family val="2"/>
      </rPr>
      <t>&gt; 0; S</t>
    </r>
    <r>
      <rPr>
        <vertAlign val="subscript"/>
        <sz val="11"/>
        <color theme="1"/>
        <rFont val="Calibri"/>
        <family val="2"/>
        <scheme val="minor"/>
      </rPr>
      <t>AN,ini</t>
    </r>
    <r>
      <rPr>
        <sz val="11"/>
        <color indexed="8"/>
        <rFont val="Calibri"/>
        <family val="2"/>
      </rPr>
      <t>; S</t>
    </r>
    <r>
      <rPr>
        <vertAlign val="subscript"/>
        <sz val="11"/>
        <color theme="1"/>
        <rFont val="Calibri"/>
        <family val="2"/>
        <scheme val="minor"/>
      </rPr>
      <t>AN,ini,corr</t>
    </r>
    <r>
      <rPr>
        <sz val="11"/>
        <color indexed="8"/>
        <rFont val="Calibri"/>
        <family val="2"/>
      </rPr>
      <t>)</t>
    </r>
  </si>
  <si>
    <r>
      <t>S</t>
    </r>
    <r>
      <rPr>
        <vertAlign val="subscript"/>
        <sz val="11"/>
        <rFont val="Calibri"/>
        <family val="2"/>
        <scheme val="minor"/>
      </rPr>
      <t>BOD,5</t>
    </r>
    <r>
      <rPr>
        <sz val="11"/>
        <rFont val="Calibri"/>
        <family val="2"/>
        <scheme val="minor"/>
      </rPr>
      <t>+X</t>
    </r>
    <r>
      <rPr>
        <vertAlign val="subscript"/>
        <sz val="11"/>
        <rFont val="Calibri"/>
        <family val="2"/>
        <scheme val="minor"/>
      </rPr>
      <t>BOD,5</t>
    </r>
  </si>
  <si>
    <r>
      <t>f</t>
    </r>
    <r>
      <rPr>
        <vertAlign val="subscript"/>
        <sz val="11"/>
        <rFont val="Calibri"/>
        <family val="2"/>
        <scheme val="minor"/>
      </rPr>
      <t>H2O,HFO,TSS</t>
    </r>
  </si>
  <si>
    <r>
      <t>Fraction of H</t>
    </r>
    <r>
      <rPr>
        <vertAlign val="subscript"/>
        <sz val="11"/>
        <color rgb="FF000000"/>
        <rFont val="Calibri"/>
        <family val="2"/>
        <scheme val="minor"/>
      </rPr>
      <t>2</t>
    </r>
    <r>
      <rPr>
        <sz val="11"/>
        <color rgb="FF000000"/>
        <rFont val="Calibri"/>
        <family val="2"/>
        <charset val="238"/>
        <scheme val="minor"/>
      </rPr>
      <t>O loss in TSS test for HFO</t>
    </r>
  </si>
  <si>
    <r>
      <t>g H2O.g FeOH</t>
    </r>
    <r>
      <rPr>
        <vertAlign val="superscript"/>
        <sz val="11"/>
        <rFont val="Calibri"/>
        <family val="2"/>
        <scheme val="minor"/>
      </rPr>
      <t>-1</t>
    </r>
  </si>
  <si>
    <r>
      <t>f</t>
    </r>
    <r>
      <rPr>
        <vertAlign val="subscript"/>
        <sz val="11"/>
        <rFont val="Calibri"/>
        <family val="2"/>
        <scheme val="minor"/>
      </rPr>
      <t>H2O,HFO,VSS</t>
    </r>
  </si>
  <si>
    <t xml:space="preserve">Fraction of H2O loss in VSS test for HFO </t>
  </si>
  <si>
    <t>Me(OH)3 -&gt; Me2O3 + 3H2O</t>
  </si>
  <si>
    <t>Fe</t>
  </si>
  <si>
    <t>Al</t>
  </si>
  <si>
    <t>g H2O /g MeOH</t>
  </si>
  <si>
    <t>theoretical complete reaction</t>
  </si>
  <si>
    <t>measured loss between 105°C and 500°C</t>
  </si>
  <si>
    <t>Stricker et al. (2004) for Fe, calculation for Al</t>
  </si>
  <si>
    <t>deduced loss at 105°C</t>
  </si>
  <si>
    <r>
      <t>X</t>
    </r>
    <r>
      <rPr>
        <vertAlign val="subscript"/>
        <sz val="11"/>
        <rFont val="Calibri"/>
        <family val="2"/>
        <scheme val="minor"/>
      </rPr>
      <t>Me,TSS</t>
    </r>
  </si>
  <si>
    <t>Metal precipitates in TSS unit</t>
  </si>
  <si>
    <r>
      <t>X</t>
    </r>
    <r>
      <rPr>
        <vertAlign val="subscript"/>
        <sz val="11"/>
        <rFont val="Calibri"/>
        <family val="2"/>
        <scheme val="minor"/>
      </rPr>
      <t>Me,TSS</t>
    </r>
    <r>
      <rPr>
        <sz val="11"/>
        <rFont val="Calibri"/>
        <family val="2"/>
        <scheme val="minor"/>
      </rPr>
      <t>+X</t>
    </r>
    <r>
      <rPr>
        <vertAlign val="subscript"/>
        <sz val="11"/>
        <rFont val="Calibri"/>
        <family val="2"/>
        <scheme val="minor"/>
      </rPr>
      <t>precip</t>
    </r>
    <r>
      <rPr>
        <sz val="11"/>
        <rFont val="Calibri"/>
        <family val="2"/>
        <scheme val="minor"/>
      </rPr>
      <t>+X</t>
    </r>
    <r>
      <rPr>
        <vertAlign val="subscript"/>
        <sz val="11"/>
        <rFont val="Calibri"/>
        <family val="2"/>
        <scheme val="minor"/>
      </rPr>
      <t>INORG</t>
    </r>
    <r>
      <rPr>
        <sz val="11"/>
        <rFont val="Calibri"/>
        <family val="2"/>
        <scheme val="minor"/>
      </rPr>
      <t>+i</t>
    </r>
    <r>
      <rPr>
        <vertAlign val="subscript"/>
        <sz val="11"/>
        <rFont val="Calibri"/>
        <family val="2"/>
        <scheme val="minor"/>
      </rPr>
      <t>TSS,PP</t>
    </r>
    <r>
      <rPr>
        <sz val="11"/>
        <rFont val="Calibri"/>
        <family val="2"/>
        <scheme val="minor"/>
      </rPr>
      <t>*X</t>
    </r>
    <r>
      <rPr>
        <vertAlign val="subscript"/>
        <sz val="11"/>
        <rFont val="Calibri"/>
        <family val="2"/>
        <scheme val="minor"/>
      </rPr>
      <t>PP</t>
    </r>
  </si>
  <si>
    <t>r75</t>
  </si>
  <si>
    <t>r76</t>
  </si>
  <si>
    <t>r77</t>
  </si>
  <si>
    <t>r78</t>
  </si>
  <si>
    <t>r79</t>
  </si>
  <si>
    <t>r80</t>
  </si>
  <si>
    <t>r81</t>
  </si>
  <si>
    <t>r82</t>
  </si>
  <si>
    <t>r84</t>
  </si>
  <si>
    <t>r85</t>
  </si>
  <si>
    <t>OHO anaerobic decay</t>
  </si>
  <si>
    <t>MEOLO anaerobic decay</t>
  </si>
  <si>
    <t>AOB anaerobic decay</t>
  </si>
  <si>
    <t>NOB anaerobic decay</t>
  </si>
  <si>
    <t>Anammox anaerobic decay</t>
  </si>
  <si>
    <t>AMETO anaerobic decay</t>
  </si>
  <si>
    <t>HMETO anaerobic decay</t>
  </si>
  <si>
    <r>
      <t>b</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t>
    </r>
  </si>
  <si>
    <r>
      <t>b</t>
    </r>
    <r>
      <rPr>
        <vertAlign val="subscript"/>
        <sz val="11"/>
        <rFont val="Calibri"/>
        <family val="2"/>
      </rPr>
      <t>OHO,T</t>
    </r>
    <r>
      <rPr>
        <sz val="11"/>
        <rFont val="Calibri"/>
        <family val="2"/>
      </rPr>
      <t>*X</t>
    </r>
    <r>
      <rPr>
        <vertAlign val="subscript"/>
        <sz val="11"/>
        <rFont val="Calibri"/>
        <family val="2"/>
      </rPr>
      <t>OHO</t>
    </r>
    <r>
      <rPr>
        <sz val="11"/>
        <rFont val="Calibri"/>
        <family val="2"/>
      </rPr>
      <t>*</t>
    </r>
    <r>
      <rPr>
        <sz val="11"/>
        <rFont val="Calibri"/>
        <family val="2"/>
      </rPr>
      <t>η</t>
    </r>
    <r>
      <rPr>
        <vertAlign val="subscript"/>
        <sz val="11"/>
        <rFont val="Calibri"/>
        <family val="2"/>
      </rPr>
      <t>b,ana</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SO2,KO2,OHO</t>
    </r>
  </si>
  <si>
    <r>
      <t>J.m</t>
    </r>
    <r>
      <rPr>
        <vertAlign val="superscript"/>
        <sz val="11"/>
        <rFont val="Calibri"/>
        <family val="2"/>
        <scheme val="minor"/>
      </rPr>
      <t>-3</t>
    </r>
  </si>
  <si>
    <r>
      <t>Molecular mass of Fe(OH)</t>
    </r>
    <r>
      <rPr>
        <vertAlign val="subscript"/>
        <sz val="11"/>
        <rFont val="Calibri"/>
        <family val="2"/>
        <scheme val="minor"/>
      </rPr>
      <t>3</t>
    </r>
  </si>
  <si>
    <r>
      <t>Molecular mass of Al(OH)</t>
    </r>
    <r>
      <rPr>
        <vertAlign val="subscript"/>
        <sz val="11"/>
        <rFont val="Calibri"/>
        <family val="2"/>
        <scheme val="minor"/>
      </rPr>
      <t>3</t>
    </r>
  </si>
  <si>
    <r>
      <t>Molecular mass of AlPO</t>
    </r>
    <r>
      <rPr>
        <vertAlign val="subscript"/>
        <sz val="11"/>
        <rFont val="Calibri"/>
        <family val="2"/>
        <scheme val="minor"/>
      </rPr>
      <t>4</t>
    </r>
  </si>
  <si>
    <t>Dissociation constant of water</t>
  </si>
  <si>
    <t>10^-13.997 NIST  (Minteq V4) 25°C</t>
  </si>
  <si>
    <t>Dissociation constant of ammonia</t>
  </si>
  <si>
    <t>10^-9.244 NIST  (Minteq V4) 25°C</t>
  </si>
  <si>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</si>
  <si>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</si>
  <si>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</si>
  <si>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</si>
  <si>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</si>
  <si>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</si>
  <si>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</si>
  <si>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</si>
  <si>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</si>
  <si>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</si>
  <si>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</si>
  <si>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</si>
  <si>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t>Dissociation constant of acetate</t>
  </si>
  <si>
    <t>10^-4.757 NIST  (Minteq V4) 25°C</t>
  </si>
  <si>
    <t>Dissociation constant of hydrogen sulfide</t>
  </si>
  <si>
    <t>NIST  (Minteq V4) 25°C</t>
  </si>
  <si>
    <t>Dissociation constant of bisulfide ion</t>
  </si>
  <si>
    <t>Dissociation constant of sulfuric acid</t>
  </si>
  <si>
    <t>Dissociation constant of bisulfate</t>
  </si>
  <si>
    <t>NIST (Minteq V4) 25°C</t>
  </si>
  <si>
    <t>Solubility constant of ACP</t>
  </si>
  <si>
    <t>Solubility constant of vivianite</t>
  </si>
  <si>
    <t>Solubility constant of FeS</t>
  </si>
  <si>
    <t>Solubility constant of HDP</t>
  </si>
  <si>
    <t>Solubility constant of MKP</t>
  </si>
  <si>
    <r>
      <t>J.mol</t>
    </r>
    <r>
      <rPr>
        <vertAlign val="superscript"/>
        <sz val="11"/>
        <rFont val="Calibri"/>
        <family val="2"/>
        <scheme val="minor"/>
      </rPr>
      <t>-1</t>
    </r>
  </si>
  <si>
    <t>Diffusion coefficient of volatile fatty acids</t>
  </si>
  <si>
    <t>to be set accurately</t>
  </si>
  <si>
    <t>Diffusion coefficient of soluble degradable organics</t>
  </si>
  <si>
    <t>Diffusion coefficient of soluble degradable organics (monomers)</t>
  </si>
  <si>
    <t>Diffusion coefficient of soluble degradable organics (polymers)</t>
  </si>
  <si>
    <t>Diffusion coefficient of fermentable organic matter</t>
  </si>
  <si>
    <t>Diffusion coefficient of methanol</t>
  </si>
  <si>
    <t>Diffusion coefficient of soluble undegradable organics</t>
  </si>
  <si>
    <t>Diffusion coefficient of total ammonia</t>
  </si>
  <si>
    <t>Diffusivities from Perry, Handbook of Chemical Engineers, Table 2-372, for 25°C, as acetate</t>
  </si>
  <si>
    <t>Diffusion coefficient of ammonia</t>
  </si>
  <si>
    <t>Diffusitives from Perry, Handbook of Chemical Engineers, Table 2-372, for 25°C, as acetate</t>
  </si>
  <si>
    <t>Diffusion coefficient of nitrate and nitrite</t>
  </si>
  <si>
    <t>Diffusion coefficient of orthophosphate</t>
  </si>
  <si>
    <t>Diffusion coefficient of dissolved nitrogen gas</t>
  </si>
  <si>
    <t>Diffusitives from Perry, Handbook of Chemical Engineers, Table 2-372, for 25°C</t>
  </si>
  <si>
    <t>Diffusion coefficient of soluble inert organic nitrogen</t>
  </si>
  <si>
    <t>Assumed the same as SS</t>
  </si>
  <si>
    <t>Diffusion coefficient of soluble biodegradable organic nitrogen</t>
  </si>
  <si>
    <t>Diffusion coefficient of nitrite</t>
  </si>
  <si>
    <t>Diffusion coefficient of nitrate</t>
  </si>
  <si>
    <t>Diffusion coefficient of soluble biodegradable organic N</t>
  </si>
  <si>
    <t>Diffusion coefficient of soluble biodegradable organic P</t>
  </si>
  <si>
    <t>Diffusion coefficient of dissolved oxygen</t>
  </si>
  <si>
    <t>Diffusivities from Perry, Handbook of Chemical Engineers, Table 2-372, for 25°C</t>
  </si>
  <si>
    <t>Diffusion coefficient of dissolved methane</t>
  </si>
  <si>
    <t>Diffusion coefficient of dissolved hydrogen</t>
  </si>
  <si>
    <t>Diffusion coefficient of dissolved carbon dioxide</t>
  </si>
  <si>
    <t>Diffusion coefficient of dissolved potassium</t>
  </si>
  <si>
    <t>Diffusion coefficient of dissolved calcium</t>
  </si>
  <si>
    <t>Diffusion coefficient of dissolved magnesium</t>
  </si>
  <si>
    <t>Diffusion coefficient of dissolved strong cations</t>
  </si>
  <si>
    <t>Diffusion coefficient of dissolved strong anions</t>
  </si>
  <si>
    <t>Diffusion coefficient of hydrogen sulfide</t>
  </si>
  <si>
    <t>Diffusion coefficient of sulphate</t>
  </si>
  <si>
    <t>Diffusion coefficient of dissolved ferrous ion</t>
  </si>
  <si>
    <t>Diffusion coefficient of alkalinity</t>
  </si>
  <si>
    <t>Diffusion coefficient of Methyl Mercaptan production index</t>
  </si>
  <si>
    <t>Diffusion coefficient of colloidal biodegradable substrate</t>
  </si>
  <si>
    <t>Diffusion coefficient of colloidal unbiodegradable organics</t>
  </si>
  <si>
    <r>
      <t>Logsat</t>
    </r>
    <r>
      <rPr>
        <vertAlign val="subscript"/>
        <sz val="11"/>
        <rFont val="Calibri"/>
        <family val="2"/>
        <scheme val="minor"/>
      </rPr>
      <t>ORP,HFO,Half</t>
    </r>
  </si>
  <si>
    <t>Logistic half-saturation of ORP switching in HFO reduction</t>
  </si>
  <si>
    <r>
      <rPr>
        <sz val="11"/>
        <color indexed="8"/>
        <rFont val="Calibri"/>
        <family val="2"/>
        <scheme val="minor"/>
      </rPr>
      <t>Logsat</t>
    </r>
    <r>
      <rPr>
        <vertAlign val="subscript"/>
        <sz val="11"/>
        <rFont val="Calibri"/>
        <family val="2"/>
        <scheme val="minor"/>
      </rPr>
      <t>ORP,HFO,Slope</t>
    </r>
  </si>
  <si>
    <t>Logistic slope of ORP switching in HFO reduction</t>
  </si>
  <si>
    <r>
      <t>Loginh</t>
    </r>
    <r>
      <rPr>
        <vertAlign val="subscript"/>
        <sz val="11"/>
        <rFont val="Calibri"/>
        <family val="2"/>
      </rPr>
      <t>ORP,HFO</t>
    </r>
  </si>
  <si>
    <t>ORP switch of HFO reduction</t>
  </si>
  <si>
    <t>MinStateVar</t>
  </si>
  <si>
    <t>MaxStateVar</t>
  </si>
  <si>
    <t>Separators</t>
  </si>
  <si>
    <r>
      <t>S</t>
    </r>
    <r>
      <rPr>
        <vertAlign val="subscript"/>
        <sz val="11"/>
        <rFont val="Calibri"/>
        <family val="2"/>
      </rPr>
      <t>B</t>
    </r>
    <r>
      <rPr>
        <sz val="11"/>
        <rFont val="Calibri"/>
        <family val="2"/>
      </rPr>
      <t xml:space="preserve"> fermentation with high VFA (PAO growth, anaerobic)</t>
    </r>
  </si>
  <si>
    <r>
      <t>S</t>
    </r>
    <r>
      <rPr>
        <vertAlign val="subscript"/>
        <sz val="11"/>
        <rFont val="Calibri"/>
        <family val="2"/>
      </rPr>
      <t>B</t>
    </r>
    <r>
      <rPr>
        <sz val="11"/>
        <rFont val="Calibri"/>
        <family val="2"/>
      </rPr>
      <t xml:space="preserve"> fermentation with low VFA (PAO growth, anaerobic)</t>
    </r>
  </si>
  <si>
    <r>
      <t>Carbon dioxide gas (CO</t>
    </r>
    <r>
      <rPr>
        <vertAlign val="subscript"/>
        <sz val="11"/>
        <rFont val="Calibri"/>
        <family val="2"/>
      </rPr>
      <t>2</t>
    </r>
    <r>
      <rPr>
        <sz val="11"/>
        <rFont val="Calibri"/>
        <family val="2"/>
      </rPr>
      <t>)</t>
    </r>
  </si>
  <si>
    <r>
      <t>g TIC</t>
    </r>
    <r>
      <rPr>
        <sz val="11"/>
        <color theme="1"/>
        <rFont val="Calibri"/>
        <family val="2"/>
        <charset val="238"/>
        <scheme val="minor"/>
      </rPr>
      <t>.</t>
    </r>
    <r>
      <rPr>
        <sz val="11"/>
        <color theme="1"/>
        <rFont val="Calibri"/>
        <family val="2"/>
        <scheme val="minor"/>
      </rPr>
      <t>m</t>
    </r>
    <r>
      <rPr>
        <vertAlign val="superscript"/>
        <sz val="11"/>
        <color theme="1"/>
        <rFont val="Calibri"/>
        <family val="2"/>
        <scheme val="minor"/>
      </rPr>
      <t>-3</t>
    </r>
  </si>
  <si>
    <r>
      <t>Methane gas (CH</t>
    </r>
    <r>
      <rPr>
        <vertAlign val="subscript"/>
        <sz val="11"/>
        <color rgb="FF000000"/>
        <rFont val="Calibri"/>
        <family val="2"/>
        <scheme val="minor"/>
      </rPr>
      <t>4</t>
    </r>
    <r>
      <rPr>
        <sz val="11"/>
        <color rgb="FF000000"/>
        <rFont val="Calibri"/>
        <family val="2"/>
        <charset val="238"/>
        <scheme val="minor"/>
      </rPr>
      <t>)</t>
    </r>
  </si>
  <si>
    <r>
      <t>g COD.m</t>
    </r>
    <r>
      <rPr>
        <vertAlign val="superscript"/>
        <sz val="11"/>
        <color theme="1"/>
        <rFont val="Calibri"/>
        <family val="2"/>
        <scheme val="minor"/>
      </rPr>
      <t>-3</t>
    </r>
  </si>
  <si>
    <r>
      <t>Hydrogen gas (H</t>
    </r>
    <r>
      <rPr>
        <vertAlign val="subscript"/>
        <sz val="11"/>
        <color rgb="FF000000"/>
        <rFont val="Calibri"/>
        <family val="2"/>
        <scheme val="minor"/>
      </rPr>
      <t>2</t>
    </r>
    <r>
      <rPr>
        <sz val="11"/>
        <color rgb="FF000000"/>
        <rFont val="Calibri"/>
        <family val="2"/>
        <charset val="238"/>
        <scheme val="minor"/>
      </rPr>
      <t>)</t>
    </r>
  </si>
  <si>
    <r>
      <t>Oxygen gas (O</t>
    </r>
    <r>
      <rPr>
        <vertAlign val="subscript"/>
        <sz val="11"/>
        <color rgb="FF000000"/>
        <rFont val="Calibri"/>
        <family val="2"/>
        <scheme val="minor"/>
      </rPr>
      <t>2</t>
    </r>
    <r>
      <rPr>
        <sz val="11"/>
        <color rgb="FF000000"/>
        <rFont val="Calibri"/>
        <family val="2"/>
        <charset val="238"/>
        <scheme val="minor"/>
      </rPr>
      <t>)</t>
    </r>
  </si>
  <si>
    <r>
      <t>g O</t>
    </r>
    <r>
      <rPr>
        <vertAlign val="subscript"/>
        <sz val="11"/>
        <color theme="1"/>
        <rFont val="Calibri"/>
        <family val="2"/>
        <scheme val="minor"/>
      </rPr>
      <t>2</t>
    </r>
    <r>
      <rPr>
        <sz val="11"/>
        <color theme="1"/>
        <rFont val="Calibri"/>
        <family val="2"/>
        <scheme val="minor"/>
      </rPr>
      <t>.m</t>
    </r>
    <r>
      <rPr>
        <vertAlign val="superscript"/>
        <sz val="11"/>
        <color theme="1"/>
        <rFont val="Calibri"/>
        <family val="2"/>
        <scheme val="minor"/>
      </rPr>
      <t>-3</t>
    </r>
  </si>
  <si>
    <r>
      <t>Ammonia gas (NH</t>
    </r>
    <r>
      <rPr>
        <vertAlign val="subscript"/>
        <sz val="11"/>
        <rFont val="Calibri"/>
        <family val="2"/>
      </rPr>
      <t>3</t>
    </r>
    <r>
      <rPr>
        <sz val="11"/>
        <rFont val="Calibri"/>
        <family val="2"/>
      </rPr>
      <t>)</t>
    </r>
  </si>
  <si>
    <r>
      <t>g N.m</t>
    </r>
    <r>
      <rPr>
        <vertAlign val="superscript"/>
        <sz val="11"/>
        <color theme="1"/>
        <rFont val="Calibri"/>
        <family val="2"/>
        <scheme val="minor"/>
      </rPr>
      <t>-3</t>
    </r>
  </si>
  <si>
    <r>
      <t>Nitrogen gas (N</t>
    </r>
    <r>
      <rPr>
        <vertAlign val="subscript"/>
        <sz val="11"/>
        <color rgb="FF000000"/>
        <rFont val="Calibri"/>
        <family val="2"/>
        <scheme val="minor"/>
      </rPr>
      <t>2</t>
    </r>
    <r>
      <rPr>
        <sz val="11"/>
        <color rgb="FF000000"/>
        <rFont val="Calibri"/>
        <family val="2"/>
        <charset val="238"/>
        <scheme val="minor"/>
      </rPr>
      <t>)</t>
    </r>
  </si>
  <si>
    <r>
      <t>g N</t>
    </r>
    <r>
      <rPr>
        <sz val="11"/>
        <color theme="1"/>
        <rFont val="Calibri"/>
        <family val="2"/>
        <scheme val="minor"/>
      </rPr>
      <t>.m</t>
    </r>
    <r>
      <rPr>
        <vertAlign val="superscript"/>
        <sz val="11"/>
        <color theme="1"/>
        <rFont val="Calibri"/>
        <family val="2"/>
        <scheme val="minor"/>
      </rPr>
      <t>-3</t>
    </r>
  </si>
  <si>
    <r>
      <t>G</t>
    </r>
    <r>
      <rPr>
        <b/>
        <vertAlign val="subscript"/>
        <sz val="11"/>
        <rFont val="Calibri"/>
        <family val="2"/>
        <charset val="238"/>
      </rPr>
      <t>CO2,atm</t>
    </r>
  </si>
  <si>
    <t>Balancing</t>
  </si>
  <si>
    <r>
      <t>G</t>
    </r>
    <r>
      <rPr>
        <b/>
        <vertAlign val="subscript"/>
        <sz val="11"/>
        <rFont val="Calibri"/>
        <family val="2"/>
        <charset val="238"/>
      </rPr>
      <t>CH4,atm</t>
    </r>
  </si>
  <si>
    <r>
      <t>G</t>
    </r>
    <r>
      <rPr>
        <b/>
        <vertAlign val="subscript"/>
        <sz val="11"/>
        <rFont val="Calibri"/>
        <family val="2"/>
        <charset val="238"/>
      </rPr>
      <t>H2,atm</t>
    </r>
  </si>
  <si>
    <r>
      <t>G</t>
    </r>
    <r>
      <rPr>
        <b/>
        <vertAlign val="subscript"/>
        <sz val="11"/>
        <rFont val="Calibri"/>
        <family val="2"/>
        <charset val="238"/>
      </rPr>
      <t>O2,atm</t>
    </r>
  </si>
  <si>
    <r>
      <t>G</t>
    </r>
    <r>
      <rPr>
        <b/>
        <vertAlign val="subscript"/>
        <sz val="11"/>
        <rFont val="Calibri"/>
        <family val="2"/>
        <charset val="238"/>
      </rPr>
      <t>NH3,atm</t>
    </r>
  </si>
  <si>
    <r>
      <t>G</t>
    </r>
    <r>
      <rPr>
        <b/>
        <vertAlign val="subscript"/>
        <sz val="11"/>
        <rFont val="Calibri"/>
        <family val="2"/>
        <charset val="238"/>
      </rPr>
      <t>N2,atm</t>
    </r>
  </si>
  <si>
    <r>
      <t>G</t>
    </r>
    <r>
      <rPr>
        <b/>
        <vertAlign val="subscript"/>
        <sz val="11"/>
        <rFont val="Calibri"/>
        <family val="2"/>
      </rPr>
      <t>CO2,atm</t>
    </r>
  </si>
  <si>
    <r>
      <t>G</t>
    </r>
    <r>
      <rPr>
        <b/>
        <vertAlign val="subscript"/>
        <sz val="11"/>
        <rFont val="Calibri"/>
        <family val="2"/>
      </rPr>
      <t>CH4,atm</t>
    </r>
  </si>
  <si>
    <r>
      <t>G</t>
    </r>
    <r>
      <rPr>
        <b/>
        <vertAlign val="subscript"/>
        <sz val="11"/>
        <rFont val="Calibri"/>
        <family val="2"/>
      </rPr>
      <t>H2,atm</t>
    </r>
  </si>
  <si>
    <r>
      <t>G</t>
    </r>
    <r>
      <rPr>
        <b/>
        <vertAlign val="subscript"/>
        <sz val="11"/>
        <rFont val="Calibri"/>
        <family val="2"/>
      </rPr>
      <t>O2,atm</t>
    </r>
  </si>
  <si>
    <r>
      <t>G</t>
    </r>
    <r>
      <rPr>
        <b/>
        <vertAlign val="subscript"/>
        <sz val="11"/>
        <rFont val="Calibri"/>
        <family val="2"/>
      </rPr>
      <t>NH3,atm</t>
    </r>
  </si>
  <si>
    <r>
      <t>G</t>
    </r>
    <r>
      <rPr>
        <b/>
        <vertAlign val="subscript"/>
        <sz val="11"/>
        <rFont val="Calibri"/>
        <family val="2"/>
      </rPr>
      <t>N2,atm</t>
    </r>
  </si>
  <si>
    <t>Carbon dioxide gas transfer - surface</t>
  </si>
  <si>
    <r>
      <t>-Δ</t>
    </r>
    <r>
      <rPr>
        <vertAlign val="subscript"/>
        <sz val="11"/>
        <rFont val="Calibri"/>
        <family val="2"/>
      </rPr>
      <t>atm</t>
    </r>
  </si>
  <si>
    <r>
      <t>k</t>
    </r>
    <r>
      <rPr>
        <vertAlign val="subscript"/>
        <sz val="11"/>
        <rFont val="Calibri"/>
        <family val="2"/>
        <scheme val="minor"/>
      </rPr>
      <t>transfer,GCO2,sur</t>
    </r>
  </si>
  <si>
    <t>Methane gas transfer - surface</t>
  </si>
  <si>
    <r>
      <t>k</t>
    </r>
    <r>
      <rPr>
        <vertAlign val="subscript"/>
        <sz val="11"/>
        <rFont val="Calibri"/>
        <family val="2"/>
      </rPr>
      <t>L</t>
    </r>
    <r>
      <rPr>
        <sz val="11"/>
        <rFont val="Calibri"/>
        <family val="2"/>
      </rPr>
      <t>a</t>
    </r>
    <r>
      <rPr>
        <vertAlign val="subscript"/>
        <sz val="11"/>
        <rFont val="Calibri"/>
        <family val="2"/>
      </rPr>
      <t>GCH4,sur</t>
    </r>
    <r>
      <rPr>
        <sz val="11"/>
        <rFont val="Calibri"/>
        <family val="2"/>
      </rPr>
      <t>*(S</t>
    </r>
    <r>
      <rPr>
        <vertAlign val="subscript"/>
        <sz val="11"/>
        <rFont val="Calibri"/>
        <family val="2"/>
      </rPr>
      <t>GCH4,sur,sat</t>
    </r>
    <r>
      <rPr>
        <sz val="11"/>
        <rFont val="Calibri"/>
        <family val="2"/>
      </rPr>
      <t xml:space="preserve"> - S</t>
    </r>
    <r>
      <rPr>
        <vertAlign val="subscript"/>
        <sz val="11"/>
        <rFont val="Calibri"/>
        <family val="2"/>
      </rPr>
      <t>CH4</t>
    </r>
    <r>
      <rPr>
        <sz val="11"/>
        <rFont val="Calibri"/>
        <family val="2"/>
      </rPr>
      <t>)</t>
    </r>
  </si>
  <si>
    <t>Hydrogen gas transfer - surface</t>
  </si>
  <si>
    <r>
      <t>k</t>
    </r>
    <r>
      <rPr>
        <vertAlign val="subscript"/>
        <sz val="11"/>
        <rFont val="Calibri"/>
        <family val="2"/>
      </rPr>
      <t>L</t>
    </r>
    <r>
      <rPr>
        <sz val="11"/>
        <rFont val="Calibri"/>
        <family val="2"/>
      </rPr>
      <t>a</t>
    </r>
    <r>
      <rPr>
        <vertAlign val="subscript"/>
        <sz val="11"/>
        <rFont val="Calibri"/>
        <family val="2"/>
      </rPr>
      <t>GH2,sur</t>
    </r>
    <r>
      <rPr>
        <sz val="11"/>
        <rFont val="Calibri"/>
        <family val="2"/>
      </rPr>
      <t>*(S</t>
    </r>
    <r>
      <rPr>
        <vertAlign val="subscript"/>
        <sz val="11"/>
        <rFont val="Calibri"/>
        <family val="2"/>
      </rPr>
      <t>GH2,sur,sat</t>
    </r>
    <r>
      <rPr>
        <sz val="11"/>
        <rFont val="Calibri"/>
        <family val="2"/>
      </rPr>
      <t xml:space="preserve"> - S</t>
    </r>
    <r>
      <rPr>
        <vertAlign val="subscript"/>
        <sz val="11"/>
        <rFont val="Calibri"/>
        <family val="2"/>
      </rPr>
      <t>H2</t>
    </r>
    <r>
      <rPr>
        <sz val="11"/>
        <rFont val="Calibri"/>
        <family val="2"/>
      </rPr>
      <t>)</t>
    </r>
  </si>
  <si>
    <t>Oxygen gas transfer - surface</t>
  </si>
  <si>
    <r>
      <t>k</t>
    </r>
    <r>
      <rPr>
        <vertAlign val="subscript"/>
        <sz val="11"/>
        <rFont val="Calibri"/>
        <family val="2"/>
      </rPr>
      <t>L</t>
    </r>
    <r>
      <rPr>
        <sz val="11"/>
        <rFont val="Calibri"/>
        <family val="2"/>
      </rPr>
      <t>a</t>
    </r>
    <r>
      <rPr>
        <vertAlign val="subscript"/>
        <sz val="11"/>
        <rFont val="Calibri"/>
        <family val="2"/>
      </rPr>
      <t>GO2,sur</t>
    </r>
    <r>
      <rPr>
        <sz val="11"/>
        <rFont val="Calibri"/>
        <family val="2"/>
      </rPr>
      <t>*(S</t>
    </r>
    <r>
      <rPr>
        <vertAlign val="subscript"/>
        <sz val="11"/>
        <rFont val="Calibri"/>
        <family val="2"/>
      </rPr>
      <t>GO2,sur,sat</t>
    </r>
    <r>
      <rPr>
        <sz val="11"/>
        <rFont val="Calibri"/>
        <family val="2"/>
      </rPr>
      <t xml:space="preserve"> - S</t>
    </r>
    <r>
      <rPr>
        <vertAlign val="subscript"/>
        <sz val="11"/>
        <rFont val="Calibri"/>
        <family val="2"/>
      </rPr>
      <t>O2</t>
    </r>
    <r>
      <rPr>
        <sz val="11"/>
        <rFont val="Calibri"/>
        <family val="2"/>
      </rPr>
      <t>)</t>
    </r>
  </si>
  <si>
    <t>Ammonia absorption - surface</t>
  </si>
  <si>
    <r>
      <t>k</t>
    </r>
    <r>
      <rPr>
        <vertAlign val="subscript"/>
        <sz val="11"/>
        <rFont val="Calibri"/>
        <family val="2"/>
        <scheme val="minor"/>
      </rPr>
      <t>transfer,GNH3,sur</t>
    </r>
  </si>
  <si>
    <t>Nitrogen gas transfer - surface</t>
  </si>
  <si>
    <r>
      <t>k</t>
    </r>
    <r>
      <rPr>
        <vertAlign val="subscript"/>
        <sz val="11"/>
        <rFont val="Calibri"/>
        <family val="2"/>
      </rPr>
      <t>L</t>
    </r>
    <r>
      <rPr>
        <sz val="11"/>
        <rFont val="Calibri"/>
        <family val="2"/>
      </rPr>
      <t>a</t>
    </r>
    <r>
      <rPr>
        <vertAlign val="subscript"/>
        <sz val="11"/>
        <rFont val="Calibri"/>
        <family val="2"/>
      </rPr>
      <t>GN2,sur</t>
    </r>
    <r>
      <rPr>
        <sz val="11"/>
        <rFont val="Calibri"/>
        <family val="2"/>
      </rPr>
      <t>*(S</t>
    </r>
    <r>
      <rPr>
        <vertAlign val="subscript"/>
        <sz val="11"/>
        <rFont val="Calibri"/>
        <family val="2"/>
      </rPr>
      <t>GN2,sur,sat</t>
    </r>
    <r>
      <rPr>
        <sz val="11"/>
        <rFont val="Calibri"/>
        <family val="2"/>
      </rPr>
      <t xml:space="preserve"> - S</t>
    </r>
    <r>
      <rPr>
        <vertAlign val="subscript"/>
        <sz val="11"/>
        <rFont val="Calibri"/>
        <family val="2"/>
      </rPr>
      <t>N2</t>
    </r>
    <r>
      <rPr>
        <sz val="11"/>
        <rFont val="Calibri"/>
        <family val="2"/>
      </rPr>
      <t>)</t>
    </r>
  </si>
  <si>
    <r>
      <t>k</t>
    </r>
    <r>
      <rPr>
        <vertAlign val="subscript"/>
        <sz val="11"/>
        <rFont val="Calibri"/>
        <family val="2"/>
        <scheme val="minor"/>
      </rPr>
      <t>transfer,GCO2,bub</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</si>
  <si>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CH4,bub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CH4,bub,sat </t>
    </r>
    <r>
      <rPr>
        <sz val="11"/>
        <rFont val="Calibri"/>
        <family val="2"/>
        <scheme val="minor"/>
      </rPr>
      <t>- S</t>
    </r>
    <r>
      <rPr>
        <vertAlign val="subscript"/>
        <sz val="11"/>
        <rFont val="Calibri"/>
        <family val="2"/>
        <scheme val="minor"/>
      </rPr>
      <t>CH4</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</si>
  <si>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GH2</t>
    </r>
    <r>
      <rPr>
        <vertAlign val="subscript"/>
        <sz val="11"/>
        <rFont val="Calibri"/>
        <family val="2"/>
        <scheme val="minor"/>
      </rPr>
      <t>,bub</t>
    </r>
    <r>
      <rPr>
        <sz val="11"/>
        <rFont val="Calibri"/>
        <family val="2"/>
        <scheme val="minor"/>
      </rPr>
      <t>*(S</t>
    </r>
    <r>
      <rPr>
        <vertAlign val="subscript"/>
        <sz val="11"/>
        <rFont val="Calibri"/>
        <family val="2"/>
        <charset val="238"/>
        <scheme val="minor"/>
      </rPr>
      <t>GH2</t>
    </r>
    <r>
      <rPr>
        <vertAlign val="subscript"/>
        <sz val="11"/>
        <rFont val="Calibri"/>
        <family val="2"/>
        <scheme val="minor"/>
      </rPr>
      <t xml:space="preserve">,bub,sat </t>
    </r>
    <r>
      <rPr>
        <sz val="11"/>
        <rFont val="Calibri"/>
        <family val="2"/>
        <scheme val="minor"/>
      </rPr>
      <t>- S</t>
    </r>
    <r>
      <rPr>
        <vertAlign val="subscript"/>
        <sz val="11"/>
        <rFont val="Calibri"/>
        <family val="2"/>
        <scheme val="minor"/>
      </rPr>
      <t>H2</t>
    </r>
    <r>
      <rPr>
        <sz val="11"/>
        <rFont val="Calibri"/>
        <family val="2"/>
        <scheme val="minor"/>
      </rPr>
      <t>)</t>
    </r>
  </si>
  <si>
    <r>
      <t>k</t>
    </r>
    <r>
      <rPr>
        <vertAlign val="subscript"/>
        <sz val="11"/>
        <rFont val="Calibri"/>
        <family val="2"/>
      </rPr>
      <t>L</t>
    </r>
    <r>
      <rPr>
        <sz val="11"/>
        <rFont val="Calibri"/>
        <family val="2"/>
      </rPr>
      <t>a</t>
    </r>
    <r>
      <rPr>
        <vertAlign val="subscript"/>
        <sz val="11"/>
        <rFont val="Calibri"/>
        <family val="2"/>
      </rPr>
      <t>GO2,bub</t>
    </r>
    <r>
      <rPr>
        <sz val="11"/>
        <rFont val="Calibri"/>
        <family val="2"/>
      </rPr>
      <t>*(S</t>
    </r>
    <r>
      <rPr>
        <vertAlign val="subscript"/>
        <sz val="11"/>
        <rFont val="Calibri"/>
        <family val="2"/>
        <charset val="238"/>
      </rPr>
      <t>G</t>
    </r>
    <r>
      <rPr>
        <vertAlign val="subscript"/>
        <sz val="11"/>
        <rFont val="Calibri"/>
        <family val="2"/>
      </rPr>
      <t xml:space="preserve">O2,bub,sat </t>
    </r>
    <r>
      <rPr>
        <sz val="11"/>
        <rFont val="Calibri"/>
        <family val="2"/>
      </rPr>
      <t>- S</t>
    </r>
    <r>
      <rPr>
        <vertAlign val="subscript"/>
        <sz val="11"/>
        <rFont val="Calibri"/>
        <family val="2"/>
      </rPr>
      <t>O2</t>
    </r>
    <r>
      <rPr>
        <sz val="11"/>
        <rFont val="Calibri"/>
        <family val="2"/>
      </rPr>
      <t>)</t>
    </r>
  </si>
  <si>
    <r>
      <t>k</t>
    </r>
    <r>
      <rPr>
        <vertAlign val="subscript"/>
        <sz val="11"/>
        <rFont val="Calibri"/>
        <family val="2"/>
        <scheme val="minor"/>
      </rPr>
      <t>transfer,GNH3,bub</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</si>
  <si>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N2,bub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N2,bub,sat </t>
    </r>
    <r>
      <rPr>
        <sz val="11"/>
        <rFont val="Calibri"/>
        <family val="2"/>
        <scheme val="minor"/>
      </rPr>
      <t>- S</t>
    </r>
    <r>
      <rPr>
        <vertAlign val="subscript"/>
        <sz val="11"/>
        <rFont val="Calibri"/>
        <family val="2"/>
        <scheme val="minor"/>
      </rPr>
      <t>N2</t>
    </r>
    <r>
      <rPr>
        <sz val="11"/>
        <rFont val="Calibri"/>
        <family val="2"/>
        <scheme val="minor"/>
      </rPr>
      <t>)</t>
    </r>
  </si>
  <si>
    <t>Carbon dioxide gas transfer - bubbles</t>
  </si>
  <si>
    <t>Methane gas transfer - bubbles</t>
  </si>
  <si>
    <t>Hydrogen gas transfer - bubbles</t>
  </si>
  <si>
    <t>Oxygen gas transfer - bubbles</t>
  </si>
  <si>
    <t>Ammonia absorption - bubbles</t>
  </si>
  <si>
    <t>Nitrogen gas transfer - bubbles</t>
  </si>
  <si>
    <t>r86</t>
  </si>
  <si>
    <t>r87</t>
  </si>
  <si>
    <t>r88</t>
  </si>
  <si>
    <t>r89</t>
  </si>
  <si>
    <t>r90</t>
  </si>
  <si>
    <t>r91</t>
  </si>
  <si>
    <r>
      <t>1/</t>
    </r>
    <r>
      <rPr>
        <sz val="11"/>
        <rFont val="Calibri"/>
        <family val="2"/>
      </rPr>
      <t>Δ</t>
    </r>
    <r>
      <rPr>
        <vertAlign val="subscript"/>
        <sz val="12.65"/>
        <rFont val="Calibri"/>
        <family val="2"/>
      </rPr>
      <t>atm</t>
    </r>
  </si>
  <si>
    <r>
      <t>-1/</t>
    </r>
    <r>
      <rPr>
        <sz val="11"/>
        <rFont val="Calibri"/>
        <family val="2"/>
      </rPr>
      <t>Δ</t>
    </r>
    <r>
      <rPr>
        <vertAlign val="subscript"/>
        <sz val="12.65"/>
        <rFont val="Calibri"/>
        <family val="2"/>
      </rPr>
      <t>atm</t>
    </r>
  </si>
  <si>
    <r>
      <t>-EEQ</t>
    </r>
    <r>
      <rPr>
        <vertAlign val="subscript"/>
        <sz val="11"/>
        <rFont val="Calibri"/>
        <family val="2"/>
        <scheme val="minor"/>
      </rPr>
      <t>N2</t>
    </r>
    <r>
      <rPr>
        <sz val="11"/>
        <rFont val="Calibri"/>
        <family val="2"/>
        <scheme val="minor"/>
      </rPr>
      <t>/Δ</t>
    </r>
    <r>
      <rPr>
        <vertAlign val="subscript"/>
        <sz val="11"/>
        <rFont val="Calibri"/>
        <family val="2"/>
        <scheme val="minor"/>
      </rPr>
      <t>atm</t>
    </r>
  </si>
  <si>
    <r>
      <t>i</t>
    </r>
    <r>
      <rPr>
        <vertAlign val="subscript"/>
        <sz val="11"/>
        <rFont val="Calibri"/>
        <family val="2"/>
        <scheme val="minor"/>
      </rPr>
      <t>CIT,CH4</t>
    </r>
    <r>
      <rPr>
        <sz val="11"/>
        <rFont val="Calibri"/>
        <family val="2"/>
        <scheme val="minor"/>
      </rPr>
      <t>/</t>
    </r>
    <r>
      <rPr>
        <sz val="11"/>
        <rFont val="Calibri"/>
        <family val="2"/>
      </rPr>
      <t>Δ</t>
    </r>
    <r>
      <rPr>
        <vertAlign val="subscript"/>
        <sz val="11"/>
        <rFont val="Calibri"/>
        <family val="2"/>
      </rPr>
      <t>atm</t>
    </r>
  </si>
  <si>
    <r>
      <t>K</t>
    </r>
    <r>
      <rPr>
        <vertAlign val="subscript"/>
        <sz val="11"/>
        <rFont val="Calibri"/>
        <family val="2"/>
        <scheme val="minor"/>
      </rPr>
      <t>W,param</t>
    </r>
    <r>
      <rPr>
        <sz val="11"/>
        <rFont val="Calibri"/>
        <family val="2"/>
        <scheme val="minor"/>
      </rPr>
      <t>*Exp(dH</t>
    </r>
    <r>
      <rPr>
        <vertAlign val="subscript"/>
        <sz val="11"/>
        <rFont val="Calibri"/>
        <family val="2"/>
        <scheme val="minor"/>
      </rPr>
      <t>diss,H2O</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</si>
  <si>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P3,param</t>
    </r>
    <r>
      <rPr>
        <sz val="11"/>
        <rFont val="Calibri"/>
        <family val="2"/>
        <scheme val="minor"/>
      </rPr>
      <t>*Exp(dH</t>
    </r>
    <r>
      <rPr>
        <vertAlign val="subscript"/>
        <sz val="11"/>
        <rFont val="Calibri"/>
        <family val="2"/>
        <scheme val="minor"/>
      </rPr>
      <t>diss,PO4,3</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</si>
  <si>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NO2,param</t>
    </r>
    <r>
      <rPr>
        <sz val="11"/>
        <rFont val="Calibri"/>
        <family val="2"/>
        <scheme val="minor"/>
      </rPr>
      <t>*Exp(dH</t>
    </r>
    <r>
      <rPr>
        <vertAlign val="subscript"/>
        <sz val="11"/>
        <rFont val="Calibri"/>
        <family val="2"/>
        <scheme val="minor"/>
      </rPr>
      <t>diss,NO2</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</si>
  <si>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t>Gas transfer rates for pH-dependent gases in bubbles</t>
  </si>
  <si>
    <r>
      <t>Gas transfer rate for CO</t>
    </r>
    <r>
      <rPr>
        <vertAlign val="subscript"/>
        <sz val="11"/>
        <color rgb="FF000000"/>
        <rFont val="Calibri"/>
        <family val="2"/>
        <scheme val="minor"/>
      </rPr>
      <t>2</t>
    </r>
    <r>
      <rPr>
        <sz val="11"/>
        <color rgb="FF000000"/>
        <rFont val="Calibri"/>
        <family val="2"/>
        <charset val="238"/>
        <scheme val="minor"/>
      </rPr>
      <t xml:space="preserve"> - bubbles</t>
    </r>
  </si>
  <si>
    <r>
      <t>k</t>
    </r>
    <r>
      <rPr>
        <vertAlign val="subscript"/>
        <sz val="11"/>
        <rFont val="Calibri"/>
        <family val="2"/>
      </rPr>
      <t>L</t>
    </r>
    <r>
      <rPr>
        <sz val="11"/>
        <rFont val="Calibri"/>
        <family val="2"/>
      </rPr>
      <t>a</t>
    </r>
    <r>
      <rPr>
        <vertAlign val="subscript"/>
        <sz val="11"/>
        <rFont val="Calibri"/>
        <family val="2"/>
      </rPr>
      <t>GCO2,bub</t>
    </r>
    <r>
      <rPr>
        <sz val="11"/>
        <rFont val="Calibri"/>
        <family val="2"/>
      </rPr>
      <t>*(S</t>
    </r>
    <r>
      <rPr>
        <vertAlign val="subscript"/>
        <sz val="11"/>
        <rFont val="Calibri"/>
        <family val="2"/>
      </rPr>
      <t>GCO2,bub,sat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</si>
  <si>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Gas transfer rate for NH</t>
    </r>
    <r>
      <rPr>
        <vertAlign val="subscript"/>
        <sz val="11"/>
        <color rgb="FF000000"/>
        <rFont val="Calibri"/>
        <family val="2"/>
        <scheme val="minor"/>
      </rPr>
      <t>3</t>
    </r>
    <r>
      <rPr>
        <sz val="11"/>
        <color rgb="FF000000"/>
        <rFont val="Calibri"/>
        <family val="2"/>
        <charset val="238"/>
        <scheme val="minor"/>
      </rPr>
      <t xml:space="preserve"> - bubbles</t>
    </r>
  </si>
  <si>
    <r>
      <t>k</t>
    </r>
    <r>
      <rPr>
        <vertAlign val="subscript"/>
        <sz val="11"/>
        <rFont val="Calibri"/>
        <family val="2"/>
      </rPr>
      <t>L</t>
    </r>
    <r>
      <rPr>
        <sz val="11"/>
        <rFont val="Calibri"/>
        <family val="2"/>
      </rPr>
      <t>a</t>
    </r>
    <r>
      <rPr>
        <vertAlign val="subscript"/>
        <sz val="11"/>
        <rFont val="Calibri"/>
        <family val="2"/>
      </rPr>
      <t>GNH3,bub</t>
    </r>
    <r>
      <rPr>
        <sz val="11"/>
        <rFont val="Calibri"/>
        <family val="2"/>
      </rPr>
      <t>*(S</t>
    </r>
    <r>
      <rPr>
        <vertAlign val="subscript"/>
        <sz val="11"/>
        <rFont val="Calibri"/>
        <family val="2"/>
      </rPr>
      <t>GNH3,bub,sat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</si>
  <si>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t>Gas transfer rates for pH-dependent gases in the atmosphere</t>
  </si>
  <si>
    <r>
      <t>Gas transfer rate for CO</t>
    </r>
    <r>
      <rPr>
        <vertAlign val="subscript"/>
        <sz val="11"/>
        <color rgb="FF000000"/>
        <rFont val="Calibri"/>
        <family val="2"/>
        <scheme val="minor"/>
      </rPr>
      <t>2</t>
    </r>
    <r>
      <rPr>
        <sz val="11"/>
        <color rgb="FF000000"/>
        <rFont val="Calibri"/>
        <family val="2"/>
        <charset val="238"/>
        <scheme val="minor"/>
      </rPr>
      <t xml:space="preserve"> - surface</t>
    </r>
  </si>
  <si>
    <r>
      <t>k</t>
    </r>
    <r>
      <rPr>
        <vertAlign val="subscript"/>
        <sz val="11"/>
        <rFont val="Calibri"/>
        <family val="2"/>
      </rPr>
      <t>L</t>
    </r>
    <r>
      <rPr>
        <sz val="11"/>
        <rFont val="Calibri"/>
        <family val="2"/>
      </rPr>
      <t>a</t>
    </r>
    <r>
      <rPr>
        <vertAlign val="subscript"/>
        <sz val="11"/>
        <rFont val="Calibri"/>
        <family val="2"/>
      </rPr>
      <t>GCO2,sur</t>
    </r>
    <r>
      <rPr>
        <sz val="11"/>
        <rFont val="Calibri"/>
        <family val="2"/>
      </rPr>
      <t>*(S</t>
    </r>
    <r>
      <rPr>
        <vertAlign val="subscript"/>
        <sz val="11"/>
        <rFont val="Calibri"/>
        <family val="2"/>
      </rPr>
      <t>GCO2,sur,sat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</si>
  <si>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Gas transfer rate for NH</t>
    </r>
    <r>
      <rPr>
        <vertAlign val="subscript"/>
        <sz val="11"/>
        <color rgb="FF000000"/>
        <rFont val="Calibri"/>
        <family val="2"/>
        <scheme val="minor"/>
      </rPr>
      <t>3</t>
    </r>
    <r>
      <rPr>
        <sz val="11"/>
        <color rgb="FF000000"/>
        <rFont val="Calibri"/>
        <family val="2"/>
        <charset val="238"/>
        <scheme val="minor"/>
      </rPr>
      <t xml:space="preserve"> - surface</t>
    </r>
  </si>
  <si>
    <r>
      <t>k</t>
    </r>
    <r>
      <rPr>
        <vertAlign val="subscript"/>
        <sz val="11"/>
        <rFont val="Calibri"/>
        <family val="2"/>
      </rPr>
      <t>L</t>
    </r>
    <r>
      <rPr>
        <sz val="11"/>
        <rFont val="Calibri"/>
        <family val="2"/>
      </rPr>
      <t>a</t>
    </r>
    <r>
      <rPr>
        <vertAlign val="subscript"/>
        <sz val="11"/>
        <rFont val="Calibri"/>
        <family val="2"/>
      </rPr>
      <t>GNH3,sur</t>
    </r>
    <r>
      <rPr>
        <sz val="11"/>
        <rFont val="Calibri"/>
        <family val="2"/>
      </rPr>
      <t>*(S</t>
    </r>
    <r>
      <rPr>
        <vertAlign val="subscript"/>
        <sz val="11"/>
        <rFont val="Calibri"/>
        <family val="2"/>
      </rPr>
      <t>GNH3,sur,sat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</si>
  <si>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m.d</t>
    </r>
    <r>
      <rPr>
        <vertAlign val="superscript"/>
        <sz val="11"/>
        <rFont val="Calibri"/>
        <family val="2"/>
        <scheme val="minor"/>
      </rPr>
      <t>-1</t>
    </r>
  </si>
  <si>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</si>
  <si>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</si>
  <si>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</si>
  <si>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</si>
  <si>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</si>
  <si>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</si>
  <si>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</si>
  <si>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</si>
  <si>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t>
    </r>
    <r>
      <rPr>
        <vertAlign val="subscript"/>
        <sz val="11"/>
        <rFont val="Calibri"/>
        <family val="2"/>
        <scheme val="minor"/>
      </rPr>
      <t>GH2S,25</t>
    </r>
  </si>
  <si>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</si>
  <si>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</si>
  <si>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</si>
  <si>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</si>
  <si>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t>Dynamic viscosity of water</t>
  </si>
  <si>
    <r>
      <rPr>
        <sz val="11"/>
        <rFont val="Calibri"/>
        <family val="2"/>
      </rPr>
      <t>ρ</t>
    </r>
    <r>
      <rPr>
        <vertAlign val="subscript"/>
        <sz val="11"/>
        <rFont val="Calibri"/>
        <family val="2"/>
        <scheme val="minor"/>
      </rPr>
      <t>air</t>
    </r>
  </si>
  <si>
    <t>Density of air</t>
  </si>
  <si>
    <r>
      <t>p</t>
    </r>
    <r>
      <rPr>
        <vertAlign val="subscript"/>
        <sz val="11"/>
        <rFont val="Calibri"/>
        <family val="2"/>
      </rPr>
      <t>STP</t>
    </r>
  </si>
  <si>
    <t>Standard barometric pressure</t>
  </si>
  <si>
    <t>Normal barometric pressure</t>
  </si>
  <si>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</si>
  <si>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</si>
  <si>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</si>
  <si>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</si>
  <si>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</si>
  <si>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</si>
  <si>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</si>
  <si>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</si>
  <si>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</si>
  <si>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</si>
  <si>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</si>
  <si>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</si>
  <si>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</si>
  <si>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</si>
  <si>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MM</t>
    </r>
    <r>
      <rPr>
        <vertAlign val="subscript"/>
        <sz val="11"/>
        <rFont val="Calibri"/>
        <family val="2"/>
        <scheme val="minor"/>
      </rPr>
      <t>FeOH3</t>
    </r>
  </si>
  <si>
    <r>
      <t>MM</t>
    </r>
    <r>
      <rPr>
        <vertAlign val="subscript"/>
        <sz val="11"/>
        <rFont val="Calibri"/>
        <family val="2"/>
        <scheme val="minor"/>
      </rPr>
      <t>AlOH3</t>
    </r>
  </si>
  <si>
    <r>
      <t>MM</t>
    </r>
    <r>
      <rPr>
        <vertAlign val="subscript"/>
        <sz val="11"/>
        <rFont val="Calibri"/>
        <family val="2"/>
        <scheme val="minor"/>
      </rPr>
      <t>AlPO4</t>
    </r>
  </si>
  <si>
    <r>
      <t>K</t>
    </r>
    <r>
      <rPr>
        <vertAlign val="subscript"/>
        <sz val="11"/>
        <rFont val="Calibri"/>
        <family val="2"/>
        <charset val="238"/>
        <scheme val="minor"/>
      </rPr>
      <t>NH3,param</t>
    </r>
  </si>
  <si>
    <r>
      <t>K</t>
    </r>
    <r>
      <rPr>
        <vertAlign val="subscript"/>
        <sz val="11"/>
        <rFont val="Calibri"/>
        <family val="2"/>
        <charset val="238"/>
        <scheme val="minor"/>
      </rPr>
      <t>NO2,param</t>
    </r>
  </si>
  <si>
    <r>
      <t>K</t>
    </r>
    <r>
      <rPr>
        <vertAlign val="subscript"/>
        <sz val="11"/>
        <rFont val="Calibri"/>
        <family val="2"/>
        <charset val="238"/>
        <scheme val="minor"/>
      </rPr>
      <t>Ac,param</t>
    </r>
  </si>
  <si>
    <r>
      <t>K</t>
    </r>
    <r>
      <rPr>
        <vertAlign val="subscript"/>
        <sz val="11"/>
        <rFont val="Calibri"/>
        <family val="2"/>
        <charset val="238"/>
        <scheme val="minor"/>
      </rPr>
      <t>H2S,param</t>
    </r>
  </si>
  <si>
    <r>
      <t>D</t>
    </r>
    <r>
      <rPr>
        <vertAlign val="subscript"/>
        <sz val="11"/>
        <rFont val="Calibri"/>
        <family val="2"/>
        <charset val="238"/>
        <scheme val="minor"/>
      </rPr>
      <t>SVFA</t>
    </r>
  </si>
  <si>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</si>
  <si>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</si>
  <si>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</si>
  <si>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</si>
  <si>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r>
      <t>D</t>
    </r>
    <r>
      <rPr>
        <vertAlign val="subscript"/>
        <sz val="11"/>
        <rFont val="Calibri"/>
        <family val="2"/>
        <charset val="238"/>
        <scheme val="minor"/>
      </rPr>
      <t>SB,mono</t>
    </r>
  </si>
  <si>
    <r>
      <t>D</t>
    </r>
    <r>
      <rPr>
        <vertAlign val="subscript"/>
        <sz val="11"/>
        <rFont val="Calibri"/>
        <family val="2"/>
        <charset val="238"/>
        <scheme val="minor"/>
      </rPr>
      <t>SB,poly</t>
    </r>
  </si>
  <si>
    <r>
      <t>D</t>
    </r>
    <r>
      <rPr>
        <vertAlign val="subscript"/>
        <sz val="11"/>
        <rFont val="Calibri"/>
        <family val="2"/>
        <charset val="238"/>
        <scheme val="minor"/>
      </rPr>
      <t>SS</t>
    </r>
  </si>
  <si>
    <r>
      <t>D</t>
    </r>
    <r>
      <rPr>
        <vertAlign val="subscript"/>
        <sz val="11"/>
        <rFont val="Calibri"/>
        <family val="2"/>
        <charset val="238"/>
        <scheme val="minor"/>
      </rPr>
      <t>SF</t>
    </r>
  </si>
  <si>
    <r>
      <t>D</t>
    </r>
    <r>
      <rPr>
        <vertAlign val="subscript"/>
        <sz val="11"/>
        <rFont val="Calibri"/>
        <family val="2"/>
        <charset val="238"/>
        <scheme val="minor"/>
      </rPr>
      <t>SBSC</t>
    </r>
  </si>
  <si>
    <r>
      <t>D</t>
    </r>
    <r>
      <rPr>
        <vertAlign val="subscript"/>
        <sz val="11"/>
        <rFont val="Calibri"/>
        <family val="2"/>
        <charset val="238"/>
        <scheme val="minor"/>
      </rPr>
      <t>SMEOL</t>
    </r>
  </si>
  <si>
    <r>
      <t>D</t>
    </r>
    <r>
      <rPr>
        <vertAlign val="subscript"/>
        <sz val="11"/>
        <rFont val="Calibri"/>
        <family val="2"/>
        <charset val="238"/>
        <scheme val="minor"/>
      </rPr>
      <t>SU</t>
    </r>
  </si>
  <si>
    <r>
      <t>D</t>
    </r>
    <r>
      <rPr>
        <vertAlign val="subscript"/>
        <sz val="11"/>
        <rFont val="Calibri"/>
        <family val="2"/>
        <charset val="238"/>
        <scheme val="minor"/>
      </rPr>
      <t>SI</t>
    </r>
  </si>
  <si>
    <r>
      <t>D</t>
    </r>
    <r>
      <rPr>
        <vertAlign val="subscript"/>
        <sz val="11"/>
        <rFont val="Calibri"/>
        <family val="2"/>
        <charset val="238"/>
        <scheme val="minor"/>
      </rPr>
      <t>SNHx</t>
    </r>
  </si>
  <si>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</si>
  <si>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</si>
  <si>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</si>
  <si>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r>
      <t>D</t>
    </r>
    <r>
      <rPr>
        <vertAlign val="subscript"/>
        <sz val="11"/>
        <rFont val="Calibri"/>
        <family val="2"/>
        <charset val="238"/>
        <scheme val="minor"/>
      </rPr>
      <t>NO3</t>
    </r>
  </si>
  <si>
    <r>
      <t>D</t>
    </r>
    <r>
      <rPr>
        <vertAlign val="subscript"/>
        <sz val="11"/>
        <rFont val="Calibri"/>
        <family val="2"/>
        <charset val="238"/>
        <scheme val="minor"/>
      </rPr>
      <t>PO4</t>
    </r>
  </si>
  <si>
    <r>
      <t>D</t>
    </r>
    <r>
      <rPr>
        <vertAlign val="subscript"/>
        <sz val="11"/>
        <rFont val="Calibri"/>
        <family val="2"/>
        <charset val="238"/>
        <scheme val="minor"/>
      </rPr>
      <t>SN2</t>
    </r>
  </si>
  <si>
    <r>
      <t>D</t>
    </r>
    <r>
      <rPr>
        <vertAlign val="subscript"/>
        <sz val="11"/>
        <rFont val="Calibri"/>
        <family val="2"/>
        <charset val="238"/>
        <scheme val="minor"/>
      </rPr>
      <t>NUS</t>
    </r>
  </si>
  <si>
    <r>
      <t>D</t>
    </r>
    <r>
      <rPr>
        <vertAlign val="subscript"/>
        <sz val="11"/>
        <rFont val="Calibri"/>
        <family val="2"/>
        <charset val="238"/>
        <scheme val="minor"/>
      </rPr>
      <t>NBS</t>
    </r>
  </si>
  <si>
    <r>
      <t>D</t>
    </r>
    <r>
      <rPr>
        <vertAlign val="subscript"/>
        <sz val="11"/>
        <rFont val="Calibri"/>
        <family val="2"/>
        <charset val="238"/>
        <scheme val="minor"/>
      </rPr>
      <t>SUS</t>
    </r>
  </si>
  <si>
    <r>
      <t>D</t>
    </r>
    <r>
      <rPr>
        <vertAlign val="subscript"/>
        <sz val="11"/>
        <rFont val="Calibri"/>
        <family val="2"/>
        <charset val="238"/>
        <scheme val="minor"/>
      </rPr>
      <t>SNO2</t>
    </r>
  </si>
  <si>
    <r>
      <t>D</t>
    </r>
    <r>
      <rPr>
        <vertAlign val="subscript"/>
        <sz val="11"/>
        <rFont val="Calibri"/>
        <family val="2"/>
        <charset val="238"/>
        <scheme val="minor"/>
      </rPr>
      <t>SNO3</t>
    </r>
  </si>
  <si>
    <r>
      <t>D</t>
    </r>
    <r>
      <rPr>
        <vertAlign val="subscript"/>
        <sz val="11"/>
        <rFont val="Calibri"/>
        <family val="2"/>
        <charset val="238"/>
        <scheme val="minor"/>
      </rPr>
      <t>SN,B</t>
    </r>
  </si>
  <si>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</si>
  <si>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</si>
  <si>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</si>
  <si>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</si>
  <si>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r>
      <t>D</t>
    </r>
    <r>
      <rPr>
        <vertAlign val="subscript"/>
        <sz val="11"/>
        <rFont val="Calibri"/>
        <family val="2"/>
        <charset val="238"/>
        <scheme val="minor"/>
      </rPr>
      <t>SO2</t>
    </r>
  </si>
  <si>
    <r>
      <t>D</t>
    </r>
    <r>
      <rPr>
        <vertAlign val="subscript"/>
        <sz val="11"/>
        <rFont val="Calibri"/>
        <family val="2"/>
        <charset val="238"/>
        <scheme val="minor"/>
      </rPr>
      <t>SCH4</t>
    </r>
  </si>
  <si>
    <r>
      <t>D</t>
    </r>
    <r>
      <rPr>
        <vertAlign val="subscript"/>
        <sz val="11"/>
        <rFont val="Calibri"/>
        <family val="2"/>
        <charset val="238"/>
        <scheme val="minor"/>
      </rPr>
      <t>SH2</t>
    </r>
  </si>
  <si>
    <r>
      <t>D</t>
    </r>
    <r>
      <rPr>
        <vertAlign val="subscript"/>
        <sz val="11"/>
        <rFont val="Calibri"/>
        <family val="2"/>
        <charset val="238"/>
        <scheme val="minor"/>
      </rPr>
      <t>SCO2</t>
    </r>
  </si>
  <si>
    <r>
      <t>D</t>
    </r>
    <r>
      <rPr>
        <vertAlign val="subscript"/>
        <sz val="11"/>
        <rFont val="Calibri"/>
        <family val="2"/>
        <charset val="238"/>
        <scheme val="minor"/>
      </rPr>
      <t>SK</t>
    </r>
  </si>
  <si>
    <r>
      <t>D</t>
    </r>
    <r>
      <rPr>
        <vertAlign val="subscript"/>
        <sz val="11"/>
        <rFont val="Calibri"/>
        <family val="2"/>
        <charset val="238"/>
        <scheme val="minor"/>
      </rPr>
      <t>SCa</t>
    </r>
  </si>
  <si>
    <r>
      <t>D</t>
    </r>
    <r>
      <rPr>
        <vertAlign val="subscript"/>
        <sz val="11"/>
        <rFont val="Calibri"/>
        <family val="2"/>
        <charset val="238"/>
        <scheme val="minor"/>
      </rPr>
      <t>SMg</t>
    </r>
  </si>
  <si>
    <r>
      <t>D</t>
    </r>
    <r>
      <rPr>
        <vertAlign val="subscript"/>
        <sz val="11"/>
        <rFont val="Calibri"/>
        <family val="2"/>
        <charset val="238"/>
        <scheme val="minor"/>
      </rPr>
      <t>SCAT</t>
    </r>
  </si>
  <si>
    <r>
      <t>D</t>
    </r>
    <r>
      <rPr>
        <vertAlign val="subscript"/>
        <sz val="11"/>
        <rFont val="Calibri"/>
        <family val="2"/>
        <charset val="238"/>
        <scheme val="minor"/>
      </rPr>
      <t>SAN</t>
    </r>
  </si>
  <si>
    <r>
      <t>D</t>
    </r>
    <r>
      <rPr>
        <vertAlign val="subscript"/>
        <sz val="11"/>
        <rFont val="Calibri"/>
        <family val="2"/>
        <charset val="238"/>
        <scheme val="minor"/>
      </rPr>
      <t>SH2S</t>
    </r>
  </si>
  <si>
    <r>
      <t>D</t>
    </r>
    <r>
      <rPr>
        <vertAlign val="subscript"/>
        <sz val="11"/>
        <rFont val="Calibri"/>
        <family val="2"/>
        <charset val="238"/>
        <scheme val="minor"/>
      </rPr>
      <t>SSO4</t>
    </r>
  </si>
  <si>
    <r>
      <t>D</t>
    </r>
    <r>
      <rPr>
        <vertAlign val="subscript"/>
        <sz val="11"/>
        <rFont val="Calibri"/>
        <family val="2"/>
        <charset val="238"/>
        <scheme val="minor"/>
      </rPr>
      <t>SFe2</t>
    </r>
  </si>
  <si>
    <r>
      <t>D</t>
    </r>
    <r>
      <rPr>
        <vertAlign val="subscript"/>
        <sz val="11"/>
        <rFont val="Calibri"/>
        <family val="2"/>
        <charset val="238"/>
        <scheme val="minor"/>
      </rPr>
      <t>SALK</t>
    </r>
  </si>
  <si>
    <r>
      <t>D</t>
    </r>
    <r>
      <rPr>
        <vertAlign val="subscript"/>
        <sz val="11"/>
        <rFont val="Calibri"/>
        <family val="2"/>
        <charset val="238"/>
        <scheme val="minor"/>
      </rPr>
      <t>SMM,index</t>
    </r>
  </si>
  <si>
    <r>
      <t>D</t>
    </r>
    <r>
      <rPr>
        <vertAlign val="subscript"/>
        <sz val="11"/>
        <rFont val="Calibri"/>
        <family val="2"/>
        <charset val="238"/>
        <scheme val="minor"/>
      </rPr>
      <t>CB</t>
    </r>
  </si>
  <si>
    <r>
      <t>D</t>
    </r>
    <r>
      <rPr>
        <vertAlign val="subscript"/>
        <sz val="11"/>
        <rFont val="Calibri"/>
        <family val="2"/>
        <charset val="238"/>
        <scheme val="minor"/>
      </rPr>
      <t>CU</t>
    </r>
  </si>
  <si>
    <r>
      <t>T+T</t>
    </r>
    <r>
      <rPr>
        <vertAlign val="subscript"/>
        <sz val="11"/>
        <rFont val="Calibri"/>
        <family val="2"/>
        <scheme val="minor"/>
      </rPr>
      <t>STP,K</t>
    </r>
  </si>
  <si>
    <r>
      <t>(H-H</t>
    </r>
    <r>
      <rPr>
        <vertAlign val="subscript"/>
        <sz val="11"/>
        <rFont val="Calibri"/>
        <family val="2"/>
        <scheme val="minor"/>
      </rPr>
      <t>STP</t>
    </r>
    <r>
      <rPr>
        <sz val="11"/>
        <rFont val="Calibri"/>
        <family val="2"/>
        <scheme val="minor"/>
      </rPr>
      <t>)/c</t>
    </r>
    <r>
      <rPr>
        <vertAlign val="subscript"/>
        <sz val="11"/>
        <rFont val="Calibri"/>
        <family val="2"/>
        <scheme val="minor"/>
      </rPr>
      <t>p,water</t>
    </r>
  </si>
  <si>
    <t>Other parameters - gas transfer via bubbles</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</si>
  <si>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,bub</t>
    </r>
  </si>
  <si>
    <t>H2S mass transfer coefficient for gas bubbles from PU code</t>
  </si>
  <si>
    <r>
      <t>d</t>
    </r>
    <r>
      <rPr>
        <vertAlign val="superscript"/>
        <sz val="11"/>
        <rFont val="Calibri"/>
        <family val="2"/>
        <charset val="238"/>
      </rPr>
      <t>-1</t>
    </r>
  </si>
  <si>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O2,bub</t>
    </r>
  </si>
  <si>
    <t>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</si>
  <si>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O2,bub</t>
    </r>
  </si>
  <si>
    <t>CO2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</si>
  <si>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,bub</t>
    </r>
  </si>
  <si>
    <t>CH4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</si>
  <si>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,bub</t>
    </r>
  </si>
  <si>
    <t>H2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</si>
  <si>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,bub</t>
    </r>
  </si>
  <si>
    <t>NH3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</si>
  <si>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,bub</t>
    </r>
  </si>
  <si>
    <t>N2 mass transfer coefficient for gas bubbles from PU code</t>
  </si>
  <si>
    <r>
      <t>S</t>
    </r>
    <r>
      <rPr>
        <vertAlign val="subscript"/>
        <sz val="11"/>
        <rFont val="Calibri"/>
        <family val="2"/>
        <charset val="238"/>
      </rPr>
      <t>G</t>
    </r>
    <r>
      <rPr>
        <vertAlign val="subscript"/>
        <sz val="11"/>
        <rFont val="Calibri"/>
        <family val="2"/>
      </rPr>
      <t>H2S,bub,sat</t>
    </r>
  </si>
  <si>
    <t>H2S saturation concentration at gas bubble interface</t>
  </si>
  <si>
    <r>
      <t>S</t>
    </r>
    <r>
      <rPr>
        <vertAlign val="subscript"/>
        <sz val="11"/>
        <rFont val="Calibri"/>
        <family val="2"/>
        <charset val="238"/>
      </rPr>
      <t>G</t>
    </r>
    <r>
      <rPr>
        <vertAlign val="subscript"/>
        <sz val="11"/>
        <rFont val="Calibri"/>
        <family val="2"/>
      </rPr>
      <t>O2,bub,sat</t>
    </r>
  </si>
  <si>
    <t>O2 saturation concentration at gas bubble interface</t>
  </si>
  <si>
    <r>
      <t>S</t>
    </r>
    <r>
      <rPr>
        <vertAlign val="subscript"/>
        <sz val="11"/>
        <rFont val="Calibri"/>
        <family val="2"/>
        <charset val="238"/>
      </rPr>
      <t>G</t>
    </r>
    <r>
      <rPr>
        <vertAlign val="subscript"/>
        <sz val="11"/>
        <rFont val="Calibri"/>
        <family val="2"/>
      </rPr>
      <t>CO2,bub,sat</t>
    </r>
  </si>
  <si>
    <t>CO2 saturation concentration at gas bubble interface</t>
  </si>
  <si>
    <r>
      <t>S</t>
    </r>
    <r>
      <rPr>
        <vertAlign val="subscript"/>
        <sz val="11"/>
        <rFont val="Calibri"/>
        <family val="2"/>
        <charset val="238"/>
      </rPr>
      <t>G</t>
    </r>
    <r>
      <rPr>
        <vertAlign val="subscript"/>
        <sz val="11"/>
        <rFont val="Calibri"/>
        <family val="2"/>
      </rPr>
      <t>CH4,bub,sat</t>
    </r>
  </si>
  <si>
    <t>CH4 saturation concentration at gas bubble interface</t>
  </si>
  <si>
    <r>
      <t>S</t>
    </r>
    <r>
      <rPr>
        <vertAlign val="subscript"/>
        <sz val="11"/>
        <rFont val="Calibri"/>
        <family val="2"/>
        <charset val="238"/>
      </rPr>
      <t>G</t>
    </r>
    <r>
      <rPr>
        <vertAlign val="subscript"/>
        <sz val="11"/>
        <rFont val="Calibri"/>
        <family val="2"/>
      </rPr>
      <t>H2,bub,sat</t>
    </r>
  </si>
  <si>
    <t>H2 saturation concentration at gas bubble interface</t>
  </si>
  <si>
    <r>
      <t>S</t>
    </r>
    <r>
      <rPr>
        <vertAlign val="subscript"/>
        <sz val="11"/>
        <rFont val="Calibri"/>
        <family val="2"/>
        <charset val="238"/>
      </rPr>
      <t>G</t>
    </r>
    <r>
      <rPr>
        <vertAlign val="subscript"/>
        <sz val="11"/>
        <rFont val="Calibri"/>
        <family val="2"/>
      </rPr>
      <t>NH3,bub,sat</t>
    </r>
  </si>
  <si>
    <t>NH3 saturation concentration at gas bubble interface</t>
  </si>
  <si>
    <r>
      <t>S</t>
    </r>
    <r>
      <rPr>
        <vertAlign val="subscript"/>
        <sz val="11"/>
        <rFont val="Calibri"/>
        <family val="2"/>
        <charset val="238"/>
      </rPr>
      <t>G</t>
    </r>
    <r>
      <rPr>
        <vertAlign val="subscript"/>
        <sz val="11"/>
        <rFont val="Calibri"/>
        <family val="2"/>
      </rPr>
      <t>N2,bub,sat</t>
    </r>
  </si>
  <si>
    <t>N2 saturation concentration at gas bubble interface</t>
  </si>
  <si>
    <t>Other parameters - gas transfer via reactor surface</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</si>
  <si>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,sur</t>
    </r>
  </si>
  <si>
    <t>H2S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</si>
  <si>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O2,sur</t>
    </r>
  </si>
  <si>
    <t>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</si>
  <si>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O2,sur</t>
    </r>
  </si>
  <si>
    <t>CO2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</si>
  <si>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,sur</t>
    </r>
  </si>
  <si>
    <t>CH4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</si>
  <si>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,sur</t>
    </r>
  </si>
  <si>
    <t>H2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</si>
  <si>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,sur</t>
    </r>
  </si>
  <si>
    <t>NH3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</si>
  <si>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,sur</t>
    </r>
  </si>
  <si>
    <t>N2 mass transfer coefficient at liquid surface from PU code</t>
  </si>
  <si>
    <r>
      <t>S</t>
    </r>
    <r>
      <rPr>
        <vertAlign val="subscript"/>
        <sz val="11"/>
        <rFont val="Calibri"/>
        <family val="2"/>
        <charset val="238"/>
      </rPr>
      <t>G</t>
    </r>
    <r>
      <rPr>
        <vertAlign val="subscript"/>
        <sz val="11"/>
        <rFont val="Calibri"/>
        <family val="2"/>
      </rPr>
      <t>H2S,sur,sat</t>
    </r>
  </si>
  <si>
    <t>H2S saturation concentration at atmospheric interface</t>
  </si>
  <si>
    <r>
      <t>f(G</t>
    </r>
    <r>
      <rPr>
        <vertAlign val="subscript"/>
        <sz val="11"/>
        <rFont val="Calibri"/>
        <family val="2"/>
      </rPr>
      <t>H2S,atm</t>
    </r>
    <r>
      <rPr>
        <sz val="11"/>
        <rFont val="Calibri"/>
        <family val="2"/>
      </rPr>
      <t>)</t>
    </r>
  </si>
  <si>
    <r>
      <t>S</t>
    </r>
    <r>
      <rPr>
        <vertAlign val="subscript"/>
        <sz val="11"/>
        <rFont val="Calibri"/>
        <family val="2"/>
        <charset val="238"/>
      </rPr>
      <t>G</t>
    </r>
    <r>
      <rPr>
        <vertAlign val="subscript"/>
        <sz val="11"/>
        <rFont val="Calibri"/>
        <family val="2"/>
      </rPr>
      <t>O2,sur,sat</t>
    </r>
  </si>
  <si>
    <t>O2 saturation concentration at atmospheric interface</t>
  </si>
  <si>
    <r>
      <t>f(G</t>
    </r>
    <r>
      <rPr>
        <vertAlign val="subscript"/>
        <sz val="11"/>
        <rFont val="Calibri"/>
        <family val="2"/>
      </rPr>
      <t>O2,atm</t>
    </r>
    <r>
      <rPr>
        <sz val="11"/>
        <rFont val="Calibri"/>
        <family val="2"/>
      </rPr>
      <t>)</t>
    </r>
  </si>
  <si>
    <r>
      <t>S</t>
    </r>
    <r>
      <rPr>
        <vertAlign val="subscript"/>
        <sz val="11"/>
        <rFont val="Calibri"/>
        <family val="2"/>
        <charset val="238"/>
      </rPr>
      <t>G</t>
    </r>
    <r>
      <rPr>
        <vertAlign val="subscript"/>
        <sz val="11"/>
        <rFont val="Calibri"/>
        <family val="2"/>
      </rPr>
      <t>CO2,sur,sat</t>
    </r>
  </si>
  <si>
    <t>CO2 saturation concentration at atmospheric interface</t>
  </si>
  <si>
    <r>
      <t>f(G</t>
    </r>
    <r>
      <rPr>
        <vertAlign val="subscript"/>
        <sz val="11"/>
        <rFont val="Calibri"/>
        <family val="2"/>
      </rPr>
      <t>CO2,atm</t>
    </r>
    <r>
      <rPr>
        <sz val="11"/>
        <rFont val="Calibri"/>
        <family val="2"/>
      </rPr>
      <t>)</t>
    </r>
  </si>
  <si>
    <r>
      <t>S</t>
    </r>
    <r>
      <rPr>
        <vertAlign val="subscript"/>
        <sz val="11"/>
        <rFont val="Calibri"/>
        <family val="2"/>
        <charset val="238"/>
      </rPr>
      <t>G</t>
    </r>
    <r>
      <rPr>
        <vertAlign val="subscript"/>
        <sz val="11"/>
        <rFont val="Calibri"/>
        <family val="2"/>
      </rPr>
      <t>CH4,sur,sat</t>
    </r>
  </si>
  <si>
    <t>CH4 saturation concentration at atmospheric interface</t>
  </si>
  <si>
    <r>
      <t>f(G</t>
    </r>
    <r>
      <rPr>
        <vertAlign val="subscript"/>
        <sz val="11"/>
        <rFont val="Calibri"/>
        <family val="2"/>
      </rPr>
      <t>CH4,atm</t>
    </r>
    <r>
      <rPr>
        <sz val="11"/>
        <rFont val="Calibri"/>
        <family val="2"/>
      </rPr>
      <t>)</t>
    </r>
  </si>
  <si>
    <r>
      <t>S</t>
    </r>
    <r>
      <rPr>
        <vertAlign val="subscript"/>
        <sz val="11"/>
        <rFont val="Calibri"/>
        <family val="2"/>
        <charset val="238"/>
      </rPr>
      <t>G</t>
    </r>
    <r>
      <rPr>
        <vertAlign val="subscript"/>
        <sz val="11"/>
        <rFont val="Calibri"/>
        <family val="2"/>
      </rPr>
      <t>H2,sur,sat</t>
    </r>
  </si>
  <si>
    <t>H2 saturation concentration at atmospheric interface</t>
  </si>
  <si>
    <r>
      <t>f(G</t>
    </r>
    <r>
      <rPr>
        <vertAlign val="subscript"/>
        <sz val="11"/>
        <rFont val="Calibri"/>
        <family val="2"/>
      </rPr>
      <t>H2,atm</t>
    </r>
    <r>
      <rPr>
        <sz val="11"/>
        <rFont val="Calibri"/>
        <family val="2"/>
      </rPr>
      <t>)</t>
    </r>
  </si>
  <si>
    <r>
      <t>S</t>
    </r>
    <r>
      <rPr>
        <vertAlign val="subscript"/>
        <sz val="11"/>
        <rFont val="Calibri"/>
        <family val="2"/>
        <charset val="238"/>
      </rPr>
      <t>G</t>
    </r>
    <r>
      <rPr>
        <vertAlign val="subscript"/>
        <sz val="11"/>
        <rFont val="Calibri"/>
        <family val="2"/>
      </rPr>
      <t>NH3,sur,sat</t>
    </r>
  </si>
  <si>
    <t>NH3 saturation concentration at atmospheric interface</t>
  </si>
  <si>
    <r>
      <t>f(G</t>
    </r>
    <r>
      <rPr>
        <vertAlign val="subscript"/>
        <sz val="11"/>
        <rFont val="Calibri"/>
        <family val="2"/>
      </rPr>
      <t>NH3,atm</t>
    </r>
    <r>
      <rPr>
        <sz val="11"/>
        <rFont val="Calibri"/>
        <family val="2"/>
      </rPr>
      <t>)</t>
    </r>
  </si>
  <si>
    <r>
      <t>S</t>
    </r>
    <r>
      <rPr>
        <vertAlign val="subscript"/>
        <sz val="11"/>
        <rFont val="Calibri"/>
        <family val="2"/>
        <charset val="238"/>
      </rPr>
      <t>G</t>
    </r>
    <r>
      <rPr>
        <vertAlign val="subscript"/>
        <sz val="11"/>
        <rFont val="Calibri"/>
        <family val="2"/>
      </rPr>
      <t>N2,sur,sat</t>
    </r>
  </si>
  <si>
    <t>N2 saturation concentration at atmospheric interface</t>
  </si>
  <si>
    <r>
      <t>f(G</t>
    </r>
    <r>
      <rPr>
        <vertAlign val="subscript"/>
        <sz val="11"/>
        <rFont val="Calibri"/>
        <family val="2"/>
      </rPr>
      <t>N2,atm</t>
    </r>
    <r>
      <rPr>
        <sz val="11"/>
        <rFont val="Calibri"/>
        <family val="2"/>
      </rPr>
      <t>)</t>
    </r>
  </si>
  <si>
    <r>
      <t>f</t>
    </r>
    <r>
      <rPr>
        <vertAlign val="subscript"/>
        <sz val="11"/>
        <rFont val="Calibri"/>
        <family val="2"/>
        <scheme val="minor"/>
      </rPr>
      <t>kL,GN2</t>
    </r>
  </si>
  <si>
    <r>
      <t>f</t>
    </r>
    <r>
      <rPr>
        <vertAlign val="subscript"/>
        <sz val="11"/>
        <rFont val="Calibri"/>
        <family val="2"/>
        <scheme val="minor"/>
      </rPr>
      <t>kL,GCO2</t>
    </r>
  </si>
  <si>
    <r>
      <t>f</t>
    </r>
    <r>
      <rPr>
        <vertAlign val="subscript"/>
        <sz val="11"/>
        <rFont val="Calibri"/>
        <family val="2"/>
        <scheme val="minor"/>
      </rPr>
      <t>kL,GCH4</t>
    </r>
  </si>
  <si>
    <r>
      <t>f</t>
    </r>
    <r>
      <rPr>
        <vertAlign val="subscript"/>
        <sz val="11"/>
        <rFont val="Calibri"/>
        <family val="2"/>
        <scheme val="minor"/>
      </rPr>
      <t>kL,GH2</t>
    </r>
  </si>
  <si>
    <r>
      <t>f</t>
    </r>
    <r>
      <rPr>
        <vertAlign val="subscript"/>
        <sz val="11"/>
        <rFont val="Calibri"/>
        <family val="2"/>
        <scheme val="minor"/>
      </rPr>
      <t>kL,GNH3</t>
    </r>
  </si>
  <si>
    <t>Used to compensate for the high solubility of NH3 gas</t>
  </si>
  <si>
    <t>1</t>
  </si>
  <si>
    <r>
      <t>-EEQ</t>
    </r>
    <r>
      <rPr>
        <vertAlign val="subscript"/>
        <sz val="11"/>
        <rFont val="Calibri"/>
        <family val="2"/>
      </rPr>
      <t>N2</t>
    </r>
  </si>
  <si>
    <r>
      <t>y</t>
    </r>
    <r>
      <rPr>
        <vertAlign val="subscript"/>
        <sz val="11"/>
        <rFont val="Calibri"/>
        <family val="2"/>
        <scheme val="minor"/>
      </rPr>
      <t>fmono</t>
    </r>
  </si>
  <si>
    <r>
      <t>Intercept of f</t>
    </r>
    <r>
      <rPr>
        <vertAlign val="subscript"/>
        <sz val="11"/>
        <color rgb="FF000000"/>
        <rFont val="Calibri"/>
        <family val="2"/>
        <scheme val="minor"/>
      </rPr>
      <t>mono</t>
    </r>
    <r>
      <rPr>
        <sz val="11"/>
        <color rgb="FF000000"/>
        <rFont val="Calibri"/>
        <family val="2"/>
        <charset val="238"/>
        <scheme val="minor"/>
      </rPr>
      <t xml:space="preserve"> correction</t>
    </r>
  </si>
  <si>
    <r>
      <t>f</t>
    </r>
    <r>
      <rPr>
        <vertAlign val="subscript"/>
        <sz val="11"/>
        <rFont val="Calibri"/>
        <family val="2"/>
        <scheme val="minor"/>
      </rPr>
      <t>mono,ISlim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</si>
  <si>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fdi</t>
    </r>
  </si>
  <si>
    <r>
      <t>Intercept of f</t>
    </r>
    <r>
      <rPr>
        <vertAlign val="subscript"/>
        <sz val="11"/>
        <color rgb="FF000000"/>
        <rFont val="Calibri"/>
        <family val="2"/>
        <scheme val="minor"/>
      </rPr>
      <t>di</t>
    </r>
    <r>
      <rPr>
        <sz val="11"/>
        <color rgb="FF000000"/>
        <rFont val="Calibri"/>
        <family val="2"/>
        <charset val="238"/>
        <scheme val="minor"/>
      </rPr>
      <t xml:space="preserve"> correction</t>
    </r>
  </si>
  <si>
    <r>
      <t>f</t>
    </r>
    <r>
      <rPr>
        <vertAlign val="subscript"/>
        <sz val="11"/>
        <rFont val="Calibri"/>
        <family val="2"/>
        <scheme val="minor"/>
      </rPr>
      <t>di,ISlim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</si>
  <si>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ftri</t>
    </r>
  </si>
  <si>
    <r>
      <t>Intercept of f</t>
    </r>
    <r>
      <rPr>
        <vertAlign val="subscript"/>
        <sz val="11"/>
        <color rgb="FF000000"/>
        <rFont val="Calibri"/>
        <family val="2"/>
        <scheme val="minor"/>
      </rPr>
      <t>tri</t>
    </r>
    <r>
      <rPr>
        <sz val="11"/>
        <color rgb="FF000000"/>
        <rFont val="Calibri"/>
        <family val="2"/>
        <charset val="238"/>
        <scheme val="minor"/>
      </rPr>
      <t xml:space="preserve"> correction</t>
    </r>
  </si>
  <si>
    <r>
      <t>f</t>
    </r>
    <r>
      <rPr>
        <vertAlign val="subscript"/>
        <sz val="11"/>
        <rFont val="Calibri"/>
        <family val="2"/>
        <scheme val="minor"/>
      </rPr>
      <t>tri,ISlim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</si>
  <si>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f</t>
    </r>
    <r>
      <rPr>
        <vertAlign val="subscript"/>
        <sz val="11"/>
        <rFont val="Calibri"/>
        <family val="2"/>
        <scheme val="minor"/>
      </rPr>
      <t>mono,ISlim</t>
    </r>
  </si>
  <si>
    <r>
      <t>Monovalent activity coefficient at IS</t>
    </r>
    <r>
      <rPr>
        <vertAlign val="subscript"/>
        <sz val="11"/>
        <rFont val="Calibri"/>
        <family val="2"/>
        <scheme val="minor"/>
      </rPr>
      <t>lim</t>
    </r>
  </si>
  <si>
    <r>
      <t>f</t>
    </r>
    <r>
      <rPr>
        <vertAlign val="subscript"/>
        <sz val="11"/>
        <rFont val="Calibri"/>
        <family val="2"/>
        <scheme val="minor"/>
      </rPr>
      <t>di,ISlim</t>
    </r>
  </si>
  <si>
    <r>
      <t>Divalent activity coefficient at IS</t>
    </r>
    <r>
      <rPr>
        <vertAlign val="subscript"/>
        <sz val="11"/>
        <rFont val="Calibri"/>
        <family val="2"/>
        <scheme val="minor"/>
      </rPr>
      <t>lim</t>
    </r>
  </si>
  <si>
    <r>
      <t>f</t>
    </r>
    <r>
      <rPr>
        <vertAlign val="subscript"/>
        <sz val="11"/>
        <rFont val="Calibri"/>
        <family val="2"/>
        <scheme val="minor"/>
      </rPr>
      <t>tri,ISlim</t>
    </r>
  </si>
  <si>
    <r>
      <t>Trivalent activity coefficient at IS</t>
    </r>
    <r>
      <rPr>
        <vertAlign val="subscript"/>
        <sz val="11"/>
        <rFont val="Calibri"/>
        <family val="2"/>
        <scheme val="minor"/>
      </rPr>
      <t>lim</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</si>
  <si>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*1^(2)*(IS^(0.5)/(1+1.5*IS^(0.5))-0.3*IS));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fmono</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</si>
  <si>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*2^(2)*(IS^(0.5)/(1+1.5*IS^(0.5))-0.3*IS));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fdi</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</si>
  <si>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*3^(2)*(IS^(0.5)/(1+1.5*IS^(0.5))-0.3*IS));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ftri</t>
    </r>
    <r>
      <rPr>
        <sz val="11"/>
        <rFont val="Calibri"/>
        <family val="2"/>
        <scheme val="minor"/>
      </rPr>
      <t>)</t>
    </r>
  </si>
  <si>
    <r>
      <t>Slope</t>
    </r>
    <r>
      <rPr>
        <vertAlign val="subscript"/>
        <sz val="11"/>
        <rFont val="Calibri"/>
        <family val="2"/>
        <scheme val="minor"/>
      </rPr>
      <t>IS,corr</t>
    </r>
  </si>
  <si>
    <t>Slope of correction</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</si>
  <si>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</si>
  <si>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MJ.m</t>
    </r>
    <r>
      <rPr>
        <vertAlign val="superscript"/>
        <sz val="11"/>
        <rFont val="Calibri"/>
        <family val="2"/>
      </rPr>
      <t>-3</t>
    </r>
  </si>
  <si>
    <t>r92</t>
  </si>
  <si>
    <t>r93</t>
  </si>
  <si>
    <t>Flocculation of colloidal biodegradable substrate with polymers</t>
  </si>
  <si>
    <t>Flocculation of colloidal unbiodegradable organics with polymers</t>
  </si>
  <si>
    <r>
      <t>rate</t>
    </r>
    <r>
      <rPr>
        <vertAlign val="subscript"/>
        <sz val="11"/>
        <rFont val="Calibri"/>
        <family val="2"/>
      </rPr>
      <t>FLOC,CB,polymer</t>
    </r>
  </si>
  <si>
    <r>
      <t>rate</t>
    </r>
    <r>
      <rPr>
        <vertAlign val="subscript"/>
        <sz val="11"/>
        <rFont val="Calibri"/>
        <family val="2"/>
      </rPr>
      <t>FLOC,CU,polymer</t>
    </r>
  </si>
  <si>
    <t>Rate of flocculation of colloidal biodegradable substrate with polymers</t>
  </si>
  <si>
    <r>
      <t>f(C</t>
    </r>
    <r>
      <rPr>
        <vertAlign val="subscript"/>
        <sz val="11"/>
        <rFont val="Calibri"/>
        <family val="2"/>
      </rPr>
      <t>B</t>
    </r>
    <r>
      <rPr>
        <sz val="11"/>
        <rFont val="Calibri"/>
        <family val="2"/>
      </rPr>
      <t>)</t>
    </r>
  </si>
  <si>
    <t>only if polymers are added, calculated in three compartments clarifier and primary</t>
  </si>
  <si>
    <t>Rate of flocculation of colloidal unbiodegradable substrate with polymers</t>
  </si>
  <si>
    <r>
      <t>f(C</t>
    </r>
    <r>
      <rPr>
        <vertAlign val="subscript"/>
        <sz val="11"/>
        <rFont val="Calibri"/>
        <family val="2"/>
      </rPr>
      <t>U</t>
    </r>
    <r>
      <rPr>
        <sz val="11"/>
        <rFont val="Calibri"/>
        <family val="2"/>
      </rPr>
      <t>)</t>
    </r>
  </si>
  <si>
    <t>Polymer</t>
  </si>
  <si>
    <r>
      <t>q</t>
    </r>
    <r>
      <rPr>
        <vertAlign val="subscript"/>
        <sz val="11"/>
        <rFont val="Calibri"/>
        <family val="2"/>
        <scheme val="minor"/>
      </rPr>
      <t>HFOH,DESORP</t>
    </r>
  </si>
  <si>
    <r>
      <t>Rate of X</t>
    </r>
    <r>
      <rPr>
        <vertAlign val="subscript"/>
        <sz val="11"/>
        <color rgb="FF000000"/>
        <rFont val="Calibri"/>
        <family val="2"/>
        <scheme val="minor"/>
      </rPr>
      <t>HFO,H,P</t>
    </r>
    <r>
      <rPr>
        <sz val="11"/>
        <color rgb="FF000000"/>
        <rFont val="Calibri"/>
        <family val="2"/>
        <charset val="238"/>
        <scheme val="minor"/>
      </rPr>
      <t xml:space="preserve"> desorption</t>
    </r>
  </si>
  <si>
    <r>
      <t>q</t>
    </r>
    <r>
      <rPr>
        <vertAlign val="subscript"/>
        <sz val="11"/>
        <rFont val="Calibri"/>
        <family val="2"/>
        <scheme val="minor"/>
      </rPr>
      <t>HFOL,DESORP</t>
    </r>
  </si>
  <si>
    <r>
      <t>Rate of X</t>
    </r>
    <r>
      <rPr>
        <vertAlign val="subscript"/>
        <sz val="11"/>
        <color rgb="FF000000"/>
        <rFont val="Calibri"/>
        <family val="2"/>
        <scheme val="minor"/>
      </rPr>
      <t>HFO,L,P</t>
    </r>
    <r>
      <rPr>
        <sz val="11"/>
        <color rgb="FF000000"/>
        <rFont val="Calibri"/>
        <family val="2"/>
        <charset val="238"/>
        <scheme val="minor"/>
      </rPr>
      <t xml:space="preserve"> desorption</t>
    </r>
  </si>
  <si>
    <r>
      <t>q</t>
    </r>
    <r>
      <rPr>
        <vertAlign val="subscript"/>
        <sz val="11"/>
        <rFont val="Calibri"/>
        <family val="2"/>
        <scheme val="minor"/>
      </rPr>
      <t>HFO,DISS</t>
    </r>
  </si>
  <si>
    <r>
      <t>Rate of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r>
      <rPr>
        <sz val="11"/>
        <color rgb="FF000000"/>
        <rFont val="Calibri"/>
        <family val="2"/>
        <charset val="238"/>
        <scheme val="minor"/>
      </rPr>
      <t xml:space="preserve"> redissolution</t>
    </r>
  </si>
  <si>
    <r>
      <t>Ki</t>
    </r>
    <r>
      <rPr>
        <vertAlign val="subscript"/>
        <sz val="11"/>
        <rFont val="Calibri"/>
        <family val="2"/>
        <scheme val="minor"/>
      </rPr>
      <t>P,DESORP</t>
    </r>
  </si>
  <si>
    <r>
      <t>Half-inhibition of PO</t>
    </r>
    <r>
      <rPr>
        <vertAlign val="subscript"/>
        <sz val="11"/>
        <color rgb="FF000000"/>
        <rFont val="Calibri"/>
        <family val="2"/>
        <scheme val="minor"/>
      </rPr>
      <t>4</t>
    </r>
    <r>
      <rPr>
        <sz val="11"/>
        <color rgb="FF000000"/>
        <rFont val="Calibri"/>
        <family val="2"/>
        <charset val="238"/>
        <scheme val="minor"/>
      </rPr>
      <t xml:space="preserve"> in HFO desorption</t>
    </r>
  </si>
  <si>
    <r>
      <t>Desorption of P from X</t>
    </r>
    <r>
      <rPr>
        <vertAlign val="subscript"/>
        <sz val="11"/>
        <color rgb="FF000000"/>
        <rFont val="Calibri"/>
        <family val="2"/>
        <scheme val="minor"/>
      </rPr>
      <t>HFO,H,P</t>
    </r>
  </si>
  <si>
    <r>
      <t>Desorption of P from X</t>
    </r>
    <r>
      <rPr>
        <vertAlign val="subscript"/>
        <sz val="11"/>
        <color rgb="FF000000"/>
        <rFont val="Calibri"/>
        <family val="2"/>
        <scheme val="minor"/>
      </rPr>
      <t>HFO,L,P</t>
    </r>
  </si>
  <si>
    <r>
      <t>Dissolution of P from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</si>
  <si>
    <t>r94</t>
  </si>
  <si>
    <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</si>
  <si>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</si>
  <si>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Minh</t>
    </r>
    <r>
      <rPr>
        <vertAlign val="subscript"/>
        <sz val="11"/>
        <rFont val="Calibri"/>
        <family val="2"/>
        <scheme val="minor"/>
      </rPr>
      <t>SPO4,KiP,DESORP</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</si>
  <si>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HFO</t>
    </r>
  </si>
  <si>
    <r>
      <t>Minh(S</t>
    </r>
    <r>
      <rPr>
        <vertAlign val="subscript"/>
        <sz val="11"/>
        <rFont val="Calibri"/>
        <family val="2"/>
        <scheme val="minor"/>
      </rPr>
      <t>PO4</t>
    </r>
    <r>
      <rPr>
        <sz val="11"/>
        <rFont val="Calibri"/>
        <family val="2"/>
        <scheme val="minor"/>
      </rPr>
      <t>;Ki</t>
    </r>
    <r>
      <rPr>
        <vertAlign val="subscript"/>
        <sz val="11"/>
        <rFont val="Calibri"/>
        <family val="2"/>
        <scheme val="minor"/>
      </rPr>
      <t>P,DESORP</t>
    </r>
    <r>
      <rPr>
        <sz val="11"/>
        <rFont val="Calibri"/>
        <family val="2"/>
        <scheme val="minor"/>
      </rPr>
      <t>)</t>
    </r>
  </si>
  <si>
    <r>
      <t>q</t>
    </r>
    <r>
      <rPr>
        <vertAlign val="subscript"/>
        <sz val="11"/>
        <rFont val="Calibri"/>
        <family val="2"/>
      </rPr>
      <t>HFOH,AGING</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</si>
  <si>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q</t>
    </r>
    <r>
      <rPr>
        <vertAlign val="subscript"/>
        <sz val="11"/>
        <rFont val="Calibri"/>
        <family val="2"/>
      </rPr>
      <t>HFOL,AGING</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</si>
  <si>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q</t>
    </r>
    <r>
      <rPr>
        <vertAlign val="subscript"/>
        <sz val="11"/>
        <rFont val="Calibri"/>
        <family val="2"/>
      </rPr>
      <t>P,COPREC</t>
    </r>
    <r>
      <rPr>
        <sz val="11"/>
        <rFont val="Calibri"/>
        <family val="2"/>
      </rPr>
      <t>*X</t>
    </r>
    <r>
      <rPr>
        <vertAlign val="subscript"/>
        <sz val="11"/>
        <rFont val="Calibri"/>
        <family val="2"/>
      </rPr>
      <t>HFO,H</t>
    </r>
    <r>
      <rPr>
        <sz val="11"/>
        <rFont val="Calibri"/>
        <family val="2"/>
      </rPr>
      <t>*Msat</t>
    </r>
    <r>
      <rPr>
        <vertAlign val="subscript"/>
        <sz val="11"/>
        <rFont val="Calibri"/>
        <family val="2"/>
      </rPr>
      <t>SPO4,KP,BIND</t>
    </r>
  </si>
  <si>
    <r>
      <t>q</t>
    </r>
    <r>
      <rPr>
        <vertAlign val="subscript"/>
        <sz val="11"/>
        <rFont val="Calibri"/>
        <family val="2"/>
      </rPr>
      <t>P,BIND</t>
    </r>
    <r>
      <rPr>
        <sz val="11"/>
        <rFont val="Calibri"/>
        <family val="2"/>
      </rPr>
      <t>*X</t>
    </r>
    <r>
      <rPr>
        <vertAlign val="subscript"/>
        <sz val="11"/>
        <rFont val="Calibri"/>
        <family val="2"/>
      </rPr>
      <t>HFO,L</t>
    </r>
    <r>
      <rPr>
        <sz val="11"/>
        <rFont val="Calibri"/>
        <family val="2"/>
      </rPr>
      <t>*Msat</t>
    </r>
    <r>
      <rPr>
        <vertAlign val="subscript"/>
        <sz val="11"/>
        <rFont val="Calibri"/>
        <family val="2"/>
      </rPr>
      <t>SPO4,KP,BIND</t>
    </r>
  </si>
  <si>
    <r>
      <t>q</t>
    </r>
    <r>
      <rPr>
        <vertAlign val="subscript"/>
        <sz val="11"/>
        <rFont val="Calibri"/>
        <family val="2"/>
      </rPr>
      <t>HFOH,DESORP</t>
    </r>
    <r>
      <rPr>
        <sz val="11"/>
        <rFont val="Calibri"/>
        <family val="2"/>
      </rPr>
      <t>*X</t>
    </r>
    <r>
      <rPr>
        <vertAlign val="subscript"/>
        <sz val="11"/>
        <rFont val="Calibri"/>
        <family val="2"/>
      </rPr>
      <t>HFO,H,P</t>
    </r>
    <r>
      <rPr>
        <sz val="11"/>
        <rFont val="Calibri"/>
        <family val="2"/>
      </rPr>
      <t>*Minh</t>
    </r>
    <r>
      <rPr>
        <vertAlign val="subscript"/>
        <sz val="11"/>
        <rFont val="Calibri"/>
        <family val="2"/>
      </rPr>
      <t>SPO4,KiP,DESORP</t>
    </r>
  </si>
  <si>
    <r>
      <t>q</t>
    </r>
    <r>
      <rPr>
        <vertAlign val="subscript"/>
        <sz val="11"/>
        <rFont val="Calibri"/>
        <family val="2"/>
      </rPr>
      <t>HFOL,DESORP</t>
    </r>
    <r>
      <rPr>
        <sz val="11"/>
        <rFont val="Calibri"/>
        <family val="2"/>
      </rPr>
      <t>*X</t>
    </r>
    <r>
      <rPr>
        <vertAlign val="subscript"/>
        <sz val="11"/>
        <rFont val="Calibri"/>
        <family val="2"/>
      </rPr>
      <t>HFO,L,P</t>
    </r>
    <r>
      <rPr>
        <sz val="11"/>
        <rFont val="Calibri"/>
        <family val="2"/>
      </rPr>
      <t>*Minh</t>
    </r>
    <r>
      <rPr>
        <vertAlign val="subscript"/>
        <sz val="11"/>
        <rFont val="Calibri"/>
        <family val="2"/>
      </rPr>
      <t>SPO4,KiP,DESORP</t>
    </r>
  </si>
  <si>
    <r>
      <t>q</t>
    </r>
    <r>
      <rPr>
        <vertAlign val="subscript"/>
        <sz val="11"/>
        <rFont val="Calibri"/>
        <family val="2"/>
      </rPr>
      <t>Fe2,OX,T</t>
    </r>
    <r>
      <rPr>
        <sz val="11"/>
        <rFont val="Calibri"/>
        <family val="2"/>
      </rPr>
      <t>*S</t>
    </r>
    <r>
      <rPr>
        <vertAlign val="subscript"/>
        <sz val="11"/>
        <rFont val="Calibri"/>
        <family val="2"/>
      </rPr>
      <t>Fe2</t>
    </r>
    <r>
      <rPr>
        <sz val="11"/>
        <rFont val="Calibri"/>
        <family val="2"/>
      </rPr>
      <t>*Msat</t>
    </r>
    <r>
      <rPr>
        <vertAlign val="subscript"/>
        <sz val="11"/>
        <rFont val="Calibri"/>
        <family val="2"/>
      </rPr>
      <t>SO2,KO2,OHO</t>
    </r>
  </si>
  <si>
    <r>
      <t>CO</t>
    </r>
    <r>
      <rPr>
        <vertAlign val="subscript"/>
        <sz val="11"/>
        <color indexed="8"/>
        <rFont val="Calibri"/>
        <family val="2"/>
        <scheme val="minor"/>
      </rPr>
      <t>2</t>
    </r>
    <r>
      <rPr>
        <sz val="11"/>
        <color indexed="8"/>
        <rFont val="Calibri"/>
        <family val="2"/>
        <scheme val="minor"/>
      </rPr>
      <t xml:space="preserve"> and NH</t>
    </r>
    <r>
      <rPr>
        <vertAlign val="subscript"/>
        <sz val="11"/>
        <color indexed="8"/>
        <rFont val="Calibri"/>
        <family val="2"/>
        <scheme val="minor"/>
      </rPr>
      <t>3</t>
    </r>
    <r>
      <rPr>
        <sz val="11"/>
        <color indexed="8"/>
        <rFont val="Calibri"/>
        <family val="2"/>
        <scheme val="minor"/>
      </rPr>
      <t xml:space="preserve"> gas transfer depends on pH one equilibrium species: H2CO3 and NH3 for CO2 and NH3, respectively. </t>
    </r>
  </si>
  <si>
    <t>These components are calculated for a pH of 7 when pH is disabled,</t>
  </si>
  <si>
    <t>Carbonic acid and free ammonia calculation when pH is off</t>
  </si>
  <si>
    <r>
      <t>Conc</t>
    </r>
    <r>
      <rPr>
        <vertAlign val="subscript"/>
        <sz val="11"/>
        <rFont val="Calibri"/>
        <family val="2"/>
        <scheme val="minor"/>
      </rPr>
      <t>H2CO3,NonpH</t>
    </r>
  </si>
  <si>
    <r>
      <t>Conc</t>
    </r>
    <r>
      <rPr>
        <vertAlign val="subscript"/>
        <sz val="11"/>
        <rFont val="Calibri"/>
        <family val="2"/>
        <scheme val="minor"/>
      </rPr>
      <t>NH3,NonpH</t>
    </r>
  </si>
  <si>
    <r>
      <t>k</t>
    </r>
    <r>
      <rPr>
        <vertAlign val="subscript"/>
        <sz val="11"/>
        <rFont val="Calibri"/>
        <family val="2"/>
      </rPr>
      <t>L</t>
    </r>
    <r>
      <rPr>
        <sz val="11"/>
        <rFont val="Calibri"/>
        <family val="2"/>
      </rPr>
      <t>a</t>
    </r>
    <r>
      <rPr>
        <vertAlign val="subscript"/>
        <sz val="11"/>
        <rFont val="Calibri"/>
        <family val="2"/>
      </rPr>
      <t>GCO2,bub</t>
    </r>
    <r>
      <rPr>
        <sz val="11"/>
        <rFont val="Calibri"/>
        <family val="2"/>
      </rPr>
      <t>*(S</t>
    </r>
    <r>
      <rPr>
        <vertAlign val="subscript"/>
        <sz val="11"/>
        <rFont val="Calibri"/>
        <family val="2"/>
      </rPr>
      <t>GCO2,bub,sat</t>
    </r>
    <r>
      <rPr>
        <sz val="11"/>
        <rFont val="Calibri"/>
        <family val="2"/>
      </rPr>
      <t xml:space="preserve"> - Conc</t>
    </r>
    <r>
      <rPr>
        <vertAlign val="subscript"/>
        <sz val="11"/>
        <rFont val="Calibri"/>
        <family val="2"/>
      </rPr>
      <t>H2CO3,NonpH</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</si>
  <si>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k</t>
    </r>
    <r>
      <rPr>
        <vertAlign val="subscript"/>
        <sz val="11"/>
        <rFont val="Calibri"/>
        <family val="2"/>
      </rPr>
      <t>L</t>
    </r>
    <r>
      <rPr>
        <sz val="11"/>
        <rFont val="Calibri"/>
        <family val="2"/>
      </rPr>
      <t>a</t>
    </r>
    <r>
      <rPr>
        <vertAlign val="subscript"/>
        <sz val="11"/>
        <rFont val="Calibri"/>
        <family val="2"/>
      </rPr>
      <t>GNH3,bub</t>
    </r>
    <r>
      <rPr>
        <sz val="11"/>
        <rFont val="Calibri"/>
        <family val="2"/>
      </rPr>
      <t>*(S</t>
    </r>
    <r>
      <rPr>
        <vertAlign val="subscript"/>
        <sz val="11"/>
        <rFont val="Calibri"/>
        <family val="2"/>
      </rPr>
      <t>GNH3,bub,sat</t>
    </r>
    <r>
      <rPr>
        <sz val="11"/>
        <rFont val="Calibri"/>
        <family val="2"/>
      </rPr>
      <t xml:space="preserve"> - Conc</t>
    </r>
    <r>
      <rPr>
        <vertAlign val="subscript"/>
        <sz val="11"/>
        <rFont val="Calibri"/>
        <family val="2"/>
      </rPr>
      <t>NH3,NonpH</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</si>
  <si>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k</t>
    </r>
    <r>
      <rPr>
        <vertAlign val="subscript"/>
        <sz val="11"/>
        <rFont val="Calibri"/>
        <family val="2"/>
      </rPr>
      <t>L</t>
    </r>
    <r>
      <rPr>
        <sz val="11"/>
        <rFont val="Calibri"/>
        <family val="2"/>
      </rPr>
      <t>a</t>
    </r>
    <r>
      <rPr>
        <vertAlign val="subscript"/>
        <sz val="11"/>
        <rFont val="Calibri"/>
        <family val="2"/>
      </rPr>
      <t>GCO2,sur</t>
    </r>
    <r>
      <rPr>
        <sz val="11"/>
        <rFont val="Calibri"/>
        <family val="2"/>
      </rPr>
      <t>*(S</t>
    </r>
    <r>
      <rPr>
        <vertAlign val="subscript"/>
        <sz val="11"/>
        <rFont val="Calibri"/>
        <family val="2"/>
      </rPr>
      <t>GCO2,sur,sat</t>
    </r>
    <r>
      <rPr>
        <sz val="11"/>
        <rFont val="Calibri"/>
        <family val="2"/>
      </rPr>
      <t xml:space="preserve"> - Conc</t>
    </r>
    <r>
      <rPr>
        <vertAlign val="subscript"/>
        <sz val="11"/>
        <rFont val="Calibri"/>
        <family val="2"/>
      </rPr>
      <t>H2CO3,NonpH</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</si>
  <si>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k</t>
    </r>
    <r>
      <rPr>
        <vertAlign val="subscript"/>
        <sz val="11"/>
        <rFont val="Calibri"/>
        <family val="2"/>
      </rPr>
      <t>L</t>
    </r>
    <r>
      <rPr>
        <sz val="11"/>
        <rFont val="Calibri"/>
        <family val="2"/>
      </rPr>
      <t>a</t>
    </r>
    <r>
      <rPr>
        <vertAlign val="subscript"/>
        <sz val="11"/>
        <rFont val="Calibri"/>
        <family val="2"/>
      </rPr>
      <t>GNH3,sur</t>
    </r>
    <r>
      <rPr>
        <sz val="11"/>
        <rFont val="Calibri"/>
        <family val="2"/>
      </rPr>
      <t>*(S</t>
    </r>
    <r>
      <rPr>
        <vertAlign val="subscript"/>
        <sz val="11"/>
        <rFont val="Calibri"/>
        <family val="2"/>
      </rPr>
      <t>GNH3,sur,sat</t>
    </r>
    <r>
      <rPr>
        <sz val="11"/>
        <rFont val="Calibri"/>
        <family val="2"/>
      </rPr>
      <t xml:space="preserve"> - Conc</t>
    </r>
    <r>
      <rPr>
        <vertAlign val="subscript"/>
        <sz val="11"/>
        <rFont val="Calibri"/>
        <family val="2"/>
      </rPr>
      <t>NH3,NonpH</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</si>
  <si>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IS</t>
    </r>
    <r>
      <rPr>
        <vertAlign val="subscript"/>
        <sz val="11"/>
        <rFont val="Calibri"/>
        <family val="2"/>
        <scheme val="minor"/>
      </rPr>
      <t>field</t>
    </r>
  </si>
  <si>
    <t>IS in process unit (pH off)</t>
  </si>
  <si>
    <t>Non-pH; Digester</t>
  </si>
  <si>
    <t>Non-pH; Non-Digester</t>
  </si>
  <si>
    <r>
      <t>f</t>
    </r>
    <r>
      <rPr>
        <vertAlign val="subscript"/>
        <sz val="11"/>
        <rFont val="Calibri"/>
        <family val="2"/>
        <scheme val="minor"/>
      </rPr>
      <t>mono,field</t>
    </r>
  </si>
  <si>
    <r>
      <t>10^(-A</t>
    </r>
    <r>
      <rPr>
        <vertAlign val="subscript"/>
        <sz val="11"/>
        <rFont val="Calibri"/>
        <family val="2"/>
        <scheme val="minor"/>
      </rPr>
      <t>Davies</t>
    </r>
    <r>
      <rPr>
        <sz val="11"/>
        <rFont val="Calibri"/>
        <family val="2"/>
        <scheme val="minor"/>
      </rPr>
      <t>*1^(2)*(IS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</si>
  <si>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f</t>
    </r>
    <r>
      <rPr>
        <vertAlign val="subscript"/>
        <sz val="11"/>
        <rFont val="Calibri"/>
        <family val="2"/>
        <scheme val="minor"/>
      </rPr>
      <t>di,field</t>
    </r>
  </si>
  <si>
    <r>
      <t>10^(-A</t>
    </r>
    <r>
      <rPr>
        <vertAlign val="subscript"/>
        <sz val="11"/>
        <rFont val="Calibri"/>
        <family val="2"/>
        <scheme val="minor"/>
      </rPr>
      <t>Davies</t>
    </r>
    <r>
      <rPr>
        <sz val="11"/>
        <rFont val="Calibri"/>
        <family val="2"/>
        <scheme val="minor"/>
      </rPr>
      <t>*2^(2)*(IS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</si>
  <si>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K</t>
    </r>
    <r>
      <rPr>
        <vertAlign val="subscript"/>
        <sz val="11"/>
        <rFont val="Calibri"/>
        <family val="2"/>
        <scheme val="minor"/>
      </rPr>
      <t>C1,T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</si>
  <si>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di,field</t>
    </r>
  </si>
  <si>
    <r>
      <t>S</t>
    </r>
    <r>
      <rPr>
        <vertAlign val="subscript"/>
        <sz val="11"/>
        <rFont val="Calibri"/>
        <family val="2"/>
      </rPr>
      <t>CO2</t>
    </r>
    <r>
      <rPr>
        <sz val="11"/>
        <rFont val="Calibri"/>
        <family val="2"/>
      </rPr>
      <t>/(AM</t>
    </r>
    <r>
      <rPr>
        <vertAlign val="subscript"/>
        <sz val="11"/>
        <rFont val="Calibri"/>
        <family val="2"/>
      </rPr>
      <t>C</t>
    </r>
    <r>
      <rPr>
        <sz val="11"/>
        <rFont val="Calibri"/>
        <family val="2"/>
      </rPr>
      <t>*1000)*10^(-2*pH</t>
    </r>
    <r>
      <rPr>
        <vertAlign val="subscript"/>
        <sz val="11"/>
        <rFont val="Calibri"/>
        <family val="2"/>
      </rPr>
      <t>field</t>
    </r>
    <r>
      <rPr>
        <sz val="11"/>
        <rFont val="Calibri"/>
        <family val="2"/>
      </rPr>
      <t>)/(10^(-2*pH</t>
    </r>
    <r>
      <rPr>
        <vertAlign val="subscript"/>
        <sz val="11"/>
        <rFont val="Calibri"/>
        <family val="2"/>
      </rPr>
      <t>field</t>
    </r>
    <r>
      <rPr>
        <sz val="11"/>
        <rFont val="Calibri"/>
        <family val="2"/>
      </rPr>
      <t>)+10^(-pH</t>
    </r>
    <r>
      <rPr>
        <vertAlign val="subscript"/>
        <sz val="11"/>
        <rFont val="Calibri"/>
        <family val="2"/>
      </rPr>
      <t>field</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</si>
  <si>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/(10^(-pH</t>
    </r>
    <r>
      <rPr>
        <vertAlign val="subscript"/>
        <sz val="11"/>
        <rFont val="Calibri"/>
        <family val="2"/>
      </rPr>
      <t>field</t>
    </r>
    <r>
      <rPr>
        <sz val="11"/>
        <rFont val="Calibri"/>
        <family val="2"/>
      </rPr>
      <t>)+K</t>
    </r>
    <r>
      <rPr>
        <vertAlign val="subscript"/>
        <sz val="11"/>
        <rFont val="Calibri"/>
        <family val="2"/>
      </rPr>
      <t>NH3</t>
    </r>
    <r>
      <rPr>
        <sz val="11"/>
        <rFont val="Calibri"/>
        <family val="2"/>
      </rPr>
      <t>)</t>
    </r>
  </si>
  <si>
    <t>pH calculation - pH specified, for other process units (pHSet, NonInput)</t>
  </si>
  <si>
    <t>Non-Input; pHSet; pH</t>
  </si>
  <si>
    <t>Error calculation</t>
  </si>
  <si>
    <t>Input; pHSet; pH</t>
  </si>
  <si>
    <t>pH calculation - pH specified, for influents (pHSet, Input)</t>
  </si>
  <si>
    <t>Key(1190)</t>
  </si>
  <si>
    <t>Key(1180)</t>
  </si>
  <si>
    <t>Key(1170)</t>
  </si>
  <si>
    <t>BOD stoichiometry</t>
  </si>
  <si>
    <t>Cations and anions calculation revised, for other process units (NonInput)</t>
  </si>
  <si>
    <r>
      <t>S</t>
    </r>
    <r>
      <rPr>
        <vertAlign val="subscript"/>
        <sz val="11"/>
        <rFont val="Calibri"/>
        <family val="2"/>
        <scheme val="minor"/>
      </rPr>
      <t>CAT,add</t>
    </r>
  </si>
  <si>
    <r>
      <t>If(SIC&gt; 0;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*1000);0)</t>
    </r>
  </si>
  <si>
    <t>pHSet; pH; Non-Input</t>
  </si>
  <si>
    <r>
      <t>S</t>
    </r>
    <r>
      <rPr>
        <vertAlign val="subscript"/>
        <sz val="11"/>
        <rFont val="Calibri"/>
        <family val="2"/>
        <scheme val="minor"/>
      </rPr>
      <t>AN,add</t>
    </r>
  </si>
  <si>
    <r>
      <t>If(SIC&lt; 0;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*1000);0)</t>
    </r>
  </si>
  <si>
    <r>
      <t>S</t>
    </r>
    <r>
      <rPr>
        <vertAlign val="subscript"/>
        <sz val="11"/>
        <color theme="1"/>
        <rFont val="Calibri"/>
        <family val="2"/>
        <scheme val="minor"/>
      </rPr>
      <t>CAT,ini</t>
    </r>
    <r>
      <rPr>
        <sz val="11"/>
        <color theme="1"/>
        <rFont val="Calibri"/>
        <family val="2"/>
        <scheme val="minor"/>
      </rPr>
      <t>+S</t>
    </r>
    <r>
      <rPr>
        <vertAlign val="subscript"/>
        <sz val="11"/>
        <color theme="1"/>
        <rFont val="Calibri"/>
        <family val="2"/>
        <scheme val="minor"/>
      </rPr>
      <t>CAT,add</t>
    </r>
  </si>
  <si>
    <r>
      <t>S</t>
    </r>
    <r>
      <rPr>
        <vertAlign val="subscript"/>
        <sz val="11"/>
        <color theme="1"/>
        <rFont val="Calibri"/>
        <family val="2"/>
        <scheme val="minor"/>
      </rPr>
      <t>AN,ini</t>
    </r>
    <r>
      <rPr>
        <sz val="11"/>
        <color theme="1"/>
        <rFont val="Calibri"/>
        <family val="2"/>
        <scheme val="minor"/>
      </rPr>
      <t>+S</t>
    </r>
    <r>
      <rPr>
        <vertAlign val="subscript"/>
        <sz val="11"/>
        <color theme="1"/>
        <rFont val="Calibri"/>
        <family val="2"/>
        <scheme val="minor"/>
      </rPr>
      <t>AN,add</t>
    </r>
  </si>
  <si>
    <t>Cations and anions calculation revised for influents (Input)</t>
  </si>
  <si>
    <t>pHSet; pH; Input</t>
  </si>
  <si>
    <t>Sidestream; Non-pH</t>
  </si>
  <si>
    <t>Sidestream; pH</t>
  </si>
  <si>
    <t>Non-Biofilm; pH</t>
  </si>
  <si>
    <t>Biofilm; pH</t>
  </si>
  <si>
    <t>if pH is not calculated</t>
  </si>
  <si>
    <t>if pH is calculated</t>
  </si>
  <si>
    <r>
      <t>S</t>
    </r>
    <r>
      <rPr>
        <vertAlign val="subscript"/>
        <sz val="11"/>
        <rFont val="Calibri"/>
        <family val="2"/>
      </rPr>
      <t>NO3</t>
    </r>
    <r>
      <rPr>
        <sz val="11"/>
        <rFont val="Calibri"/>
        <family val="2"/>
      </rPr>
      <t>/(AM</t>
    </r>
    <r>
      <rPr>
        <vertAlign val="subscript"/>
        <sz val="11"/>
        <rFont val="Calibri"/>
        <family val="2"/>
      </rPr>
      <t>N</t>
    </r>
    <r>
      <rPr>
        <sz val="11"/>
        <rFont val="Calibri"/>
        <family val="2"/>
      </rPr>
      <t>*1000)</t>
    </r>
  </si>
  <si>
    <t>Diffusion coefficients for gas phase state variables</t>
  </si>
  <si>
    <t>heat capacity ratio</t>
  </si>
  <si>
    <t>Molar mass of ammonium ion</t>
  </si>
  <si>
    <t>Molar mass of nitrite ion</t>
  </si>
  <si>
    <t>Molar mass of nitrate ion</t>
  </si>
  <si>
    <t>Solubility  constant of CaCO3</t>
  </si>
  <si>
    <t>Solubility  constant of struvite</t>
  </si>
  <si>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</si>
  <si>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</si>
  <si>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</si>
  <si>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</si>
  <si>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</si>
  <si>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</si>
  <si>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</si>
  <si>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</si>
  <si>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</si>
  <si>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</si>
  <si>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</si>
  <si>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</si>
  <si>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r>
      <t>c</t>
    </r>
    <r>
      <rPr>
        <vertAlign val="subscript"/>
        <sz val="11"/>
        <rFont val="Calibri"/>
        <family val="2"/>
        <scheme val="minor"/>
      </rPr>
      <t>cm,m</t>
    </r>
  </si>
  <si>
    <t>Conversion coefficient between centimeters and meters</t>
  </si>
  <si>
    <t>Standard enthalpy of Magnesium ion</t>
  </si>
  <si>
    <t>Diffusion coefficients for liquid phase state variables</t>
  </si>
  <si>
    <r>
      <rPr>
        <sz val="11"/>
        <rFont val="Calibri"/>
        <family val="2"/>
        <scheme val="minor"/>
      </rPr>
      <t>f</t>
    </r>
    <r>
      <rPr>
        <vertAlign val="subscript"/>
        <sz val="11"/>
        <rFont val="Calibri"/>
        <family val="2"/>
        <scheme val="minor"/>
      </rPr>
      <t>KS</t>
    </r>
  </si>
  <si>
    <r>
      <t>K</t>
    </r>
    <r>
      <rPr>
        <vertAlign val="subscript"/>
        <sz val="11"/>
        <rFont val="Calibri"/>
        <family val="2"/>
      </rPr>
      <t>NHx,AOB,AS</t>
    </r>
    <r>
      <rPr>
        <sz val="11"/>
        <rFont val="Calibri"/>
        <family val="2"/>
      </rPr>
      <t>*f</t>
    </r>
    <r>
      <rPr>
        <vertAlign val="subscript"/>
        <sz val="11"/>
        <rFont val="Calibri"/>
        <family val="2"/>
      </rPr>
      <t>KS</t>
    </r>
  </si>
  <si>
    <r>
      <t>K</t>
    </r>
    <r>
      <rPr>
        <vertAlign val="subscript"/>
        <sz val="11"/>
        <rFont val="Calibri"/>
        <family val="2"/>
      </rPr>
      <t>O2,AOB,AS</t>
    </r>
    <r>
      <rPr>
        <sz val="11"/>
        <rFont val="Calibri"/>
        <family val="2"/>
      </rPr>
      <t>*f</t>
    </r>
    <r>
      <rPr>
        <vertAlign val="subscript"/>
        <sz val="11"/>
        <rFont val="Calibri"/>
        <family val="2"/>
      </rPr>
      <t>KS</t>
    </r>
  </si>
  <si>
    <r>
      <t>K</t>
    </r>
    <r>
      <rPr>
        <vertAlign val="subscript"/>
        <sz val="11"/>
        <rFont val="Calibri"/>
        <family val="2"/>
      </rPr>
      <t>NOx,AOB,AS</t>
    </r>
    <r>
      <rPr>
        <sz val="11"/>
        <rFont val="Calibri"/>
        <family val="2"/>
      </rPr>
      <t>*f</t>
    </r>
    <r>
      <rPr>
        <vertAlign val="subscript"/>
        <sz val="11"/>
        <rFont val="Calibri"/>
        <family val="2"/>
      </rPr>
      <t>KS</t>
    </r>
  </si>
  <si>
    <r>
      <t>K</t>
    </r>
    <r>
      <rPr>
        <vertAlign val="subscript"/>
        <sz val="11"/>
        <rFont val="Calibri"/>
        <family val="2"/>
      </rPr>
      <t>NO2,NOB,AS</t>
    </r>
    <r>
      <rPr>
        <sz val="11"/>
        <rFont val="Calibri"/>
        <family val="2"/>
      </rPr>
      <t>*f</t>
    </r>
    <r>
      <rPr>
        <vertAlign val="subscript"/>
        <sz val="11"/>
        <rFont val="Calibri"/>
        <family val="2"/>
      </rPr>
      <t>KS</t>
    </r>
  </si>
  <si>
    <r>
      <t>K</t>
    </r>
    <r>
      <rPr>
        <vertAlign val="subscript"/>
        <sz val="11"/>
        <rFont val="Calibri"/>
        <family val="2"/>
      </rPr>
      <t>O2,NOB,AS</t>
    </r>
    <r>
      <rPr>
        <sz val="11"/>
        <rFont val="Calibri"/>
        <family val="2"/>
      </rPr>
      <t>*f</t>
    </r>
    <r>
      <rPr>
        <vertAlign val="subscript"/>
        <sz val="11"/>
        <rFont val="Calibri"/>
        <family val="2"/>
      </rPr>
      <t>KS</t>
    </r>
  </si>
  <si>
    <r>
      <t>K</t>
    </r>
    <r>
      <rPr>
        <vertAlign val="subscript"/>
        <sz val="11"/>
        <rFont val="Calibri"/>
        <family val="2"/>
      </rPr>
      <t>NOx,NOB,AS</t>
    </r>
    <r>
      <rPr>
        <sz val="11"/>
        <rFont val="Calibri"/>
        <family val="2"/>
      </rPr>
      <t>*f</t>
    </r>
    <r>
      <rPr>
        <vertAlign val="subscript"/>
        <sz val="11"/>
        <rFont val="Calibri"/>
        <family val="2"/>
      </rPr>
      <t>KS</t>
    </r>
  </si>
  <si>
    <r>
      <t>Ki</t>
    </r>
    <r>
      <rPr>
        <vertAlign val="subscript"/>
        <sz val="11"/>
        <rFont val="Calibri"/>
        <family val="2"/>
      </rPr>
      <t>NH3,NOB,pH,AS</t>
    </r>
    <r>
      <rPr>
        <sz val="11"/>
        <rFont val="Calibri"/>
        <family val="2"/>
      </rPr>
      <t>*f</t>
    </r>
    <r>
      <rPr>
        <vertAlign val="subscript"/>
        <sz val="11"/>
        <rFont val="Calibri"/>
        <family val="2"/>
      </rPr>
      <t>KS</t>
    </r>
  </si>
  <si>
    <r>
      <t>K</t>
    </r>
    <r>
      <rPr>
        <vertAlign val="subscript"/>
        <sz val="11"/>
        <rFont val="Calibri"/>
        <family val="2"/>
      </rPr>
      <t>NHx,AMX,AS</t>
    </r>
    <r>
      <rPr>
        <sz val="11"/>
        <rFont val="Calibri"/>
        <family val="2"/>
      </rPr>
      <t>*f</t>
    </r>
    <r>
      <rPr>
        <vertAlign val="subscript"/>
        <sz val="11"/>
        <rFont val="Calibri"/>
        <family val="2"/>
      </rPr>
      <t>KS</t>
    </r>
  </si>
  <si>
    <r>
      <t>K</t>
    </r>
    <r>
      <rPr>
        <vertAlign val="subscript"/>
        <sz val="11"/>
        <rFont val="Calibri"/>
        <family val="2"/>
      </rPr>
      <t>NO2,AMX,AS</t>
    </r>
    <r>
      <rPr>
        <sz val="11"/>
        <rFont val="Calibri"/>
        <family val="2"/>
      </rPr>
      <t>*f</t>
    </r>
    <r>
      <rPr>
        <vertAlign val="subscript"/>
        <sz val="11"/>
        <rFont val="Calibri"/>
        <family val="2"/>
      </rPr>
      <t>KS</t>
    </r>
  </si>
  <si>
    <r>
      <t>K</t>
    </r>
    <r>
      <rPr>
        <vertAlign val="subscript"/>
        <sz val="11"/>
        <rFont val="Calibri"/>
        <family val="2"/>
      </rPr>
      <t>NOx,AMX,AS</t>
    </r>
    <r>
      <rPr>
        <sz val="11"/>
        <rFont val="Calibri"/>
        <family val="2"/>
      </rPr>
      <t>*f</t>
    </r>
    <r>
      <rPr>
        <vertAlign val="subscript"/>
        <sz val="11"/>
        <rFont val="Calibri"/>
        <family val="2"/>
      </rPr>
      <t>KS</t>
    </r>
  </si>
  <si>
    <r>
      <t>Ki</t>
    </r>
    <r>
      <rPr>
        <vertAlign val="subscript"/>
        <sz val="11"/>
        <rFont val="Calibri"/>
        <family val="2"/>
      </rPr>
      <t>HNO2,AMX,pH,AS</t>
    </r>
    <r>
      <rPr>
        <sz val="11"/>
        <rFont val="Calibri"/>
        <family val="2"/>
      </rPr>
      <t>*f</t>
    </r>
    <r>
      <rPr>
        <vertAlign val="subscript"/>
        <sz val="11"/>
        <rFont val="Calibri"/>
        <family val="2"/>
      </rPr>
      <t>KS</t>
    </r>
  </si>
  <si>
    <r>
      <t>K</t>
    </r>
    <r>
      <rPr>
        <vertAlign val="subscript"/>
        <sz val="11"/>
        <rFont val="Calibri"/>
        <family val="2"/>
        <scheme val="minor"/>
      </rPr>
      <t>SB,AS</t>
    </r>
    <r>
      <rPr>
        <sz val="11"/>
        <rFont val="Calibri"/>
        <family val="2"/>
        <scheme val="minor"/>
      </rPr>
      <t>*f</t>
    </r>
    <r>
      <rPr>
        <vertAlign val="subscript"/>
        <sz val="11"/>
        <rFont val="Calibri"/>
        <family val="2"/>
        <scheme val="minor"/>
      </rPr>
      <t>KS</t>
    </r>
  </si>
  <si>
    <r>
      <t>K</t>
    </r>
    <r>
      <rPr>
        <vertAlign val="subscript"/>
        <sz val="11"/>
        <rFont val="Calibri"/>
        <family val="2"/>
        <scheme val="minor"/>
      </rPr>
      <t>VFA,AS</t>
    </r>
    <r>
      <rPr>
        <sz val="11"/>
        <rFont val="Calibri"/>
        <family val="2"/>
        <scheme val="minor"/>
      </rPr>
      <t>*f</t>
    </r>
    <r>
      <rPr>
        <vertAlign val="subscript"/>
        <sz val="11"/>
        <rFont val="Calibri"/>
        <family val="2"/>
        <scheme val="minor"/>
      </rPr>
      <t>KS</t>
    </r>
  </si>
  <si>
    <r>
      <t>K</t>
    </r>
    <r>
      <rPr>
        <vertAlign val="subscript"/>
        <sz val="11"/>
        <rFont val="Calibri"/>
        <family val="2"/>
        <scheme val="minor"/>
      </rPr>
      <t>O2,OHO,AS</t>
    </r>
    <r>
      <rPr>
        <sz val="11"/>
        <rFont val="Calibri"/>
        <family val="2"/>
        <scheme val="minor"/>
      </rPr>
      <t>*f</t>
    </r>
    <r>
      <rPr>
        <vertAlign val="subscript"/>
        <sz val="11"/>
        <rFont val="Calibri"/>
        <family val="2"/>
        <scheme val="minor"/>
      </rPr>
      <t>KS</t>
    </r>
  </si>
  <si>
    <r>
      <t>K</t>
    </r>
    <r>
      <rPr>
        <vertAlign val="subscript"/>
        <sz val="11"/>
        <rFont val="Calibri"/>
        <family val="2"/>
        <scheme val="minor"/>
      </rPr>
      <t>MEOL,OHO,AS</t>
    </r>
    <r>
      <rPr>
        <sz val="11"/>
        <rFont val="Calibri"/>
        <family val="2"/>
        <scheme val="minor"/>
      </rPr>
      <t>*f</t>
    </r>
    <r>
      <rPr>
        <vertAlign val="subscript"/>
        <sz val="11"/>
        <rFont val="Calibri"/>
        <family val="2"/>
        <scheme val="minor"/>
      </rPr>
      <t>KS</t>
    </r>
  </si>
  <si>
    <r>
      <t>K</t>
    </r>
    <r>
      <rPr>
        <vertAlign val="subscript"/>
        <sz val="11"/>
        <rFont val="Calibri"/>
        <family val="2"/>
        <scheme val="minor"/>
      </rPr>
      <t>NO3,OHO,AS</t>
    </r>
    <r>
      <rPr>
        <sz val="11"/>
        <rFont val="Calibri"/>
        <family val="2"/>
        <scheme val="minor"/>
      </rPr>
      <t>*f</t>
    </r>
    <r>
      <rPr>
        <vertAlign val="subscript"/>
        <sz val="11"/>
        <rFont val="Calibri"/>
        <family val="2"/>
        <scheme val="minor"/>
      </rPr>
      <t>KS</t>
    </r>
  </si>
  <si>
    <r>
      <t>K</t>
    </r>
    <r>
      <rPr>
        <vertAlign val="subscript"/>
        <sz val="11"/>
        <rFont val="Calibri"/>
        <family val="2"/>
        <scheme val="minor"/>
      </rPr>
      <t>VFA,FERM,AS</t>
    </r>
    <r>
      <rPr>
        <sz val="11"/>
        <rFont val="Calibri"/>
        <family val="2"/>
        <scheme val="minor"/>
      </rPr>
      <t>*f</t>
    </r>
    <r>
      <rPr>
        <vertAlign val="subscript"/>
        <sz val="11"/>
        <rFont val="Calibri"/>
        <family val="2"/>
        <scheme val="minor"/>
      </rPr>
      <t>KS</t>
    </r>
  </si>
  <si>
    <r>
      <t>K</t>
    </r>
    <r>
      <rPr>
        <vertAlign val="subscript"/>
        <sz val="11"/>
        <rFont val="Calibri"/>
        <family val="2"/>
        <scheme val="minor"/>
      </rPr>
      <t>SB,ana,AS</t>
    </r>
    <r>
      <rPr>
        <sz val="11"/>
        <rFont val="Calibri"/>
        <family val="2"/>
        <scheme val="minor"/>
      </rPr>
      <t>*f</t>
    </r>
    <r>
      <rPr>
        <vertAlign val="subscript"/>
        <sz val="11"/>
        <rFont val="Calibri"/>
        <family val="2"/>
        <scheme val="minor"/>
      </rPr>
      <t>KS</t>
    </r>
  </si>
  <si>
    <r>
      <t>K</t>
    </r>
    <r>
      <rPr>
        <vertAlign val="subscript"/>
        <sz val="11"/>
        <rFont val="Calibri"/>
        <family val="2"/>
        <scheme val="minor"/>
      </rPr>
      <t>MEOL,AS</t>
    </r>
    <r>
      <rPr>
        <sz val="11"/>
        <rFont val="Calibri"/>
        <family val="2"/>
        <scheme val="minor"/>
      </rPr>
      <t>*f</t>
    </r>
    <r>
      <rPr>
        <vertAlign val="subscript"/>
        <sz val="11"/>
        <rFont val="Calibri"/>
        <family val="2"/>
        <scheme val="minor"/>
      </rPr>
      <t>KS</t>
    </r>
  </si>
  <si>
    <r>
      <t>K</t>
    </r>
    <r>
      <rPr>
        <vertAlign val="subscript"/>
        <sz val="11"/>
        <rFont val="Calibri"/>
        <family val="2"/>
      </rPr>
      <t>NO2,MEOLO,AS</t>
    </r>
    <r>
      <rPr>
        <sz val="11"/>
        <rFont val="Calibri"/>
        <family val="2"/>
      </rPr>
      <t>*f</t>
    </r>
    <r>
      <rPr>
        <vertAlign val="subscript"/>
        <sz val="11"/>
        <rFont val="Calibri"/>
        <family val="2"/>
      </rPr>
      <t>KS</t>
    </r>
  </si>
  <si>
    <r>
      <t>K</t>
    </r>
    <r>
      <rPr>
        <vertAlign val="subscript"/>
        <sz val="11"/>
        <rFont val="Calibri"/>
        <family val="2"/>
        <scheme val="minor"/>
      </rPr>
      <t>NO3,MEOLO,AS</t>
    </r>
    <r>
      <rPr>
        <sz val="11"/>
        <rFont val="Calibri"/>
        <family val="2"/>
        <scheme val="minor"/>
      </rPr>
      <t>*f</t>
    </r>
    <r>
      <rPr>
        <vertAlign val="subscript"/>
        <sz val="11"/>
        <rFont val="Calibri"/>
        <family val="2"/>
        <scheme val="minor"/>
      </rPr>
      <t>KS</t>
    </r>
  </si>
  <si>
    <r>
      <t>K</t>
    </r>
    <r>
      <rPr>
        <vertAlign val="subscript"/>
        <sz val="11"/>
        <rFont val="Calibri"/>
        <family val="2"/>
        <scheme val="minor"/>
      </rPr>
      <t>PO4,PAO,AS</t>
    </r>
    <r>
      <rPr>
        <sz val="11"/>
        <rFont val="Calibri"/>
        <family val="2"/>
        <scheme val="minor"/>
      </rPr>
      <t>*f</t>
    </r>
    <r>
      <rPr>
        <vertAlign val="subscript"/>
        <sz val="11"/>
        <rFont val="Calibri"/>
        <family val="2"/>
        <scheme val="minor"/>
      </rPr>
      <t>KS</t>
    </r>
  </si>
  <si>
    <r>
      <t>K</t>
    </r>
    <r>
      <rPr>
        <vertAlign val="subscript"/>
        <sz val="11"/>
        <rFont val="Calibri"/>
        <family val="2"/>
        <scheme val="minor"/>
      </rPr>
      <t>Mg,PAO,AS</t>
    </r>
    <r>
      <rPr>
        <sz val="11"/>
        <rFont val="Calibri"/>
        <family val="2"/>
        <scheme val="minor"/>
      </rPr>
      <t>*f</t>
    </r>
    <r>
      <rPr>
        <vertAlign val="subscript"/>
        <sz val="11"/>
        <rFont val="Calibri"/>
        <family val="2"/>
        <scheme val="minor"/>
      </rPr>
      <t>KS</t>
    </r>
  </si>
  <si>
    <r>
      <t>K</t>
    </r>
    <r>
      <rPr>
        <vertAlign val="subscript"/>
        <sz val="11"/>
        <rFont val="Calibri"/>
        <family val="2"/>
        <scheme val="minor"/>
      </rPr>
      <t>K,PAO,AS</t>
    </r>
    <r>
      <rPr>
        <sz val="11"/>
        <rFont val="Calibri"/>
        <family val="2"/>
        <scheme val="minor"/>
      </rPr>
      <t>*f</t>
    </r>
    <r>
      <rPr>
        <vertAlign val="subscript"/>
        <sz val="11"/>
        <rFont val="Calibri"/>
        <family val="2"/>
        <scheme val="minor"/>
      </rPr>
      <t>KS</t>
    </r>
  </si>
  <si>
    <r>
      <t>K</t>
    </r>
    <r>
      <rPr>
        <vertAlign val="subscript"/>
        <sz val="11"/>
        <rFont val="Calibri"/>
        <family val="2"/>
        <scheme val="minor"/>
      </rPr>
      <t>Ca,PAO,AS</t>
    </r>
    <r>
      <rPr>
        <sz val="11"/>
        <rFont val="Calibri"/>
        <family val="2"/>
        <scheme val="minor"/>
      </rPr>
      <t>*f</t>
    </r>
    <r>
      <rPr>
        <vertAlign val="subscript"/>
        <sz val="11"/>
        <rFont val="Calibri"/>
        <family val="2"/>
        <scheme val="minor"/>
      </rPr>
      <t>KS</t>
    </r>
  </si>
  <si>
    <r>
      <t>Ki</t>
    </r>
    <r>
      <rPr>
        <vertAlign val="subscript"/>
        <sz val="11"/>
        <rFont val="Calibri"/>
        <family val="2"/>
        <scheme val="minor"/>
      </rPr>
      <t>PO4,lim,AS</t>
    </r>
    <r>
      <rPr>
        <sz val="11"/>
        <rFont val="Calibri"/>
        <family val="2"/>
        <scheme val="minor"/>
      </rPr>
      <t>*f</t>
    </r>
    <r>
      <rPr>
        <vertAlign val="subscript"/>
        <sz val="11"/>
        <rFont val="Calibri"/>
        <family val="2"/>
        <scheme val="minor"/>
      </rPr>
      <t>KS</t>
    </r>
  </si>
  <si>
    <r>
      <t>K</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</si>
  <si>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Ki</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</si>
  <si>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t>
    </r>
    <r>
      <rPr>
        <vertAlign val="subscript"/>
        <sz val="11"/>
        <rFont val="Calibri"/>
        <family val="2"/>
        <scheme val="minor"/>
      </rPr>
      <t>NOx,AMETO,AS</t>
    </r>
    <r>
      <rPr>
        <sz val="11"/>
        <rFont val="Calibri"/>
        <family val="2"/>
        <scheme val="minor"/>
      </rPr>
      <t>*f</t>
    </r>
    <r>
      <rPr>
        <vertAlign val="subscript"/>
        <sz val="11"/>
        <rFont val="Calibri"/>
        <family val="2"/>
        <scheme val="minor"/>
      </rPr>
      <t>KS</t>
    </r>
  </si>
  <si>
    <r>
      <t>K</t>
    </r>
    <r>
      <rPr>
        <vertAlign val="subscript"/>
        <sz val="11"/>
        <rFont val="Calibri"/>
        <family val="2"/>
        <scheme val="minor"/>
      </rPr>
      <t>H2,HMETO,AS</t>
    </r>
    <r>
      <rPr>
        <sz val="11"/>
        <rFont val="Calibri"/>
        <family val="2"/>
        <scheme val="minor"/>
      </rPr>
      <t>*f</t>
    </r>
    <r>
      <rPr>
        <vertAlign val="subscript"/>
        <sz val="11"/>
        <rFont val="Calibri"/>
        <family val="2"/>
        <scheme val="minor"/>
      </rPr>
      <t>KS</t>
    </r>
  </si>
  <si>
    <r>
      <t>K</t>
    </r>
    <r>
      <rPr>
        <vertAlign val="subscript"/>
        <sz val="11"/>
        <rFont val="Calibri"/>
        <family val="2"/>
        <scheme val="minor"/>
      </rPr>
      <t>NOx,HMETO,AS</t>
    </r>
    <r>
      <rPr>
        <sz val="11"/>
        <rFont val="Calibri"/>
        <family val="2"/>
        <scheme val="minor"/>
      </rPr>
      <t>*f</t>
    </r>
    <r>
      <rPr>
        <vertAlign val="subscript"/>
        <sz val="11"/>
        <rFont val="Calibri"/>
        <family val="2"/>
        <scheme val="minor"/>
      </rPr>
      <t>KS</t>
    </r>
  </si>
  <si>
    <r>
      <t>K</t>
    </r>
    <r>
      <rPr>
        <vertAlign val="subscript"/>
        <sz val="11"/>
        <rFont val="Calibri"/>
        <family val="2"/>
        <scheme val="minor"/>
      </rPr>
      <t>NHx,BIO,AS</t>
    </r>
    <r>
      <rPr>
        <sz val="11"/>
        <rFont val="Calibri"/>
        <family val="2"/>
        <scheme val="minor"/>
      </rPr>
      <t>*f</t>
    </r>
    <r>
      <rPr>
        <vertAlign val="subscript"/>
        <sz val="11"/>
        <rFont val="Calibri"/>
        <family val="2"/>
        <scheme val="minor"/>
      </rPr>
      <t>KS</t>
    </r>
  </si>
  <si>
    <r>
      <t>K</t>
    </r>
    <r>
      <rPr>
        <vertAlign val="subscript"/>
        <sz val="11"/>
        <rFont val="Calibri"/>
        <family val="2"/>
        <scheme val="minor"/>
      </rPr>
      <t>PO4,BIO,AS</t>
    </r>
    <r>
      <rPr>
        <sz val="11"/>
        <rFont val="Calibri"/>
        <family val="2"/>
        <scheme val="minor"/>
      </rPr>
      <t>*f</t>
    </r>
    <r>
      <rPr>
        <vertAlign val="subscript"/>
        <sz val="11"/>
        <rFont val="Calibri"/>
        <family val="2"/>
        <scheme val="minor"/>
      </rPr>
      <t>KS</t>
    </r>
  </si>
  <si>
    <r>
      <t>K</t>
    </r>
    <r>
      <rPr>
        <vertAlign val="subscript"/>
        <sz val="11"/>
        <rFont val="Calibri"/>
        <family val="2"/>
        <scheme val="minor"/>
      </rPr>
      <t>CO2,BIO,AS</t>
    </r>
    <r>
      <rPr>
        <sz val="11"/>
        <rFont val="Calibri"/>
        <family val="2"/>
        <scheme val="minor"/>
      </rPr>
      <t>*f</t>
    </r>
    <r>
      <rPr>
        <vertAlign val="subscript"/>
        <sz val="11"/>
        <rFont val="Calibri"/>
        <family val="2"/>
        <scheme val="minor"/>
      </rPr>
      <t>KS</t>
    </r>
  </si>
  <si>
    <r>
      <t>K</t>
    </r>
    <r>
      <rPr>
        <vertAlign val="subscript"/>
        <sz val="11"/>
        <rFont val="Calibri"/>
        <family val="2"/>
        <scheme val="minor"/>
      </rPr>
      <t>CAT,AS</t>
    </r>
    <r>
      <rPr>
        <sz val="11"/>
        <rFont val="Calibri"/>
        <family val="2"/>
        <scheme val="minor"/>
      </rPr>
      <t>*f</t>
    </r>
    <r>
      <rPr>
        <vertAlign val="subscript"/>
        <sz val="11"/>
        <rFont val="Calibri"/>
        <family val="2"/>
        <scheme val="minor"/>
      </rPr>
      <t>KS</t>
    </r>
  </si>
  <si>
    <r>
      <t>K</t>
    </r>
    <r>
      <rPr>
        <vertAlign val="subscript"/>
        <sz val="11"/>
        <rFont val="Calibri"/>
        <family val="2"/>
        <scheme val="minor"/>
      </rPr>
      <t>AN,AS</t>
    </r>
    <r>
      <rPr>
        <sz val="11"/>
        <rFont val="Calibri"/>
        <family val="2"/>
        <scheme val="minor"/>
      </rPr>
      <t>*f</t>
    </r>
    <r>
      <rPr>
        <vertAlign val="subscript"/>
        <sz val="11"/>
        <rFont val="Calibri"/>
        <family val="2"/>
        <scheme val="minor"/>
      </rPr>
      <t>KS</t>
    </r>
  </si>
  <si>
    <r>
      <t>K</t>
    </r>
    <r>
      <rPr>
        <vertAlign val="subscript"/>
        <sz val="11"/>
        <rFont val="Calibri"/>
        <family val="2"/>
        <scheme val="minor"/>
      </rPr>
      <t>FLOC,AS</t>
    </r>
    <r>
      <rPr>
        <sz val="11"/>
        <rFont val="Calibri"/>
        <family val="2"/>
        <scheme val="minor"/>
      </rPr>
      <t>*f</t>
    </r>
    <r>
      <rPr>
        <vertAlign val="subscript"/>
        <sz val="11"/>
        <rFont val="Calibri"/>
        <family val="2"/>
        <scheme val="minor"/>
      </rPr>
      <t>KS</t>
    </r>
  </si>
  <si>
    <r>
      <t>K</t>
    </r>
    <r>
      <rPr>
        <vertAlign val="subscript"/>
        <sz val="11"/>
        <rFont val="Calibri"/>
        <family val="2"/>
        <scheme val="minor"/>
      </rPr>
      <t>HYD,AS</t>
    </r>
    <r>
      <rPr>
        <sz val="11"/>
        <rFont val="Calibri"/>
        <family val="2"/>
        <scheme val="minor"/>
      </rPr>
      <t>*f</t>
    </r>
    <r>
      <rPr>
        <vertAlign val="subscript"/>
        <sz val="11"/>
        <rFont val="Calibri"/>
        <family val="2"/>
        <scheme val="minor"/>
      </rPr>
      <t>KS</t>
    </r>
  </si>
  <si>
    <r>
      <t>Ki</t>
    </r>
    <r>
      <rPr>
        <vertAlign val="subscript"/>
        <sz val="11"/>
        <rFont val="Calibri"/>
        <family val="2"/>
        <scheme val="minor"/>
      </rPr>
      <t>NHx,ASSIM,AS</t>
    </r>
    <r>
      <rPr>
        <sz val="11"/>
        <rFont val="Calibri"/>
        <family val="2"/>
        <scheme val="minor"/>
      </rPr>
      <t>*f</t>
    </r>
    <r>
      <rPr>
        <vertAlign val="subscript"/>
        <sz val="11"/>
        <rFont val="Calibri"/>
        <family val="2"/>
        <scheme val="minor"/>
      </rPr>
      <t>KS</t>
    </r>
  </si>
  <si>
    <r>
      <t>K</t>
    </r>
    <r>
      <rPr>
        <vertAlign val="subscript"/>
        <sz val="11"/>
        <rFont val="Calibri"/>
        <family val="2"/>
        <scheme val="minor"/>
      </rPr>
      <t>NO2,ASSIM,AS</t>
    </r>
    <r>
      <rPr>
        <sz val="11"/>
        <rFont val="Calibri"/>
        <family val="2"/>
        <scheme val="minor"/>
      </rPr>
      <t>*f</t>
    </r>
    <r>
      <rPr>
        <vertAlign val="subscript"/>
        <sz val="11"/>
        <rFont val="Calibri"/>
        <family val="2"/>
        <scheme val="minor"/>
      </rPr>
      <t>KS</t>
    </r>
  </si>
  <si>
    <r>
      <t>K</t>
    </r>
    <r>
      <rPr>
        <vertAlign val="subscript"/>
        <sz val="11"/>
        <rFont val="Calibri"/>
        <family val="2"/>
        <scheme val="minor"/>
      </rPr>
      <t>NO3,ASSIM,AS</t>
    </r>
    <r>
      <rPr>
        <sz val="11"/>
        <rFont val="Calibri"/>
        <family val="2"/>
        <scheme val="minor"/>
      </rPr>
      <t>*f</t>
    </r>
    <r>
      <rPr>
        <vertAlign val="subscript"/>
        <sz val="11"/>
        <rFont val="Calibri"/>
        <family val="2"/>
        <scheme val="minor"/>
      </rPr>
      <t>KS</t>
    </r>
  </si>
  <si>
    <t>fKS=1 in bulk and fKS,biofilm in biofilm</t>
  </si>
  <si>
    <r>
      <t>S</t>
    </r>
    <r>
      <rPr>
        <vertAlign val="subscript"/>
        <sz val="11"/>
        <rFont val="Calibri"/>
        <family val="2"/>
        <scheme val="minor"/>
      </rPr>
      <t>KN</t>
    </r>
  </si>
  <si>
    <t>Soluble Kjeldahl nitrogen (SKN)</t>
  </si>
  <si>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</si>
  <si>
    <r>
      <t>S</t>
    </r>
    <r>
      <rPr>
        <vertAlign val="subscript"/>
        <sz val="11"/>
        <rFont val="Calibri"/>
        <family val="2"/>
        <scheme val="minor"/>
      </rPr>
      <t>P</t>
    </r>
  </si>
  <si>
    <t>Soluble phosphorus</t>
  </si>
  <si>
    <r>
      <t>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</si>
  <si>
    <r>
      <t>Ki</t>
    </r>
    <r>
      <rPr>
        <vertAlign val="subscript"/>
        <sz val="11"/>
        <rFont val="Calibri"/>
        <family val="2"/>
        <scheme val="minor"/>
      </rPr>
      <t>O2,MEOLO,AS</t>
    </r>
  </si>
  <si>
    <r>
      <t>Half-inhibition of O</t>
    </r>
    <r>
      <rPr>
        <vertAlign val="subscript"/>
        <sz val="11"/>
        <color rgb="FF000000"/>
        <rFont val="Calibri"/>
        <family val="2"/>
        <scheme val="minor"/>
      </rPr>
      <t>2</t>
    </r>
    <r>
      <rPr>
        <sz val="11"/>
        <color rgb="FF000000"/>
        <rFont val="Calibri"/>
        <family val="2"/>
        <charset val="238"/>
        <scheme val="minor"/>
      </rPr>
      <t xml:space="preserve"> for MEOLOs (AS)</t>
    </r>
  </si>
  <si>
    <r>
      <t>Ki</t>
    </r>
    <r>
      <rPr>
        <vertAlign val="subscript"/>
        <sz val="11"/>
        <rFont val="Calibri"/>
        <family val="2"/>
        <scheme val="minor"/>
      </rPr>
      <t>O2,AMETO,AS</t>
    </r>
  </si>
  <si>
    <r>
      <t>Half-inhibition of O</t>
    </r>
    <r>
      <rPr>
        <vertAlign val="subscript"/>
        <sz val="11"/>
        <color rgb="FF000000"/>
        <rFont val="Calibri"/>
        <family val="2"/>
        <scheme val="minor"/>
      </rPr>
      <t>2</t>
    </r>
    <r>
      <rPr>
        <sz val="11"/>
        <color rgb="FF000000"/>
        <rFont val="Calibri"/>
        <family val="2"/>
        <charset val="238"/>
        <scheme val="minor"/>
      </rPr>
      <t xml:space="preserve"> for AMETOs (AS)</t>
    </r>
  </si>
  <si>
    <r>
      <t>Ki</t>
    </r>
    <r>
      <rPr>
        <vertAlign val="subscript"/>
        <sz val="11"/>
        <color indexed="8"/>
        <rFont val="Calibri"/>
        <family val="2"/>
        <scheme val="minor"/>
      </rPr>
      <t>O2,HMETO,AS</t>
    </r>
  </si>
  <si>
    <r>
      <t>Half-inhibition of O</t>
    </r>
    <r>
      <rPr>
        <vertAlign val="subscript"/>
        <sz val="11"/>
        <color rgb="FF000000"/>
        <rFont val="Calibri"/>
        <family val="2"/>
        <scheme val="minor"/>
      </rPr>
      <t>2</t>
    </r>
    <r>
      <rPr>
        <sz val="11"/>
        <color rgb="FF000000"/>
        <rFont val="Calibri"/>
        <family val="2"/>
        <charset val="238"/>
        <scheme val="minor"/>
      </rPr>
      <t xml:space="preserve"> for HMETOs (AS)</t>
    </r>
  </si>
  <si>
    <r>
      <t>mV</t>
    </r>
    <r>
      <rPr>
        <vertAlign val="superscript"/>
        <sz val="11"/>
        <rFont val="Calibri"/>
        <family val="2"/>
        <scheme val="minor"/>
      </rPr>
      <t>-1</t>
    </r>
  </si>
  <si>
    <r>
      <t>Ki</t>
    </r>
    <r>
      <rPr>
        <vertAlign val="subscript"/>
        <sz val="11"/>
        <rFont val="Calibri"/>
        <family val="2"/>
        <scheme val="minor"/>
      </rPr>
      <t>O2,MEOLO</t>
    </r>
  </si>
  <si>
    <r>
      <t>Half-inhibition of O</t>
    </r>
    <r>
      <rPr>
        <vertAlign val="subscript"/>
        <sz val="11"/>
        <color rgb="FF000000"/>
        <rFont val="Calibri"/>
        <family val="2"/>
        <scheme val="minor"/>
      </rPr>
      <t>2</t>
    </r>
    <r>
      <rPr>
        <sz val="11"/>
        <color rgb="FF000000"/>
        <rFont val="Calibri"/>
        <family val="2"/>
        <charset val="238"/>
        <scheme val="minor"/>
      </rPr>
      <t xml:space="preserve"> for MEOLOs</t>
    </r>
  </si>
  <si>
    <r>
      <t>Ki</t>
    </r>
    <r>
      <rPr>
        <vertAlign val="subscript"/>
        <sz val="11"/>
        <rFont val="Calibri"/>
        <family val="2"/>
        <scheme val="minor"/>
      </rPr>
      <t>O2,MEOLO,AS</t>
    </r>
    <r>
      <rPr>
        <sz val="11"/>
        <rFont val="Calibri"/>
        <family val="2"/>
        <scheme val="minor"/>
      </rPr>
      <t>*f</t>
    </r>
    <r>
      <rPr>
        <vertAlign val="subscript"/>
        <sz val="11"/>
        <rFont val="Calibri"/>
        <family val="2"/>
        <scheme val="minor"/>
      </rPr>
      <t>KS</t>
    </r>
  </si>
  <si>
    <r>
      <t>Ki</t>
    </r>
    <r>
      <rPr>
        <vertAlign val="subscript"/>
        <sz val="11"/>
        <rFont val="Calibri"/>
        <family val="2"/>
        <scheme val="minor"/>
      </rPr>
      <t>O2,AMETO</t>
    </r>
  </si>
  <si>
    <r>
      <t>Half-inhibition of O</t>
    </r>
    <r>
      <rPr>
        <vertAlign val="subscript"/>
        <sz val="11"/>
        <color rgb="FF000000"/>
        <rFont val="Calibri"/>
        <family val="2"/>
        <scheme val="minor"/>
      </rPr>
      <t>2</t>
    </r>
    <r>
      <rPr>
        <sz val="11"/>
        <color rgb="FF000000"/>
        <rFont val="Calibri"/>
        <family val="2"/>
        <charset val="238"/>
        <scheme val="minor"/>
      </rPr>
      <t xml:space="preserve"> for AMETOs</t>
    </r>
  </si>
  <si>
    <r>
      <t>Ki</t>
    </r>
    <r>
      <rPr>
        <vertAlign val="subscript"/>
        <sz val="11"/>
        <rFont val="Calibri"/>
        <family val="2"/>
        <scheme val="minor"/>
      </rPr>
      <t>O2,AMETO,AS</t>
    </r>
    <r>
      <rPr>
        <sz val="11"/>
        <rFont val="Calibri"/>
        <family val="2"/>
        <scheme val="minor"/>
      </rPr>
      <t>*f</t>
    </r>
    <r>
      <rPr>
        <vertAlign val="subscript"/>
        <sz val="11"/>
        <rFont val="Calibri"/>
        <family val="2"/>
        <scheme val="minor"/>
      </rPr>
      <t>KS</t>
    </r>
  </si>
  <si>
    <r>
      <t>Ki</t>
    </r>
    <r>
      <rPr>
        <vertAlign val="subscript"/>
        <sz val="11"/>
        <rFont val="Calibri"/>
        <family val="2"/>
        <scheme val="minor"/>
      </rPr>
      <t>O2,HMETO</t>
    </r>
  </si>
  <si>
    <r>
      <t>Half-inhibition of O</t>
    </r>
    <r>
      <rPr>
        <vertAlign val="subscript"/>
        <sz val="11"/>
        <color rgb="FF000000"/>
        <rFont val="Calibri"/>
        <family val="2"/>
        <scheme val="minor"/>
      </rPr>
      <t>2</t>
    </r>
    <r>
      <rPr>
        <sz val="11"/>
        <color rgb="FF000000"/>
        <rFont val="Calibri"/>
        <family val="2"/>
        <charset val="238"/>
        <scheme val="minor"/>
      </rPr>
      <t xml:space="preserve"> for HMETOs</t>
    </r>
  </si>
  <si>
    <r>
      <t>Ki</t>
    </r>
    <r>
      <rPr>
        <vertAlign val="subscript"/>
        <sz val="11"/>
        <rFont val="Calibri"/>
        <family val="2"/>
        <scheme val="minor"/>
      </rPr>
      <t>O2,HMETO,AS</t>
    </r>
  </si>
  <si>
    <r>
      <t>Ki</t>
    </r>
    <r>
      <rPr>
        <vertAlign val="subscript"/>
        <sz val="11"/>
        <rFont val="Calibri"/>
        <family val="2"/>
        <scheme val="minor"/>
      </rPr>
      <t>O2,HMETO,AS</t>
    </r>
    <r>
      <rPr>
        <sz val="11"/>
        <rFont val="Calibri"/>
        <family val="2"/>
        <scheme val="minor"/>
      </rPr>
      <t>*f</t>
    </r>
    <r>
      <rPr>
        <vertAlign val="subscript"/>
        <sz val="11"/>
        <rFont val="Calibri"/>
        <family val="2"/>
        <scheme val="minor"/>
      </rPr>
      <t>KS</t>
    </r>
  </si>
  <si>
    <r>
      <t>Minh</t>
    </r>
    <r>
      <rPr>
        <vertAlign val="subscript"/>
        <sz val="11"/>
        <rFont val="Calibri"/>
        <family val="2"/>
        <scheme val="minor"/>
      </rPr>
      <t>SO2,KiO2,MEOLO</t>
    </r>
  </si>
  <si>
    <r>
      <t>Minh(S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</si>
  <si>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Msat</t>
    </r>
    <r>
      <rPr>
        <vertAlign val="subscript"/>
        <sz val="11"/>
        <rFont val="Calibri"/>
        <family val="2"/>
        <scheme val="minor"/>
      </rPr>
      <t>SO2,KiO2,MEOLO</t>
    </r>
  </si>
  <si>
    <r>
      <t>Msat(S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</si>
  <si>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Minh</t>
    </r>
    <r>
      <rPr>
        <vertAlign val="subscript"/>
        <sz val="11"/>
        <rFont val="Calibri"/>
        <family val="2"/>
        <scheme val="minor"/>
      </rPr>
      <t>SO2,KiO2,AMETO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</si>
  <si>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</si>
  <si>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Msat</t>
    </r>
    <r>
      <rPr>
        <vertAlign val="subscript"/>
        <sz val="11"/>
        <rFont val="Calibri"/>
        <family val="2"/>
        <scheme val="minor"/>
      </rPr>
      <t>SO2,KiO2,AMETO</t>
    </r>
  </si>
  <si>
    <r>
      <t>Msat(S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</si>
  <si>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Minh</t>
    </r>
    <r>
      <rPr>
        <vertAlign val="subscript"/>
        <sz val="11"/>
        <rFont val="Calibri"/>
        <family val="2"/>
        <scheme val="minor"/>
      </rPr>
      <t>SO2,KiO2,HMETO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</si>
  <si>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</si>
  <si>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</si>
  <si>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t>
    </r>
    <r>
      <rPr>
        <vertAlign val="subscript"/>
        <sz val="11"/>
        <rFont val="Calibri"/>
        <family val="2"/>
        <scheme val="minor"/>
      </rPr>
      <t>SO2,KiO2,HMETO</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</si>
  <si>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SO2,KiO2,MEOLO</t>
    </r>
    <r>
      <rPr>
        <sz val="11"/>
        <rFont val="Calibri"/>
        <family val="2"/>
      </rPr>
      <t>+η</t>
    </r>
    <r>
      <rPr>
        <vertAlign val="subscript"/>
        <sz val="11"/>
        <rFont val="Calibri"/>
        <family val="2"/>
      </rPr>
      <t>b,anox</t>
    </r>
    <r>
      <rPr>
        <sz val="11"/>
        <rFont val="Calibri"/>
        <family val="2"/>
      </rPr>
      <t>*Msat</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tox,anox</t>
    </r>
    <r>
      <rPr>
        <sz val="11"/>
        <rFont val="Calibri"/>
        <family val="2"/>
      </rPr>
      <t>*Msat</t>
    </r>
    <r>
      <rPr>
        <vertAlign val="subscript"/>
        <sz val="11"/>
        <rFont val="Calibri"/>
        <family val="2"/>
      </rPr>
      <t>SNO3,KNO3,MEOLO</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</si>
  <si>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*(η</t>
    </r>
    <r>
      <rPr>
        <vertAlign val="subscript"/>
        <sz val="11"/>
        <rFont val="Calibri"/>
        <family val="2"/>
      </rPr>
      <t>b,ana</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SNO3,KNO3,MEOLO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tox,ana</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</si>
  <si>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t>
    </r>
    <r>
      <rPr>
        <i/>
        <vertAlign val="subscript"/>
        <sz val="11"/>
        <rFont val="Calibri"/>
        <family val="2"/>
      </rPr>
      <t>tox,aer</t>
    </r>
    <r>
      <rPr>
        <sz val="11"/>
        <rFont val="Calibri"/>
        <family val="2"/>
      </rPr>
      <t>*Msat</t>
    </r>
    <r>
      <rPr>
        <vertAlign val="subscript"/>
        <sz val="11"/>
        <rFont val="Calibri"/>
        <family val="2"/>
      </rPr>
      <t>SO2,KiO2,AMETO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SNOx,KNO3,AMETO</t>
    </r>
    <r>
      <rPr>
        <sz val="11"/>
        <rFont val="Calibri"/>
        <family val="2"/>
      </rPr>
      <t>*Minh</t>
    </r>
    <r>
      <rPr>
        <vertAlign val="subscript"/>
        <sz val="11"/>
        <rFont val="Calibri"/>
        <family val="2"/>
      </rPr>
      <t>SO2,KiO2,AMETO</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</si>
  <si>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*Minh</t>
    </r>
    <r>
      <rPr>
        <vertAlign val="subscript"/>
        <sz val="11"/>
        <rFont val="Calibri"/>
        <family val="2"/>
      </rPr>
      <t>SNOx,KNO3,AMETO</t>
    </r>
    <r>
      <rPr>
        <sz val="11"/>
        <rFont val="Calibri"/>
        <family val="2"/>
      </rPr>
      <t>*Minh</t>
    </r>
    <r>
      <rPr>
        <vertAlign val="subscript"/>
        <sz val="11"/>
        <rFont val="Calibri"/>
        <family val="2"/>
      </rPr>
      <t>SO2,KiO2,AMETO</t>
    </r>
  </si>
  <si>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t>
    </r>
    <r>
      <rPr>
        <vertAlign val="subscript"/>
        <sz val="11"/>
        <rFont val="Calibri"/>
        <family val="2"/>
      </rPr>
      <t>tox,aer</t>
    </r>
    <r>
      <rPr>
        <sz val="11"/>
        <rFont val="Calibri"/>
        <family val="2"/>
      </rPr>
      <t>*Msat</t>
    </r>
    <r>
      <rPr>
        <vertAlign val="subscript"/>
        <sz val="11"/>
        <rFont val="Calibri"/>
        <family val="2"/>
      </rPr>
      <t>SO2,KiO2,HMETO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SNOx,KNO3,HMETO</t>
    </r>
    <r>
      <rPr>
        <sz val="11"/>
        <rFont val="Calibri"/>
        <family val="2"/>
      </rPr>
      <t>*Minh</t>
    </r>
    <r>
      <rPr>
        <vertAlign val="subscript"/>
        <sz val="11"/>
        <rFont val="Calibri"/>
        <family val="2"/>
      </rPr>
      <t>SO2,KiO2,HMETO</t>
    </r>
    <r>
      <rPr>
        <sz val="11"/>
        <rFont val="Calibri"/>
        <family val="2"/>
      </rPr>
      <t>)</t>
    </r>
  </si>
  <si>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*(Minh</t>
    </r>
    <r>
      <rPr>
        <vertAlign val="subscript"/>
        <sz val="11"/>
        <rFont val="Calibri"/>
        <family val="2"/>
      </rPr>
      <t>SNOx,KNO3,HMETO</t>
    </r>
    <r>
      <rPr>
        <sz val="11"/>
        <rFont val="Calibri"/>
        <family val="2"/>
      </rPr>
      <t>*Minh</t>
    </r>
    <r>
      <rPr>
        <vertAlign val="subscript"/>
        <sz val="11"/>
        <rFont val="Calibri"/>
        <family val="2"/>
      </rPr>
      <t>SO2,KiO2,HMETO</t>
    </r>
    <r>
      <rPr>
        <sz val="11"/>
        <rFont val="Calibri"/>
        <family val="2"/>
      </rPr>
      <t>)</t>
    </r>
  </si>
  <si>
    <r>
      <t>Ki</t>
    </r>
    <r>
      <rPr>
        <vertAlign val="subscript"/>
        <sz val="11"/>
        <rFont val="Calibri"/>
        <family val="2"/>
        <scheme val="minor"/>
      </rPr>
      <t>O2,AMX</t>
    </r>
  </si>
  <si>
    <r>
      <t>Half-inhibition of O</t>
    </r>
    <r>
      <rPr>
        <vertAlign val="subscript"/>
        <sz val="11"/>
        <color rgb="FF000000"/>
        <rFont val="Calibri"/>
        <family val="2"/>
        <scheme val="minor"/>
      </rPr>
      <t>2</t>
    </r>
    <r>
      <rPr>
        <sz val="11"/>
        <color rgb="FF000000"/>
        <rFont val="Calibri"/>
        <family val="2"/>
        <charset val="238"/>
        <scheme val="minor"/>
      </rPr>
      <t xml:space="preserve"> for AMX</t>
    </r>
  </si>
  <si>
    <r>
      <t>Ki</t>
    </r>
    <r>
      <rPr>
        <vertAlign val="subscript"/>
        <sz val="11"/>
        <rFont val="Calibri"/>
        <family val="2"/>
      </rPr>
      <t>O2,AMX,AS</t>
    </r>
  </si>
  <si>
    <r>
      <t>Ki</t>
    </r>
    <r>
      <rPr>
        <vertAlign val="subscript"/>
        <sz val="11"/>
        <rFont val="Calibri"/>
        <family val="2"/>
      </rPr>
      <t>O2,AMX,AS</t>
    </r>
    <r>
      <rPr>
        <sz val="11"/>
        <rFont val="Calibri"/>
        <family val="2"/>
      </rPr>
      <t>*f</t>
    </r>
    <r>
      <rPr>
        <vertAlign val="subscript"/>
        <sz val="11"/>
        <rFont val="Calibri"/>
        <family val="2"/>
      </rPr>
      <t>KS</t>
    </r>
  </si>
  <si>
    <r>
      <t>Minh</t>
    </r>
    <r>
      <rPr>
        <vertAlign val="subscript"/>
        <sz val="11"/>
        <rFont val="Calibri"/>
        <family val="2"/>
      </rPr>
      <t>SO2,KiO2,AMX</t>
    </r>
  </si>
  <si>
    <r>
      <t>Minh(S</t>
    </r>
    <r>
      <rPr>
        <vertAlign val="subscript"/>
        <sz val="11"/>
        <rFont val="Calibri"/>
        <family val="2"/>
      </rPr>
      <t>O2</t>
    </r>
    <r>
      <rPr>
        <sz val="11"/>
        <rFont val="Calibri"/>
        <family val="2"/>
      </rPr>
      <t>;Ki</t>
    </r>
    <r>
      <rPr>
        <vertAlign val="subscript"/>
        <sz val="11"/>
        <rFont val="Calibri"/>
        <family val="2"/>
      </rPr>
      <t>O2,AMX</t>
    </r>
    <r>
      <rPr>
        <sz val="11"/>
        <rFont val="Calibri"/>
        <family val="2"/>
      </rPr>
      <t>)</t>
    </r>
  </si>
  <si>
    <r>
      <t>Msat</t>
    </r>
    <r>
      <rPr>
        <vertAlign val="subscript"/>
        <sz val="11"/>
        <rFont val="Calibri"/>
        <family val="2"/>
      </rPr>
      <t>SO2,KiO2,AMX</t>
    </r>
  </si>
  <si>
    <r>
      <t>Msat(S</t>
    </r>
    <r>
      <rPr>
        <vertAlign val="subscript"/>
        <sz val="11"/>
        <rFont val="Calibri"/>
        <family val="2"/>
      </rPr>
      <t>O2</t>
    </r>
    <r>
      <rPr>
        <sz val="11"/>
        <rFont val="Calibri"/>
        <family val="2"/>
      </rPr>
      <t>;Ki</t>
    </r>
    <r>
      <rPr>
        <vertAlign val="subscript"/>
        <sz val="11"/>
        <rFont val="Calibri"/>
        <family val="2"/>
      </rPr>
      <t>O2,AMX</t>
    </r>
    <r>
      <rPr>
        <sz val="11"/>
        <rFont val="Calibri"/>
        <family val="2"/>
      </rPr>
      <t>)</t>
    </r>
  </si>
  <si>
    <r>
      <t>Ki</t>
    </r>
    <r>
      <rPr>
        <vertAlign val="subscript"/>
        <sz val="11"/>
        <color indexed="8"/>
        <rFont val="Calibri"/>
        <family val="2"/>
        <scheme val="minor"/>
      </rPr>
      <t>O2,AMX,AS</t>
    </r>
  </si>
  <si>
    <t>Half-inhibition of O2 for AMX (AS)</t>
  </si>
  <si>
    <r>
      <t>Liquid-side mass transfer coefficient of O</t>
    </r>
    <r>
      <rPr>
        <vertAlign val="subscript"/>
        <sz val="11"/>
        <color rgb="FF000000"/>
        <rFont val="Calibri"/>
        <family val="2"/>
        <scheme val="minor"/>
      </rPr>
      <t>2</t>
    </r>
    <r>
      <rPr>
        <sz val="11"/>
        <rFont val="Calibri"/>
        <family val="2"/>
        <scheme val="minor"/>
      </rPr>
      <t xml:space="preserve"> for gas bubbles</t>
    </r>
  </si>
  <si>
    <r>
      <t>Liquid-side mass transfer coefficient of O</t>
    </r>
    <r>
      <rPr>
        <vertAlign val="subscript"/>
        <sz val="11"/>
        <color rgb="FF000000"/>
        <rFont val="Calibri"/>
        <family val="2"/>
        <scheme val="minor"/>
      </rPr>
      <t>2</t>
    </r>
    <r>
      <rPr>
        <sz val="11"/>
        <rFont val="Calibri"/>
        <family val="2"/>
        <scheme val="minor"/>
      </rPr>
      <t xml:space="preserve"> at liquid surface</t>
    </r>
  </si>
  <si>
    <r>
      <t>k</t>
    </r>
    <r>
      <rPr>
        <vertAlign val="subscript"/>
        <sz val="11"/>
        <rFont val="Calibri"/>
        <family val="2"/>
      </rPr>
      <t>L,GO2,bub</t>
    </r>
  </si>
  <si>
    <r>
      <t>k</t>
    </r>
    <r>
      <rPr>
        <vertAlign val="subscript"/>
        <sz val="11"/>
        <rFont val="Calibri"/>
        <family val="2"/>
      </rPr>
      <t>L,GO2,sur</t>
    </r>
  </si>
  <si>
    <r>
      <t>k</t>
    </r>
    <r>
      <rPr>
        <vertAlign val="subscript"/>
        <sz val="11"/>
        <rFont val="Calibri"/>
        <family val="2"/>
        <scheme val="minor"/>
      </rPr>
      <t>L,GN2,bub</t>
    </r>
  </si>
  <si>
    <r>
      <t>k</t>
    </r>
    <r>
      <rPr>
        <vertAlign val="subscript"/>
        <sz val="11"/>
        <rFont val="Calibri"/>
        <family val="2"/>
        <scheme val="minor"/>
      </rPr>
      <t>L,GCO2,bub</t>
    </r>
  </si>
  <si>
    <r>
      <t>k</t>
    </r>
    <r>
      <rPr>
        <vertAlign val="subscript"/>
        <sz val="11"/>
        <rFont val="Calibri"/>
        <family val="2"/>
        <scheme val="minor"/>
      </rPr>
      <t>L,GCH4,bub</t>
    </r>
  </si>
  <si>
    <r>
      <t>k</t>
    </r>
    <r>
      <rPr>
        <vertAlign val="subscript"/>
        <sz val="11"/>
        <rFont val="Calibri"/>
        <family val="2"/>
        <scheme val="minor"/>
      </rPr>
      <t>L,GH2,bub</t>
    </r>
  </si>
  <si>
    <r>
      <t>k</t>
    </r>
    <r>
      <rPr>
        <vertAlign val="subscript"/>
        <sz val="11"/>
        <rFont val="Calibri"/>
        <family val="2"/>
        <scheme val="minor"/>
      </rPr>
      <t>L,GNH3,bub</t>
    </r>
  </si>
  <si>
    <r>
      <t>Liquid-side mass transfer coefficient of N</t>
    </r>
    <r>
      <rPr>
        <vertAlign val="subscript"/>
        <sz val="11"/>
        <color rgb="FF000000"/>
        <rFont val="Calibri"/>
        <family val="2"/>
        <scheme val="minor"/>
      </rPr>
      <t>2</t>
    </r>
    <r>
      <rPr>
        <sz val="11"/>
        <rFont val="Calibri"/>
        <family val="2"/>
        <scheme val="minor"/>
      </rPr>
      <t xml:space="preserve"> for gas bubbles</t>
    </r>
  </si>
  <si>
    <r>
      <t>Liquid-side mass transfer coefficient of CO</t>
    </r>
    <r>
      <rPr>
        <vertAlign val="subscript"/>
        <sz val="11"/>
        <color rgb="FF000000"/>
        <rFont val="Calibri"/>
        <family val="2"/>
        <scheme val="minor"/>
      </rPr>
      <t>2</t>
    </r>
    <r>
      <rPr>
        <sz val="11"/>
        <rFont val="Calibri"/>
        <family val="2"/>
        <scheme val="minor"/>
      </rPr>
      <t xml:space="preserve"> for gas bubbles</t>
    </r>
  </si>
  <si>
    <r>
      <t>Liquid-side mass transfer coefficient of CH</t>
    </r>
    <r>
      <rPr>
        <vertAlign val="subscript"/>
        <sz val="11"/>
        <color rgb="FF000000"/>
        <rFont val="Calibri"/>
        <family val="2"/>
        <scheme val="minor"/>
      </rPr>
      <t>4</t>
    </r>
    <r>
      <rPr>
        <sz val="11"/>
        <rFont val="Calibri"/>
        <family val="2"/>
        <scheme val="minor"/>
      </rPr>
      <t xml:space="preserve"> for gas bubbles</t>
    </r>
  </si>
  <si>
    <r>
      <t>Liquid-side mass transfer coefficient of H</t>
    </r>
    <r>
      <rPr>
        <vertAlign val="subscript"/>
        <sz val="11"/>
        <color rgb="FF000000"/>
        <rFont val="Calibri"/>
        <family val="2"/>
        <scheme val="minor"/>
      </rPr>
      <t>2</t>
    </r>
    <r>
      <rPr>
        <sz val="11"/>
        <rFont val="Calibri"/>
        <family val="2"/>
        <scheme val="minor"/>
      </rPr>
      <t xml:space="preserve"> for gas bubbles</t>
    </r>
  </si>
  <si>
    <r>
      <t>Liquid-side mass transfer coefficient of NH</t>
    </r>
    <r>
      <rPr>
        <vertAlign val="subscript"/>
        <sz val="11"/>
        <color rgb="FF000000"/>
        <rFont val="Calibri"/>
        <family val="2"/>
        <scheme val="minor"/>
      </rPr>
      <t>3</t>
    </r>
    <r>
      <rPr>
        <sz val="11"/>
        <rFont val="Calibri"/>
        <family val="2"/>
        <scheme val="minor"/>
      </rPr>
      <t xml:space="preserve"> for gas bubbles</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</si>
  <si>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</si>
  <si>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</si>
  <si>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</si>
  <si>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</si>
  <si>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</si>
  <si>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k</t>
    </r>
    <r>
      <rPr>
        <vertAlign val="subscript"/>
        <sz val="11"/>
        <rFont val="Calibri"/>
        <family val="2"/>
        <scheme val="minor"/>
      </rPr>
      <t>L,GN2,sur</t>
    </r>
  </si>
  <si>
    <r>
      <t>k</t>
    </r>
    <r>
      <rPr>
        <vertAlign val="subscript"/>
        <sz val="11"/>
        <rFont val="Calibri"/>
        <family val="2"/>
        <scheme val="minor"/>
      </rPr>
      <t>L,GCO2,sur</t>
    </r>
  </si>
  <si>
    <r>
      <t>k</t>
    </r>
    <r>
      <rPr>
        <vertAlign val="subscript"/>
        <sz val="11"/>
        <rFont val="Calibri"/>
        <family val="2"/>
        <scheme val="minor"/>
      </rPr>
      <t>L,GCH4,sur</t>
    </r>
  </si>
  <si>
    <r>
      <t>k</t>
    </r>
    <r>
      <rPr>
        <vertAlign val="subscript"/>
        <sz val="11"/>
        <rFont val="Calibri"/>
        <family val="2"/>
        <scheme val="minor"/>
      </rPr>
      <t>L,GH2,sur</t>
    </r>
  </si>
  <si>
    <r>
      <t>k</t>
    </r>
    <r>
      <rPr>
        <vertAlign val="subscript"/>
        <sz val="11"/>
        <rFont val="Calibri"/>
        <family val="2"/>
        <scheme val="minor"/>
      </rPr>
      <t>L,GNH3,sur</t>
    </r>
  </si>
  <si>
    <r>
      <t>Liquid-side mass transfer coefficient of N</t>
    </r>
    <r>
      <rPr>
        <vertAlign val="subscript"/>
        <sz val="11"/>
        <color rgb="FF000000"/>
        <rFont val="Calibri"/>
        <family val="2"/>
        <scheme val="minor"/>
      </rPr>
      <t>2</t>
    </r>
    <r>
      <rPr>
        <sz val="11"/>
        <rFont val="Calibri"/>
        <family val="2"/>
        <scheme val="minor"/>
      </rPr>
      <t xml:space="preserve"> at liquid surface</t>
    </r>
  </si>
  <si>
    <r>
      <t>Liquid-side mass transfer coefficient of CO</t>
    </r>
    <r>
      <rPr>
        <vertAlign val="subscript"/>
        <sz val="11"/>
        <color rgb="FF000000"/>
        <rFont val="Calibri"/>
        <family val="2"/>
        <scheme val="minor"/>
      </rPr>
      <t>2</t>
    </r>
    <r>
      <rPr>
        <sz val="11"/>
        <rFont val="Calibri"/>
        <family val="2"/>
        <scheme val="minor"/>
      </rPr>
      <t xml:space="preserve"> at liquid surface</t>
    </r>
  </si>
  <si>
    <r>
      <t>Liquid-side mass transfer coefficient of CH</t>
    </r>
    <r>
      <rPr>
        <vertAlign val="subscript"/>
        <sz val="11"/>
        <color rgb="FF000000"/>
        <rFont val="Calibri"/>
        <family val="2"/>
        <scheme val="minor"/>
      </rPr>
      <t>4</t>
    </r>
    <r>
      <rPr>
        <sz val="11"/>
        <rFont val="Calibri"/>
        <family val="2"/>
        <scheme val="minor"/>
      </rPr>
      <t xml:space="preserve"> at liquid surface</t>
    </r>
  </si>
  <si>
    <r>
      <t>Liquid-side mass transfer coefficient of H</t>
    </r>
    <r>
      <rPr>
        <vertAlign val="subscript"/>
        <sz val="11"/>
        <color rgb="FF000000"/>
        <rFont val="Calibri"/>
        <family val="2"/>
        <scheme val="minor"/>
      </rPr>
      <t>2</t>
    </r>
    <r>
      <rPr>
        <sz val="11"/>
        <rFont val="Calibri"/>
        <family val="2"/>
        <scheme val="minor"/>
      </rPr>
      <t xml:space="preserve"> at liquid surface</t>
    </r>
  </si>
  <si>
    <r>
      <t>Liquid-side mass transfer coefficient of NH</t>
    </r>
    <r>
      <rPr>
        <vertAlign val="subscript"/>
        <sz val="11"/>
        <color rgb="FF000000"/>
        <rFont val="Calibri"/>
        <family val="2"/>
        <scheme val="minor"/>
      </rPr>
      <t>3</t>
    </r>
    <r>
      <rPr>
        <sz val="11"/>
        <rFont val="Calibri"/>
        <family val="2"/>
        <scheme val="minor"/>
      </rPr>
      <t xml:space="preserve"> at liquid surface</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</si>
  <si>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</si>
  <si>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</si>
  <si>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</si>
  <si>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</si>
  <si>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</si>
  <si>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t>Saturation term for colloidal unbiodegradable organics (floculation)</t>
  </si>
  <si>
    <t>Press "Global Check" button</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</si>
  <si>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</si>
  <si>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</si>
  <si>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</si>
  <si>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</si>
  <si>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</si>
  <si>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</si>
  <si>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</si>
  <si>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</si>
  <si>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</si>
  <si>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</si>
  <si>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IS cut-off threshold for Davies activity coefficient correction</t>
  </si>
  <si>
    <t>SNHx, SMEOL considered to be volatilized</t>
  </si>
  <si>
    <r>
      <t>i</t>
    </r>
    <r>
      <rPr>
        <vertAlign val="subscript"/>
        <sz val="11"/>
        <rFont val="Calibri"/>
        <family val="2"/>
        <scheme val="minor"/>
      </rPr>
      <t>Ca,INORG</t>
    </r>
  </si>
  <si>
    <r>
      <t>Ca content of X</t>
    </r>
    <r>
      <rPr>
        <vertAlign val="subscript"/>
        <sz val="11"/>
        <rFont val="Calibri"/>
        <family val="2"/>
        <scheme val="minor"/>
      </rPr>
      <t>INORG</t>
    </r>
  </si>
  <si>
    <r>
      <t>g Ca.g TSS</t>
    </r>
    <r>
      <rPr>
        <vertAlign val="superscript"/>
        <sz val="11"/>
        <rFont val="Calibri"/>
        <family val="2"/>
        <scheme val="minor"/>
      </rPr>
      <t>-1</t>
    </r>
  </si>
  <si>
    <r>
      <t>i</t>
    </r>
    <r>
      <rPr>
        <vertAlign val="subscript"/>
        <sz val="11"/>
        <rFont val="Calibri"/>
        <family val="2"/>
        <scheme val="minor"/>
      </rPr>
      <t>Mg,INORG</t>
    </r>
  </si>
  <si>
    <r>
      <t>Mg content of X</t>
    </r>
    <r>
      <rPr>
        <vertAlign val="subscript"/>
        <sz val="11"/>
        <rFont val="Calibri"/>
        <family val="2"/>
        <scheme val="minor"/>
      </rPr>
      <t>INORG</t>
    </r>
  </si>
  <si>
    <r>
      <t>g Mg.g TSS</t>
    </r>
    <r>
      <rPr>
        <vertAlign val="superscript"/>
        <sz val="11"/>
        <rFont val="Calibri"/>
        <family val="2"/>
        <scheme val="minor"/>
      </rPr>
      <t>-1</t>
    </r>
  </si>
  <si>
    <r>
      <t>f</t>
    </r>
    <r>
      <rPr>
        <vertAlign val="subscript"/>
        <sz val="11"/>
        <rFont val="Calibri"/>
        <family val="2"/>
        <scheme val="minor"/>
      </rPr>
      <t>VFA,DM</t>
    </r>
  </si>
  <si>
    <r>
      <t>fraction of S</t>
    </r>
    <r>
      <rPr>
        <vertAlign val="subscript"/>
        <sz val="11"/>
        <rFont val="Calibri"/>
        <family val="2"/>
        <scheme val="minor"/>
      </rPr>
      <t>VFA</t>
    </r>
    <r>
      <rPr>
        <sz val="11"/>
        <rFont val="Calibri"/>
        <family val="2"/>
        <scheme val="minor"/>
      </rPr>
      <t xml:space="preserve"> not volatilized in Dry Matter analysis</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</si>
  <si>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</si>
  <si>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</si>
  <si>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</si>
  <si>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</si>
  <si>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</si>
  <si>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</si>
  <si>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</si>
  <si>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</si>
  <si>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P,BIO</t>
    </r>
  </si>
  <si>
    <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P,BIO</t>
    </r>
  </si>
  <si>
    <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</si>
  <si>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</si>
  <si>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K</t>
    </r>
    <r>
      <rPr>
        <vertAlign val="subscript"/>
        <sz val="11"/>
        <rFont val="Calibri"/>
        <family val="2"/>
        <scheme val="minor"/>
      </rPr>
      <t>Mg,BIO,AS</t>
    </r>
  </si>
  <si>
    <t>Half-saturation of Mg for biomasses (AS)</t>
  </si>
  <si>
    <r>
      <t>K</t>
    </r>
    <r>
      <rPr>
        <vertAlign val="subscript"/>
        <sz val="11"/>
        <rFont val="Calibri"/>
        <family val="2"/>
        <scheme val="minor"/>
      </rPr>
      <t>Ca,BIO,AS</t>
    </r>
  </si>
  <si>
    <t>Half-saturation of Ca for biomasses (AS)</t>
  </si>
  <si>
    <r>
      <t>K</t>
    </r>
    <r>
      <rPr>
        <vertAlign val="subscript"/>
        <sz val="11"/>
        <rFont val="Calibri"/>
        <family val="2"/>
        <scheme val="minor"/>
      </rPr>
      <t>Mg,BIO</t>
    </r>
  </si>
  <si>
    <t>Half-saturation of Mg for biomasses</t>
  </si>
  <si>
    <r>
      <t>K</t>
    </r>
    <r>
      <rPr>
        <vertAlign val="subscript"/>
        <sz val="11"/>
        <rFont val="Calibri"/>
        <family val="2"/>
        <scheme val="minor"/>
      </rPr>
      <t>Mg,BIO,AS</t>
    </r>
    <r>
      <rPr>
        <sz val="11"/>
        <rFont val="Calibri"/>
        <family val="2"/>
        <scheme val="minor"/>
      </rPr>
      <t>*f</t>
    </r>
    <r>
      <rPr>
        <vertAlign val="subscript"/>
        <sz val="11"/>
        <rFont val="Calibri"/>
        <family val="2"/>
        <scheme val="minor"/>
      </rPr>
      <t>KS</t>
    </r>
  </si>
  <si>
    <r>
      <t>K</t>
    </r>
    <r>
      <rPr>
        <vertAlign val="subscript"/>
        <sz val="11"/>
        <rFont val="Calibri"/>
        <family val="2"/>
        <scheme val="minor"/>
      </rPr>
      <t>Ca,BIO</t>
    </r>
  </si>
  <si>
    <t>Half-saturation of Ca for biomasses</t>
  </si>
  <si>
    <r>
      <t>K</t>
    </r>
    <r>
      <rPr>
        <vertAlign val="subscript"/>
        <sz val="11"/>
        <rFont val="Calibri"/>
        <family val="2"/>
        <scheme val="minor"/>
      </rPr>
      <t>Ca,BIO,AS</t>
    </r>
    <r>
      <rPr>
        <sz val="11"/>
        <rFont val="Calibri"/>
        <family val="2"/>
        <scheme val="minor"/>
      </rPr>
      <t>*f</t>
    </r>
    <r>
      <rPr>
        <vertAlign val="subscript"/>
        <sz val="11"/>
        <rFont val="Calibri"/>
        <family val="2"/>
        <scheme val="minor"/>
      </rPr>
      <t>KS</t>
    </r>
  </si>
  <si>
    <r>
      <t>Msat</t>
    </r>
    <r>
      <rPr>
        <vertAlign val="subscript"/>
        <sz val="11"/>
        <rFont val="Calibri"/>
        <family val="2"/>
        <scheme val="minor"/>
      </rPr>
      <t>SCa,KCa</t>
    </r>
  </si>
  <si>
    <t>Saturation term for Ca for BIO</t>
  </si>
  <si>
    <r>
      <t>Msat(S</t>
    </r>
    <r>
      <rPr>
        <vertAlign val="subscript"/>
        <sz val="11"/>
        <rFont val="Calibri"/>
        <family val="2"/>
        <scheme val="minor"/>
      </rPr>
      <t>Ca</t>
    </r>
    <r>
      <rPr>
        <sz val="11"/>
        <rFont val="Calibri"/>
        <family val="2"/>
        <scheme val="minor"/>
      </rPr>
      <t>;K</t>
    </r>
    <r>
      <rPr>
        <vertAlign val="subscript"/>
        <sz val="11"/>
        <rFont val="Calibri"/>
        <family val="2"/>
        <scheme val="minor"/>
      </rPr>
      <t>Ca,BIO</t>
    </r>
    <r>
      <rPr>
        <sz val="11"/>
        <rFont val="Calibri"/>
        <family val="2"/>
        <scheme val="minor"/>
      </rPr>
      <t>)</t>
    </r>
  </si>
  <si>
    <r>
      <t>Msat</t>
    </r>
    <r>
      <rPr>
        <vertAlign val="subscript"/>
        <sz val="11"/>
        <rFont val="Calibri"/>
        <family val="2"/>
        <scheme val="minor"/>
      </rPr>
      <t>SMg,KMg</t>
    </r>
  </si>
  <si>
    <t>Saturation term for Mg for BIO</t>
  </si>
  <si>
    <r>
      <t>Msat(S</t>
    </r>
    <r>
      <rPr>
        <vertAlign val="subscript"/>
        <sz val="11"/>
        <rFont val="Calibri"/>
        <family val="2"/>
        <scheme val="minor"/>
      </rPr>
      <t>Mg</t>
    </r>
    <r>
      <rPr>
        <sz val="11"/>
        <rFont val="Calibri"/>
        <family val="2"/>
        <scheme val="minor"/>
      </rPr>
      <t>;K</t>
    </r>
    <r>
      <rPr>
        <vertAlign val="subscript"/>
        <sz val="11"/>
        <rFont val="Calibri"/>
        <family val="2"/>
        <scheme val="minor"/>
      </rPr>
      <t>Mg,BIO</t>
    </r>
    <r>
      <rPr>
        <sz val="11"/>
        <rFont val="Calibri"/>
        <family val="2"/>
        <scheme val="minor"/>
      </rPr>
      <t>)</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</si>
  <si>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</si>
  <si>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</si>
  <si>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*Logsat</t>
    </r>
    <r>
      <rPr>
        <vertAlign val="subscript"/>
        <sz val="11"/>
        <rFont val="Calibri"/>
        <family val="2"/>
      </rPr>
      <t>SVFA,KVFA,FERM</t>
    </r>
    <r>
      <rPr>
        <sz val="11"/>
        <rFont val="Calibri"/>
        <family val="2"/>
      </rPr>
      <t>*Msat</t>
    </r>
    <r>
      <rPr>
        <vertAlign val="subscript"/>
        <sz val="11"/>
        <rFont val="Calibri"/>
        <family val="2"/>
      </rPr>
      <t>SB,KSB,ana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</si>
  <si>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*Loginh</t>
    </r>
    <r>
      <rPr>
        <vertAlign val="subscript"/>
        <sz val="11"/>
        <rFont val="Calibri"/>
        <family val="2"/>
      </rPr>
      <t>SVFA,KVFA,FERM</t>
    </r>
    <r>
      <rPr>
        <sz val="11"/>
        <rFont val="Calibri"/>
        <family val="2"/>
      </rPr>
      <t>*Msat</t>
    </r>
    <r>
      <rPr>
        <vertAlign val="subscript"/>
        <sz val="11"/>
        <rFont val="Calibri"/>
        <family val="2"/>
      </rPr>
      <t>SB,KSB,ana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SCO2,KCO2,BIO</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</si>
  <si>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SMEOL,KMEOL,OHO</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</si>
  <si>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</si>
  <si>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SNO3,KNO3,MEOLO</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</si>
  <si>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NOB,T</t>
    </r>
    <r>
      <rPr>
        <sz val="11"/>
        <rFont val="Calibri"/>
        <family val="2"/>
      </rPr>
      <t>*X</t>
    </r>
    <r>
      <rPr>
        <vertAlign val="subscript"/>
        <sz val="11"/>
        <rFont val="Calibri"/>
        <family val="2"/>
      </rPr>
      <t>NOB</t>
    </r>
    <r>
      <rPr>
        <sz val="11"/>
        <rFont val="Calibri"/>
        <family val="2"/>
      </rPr>
      <t>*Msat</t>
    </r>
    <r>
      <rPr>
        <vertAlign val="subscript"/>
        <sz val="11"/>
        <rFont val="Calibri"/>
        <family val="2"/>
      </rPr>
      <t>SNO2,KNO2,NOB</t>
    </r>
    <r>
      <rPr>
        <sz val="11"/>
        <rFont val="Calibri"/>
        <family val="2"/>
      </rPr>
      <t>*LogsatpH</t>
    </r>
    <r>
      <rPr>
        <vertAlign val="subscript"/>
        <sz val="11"/>
        <rFont val="Calibri"/>
        <family val="2"/>
      </rPr>
      <t>CO2,NOB</t>
    </r>
    <r>
      <rPr>
        <sz val="11"/>
        <rFont val="Calibri"/>
        <family val="2"/>
      </rPr>
      <t>*Msat</t>
    </r>
    <r>
      <rPr>
        <vertAlign val="subscript"/>
        <sz val="11"/>
        <rFont val="Calibri"/>
        <family val="2"/>
      </rPr>
      <t>SO2,KO2,NOB</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*MinhpH</t>
    </r>
    <r>
      <rPr>
        <vertAlign val="subscript"/>
        <sz val="11"/>
        <rFont val="Calibri"/>
        <family val="2"/>
      </rPr>
      <t>NH3,NOB</t>
    </r>
    <r>
      <rPr>
        <sz val="11"/>
        <rFont val="Calibri"/>
        <family val="2"/>
      </rPr>
      <t>*Bellinh</t>
    </r>
    <r>
      <rPr>
        <vertAlign val="subscript"/>
        <sz val="11"/>
        <rFont val="Calibri"/>
        <family val="2"/>
      </rPr>
      <t>pH</t>
    </r>
  </si>
  <si>
    <r>
      <t>µ</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*Msat</t>
    </r>
    <r>
      <rPr>
        <vertAlign val="subscript"/>
        <sz val="11"/>
        <color indexed="8"/>
        <rFont val="Calibri"/>
        <family val="2"/>
        <charset val="238"/>
      </rPr>
      <t>SNHx,KNHx,AMX</t>
    </r>
    <r>
      <rPr>
        <sz val="11"/>
        <color indexed="8"/>
        <rFont val="Calibri"/>
        <family val="2"/>
      </rPr>
      <t>*Msat</t>
    </r>
    <r>
      <rPr>
        <vertAlign val="subscript"/>
        <sz val="11"/>
        <color indexed="8"/>
        <rFont val="Calibri"/>
        <family val="2"/>
        <charset val="238"/>
      </rPr>
      <t>SNO2,KNO2,AMX</t>
    </r>
    <r>
      <rPr>
        <sz val="11"/>
        <color indexed="8"/>
        <rFont val="Calibri"/>
        <family val="2"/>
      </rPr>
      <t>*Minh</t>
    </r>
    <r>
      <rPr>
        <vertAlign val="subscript"/>
        <sz val="11"/>
        <color indexed="8"/>
        <rFont val="Calibri"/>
        <family val="2"/>
        <charset val="238"/>
      </rPr>
      <t>SO2,KiO2,AMX</t>
    </r>
    <r>
      <rPr>
        <sz val="11"/>
        <color indexed="8"/>
        <rFont val="Calibri"/>
        <family val="2"/>
      </rPr>
      <t>*LogsatpH</t>
    </r>
    <r>
      <rPr>
        <vertAlign val="subscript"/>
        <sz val="11"/>
        <color indexed="8"/>
        <rFont val="Calibri"/>
        <family val="2"/>
        <charset val="238"/>
      </rPr>
      <t>CO2,AMX</t>
    </r>
    <r>
      <rPr>
        <sz val="11"/>
        <color indexed="8"/>
        <rFont val="Calibri"/>
        <family val="2"/>
      </rPr>
      <t>*Msat</t>
    </r>
    <r>
      <rPr>
        <vertAlign val="subscript"/>
        <sz val="11"/>
        <color indexed="8"/>
        <rFont val="Calibri"/>
        <family val="2"/>
        <charset val="238"/>
      </rPr>
      <t>SPO4,KPO4,BIO</t>
    </r>
    <r>
      <rPr>
        <sz val="11"/>
        <color indexed="8"/>
        <rFont val="Calibri"/>
        <family val="2"/>
      </rPr>
      <t>*Msat</t>
    </r>
    <r>
      <rPr>
        <vertAlign val="subscript"/>
        <sz val="11"/>
        <color indexed="8"/>
        <rFont val="Calibri"/>
        <family val="2"/>
        <charset val="238"/>
      </rPr>
      <t>SCAT,KCAT</t>
    </r>
    <r>
      <rPr>
        <sz val="11"/>
        <color indexed="8"/>
        <rFont val="Calibri"/>
        <family val="2"/>
      </rPr>
      <t>*Msat</t>
    </r>
    <r>
      <rPr>
        <vertAlign val="subscript"/>
        <sz val="11"/>
        <color indexed="8"/>
        <rFont val="Calibri"/>
        <family val="2"/>
        <charset val="238"/>
      </rPr>
      <t>SAN,KAN</t>
    </r>
    <r>
      <rPr>
        <sz val="11"/>
        <color rgb="FF000000"/>
        <rFont val="Calibri"/>
        <family val="2"/>
      </rPr>
      <t>*Msat</t>
    </r>
    <r>
      <rPr>
        <vertAlign val="subscript"/>
        <sz val="11"/>
        <color indexed="8"/>
        <rFont val="Calibri"/>
        <family val="2"/>
        <charset val="238"/>
      </rPr>
      <t>SCa,KCa</t>
    </r>
    <r>
      <rPr>
        <sz val="11"/>
        <color rgb="FF000000"/>
        <rFont val="Calibri"/>
        <family val="2"/>
      </rPr>
      <t>*Msat</t>
    </r>
    <r>
      <rPr>
        <vertAlign val="subscript"/>
        <sz val="11"/>
        <color indexed="8"/>
        <rFont val="Calibri"/>
        <family val="2"/>
        <charset val="238"/>
      </rPr>
      <t>SMg,KMg</t>
    </r>
    <r>
      <rPr>
        <sz val="11"/>
        <color indexed="8"/>
        <rFont val="Calibri"/>
        <family val="2"/>
      </rPr>
      <t>*Bellinh</t>
    </r>
    <r>
      <rPr>
        <vertAlign val="subscript"/>
        <sz val="11"/>
        <color indexed="8"/>
        <rFont val="Calibri"/>
        <family val="2"/>
        <charset val="238"/>
      </rPr>
      <t>pH</t>
    </r>
    <r>
      <rPr>
        <sz val="11"/>
        <color indexed="8"/>
        <rFont val="Calibri"/>
        <family val="2"/>
      </rPr>
      <t>*MinhpH</t>
    </r>
    <r>
      <rPr>
        <vertAlign val="subscript"/>
        <sz val="11"/>
        <color indexed="8"/>
        <rFont val="Calibri"/>
        <family val="2"/>
        <charset val="238"/>
      </rPr>
      <t>HNO2,AMX</t>
    </r>
  </si>
  <si>
    <r>
      <t>µ</t>
    </r>
    <r>
      <rPr>
        <vertAlign val="subscript"/>
        <sz val="11"/>
        <rFont val="Calibri"/>
        <family val="2"/>
      </rPr>
      <t>HMETO,T</t>
    </r>
    <r>
      <rPr>
        <sz val="11"/>
        <rFont val="Calibri"/>
        <family val="2"/>
      </rPr>
      <t>*X</t>
    </r>
    <r>
      <rPr>
        <vertAlign val="subscript"/>
        <sz val="11"/>
        <rFont val="Calibri"/>
        <family val="2"/>
      </rPr>
      <t>HMETO</t>
    </r>
    <r>
      <rPr>
        <sz val="11"/>
        <rFont val="Calibri"/>
        <family val="2"/>
      </rPr>
      <t>*Msat</t>
    </r>
    <r>
      <rPr>
        <vertAlign val="subscript"/>
        <sz val="11"/>
        <rFont val="Calibri"/>
        <family val="2"/>
      </rPr>
      <t>SCO2,KCO2,BIO</t>
    </r>
    <r>
      <rPr>
        <sz val="11"/>
        <rFont val="Calibri"/>
        <family val="2"/>
      </rPr>
      <t>*Msat</t>
    </r>
    <r>
      <rPr>
        <vertAlign val="subscript"/>
        <sz val="11"/>
        <rFont val="Calibri"/>
        <family val="2"/>
      </rPr>
      <t>SH2,KH2,HMETO</t>
    </r>
    <r>
      <rPr>
        <sz val="11"/>
        <rFont val="Calibri"/>
        <family val="2"/>
      </rPr>
      <t>*Minh</t>
    </r>
    <r>
      <rPr>
        <vertAlign val="subscript"/>
        <sz val="11"/>
        <rFont val="Calibri"/>
        <family val="2"/>
      </rPr>
      <t>SO2,KiO2,HMETO</t>
    </r>
    <r>
      <rPr>
        <sz val="11"/>
        <rFont val="Calibri"/>
        <family val="2"/>
      </rPr>
      <t>*Minh</t>
    </r>
    <r>
      <rPr>
        <vertAlign val="subscript"/>
        <sz val="11"/>
        <rFont val="Calibri"/>
        <family val="2"/>
      </rPr>
      <t>SNOx,KNO3,HMETO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pH,HMETO</t>
    </r>
  </si>
  <si>
    <r>
      <t>error</t>
    </r>
    <r>
      <rPr>
        <vertAlign val="subscript"/>
        <sz val="11"/>
        <rFont val="Calibri"/>
        <family val="2"/>
        <charset val="238"/>
        <scheme val="minor"/>
      </rPr>
      <t>NHx,NOx</t>
    </r>
  </si>
  <si>
    <r>
      <t>N</t>
    </r>
    <r>
      <rPr>
        <sz val="11"/>
        <rFont val="Calibri"/>
        <family val="2"/>
        <charset val="238"/>
        <scheme val="minor"/>
      </rPr>
      <t>H</t>
    </r>
    <r>
      <rPr>
        <vertAlign val="subscript"/>
        <sz val="11"/>
        <rFont val="Calibri"/>
        <family val="2"/>
        <charset val="238"/>
        <scheme val="minor"/>
      </rPr>
      <t>x</t>
    </r>
    <r>
      <rPr>
        <sz val="11"/>
        <rFont val="Calibri"/>
        <family val="2"/>
        <charset val="238"/>
        <scheme val="minor"/>
      </rPr>
      <t>-NO</t>
    </r>
    <r>
      <rPr>
        <vertAlign val="subscript"/>
        <sz val="11"/>
        <rFont val="Calibri"/>
        <family val="2"/>
        <charset val="238"/>
        <scheme val="minor"/>
      </rPr>
      <t>x</t>
    </r>
    <r>
      <rPr>
        <sz val="11"/>
        <rFont val="Calibri"/>
        <family val="2"/>
        <scheme val="minor"/>
      </rPr>
      <t xml:space="preserve"> error</t>
    </r>
  </si>
  <si>
    <r>
      <t>S</t>
    </r>
    <r>
      <rPr>
        <vertAlign val="subscript"/>
        <sz val="11"/>
        <rFont val="Calibri"/>
        <family val="2"/>
        <charset val="238"/>
        <scheme val="minor"/>
      </rPr>
      <t>NHx</t>
    </r>
    <r>
      <rPr>
        <sz val="11"/>
        <rFont val="Calibri"/>
        <family val="2"/>
        <scheme val="minor"/>
      </rPr>
      <t xml:space="preserve"> - S</t>
    </r>
    <r>
      <rPr>
        <vertAlign val="subscript"/>
        <sz val="11"/>
        <rFont val="Calibri"/>
        <family val="2"/>
        <charset val="238"/>
        <scheme val="minor"/>
      </rPr>
      <t>NOx</t>
    </r>
  </si>
  <si>
    <r>
      <t>g TS.m</t>
    </r>
    <r>
      <rPr>
        <vertAlign val="superscript"/>
        <sz val="11"/>
        <rFont val="Calibri"/>
        <family val="2"/>
        <scheme val="minor"/>
      </rPr>
      <t>-3</t>
    </r>
  </si>
  <si>
    <t>sum of the charges of Ca, Mg and K content of PP…</t>
  </si>
  <si>
    <t>...should be equal to 1…</t>
  </si>
  <si>
    <t>...e.g.: 2*0.1 + 2*0.35 + 1*0.1=1</t>
  </si>
  <si>
    <r>
      <t>g VSS.g TSS</t>
    </r>
    <r>
      <rPr>
        <vertAlign val="superscript"/>
        <sz val="11"/>
        <rFont val="Calibri"/>
        <family val="2"/>
        <charset val="238"/>
        <scheme val="minor"/>
      </rPr>
      <t>-1</t>
    </r>
  </si>
  <si>
    <r>
      <t>S</t>
    </r>
    <r>
      <rPr>
        <vertAlign val="subscript"/>
        <sz val="11"/>
        <rFont val="Calibri"/>
        <family val="2"/>
        <scheme val="minor"/>
      </rPr>
      <t>ALK,calc</t>
    </r>
  </si>
  <si>
    <t>Alkalinity</t>
  </si>
  <si>
    <t>Reference gas composition percentages</t>
  </si>
  <si>
    <t>Input gas</t>
  </si>
  <si>
    <t>Offgas with aeration</t>
  </si>
  <si>
    <t>Offgas without aeration</t>
  </si>
  <si>
    <t>Biogas</t>
  </si>
  <si>
    <r>
      <t>G</t>
    </r>
    <r>
      <rPr>
        <vertAlign val="subscript"/>
        <sz val="11"/>
        <rFont val="Calibri"/>
        <family val="2"/>
      </rPr>
      <t>CO2</t>
    </r>
  </si>
  <si>
    <r>
      <t>Carbon dioxide gas (CO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</si>
  <si>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CH4</t>
    </r>
  </si>
  <si>
    <r>
      <t>Methane gas (CH</t>
    </r>
    <r>
      <rPr>
        <vertAlign val="subscript"/>
        <sz val="11"/>
        <rFont val="Calibri"/>
        <family val="2"/>
      </rPr>
      <t>4</t>
    </r>
    <r>
      <rPr>
        <sz val="11"/>
        <rFont val="Calibri"/>
        <family val="2"/>
      </rPr>
      <t>)</t>
    </r>
    <r>
      <rPr>
        <sz val="11"/>
        <rFont val="Calibri"/>
        <family val="2"/>
        <scheme val="minor"/>
      </rPr>
      <t xml:space="preserve"> reference percentage</t>
    </r>
  </si>
  <si>
    <r>
      <t>G</t>
    </r>
    <r>
      <rPr>
        <vertAlign val="subscript"/>
        <sz val="11"/>
        <rFont val="Calibri"/>
        <family val="2"/>
      </rPr>
      <t>H2</t>
    </r>
  </si>
  <si>
    <r>
      <t>Hydrogen gas (H</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</si>
  <si>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O2</t>
    </r>
  </si>
  <si>
    <r>
      <t>Oxygen gas (O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</si>
  <si>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NH3</t>
    </r>
  </si>
  <si>
    <r>
      <t>Ammonia gas (NH</t>
    </r>
    <r>
      <rPr>
        <vertAlign val="subscript"/>
        <sz val="11"/>
        <rFont val="Calibri"/>
        <family val="2"/>
      </rPr>
      <t>3</t>
    </r>
    <r>
      <rPr>
        <sz val="11"/>
        <rFont val="Calibri"/>
        <family val="2"/>
      </rPr>
      <t>)</t>
    </r>
    <r>
      <rPr>
        <sz val="11"/>
        <rFont val="Calibri"/>
        <family val="2"/>
        <scheme val="minor"/>
      </rPr>
      <t xml:space="preserve"> reference percentage</t>
    </r>
  </si>
  <si>
    <r>
      <t>G</t>
    </r>
    <r>
      <rPr>
        <vertAlign val="subscript"/>
        <sz val="11"/>
        <rFont val="Calibri"/>
        <family val="2"/>
      </rPr>
      <t>N2</t>
    </r>
  </si>
  <si>
    <r>
      <t>Nitrogen gas (N</t>
    </r>
    <r>
      <rPr>
        <vertAlign val="subscript"/>
        <sz val="11"/>
        <rFont val="Calibri"/>
        <family val="2"/>
      </rPr>
      <t>2</t>
    </r>
    <r>
      <rPr>
        <sz val="11"/>
        <rFont val="Calibri"/>
        <family val="2"/>
      </rPr>
      <t>)</t>
    </r>
    <r>
      <rPr>
        <sz val="11"/>
        <rFont val="Calibri"/>
        <family val="2"/>
        <scheme val="minor"/>
      </rPr>
      <t xml:space="preserve"> reference percentage</t>
    </r>
  </si>
  <si>
    <t>High purity oxygen</t>
  </si>
  <si>
    <t>g N.m-3</t>
  </si>
  <si>
    <r>
      <t>S</t>
    </r>
    <r>
      <rPr>
        <b/>
        <vertAlign val="subscript"/>
        <sz val="11"/>
        <rFont val="Calibri"/>
        <family val="2"/>
        <scheme val="minor"/>
      </rPr>
      <t>N2O</t>
    </r>
  </si>
  <si>
    <r>
      <t>G</t>
    </r>
    <r>
      <rPr>
        <b/>
        <vertAlign val="subscript"/>
        <sz val="11"/>
        <rFont val="Calibri"/>
        <family val="2"/>
      </rPr>
      <t>NO</t>
    </r>
  </si>
  <si>
    <r>
      <t>G</t>
    </r>
    <r>
      <rPr>
        <b/>
        <vertAlign val="subscript"/>
        <sz val="11"/>
        <rFont val="Calibri"/>
        <family val="2"/>
      </rPr>
      <t>N2O</t>
    </r>
  </si>
  <si>
    <r>
      <t>Nitrous oxide gas (N</t>
    </r>
    <r>
      <rPr>
        <vertAlign val="subscript"/>
        <sz val="11"/>
        <rFont val="Calibri"/>
        <family val="2"/>
      </rPr>
      <t>2</t>
    </r>
    <r>
      <rPr>
        <sz val="11"/>
        <rFont val="Calibri"/>
        <family val="2"/>
      </rPr>
      <t>O)</t>
    </r>
  </si>
  <si>
    <t>Nitric oxide gas (NO)</t>
  </si>
  <si>
    <r>
      <t>G</t>
    </r>
    <r>
      <rPr>
        <b/>
        <vertAlign val="subscript"/>
        <sz val="11"/>
        <rFont val="Calibri"/>
        <family val="2"/>
      </rPr>
      <t>NO,atm</t>
    </r>
  </si>
  <si>
    <r>
      <t>G</t>
    </r>
    <r>
      <rPr>
        <b/>
        <vertAlign val="subscript"/>
        <sz val="11"/>
        <rFont val="Calibri"/>
        <family val="2"/>
      </rPr>
      <t>N2O,atm</t>
    </r>
  </si>
  <si>
    <r>
      <t>-EEQ</t>
    </r>
    <r>
      <rPr>
        <vertAlign val="subscript"/>
        <sz val="11"/>
        <color indexed="8"/>
        <rFont val="Calibri"/>
        <family val="2"/>
      </rPr>
      <t>NO</t>
    </r>
  </si>
  <si>
    <r>
      <t>-EEQ</t>
    </r>
    <r>
      <rPr>
        <vertAlign val="subscript"/>
        <sz val="11"/>
        <color indexed="8"/>
        <rFont val="Calibri"/>
        <family val="2"/>
      </rPr>
      <t>N2O</t>
    </r>
  </si>
  <si>
    <r>
      <t>-EEQ</t>
    </r>
    <r>
      <rPr>
        <vertAlign val="subscript"/>
        <sz val="11"/>
        <rFont val="Calibri"/>
        <family val="2"/>
      </rPr>
      <t>NO</t>
    </r>
  </si>
  <si>
    <r>
      <t>-EEQ</t>
    </r>
    <r>
      <rPr>
        <vertAlign val="subscript"/>
        <sz val="11"/>
        <rFont val="Calibri"/>
        <family val="2"/>
      </rPr>
      <t>N2</t>
    </r>
    <r>
      <rPr>
        <vertAlign val="subscript"/>
        <sz val="11"/>
        <rFont val="Calibri"/>
        <family val="2"/>
        <scheme val="minor"/>
      </rPr>
      <t>O</t>
    </r>
  </si>
  <si>
    <r>
      <t>-EEQ</t>
    </r>
    <r>
      <rPr>
        <vertAlign val="subscript"/>
        <sz val="11"/>
        <rFont val="Calibri"/>
        <family val="2"/>
      </rPr>
      <t>N2</t>
    </r>
    <r>
      <rPr>
        <vertAlign val="subscript"/>
        <sz val="11"/>
        <rFont val="Calibri"/>
        <family val="2"/>
        <scheme val="minor"/>
      </rPr>
      <t>O</t>
    </r>
    <r>
      <rPr>
        <sz val="11"/>
        <rFont val="Calibri"/>
        <family val="2"/>
        <scheme val="minor"/>
      </rPr>
      <t>/Δ</t>
    </r>
    <r>
      <rPr>
        <vertAlign val="subscript"/>
        <sz val="11"/>
        <rFont val="Calibri"/>
        <family val="2"/>
        <scheme val="minor"/>
      </rPr>
      <t>atm</t>
    </r>
  </si>
  <si>
    <r>
      <t>1/Δ</t>
    </r>
    <r>
      <rPr>
        <vertAlign val="subscript"/>
        <sz val="11"/>
        <rFont val="Calibri"/>
        <family val="2"/>
        <scheme val="minor"/>
      </rPr>
      <t>atm</t>
    </r>
  </si>
  <si>
    <r>
      <t>-EEQ</t>
    </r>
    <r>
      <rPr>
        <vertAlign val="subscript"/>
        <sz val="11"/>
        <rFont val="Calibri"/>
        <family val="2"/>
      </rPr>
      <t>N</t>
    </r>
    <r>
      <rPr>
        <vertAlign val="subscript"/>
        <sz val="11"/>
        <rFont val="Calibri"/>
        <family val="2"/>
        <scheme val="minor"/>
      </rPr>
      <t>O</t>
    </r>
    <r>
      <rPr>
        <sz val="11"/>
        <rFont val="Calibri"/>
        <family val="2"/>
        <scheme val="minor"/>
      </rPr>
      <t>/Δ</t>
    </r>
    <r>
      <rPr>
        <vertAlign val="subscript"/>
        <sz val="11"/>
        <rFont val="Calibri"/>
        <family val="2"/>
        <scheme val="minor"/>
      </rPr>
      <t>atm</t>
    </r>
  </si>
  <si>
    <t>Nitric oxide gas transfer - bubbles</t>
  </si>
  <si>
    <t>Nitrous oxide gas transfer - bubbles</t>
  </si>
  <si>
    <t>Nitric oxide gas transfer - surface</t>
  </si>
  <si>
    <t>Nitrous oxide gas transfer - surface</t>
  </si>
  <si>
    <r>
      <t>Nitrous oxide (N</t>
    </r>
    <r>
      <rPr>
        <vertAlign val="subscript"/>
        <sz val="11"/>
        <rFont val="Calibri"/>
        <family val="2"/>
      </rPr>
      <t>2</t>
    </r>
    <r>
      <rPr>
        <sz val="11"/>
        <rFont val="Calibri"/>
        <family val="2"/>
      </rPr>
      <t>O)</t>
    </r>
  </si>
  <si>
    <t>r95</t>
  </si>
  <si>
    <t>r96</t>
  </si>
  <si>
    <t>r97</t>
  </si>
  <si>
    <t>r98</t>
  </si>
  <si>
    <t>r99</t>
  </si>
  <si>
    <t>r100</t>
  </si>
  <si>
    <t>r101</t>
  </si>
  <si>
    <t>r102</t>
  </si>
  <si>
    <r>
      <t>OHO growth on VFAs, NO</t>
    </r>
    <r>
      <rPr>
        <vertAlign val="subscript"/>
        <sz val="11"/>
        <color rgb="FF000000"/>
        <rFont val="Calibri"/>
        <family val="2"/>
        <scheme val="minor"/>
      </rPr>
      <t>3</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</si>
  <si>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2</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</si>
  <si>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3</t>
    </r>
  </si>
  <si>
    <r>
      <t>-1/Y</t>
    </r>
    <r>
      <rPr>
        <vertAlign val="subscript"/>
        <sz val="11"/>
        <rFont val="Calibri"/>
        <family val="2"/>
      </rPr>
      <t>OHO,VFA,anox</t>
    </r>
  </si>
  <si>
    <r>
      <t>-1/Y</t>
    </r>
    <r>
      <rPr>
        <vertAlign val="subscript"/>
        <sz val="11"/>
        <rFont val="Calibri"/>
        <family val="2"/>
      </rPr>
      <t>OHO,SB,anox</t>
    </r>
  </si>
  <si>
    <r>
      <t>-(1-Y</t>
    </r>
    <r>
      <rPr>
        <vertAlign val="subscript"/>
        <sz val="11"/>
        <rFont val="Calibri"/>
        <family val="2"/>
      </rPr>
      <t>OHO,VFA,anox</t>
    </r>
    <r>
      <rPr>
        <sz val="11"/>
        <rFont val="Calibri"/>
        <family val="2"/>
      </rPr>
      <t>)/(EEQ</t>
    </r>
    <r>
      <rPr>
        <vertAlign val="subscript"/>
        <sz val="11"/>
        <rFont val="Calibri"/>
        <family val="2"/>
      </rPr>
      <t>NO2,NO3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</si>
  <si>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NO2,NO3</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</si>
  <si>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NO2,NO3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</si>
  <si>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NO2,NO3</t>
    </r>
    <r>
      <rPr>
        <sz val="11"/>
        <rFont val="Calibri"/>
        <family val="2"/>
      </rPr>
      <t>*Y</t>
    </r>
    <r>
      <rPr>
        <vertAlign val="subscript"/>
        <sz val="11"/>
        <rFont val="Calibri"/>
        <family val="2"/>
      </rPr>
      <t>OHO,SB,anox</t>
    </r>
    <r>
      <rPr>
        <sz val="11"/>
        <rFont val="Calibri"/>
        <family val="2"/>
      </rPr>
      <t>)</t>
    </r>
  </si>
  <si>
    <r>
      <t>i</t>
    </r>
    <r>
      <rPr>
        <vertAlign val="subscript"/>
        <sz val="11"/>
        <rFont val="Calibri"/>
        <family val="2"/>
      </rPr>
      <t>CIT,VFA</t>
    </r>
    <r>
      <rPr>
        <sz val="11"/>
        <rFont val="Calibri"/>
        <family val="2"/>
      </rPr>
      <t>/Y</t>
    </r>
    <r>
      <rPr>
        <vertAlign val="subscript"/>
        <sz val="11"/>
        <rFont val="Calibri"/>
        <family val="2"/>
      </rPr>
      <t>OHO,VFA,anox</t>
    </r>
    <r>
      <rPr>
        <sz val="11"/>
        <rFont val="Calibri"/>
        <family val="2"/>
      </rPr>
      <t>-i</t>
    </r>
    <r>
      <rPr>
        <vertAlign val="subscript"/>
        <sz val="11"/>
        <rFont val="Calibri"/>
        <family val="2"/>
      </rPr>
      <t>CIT,BIO</t>
    </r>
  </si>
  <si>
    <r>
      <t>i</t>
    </r>
    <r>
      <rPr>
        <vertAlign val="subscript"/>
        <sz val="11"/>
        <rFont val="Calibri"/>
        <family val="2"/>
      </rPr>
      <t>CIT,SB</t>
    </r>
    <r>
      <rPr>
        <sz val="11"/>
        <rFont val="Calibri"/>
        <family val="2"/>
      </rPr>
      <t>/Y</t>
    </r>
    <r>
      <rPr>
        <vertAlign val="subscript"/>
        <sz val="11"/>
        <rFont val="Calibri"/>
        <family val="2"/>
      </rPr>
      <t>OHO,SB,anox</t>
    </r>
    <r>
      <rPr>
        <sz val="11"/>
        <rFont val="Calibri"/>
        <family val="2"/>
      </rPr>
      <t>-i</t>
    </r>
    <r>
      <rPr>
        <vertAlign val="subscript"/>
        <sz val="11"/>
        <rFont val="Calibri"/>
        <family val="2"/>
      </rPr>
      <t>CIT,BIO</t>
    </r>
  </si>
  <si>
    <r>
      <t>Y</t>
    </r>
    <r>
      <rPr>
        <vertAlign val="subscript"/>
        <sz val="11"/>
        <rFont val="Calibri"/>
        <family val="2"/>
        <scheme val="minor"/>
      </rPr>
      <t>OHO,VFA,anox</t>
    </r>
  </si>
  <si>
    <t>Yield of OHOs on VFA under anoxic conditions</t>
  </si>
  <si>
    <r>
      <t>Y</t>
    </r>
    <r>
      <rPr>
        <vertAlign val="subscript"/>
        <sz val="11"/>
        <rFont val="Calibri"/>
        <family val="2"/>
        <scheme val="minor"/>
      </rPr>
      <t>OHO,SB,anox</t>
    </r>
  </si>
  <si>
    <t>Yield of OHOs on readily biodegradable substrate under anoxic conditions</t>
  </si>
  <si>
    <r>
      <t>g.m</t>
    </r>
    <r>
      <rPr>
        <vertAlign val="superscript"/>
        <sz val="11"/>
        <rFont val="Calibri"/>
        <family val="2"/>
      </rPr>
      <t>-3</t>
    </r>
    <r>
      <rPr>
        <sz val="11"/>
        <rFont val="Calibri"/>
        <family val="2"/>
      </rPr>
      <t>.d</t>
    </r>
    <r>
      <rPr>
        <vertAlign val="superscript"/>
        <sz val="11"/>
        <rFont val="Calibri"/>
        <family val="2"/>
      </rPr>
      <t>-1</t>
    </r>
    <r>
      <rPr>
        <sz val="11"/>
        <color theme="1"/>
        <rFont val="Calibri"/>
        <family val="2"/>
        <scheme val="minor"/>
      </rPr>
      <t/>
    </r>
  </si>
  <si>
    <r>
      <t>T</t>
    </r>
    <r>
      <rPr>
        <vertAlign val="subscript"/>
        <sz val="11"/>
        <rFont val="Calibri"/>
        <family val="2"/>
        <scheme val="minor"/>
      </rPr>
      <t>COD</t>
    </r>
    <r>
      <rPr>
        <sz val="11"/>
        <rFont val="Calibri"/>
        <family val="2"/>
        <scheme val="minor"/>
      </rPr>
      <t xml:space="preserve"> + S</t>
    </r>
    <r>
      <rPr>
        <vertAlign val="subscript"/>
        <sz val="11"/>
        <rFont val="Calibri"/>
        <family val="2"/>
        <scheme val="minor"/>
      </rPr>
      <t>H2</t>
    </r>
    <r>
      <rPr>
        <sz val="11"/>
        <rFont val="Calibri"/>
        <family val="2"/>
        <scheme val="minor"/>
      </rPr>
      <t xml:space="preserve"> + S</t>
    </r>
    <r>
      <rPr>
        <vertAlign val="subscript"/>
        <sz val="11"/>
        <rFont val="Calibri"/>
        <family val="2"/>
        <scheme val="minor"/>
      </rPr>
      <t>CH4</t>
    </r>
    <r>
      <rPr>
        <sz val="11"/>
        <rFont val="Calibri"/>
        <family val="2"/>
        <scheme val="minor"/>
      </rPr>
      <t xml:space="preserve">  + EEQ</t>
    </r>
    <r>
      <rPr>
        <vertAlign val="subscript"/>
        <sz val="11"/>
        <rFont val="Calibri"/>
        <family val="2"/>
        <scheme val="minor"/>
      </rPr>
      <t>Fe2</t>
    </r>
    <r>
      <rPr>
        <sz val="11"/>
        <rFont val="Calibri"/>
        <family val="2"/>
        <scheme val="minor"/>
      </rPr>
      <t>*S</t>
    </r>
    <r>
      <rPr>
        <vertAlign val="subscript"/>
        <sz val="11"/>
        <rFont val="Calibri"/>
        <family val="2"/>
        <scheme val="minor"/>
      </rPr>
      <t>Fe2</t>
    </r>
    <r>
      <rPr>
        <sz val="11"/>
        <rFont val="Calibri"/>
        <family val="2"/>
        <scheme val="minor"/>
      </rPr>
      <t xml:space="preserve"> + (3*AM</t>
    </r>
    <r>
      <rPr>
        <vertAlign val="subscript"/>
        <sz val="11"/>
        <rFont val="Calibri"/>
        <family val="2"/>
        <scheme val="minor"/>
      </rPr>
      <t>Fe</t>
    </r>
    <r>
      <rPr>
        <sz val="11"/>
        <rFont val="Calibri"/>
        <family val="2"/>
        <scheme val="minor"/>
      </rPr>
      <t>/MM</t>
    </r>
    <r>
      <rPr>
        <vertAlign val="subscript"/>
        <sz val="11"/>
        <rFont val="Calibri"/>
        <family val="2"/>
        <scheme val="minor"/>
      </rPr>
      <t>Vivi</t>
    </r>
    <r>
      <rPr>
        <sz val="11"/>
        <rFont val="Calibri"/>
        <family val="2"/>
        <scheme val="minor"/>
      </rPr>
      <t>*EEQ</t>
    </r>
    <r>
      <rPr>
        <vertAlign val="subscript"/>
        <sz val="11"/>
        <rFont val="Calibri"/>
        <family val="2"/>
        <scheme val="minor"/>
      </rPr>
      <t>Fe2</t>
    </r>
    <r>
      <rPr>
        <sz val="11"/>
        <rFont val="Calibri"/>
        <family val="2"/>
        <scheme val="minor"/>
      </rPr>
      <t>)*X</t>
    </r>
    <r>
      <rPr>
        <vertAlign val="subscript"/>
        <sz val="11"/>
        <rFont val="Calibri"/>
        <family val="2"/>
        <scheme val="minor"/>
      </rPr>
      <t>Vivi</t>
    </r>
    <r>
      <rPr>
        <sz val="11"/>
        <rFont val="Calibri"/>
        <family val="2"/>
        <scheme val="minor"/>
      </rPr>
      <t xml:space="preserve"> - EEQ</t>
    </r>
    <r>
      <rPr>
        <vertAlign val="subscript"/>
        <sz val="11"/>
        <rFont val="Calibri"/>
        <family val="2"/>
        <scheme val="minor"/>
      </rPr>
      <t>NO3</t>
    </r>
    <r>
      <rPr>
        <sz val="11"/>
        <rFont val="Calibri"/>
        <family val="2"/>
        <scheme val="minor"/>
      </rPr>
      <t>*S</t>
    </r>
    <r>
      <rPr>
        <vertAlign val="subscript"/>
        <sz val="11"/>
        <rFont val="Calibri"/>
        <family val="2"/>
        <scheme val="minor"/>
      </rPr>
      <t>NO3</t>
    </r>
    <r>
      <rPr>
        <sz val="11"/>
        <rFont val="Calibri"/>
        <family val="2"/>
        <scheme val="minor"/>
      </rPr>
      <t xml:space="preserve"> - EEQ</t>
    </r>
    <r>
      <rPr>
        <vertAlign val="subscript"/>
        <sz val="11"/>
        <rFont val="Calibri"/>
        <family val="2"/>
        <scheme val="minor"/>
      </rPr>
      <t>NO2</t>
    </r>
    <r>
      <rPr>
        <sz val="11"/>
        <rFont val="Calibri"/>
        <family val="2"/>
        <scheme val="minor"/>
      </rPr>
      <t>*S</t>
    </r>
    <r>
      <rPr>
        <vertAlign val="subscript"/>
        <sz val="11"/>
        <rFont val="Calibri"/>
        <family val="2"/>
        <scheme val="minor"/>
      </rPr>
      <t>NO2</t>
    </r>
    <r>
      <rPr>
        <sz val="11"/>
        <rFont val="Calibri"/>
        <family val="2"/>
        <scheme val="minor"/>
      </rPr>
      <t xml:space="preserve"> - EEQ</t>
    </r>
    <r>
      <rPr>
        <vertAlign val="subscript"/>
        <sz val="11"/>
        <rFont val="Calibri"/>
        <family val="2"/>
        <scheme val="minor"/>
      </rPr>
      <t>NO</t>
    </r>
    <r>
      <rPr>
        <sz val="11"/>
        <rFont val="Calibri"/>
        <family val="2"/>
        <scheme val="minor"/>
      </rPr>
      <t>*S</t>
    </r>
    <r>
      <rPr>
        <vertAlign val="subscript"/>
        <sz val="11"/>
        <rFont val="Calibri"/>
        <family val="2"/>
        <scheme val="minor"/>
      </rPr>
      <t>NO</t>
    </r>
    <r>
      <rPr>
        <sz val="11"/>
        <rFont val="Calibri"/>
        <family val="2"/>
        <scheme val="minor"/>
      </rPr>
      <t>- EEQ</t>
    </r>
    <r>
      <rPr>
        <vertAlign val="subscript"/>
        <sz val="11"/>
        <rFont val="Calibri"/>
        <family val="2"/>
        <scheme val="minor"/>
      </rPr>
      <t>N2O</t>
    </r>
    <r>
      <rPr>
        <sz val="11"/>
        <rFont val="Calibri"/>
        <family val="2"/>
        <scheme val="minor"/>
      </rPr>
      <t>*S</t>
    </r>
    <r>
      <rPr>
        <vertAlign val="subscript"/>
        <sz val="11"/>
        <rFont val="Calibri"/>
        <family val="2"/>
        <scheme val="minor"/>
      </rPr>
      <t>N2O</t>
    </r>
    <r>
      <rPr>
        <sz val="11"/>
        <rFont val="Calibri"/>
        <family val="2"/>
        <scheme val="minor"/>
      </rPr>
      <t>- EEQ</t>
    </r>
    <r>
      <rPr>
        <vertAlign val="subscript"/>
        <sz val="11"/>
        <rFont val="Calibri"/>
        <family val="2"/>
        <scheme val="minor"/>
      </rPr>
      <t>N2</t>
    </r>
    <r>
      <rPr>
        <sz val="11"/>
        <rFont val="Calibri"/>
        <family val="2"/>
        <scheme val="minor"/>
      </rPr>
      <t>*S</t>
    </r>
    <r>
      <rPr>
        <vertAlign val="subscript"/>
        <sz val="11"/>
        <rFont val="Calibri"/>
        <family val="2"/>
        <scheme val="minor"/>
      </rPr>
      <t>N2</t>
    </r>
    <r>
      <rPr>
        <sz val="11"/>
        <rFont val="Calibri"/>
        <family val="2"/>
        <scheme val="minor"/>
      </rPr>
      <t xml:space="preserve"> - S</t>
    </r>
    <r>
      <rPr>
        <vertAlign val="subscript"/>
        <sz val="11"/>
        <rFont val="Calibri"/>
        <family val="2"/>
        <scheme val="minor"/>
      </rPr>
      <t>O2</t>
    </r>
  </si>
  <si>
    <r>
      <t>f</t>
    </r>
    <r>
      <rPr>
        <vertAlign val="subscript"/>
        <sz val="11"/>
        <rFont val="Calibri"/>
        <family val="2"/>
        <scheme val="minor"/>
      </rPr>
      <t>kL,GNO</t>
    </r>
    <r>
      <rPr>
        <sz val="11"/>
        <rFont val="Calibri"/>
        <family val="2"/>
        <scheme val="minor"/>
      </rPr>
      <t>*(D</t>
    </r>
    <r>
      <rPr>
        <vertAlign val="subscript"/>
        <sz val="11"/>
        <rFont val="Calibri"/>
        <family val="2"/>
        <charset val="238"/>
        <scheme val="minor"/>
      </rPr>
      <t>G</t>
    </r>
    <r>
      <rPr>
        <vertAlign val="subscript"/>
        <sz val="11"/>
        <rFont val="Calibri"/>
        <family val="2"/>
        <scheme val="minor"/>
      </rPr>
      <t>NO,25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</si>
  <si>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kL,GN2O</t>
    </r>
    <r>
      <rPr>
        <sz val="11"/>
        <rFont val="Calibri"/>
        <family val="2"/>
        <scheme val="minor"/>
      </rPr>
      <t>*(D</t>
    </r>
    <r>
      <rPr>
        <vertAlign val="subscript"/>
        <sz val="11"/>
        <rFont val="Calibri"/>
        <family val="2"/>
        <charset val="238"/>
        <scheme val="minor"/>
      </rPr>
      <t>G</t>
    </r>
    <r>
      <rPr>
        <vertAlign val="subscript"/>
        <sz val="11"/>
        <rFont val="Calibri"/>
        <family val="2"/>
        <scheme val="minor"/>
      </rPr>
      <t>N2O,25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</si>
  <si>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Mass transfer coefficient of N</t>
    </r>
    <r>
      <rPr>
        <vertAlign val="subscript"/>
        <sz val="11"/>
        <rFont val="Calibri"/>
        <family val="2"/>
        <scheme val="minor"/>
      </rPr>
      <t>2</t>
    </r>
    <r>
      <rPr>
        <sz val="11"/>
        <rFont val="Calibri"/>
        <family val="2"/>
        <scheme val="minor"/>
      </rPr>
      <t>O for gas bubbles</t>
    </r>
  </si>
  <si>
    <t>Mass transfer coefficient of NO for gas bubbles</t>
  </si>
  <si>
    <t>Mass transfer coefficient of NO at liquid surface</t>
  </si>
  <si>
    <r>
      <t>Mass transfer coefficient of N</t>
    </r>
    <r>
      <rPr>
        <vertAlign val="subscript"/>
        <sz val="11"/>
        <rFont val="Calibri"/>
        <family val="2"/>
        <scheme val="minor"/>
      </rPr>
      <t>2</t>
    </r>
    <r>
      <rPr>
        <sz val="11"/>
        <rFont val="Calibri"/>
        <family val="2"/>
        <scheme val="minor"/>
      </rPr>
      <t>O at liquid surface</t>
    </r>
  </si>
  <si>
    <r>
      <t>f</t>
    </r>
    <r>
      <rPr>
        <vertAlign val="subscript"/>
        <sz val="11"/>
        <rFont val="Calibri"/>
        <family val="2"/>
        <scheme val="minor"/>
      </rPr>
      <t>kL,GN2O</t>
    </r>
    <r>
      <rPr>
        <sz val="11"/>
        <rFont val="Calibri"/>
        <family val="2"/>
        <scheme val="minor"/>
      </rPr>
      <t>*(D</t>
    </r>
    <r>
      <rPr>
        <vertAlign val="subscript"/>
        <sz val="11"/>
        <rFont val="Calibri"/>
        <family val="2"/>
        <charset val="238"/>
        <scheme val="minor"/>
      </rPr>
      <t>G</t>
    </r>
    <r>
      <rPr>
        <vertAlign val="subscript"/>
        <sz val="11"/>
        <rFont val="Calibri"/>
        <family val="2"/>
        <scheme val="minor"/>
      </rPr>
      <t>N2O,25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</si>
  <si>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kL,GNO</t>
    </r>
    <r>
      <rPr>
        <sz val="11"/>
        <rFont val="Calibri"/>
        <family val="2"/>
        <scheme val="minor"/>
      </rPr>
      <t>*(D</t>
    </r>
    <r>
      <rPr>
        <vertAlign val="subscript"/>
        <sz val="11"/>
        <rFont val="Calibri"/>
        <family val="2"/>
        <charset val="238"/>
        <scheme val="minor"/>
      </rPr>
      <t>G</t>
    </r>
    <r>
      <rPr>
        <vertAlign val="subscript"/>
        <sz val="11"/>
        <rFont val="Calibri"/>
        <family val="2"/>
        <scheme val="minor"/>
      </rPr>
      <t>NO,25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</si>
  <si>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kL,GN2O</t>
    </r>
  </si>
  <si>
    <r>
      <t>Correction factor for mass transfer of N</t>
    </r>
    <r>
      <rPr>
        <vertAlign val="subscript"/>
        <sz val="11"/>
        <color rgb="FF000000"/>
        <rFont val="Calibri"/>
        <family val="2"/>
        <scheme val="minor"/>
      </rPr>
      <t>2</t>
    </r>
    <r>
      <rPr>
        <sz val="11"/>
        <rFont val="Calibri"/>
        <family val="2"/>
        <scheme val="minor"/>
      </rPr>
      <t>O</t>
    </r>
  </si>
  <si>
    <t>Correction factor for mass transfer of NO</t>
  </si>
  <si>
    <r>
      <t>f</t>
    </r>
    <r>
      <rPr>
        <vertAlign val="subscript"/>
        <sz val="11"/>
        <rFont val="Calibri"/>
        <family val="2"/>
        <scheme val="minor"/>
      </rPr>
      <t>kL,GNO</t>
    </r>
  </si>
  <si>
    <r>
      <t>MM</t>
    </r>
    <r>
      <rPr>
        <vertAlign val="subscript"/>
        <sz val="11"/>
        <rFont val="Calibri"/>
        <family val="2"/>
        <scheme val="minor"/>
      </rPr>
      <t>NO</t>
    </r>
  </si>
  <si>
    <r>
      <t>MM</t>
    </r>
    <r>
      <rPr>
        <vertAlign val="subscript"/>
        <sz val="11"/>
        <rFont val="Calibri"/>
        <family val="2"/>
        <scheme val="minor"/>
      </rPr>
      <t>N2O</t>
    </r>
  </si>
  <si>
    <t>Molar mass of nitric oxide ion</t>
  </si>
  <si>
    <t>Molar mass of nitrous oxide ion</t>
  </si>
  <si>
    <r>
      <t>X</t>
    </r>
    <r>
      <rPr>
        <vertAlign val="subscript"/>
        <sz val="11"/>
        <rFont val="Calibri"/>
        <family val="2"/>
        <scheme val="minor"/>
      </rPr>
      <t>TSS</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+f</t>
    </r>
    <r>
      <rPr>
        <vertAlign val="subscript"/>
        <sz val="11"/>
        <rFont val="Calibri"/>
        <family val="2"/>
        <scheme val="minor"/>
      </rPr>
      <t>VFA,DM</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r>
      <rPr>
        <sz val="11"/>
        <rFont val="Calibri"/>
        <family val="2"/>
        <scheme val="minor"/>
      </rPr>
      <t>+S</t>
    </r>
    <r>
      <rPr>
        <vertAlign val="subscript"/>
        <sz val="11"/>
        <rFont val="Calibri"/>
        <family val="2"/>
        <scheme val="minor"/>
      </rPr>
      <t>NO3</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NO2</t>
    </r>
    <r>
      <rPr>
        <sz val="11"/>
        <rFont val="Calibri"/>
        <family val="2"/>
        <scheme val="minor"/>
      </rPr>
      <t>*MM</t>
    </r>
    <r>
      <rPr>
        <vertAlign val="subscript"/>
        <sz val="11"/>
        <rFont val="Calibri"/>
        <family val="2"/>
        <scheme val="minor"/>
      </rPr>
      <t>NO2</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t>
    </r>
    <r>
      <rPr>
        <sz val="11"/>
        <rFont val="Calibri"/>
        <family val="2"/>
        <scheme val="minor"/>
      </rPr>
      <t>*MM</t>
    </r>
    <r>
      <rPr>
        <vertAlign val="subscript"/>
        <sz val="11"/>
        <rFont val="Calibri"/>
        <family val="2"/>
        <scheme val="minor"/>
      </rPr>
      <t>NO</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N2O</t>
    </r>
    <r>
      <rPr>
        <sz val="11"/>
        <rFont val="Calibri"/>
        <family val="2"/>
        <scheme val="minor"/>
      </rPr>
      <t>*MM</t>
    </r>
    <r>
      <rPr>
        <vertAlign val="subscript"/>
        <sz val="11"/>
        <rFont val="Calibri"/>
        <family val="2"/>
        <scheme val="minor"/>
      </rPr>
      <t>N2O</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PO4</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+S</t>
    </r>
    <r>
      <rPr>
        <vertAlign val="subscript"/>
        <sz val="11"/>
        <rFont val="Calibri"/>
        <family val="2"/>
        <scheme val="minor"/>
      </rPr>
      <t>CAT</t>
    </r>
    <r>
      <rPr>
        <sz val="11"/>
        <rFont val="Calibri"/>
        <family val="2"/>
        <scheme val="minor"/>
      </rPr>
      <t>+S</t>
    </r>
    <r>
      <rPr>
        <vertAlign val="subscript"/>
        <sz val="11"/>
        <rFont val="Calibri"/>
        <family val="2"/>
        <scheme val="minor"/>
      </rPr>
      <t>AN</t>
    </r>
    <r>
      <rPr>
        <sz val="11"/>
        <rFont val="Calibri"/>
        <family val="2"/>
        <scheme val="minor"/>
      </rPr>
      <t>+S</t>
    </r>
    <r>
      <rPr>
        <vertAlign val="subscript"/>
        <sz val="11"/>
        <rFont val="Calibri"/>
        <family val="2"/>
        <scheme val="minor"/>
      </rPr>
      <t>Ca</t>
    </r>
    <r>
      <rPr>
        <sz val="11"/>
        <rFont val="Calibri"/>
        <family val="2"/>
        <scheme val="minor"/>
      </rPr>
      <t>+S</t>
    </r>
    <r>
      <rPr>
        <vertAlign val="subscript"/>
        <sz val="11"/>
        <rFont val="Calibri"/>
        <family val="2"/>
        <scheme val="minor"/>
      </rPr>
      <t>Mg</t>
    </r>
    <r>
      <rPr>
        <sz val="11"/>
        <rFont val="Calibri"/>
        <family val="2"/>
        <scheme val="minor"/>
      </rPr>
      <t>+S</t>
    </r>
    <r>
      <rPr>
        <vertAlign val="subscript"/>
        <sz val="11"/>
        <rFont val="Calibri"/>
        <family val="2"/>
        <scheme val="minor"/>
      </rPr>
      <t>K</t>
    </r>
    <r>
      <rPr>
        <sz val="11"/>
        <rFont val="Calibri"/>
        <family val="2"/>
        <scheme val="minor"/>
      </rPr>
      <t>+S</t>
    </r>
    <r>
      <rPr>
        <vertAlign val="subscript"/>
        <sz val="11"/>
        <rFont val="Calibri"/>
        <family val="2"/>
        <scheme val="minor"/>
      </rPr>
      <t>Fe2</t>
    </r>
  </si>
  <si>
    <r>
      <t>k</t>
    </r>
    <r>
      <rPr>
        <vertAlign val="subscript"/>
        <sz val="11"/>
        <rFont val="Calibri"/>
        <family val="2"/>
      </rPr>
      <t>L</t>
    </r>
    <r>
      <rPr>
        <sz val="11"/>
        <rFont val="Calibri"/>
        <family val="2"/>
      </rPr>
      <t>a</t>
    </r>
    <r>
      <rPr>
        <vertAlign val="subscript"/>
        <sz val="11"/>
        <rFont val="Calibri"/>
        <family val="2"/>
        <charset val="238"/>
      </rPr>
      <t>GN2O</t>
    </r>
    <r>
      <rPr>
        <vertAlign val="subscript"/>
        <sz val="11"/>
        <rFont val="Calibri"/>
        <family val="2"/>
      </rPr>
      <t>,bub</t>
    </r>
  </si>
  <si>
    <t>N2O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</si>
  <si>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GNO</t>
    </r>
    <r>
      <rPr>
        <vertAlign val="subscript"/>
        <sz val="11"/>
        <rFont val="Calibri"/>
        <family val="2"/>
      </rPr>
      <t>,bub</t>
    </r>
  </si>
  <si>
    <t>NO mass transfer coefficient for gas bubbles from PU code</t>
  </si>
  <si>
    <r>
      <t>S</t>
    </r>
    <r>
      <rPr>
        <vertAlign val="subscript"/>
        <sz val="11"/>
        <rFont val="Calibri"/>
        <family val="2"/>
        <charset val="238"/>
      </rPr>
      <t>G</t>
    </r>
    <r>
      <rPr>
        <vertAlign val="subscript"/>
        <sz val="11"/>
        <rFont val="Calibri"/>
        <family val="2"/>
      </rPr>
      <t>N2O,bub,sat</t>
    </r>
  </si>
  <si>
    <t>N2O saturation concentration at gas bubble interface</t>
  </si>
  <si>
    <t>NO saturation concentration at gas bubble interface</t>
  </si>
  <si>
    <r>
      <t>S</t>
    </r>
    <r>
      <rPr>
        <vertAlign val="subscript"/>
        <sz val="11"/>
        <rFont val="Calibri"/>
        <family val="2"/>
        <charset val="238"/>
      </rPr>
      <t>G</t>
    </r>
    <r>
      <rPr>
        <vertAlign val="subscript"/>
        <sz val="11"/>
        <rFont val="Calibri"/>
        <family val="2"/>
      </rPr>
      <t>NO,bub,sat</t>
    </r>
  </si>
  <si>
    <r>
      <t>f(G</t>
    </r>
    <r>
      <rPr>
        <vertAlign val="subscript"/>
        <sz val="11"/>
        <rFont val="Calibri"/>
        <family val="2"/>
      </rPr>
      <t>N2O</t>
    </r>
    <r>
      <rPr>
        <sz val="11"/>
        <rFont val="Calibri"/>
        <family val="2"/>
      </rPr>
      <t>)</t>
    </r>
  </si>
  <si>
    <r>
      <t>f(G</t>
    </r>
    <r>
      <rPr>
        <vertAlign val="subscript"/>
        <sz val="11"/>
        <rFont val="Calibri"/>
        <family val="2"/>
      </rPr>
      <t>NO</t>
    </r>
    <r>
      <rPr>
        <sz val="11"/>
        <rFont val="Calibri"/>
        <family val="2"/>
      </rPr>
      <t>)</t>
    </r>
  </si>
  <si>
    <r>
      <t>k</t>
    </r>
    <r>
      <rPr>
        <vertAlign val="subscript"/>
        <sz val="11"/>
        <rFont val="Calibri"/>
        <family val="2"/>
      </rPr>
      <t>L</t>
    </r>
    <r>
      <rPr>
        <sz val="11"/>
        <rFont val="Calibri"/>
        <family val="2"/>
      </rPr>
      <t>a</t>
    </r>
    <r>
      <rPr>
        <vertAlign val="subscript"/>
        <sz val="11"/>
        <rFont val="Calibri"/>
        <family val="2"/>
        <charset val="238"/>
      </rPr>
      <t>GN2O</t>
    </r>
    <r>
      <rPr>
        <vertAlign val="subscript"/>
        <sz val="11"/>
        <rFont val="Calibri"/>
        <family val="2"/>
      </rPr>
      <t>,sur</t>
    </r>
  </si>
  <si>
    <t>N2O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</si>
  <si>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GNO</t>
    </r>
    <r>
      <rPr>
        <vertAlign val="subscript"/>
        <sz val="11"/>
        <rFont val="Calibri"/>
        <family val="2"/>
      </rPr>
      <t>,sur</t>
    </r>
  </si>
  <si>
    <t>NO mass transfer coefficient at liquid surface from PU code</t>
  </si>
  <si>
    <r>
      <t>S</t>
    </r>
    <r>
      <rPr>
        <vertAlign val="subscript"/>
        <sz val="11"/>
        <rFont val="Calibri"/>
        <family val="2"/>
        <charset val="238"/>
      </rPr>
      <t>G</t>
    </r>
    <r>
      <rPr>
        <vertAlign val="subscript"/>
        <sz val="11"/>
        <rFont val="Calibri"/>
        <family val="2"/>
      </rPr>
      <t>N2O,sur,sat</t>
    </r>
  </si>
  <si>
    <t>N2O saturation concentration at atmospheric interface</t>
  </si>
  <si>
    <r>
      <t>S</t>
    </r>
    <r>
      <rPr>
        <vertAlign val="subscript"/>
        <sz val="11"/>
        <rFont val="Calibri"/>
        <family val="2"/>
        <charset val="238"/>
      </rPr>
      <t>G</t>
    </r>
    <r>
      <rPr>
        <vertAlign val="subscript"/>
        <sz val="11"/>
        <rFont val="Calibri"/>
        <family val="2"/>
      </rPr>
      <t>NO,sur,sat</t>
    </r>
  </si>
  <si>
    <t>NO saturation concentration at atmospheric interface</t>
  </si>
  <si>
    <r>
      <t>f(G</t>
    </r>
    <r>
      <rPr>
        <vertAlign val="subscript"/>
        <sz val="11"/>
        <rFont val="Calibri"/>
        <family val="2"/>
      </rPr>
      <t>N2O,atm</t>
    </r>
    <r>
      <rPr>
        <sz val="11"/>
        <rFont val="Calibri"/>
        <family val="2"/>
      </rPr>
      <t>)</t>
    </r>
  </si>
  <si>
    <r>
      <t>f(G</t>
    </r>
    <r>
      <rPr>
        <vertAlign val="subscript"/>
        <sz val="11"/>
        <rFont val="Calibri"/>
        <family val="2"/>
      </rPr>
      <t>NO,atm</t>
    </r>
    <r>
      <rPr>
        <sz val="11"/>
        <rFont val="Calibri"/>
        <family val="2"/>
      </rPr>
      <t>)</t>
    </r>
  </si>
  <si>
    <r>
      <t>G</t>
    </r>
    <r>
      <rPr>
        <vertAlign val="subscript"/>
        <sz val="11"/>
        <rFont val="Calibri"/>
        <family val="2"/>
      </rPr>
      <t>N2O</t>
    </r>
  </si>
  <si>
    <r>
      <t>G</t>
    </r>
    <r>
      <rPr>
        <vertAlign val="subscript"/>
        <sz val="11"/>
        <rFont val="Calibri"/>
        <family val="2"/>
      </rPr>
      <t>NO</t>
    </r>
  </si>
  <si>
    <r>
      <t>Nitrous oxide gas (N</t>
    </r>
    <r>
      <rPr>
        <vertAlign val="subscript"/>
        <sz val="11"/>
        <rFont val="Calibri"/>
        <family val="2"/>
      </rPr>
      <t>2</t>
    </r>
    <r>
      <rPr>
        <sz val="11"/>
        <rFont val="Calibri"/>
        <family val="2"/>
      </rPr>
      <t>O)</t>
    </r>
    <r>
      <rPr>
        <sz val="11"/>
        <rFont val="Calibri"/>
        <family val="2"/>
        <scheme val="minor"/>
      </rPr>
      <t xml:space="preserve"> reference percentage</t>
    </r>
  </si>
  <si>
    <r>
      <t>Nitric oxide gas (NO</t>
    </r>
    <r>
      <rPr>
        <sz val="11"/>
        <rFont val="Calibri"/>
        <family val="2"/>
      </rPr>
      <t>)</t>
    </r>
    <r>
      <rPr>
        <sz val="11"/>
        <rFont val="Calibri"/>
        <family val="2"/>
        <scheme val="minor"/>
      </rPr>
      <t xml:space="preserve"> reference percentage</t>
    </r>
  </si>
  <si>
    <r>
      <t>k</t>
    </r>
    <r>
      <rPr>
        <vertAlign val="subscript"/>
        <sz val="11"/>
        <rFont val="Calibri"/>
        <family val="2"/>
        <scheme val="minor"/>
      </rPr>
      <t>L,GN2O,bub</t>
    </r>
  </si>
  <si>
    <r>
      <t>k</t>
    </r>
    <r>
      <rPr>
        <vertAlign val="subscript"/>
        <sz val="11"/>
        <rFont val="Calibri"/>
        <family val="2"/>
        <scheme val="minor"/>
      </rPr>
      <t>L,GNO,bub</t>
    </r>
  </si>
  <si>
    <r>
      <t>k</t>
    </r>
    <r>
      <rPr>
        <vertAlign val="subscript"/>
        <sz val="11"/>
        <rFont val="Calibri"/>
        <family val="2"/>
        <scheme val="minor"/>
      </rPr>
      <t>L,GN2O,sur</t>
    </r>
  </si>
  <si>
    <r>
      <t>k</t>
    </r>
    <r>
      <rPr>
        <vertAlign val="subscript"/>
        <sz val="11"/>
        <rFont val="Calibri"/>
        <family val="2"/>
        <scheme val="minor"/>
      </rPr>
      <t>L,GNO,sur</t>
    </r>
  </si>
  <si>
    <r>
      <t>k</t>
    </r>
    <r>
      <rPr>
        <vertAlign val="subscript"/>
        <sz val="11"/>
        <rFont val="Calibri"/>
        <family val="2"/>
        <scheme val="minor"/>
      </rPr>
      <t>L</t>
    </r>
    <r>
      <rPr>
        <sz val="11"/>
        <rFont val="Calibri"/>
        <family val="2"/>
        <scheme val="minor"/>
      </rPr>
      <t>a</t>
    </r>
    <r>
      <rPr>
        <vertAlign val="subscript"/>
        <sz val="11"/>
        <rFont val="Calibri"/>
        <family val="2"/>
        <scheme val="minor"/>
      </rPr>
      <t>GNO,sur</t>
    </r>
    <r>
      <rPr>
        <sz val="11"/>
        <rFont val="Calibri"/>
        <family val="2"/>
        <scheme val="minor"/>
      </rPr>
      <t>*(S</t>
    </r>
    <r>
      <rPr>
        <vertAlign val="subscript"/>
        <sz val="11"/>
        <rFont val="Calibri"/>
        <family val="2"/>
        <scheme val="minor"/>
      </rPr>
      <t>GNO,sur,sat</t>
    </r>
    <r>
      <rPr>
        <sz val="11"/>
        <rFont val="Calibri"/>
        <family val="2"/>
        <scheme val="minor"/>
      </rPr>
      <t xml:space="preserve"> - S</t>
    </r>
    <r>
      <rPr>
        <vertAlign val="subscript"/>
        <sz val="11"/>
        <rFont val="Calibri"/>
        <family val="2"/>
        <scheme val="minor"/>
      </rPr>
      <t>NO</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</si>
  <si>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scheme val="minor"/>
      </rPr>
      <t>GN2O,sur</t>
    </r>
    <r>
      <rPr>
        <sz val="11"/>
        <rFont val="Calibri"/>
        <family val="2"/>
        <scheme val="minor"/>
      </rPr>
      <t>*(S</t>
    </r>
    <r>
      <rPr>
        <vertAlign val="subscript"/>
        <sz val="11"/>
        <rFont val="Calibri"/>
        <family val="2"/>
        <scheme val="minor"/>
      </rPr>
      <t>GN2O,sur,sat</t>
    </r>
    <r>
      <rPr>
        <sz val="11"/>
        <rFont val="Calibri"/>
        <family val="2"/>
        <scheme val="minor"/>
      </rPr>
      <t xml:space="preserve"> - S</t>
    </r>
    <r>
      <rPr>
        <vertAlign val="subscript"/>
        <sz val="11"/>
        <rFont val="Calibri"/>
        <family val="2"/>
        <scheme val="minor"/>
      </rPr>
      <t>N2O</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</si>
  <si>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scheme val="minor"/>
      </rPr>
      <t>GNO,bub</t>
    </r>
    <r>
      <rPr>
        <sz val="11"/>
        <rFont val="Calibri"/>
        <family val="2"/>
        <scheme val="minor"/>
      </rPr>
      <t>*(S</t>
    </r>
    <r>
      <rPr>
        <vertAlign val="subscript"/>
        <sz val="11"/>
        <rFont val="Calibri"/>
        <family val="2"/>
        <scheme val="minor"/>
      </rPr>
      <t>GNO,bub,sat</t>
    </r>
    <r>
      <rPr>
        <sz val="11"/>
        <rFont val="Calibri"/>
        <family val="2"/>
        <scheme val="minor"/>
      </rPr>
      <t xml:space="preserve"> - S</t>
    </r>
    <r>
      <rPr>
        <vertAlign val="subscript"/>
        <sz val="11"/>
        <rFont val="Calibri"/>
        <family val="2"/>
        <scheme val="minor"/>
      </rPr>
      <t>NO</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</si>
  <si>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scheme val="minor"/>
      </rPr>
      <t>GN2O,bub</t>
    </r>
    <r>
      <rPr>
        <sz val="11"/>
        <rFont val="Calibri"/>
        <family val="2"/>
        <scheme val="minor"/>
      </rPr>
      <t>*(S</t>
    </r>
    <r>
      <rPr>
        <vertAlign val="subscript"/>
        <sz val="11"/>
        <rFont val="Calibri"/>
        <family val="2"/>
        <scheme val="minor"/>
      </rPr>
      <t>GN2O,bub,sat</t>
    </r>
    <r>
      <rPr>
        <sz val="11"/>
        <rFont val="Calibri"/>
        <family val="2"/>
        <scheme val="minor"/>
      </rPr>
      <t xml:space="preserve"> - S</t>
    </r>
    <r>
      <rPr>
        <vertAlign val="subscript"/>
        <sz val="11"/>
        <rFont val="Calibri"/>
        <family val="2"/>
        <scheme val="minor"/>
      </rPr>
      <t>N2O</t>
    </r>
    <r>
      <rPr>
        <sz val="11"/>
        <rFont val="Calibri"/>
        <family val="2"/>
        <scheme val="minor"/>
      </rPr>
      <t>)</t>
    </r>
  </si>
  <si>
    <r>
      <t>OHO growth on S</t>
    </r>
    <r>
      <rPr>
        <vertAlign val="subscript"/>
        <sz val="11"/>
        <color rgb="FF000000"/>
        <rFont val="Calibri"/>
        <family val="2"/>
        <scheme val="minor"/>
      </rPr>
      <t>B</t>
    </r>
    <r>
      <rPr>
        <sz val="11"/>
        <color rgb="FF000000"/>
        <rFont val="Calibri"/>
        <family val="2"/>
        <charset val="238"/>
        <scheme val="minor"/>
      </rPr>
      <t>, NO</t>
    </r>
  </si>
  <si>
    <r>
      <t>OHO growth on S</t>
    </r>
    <r>
      <rPr>
        <vertAlign val="subscript"/>
        <sz val="11"/>
        <color rgb="FF000000"/>
        <rFont val="Calibri"/>
        <family val="2"/>
        <scheme val="minor"/>
      </rPr>
      <t>B</t>
    </r>
    <r>
      <rPr>
        <sz val="11"/>
        <color rgb="FF000000"/>
        <rFont val="Calibri"/>
        <family val="2"/>
        <charset val="238"/>
        <scheme val="minor"/>
      </rPr>
      <t>, N</t>
    </r>
    <r>
      <rPr>
        <vertAlign val="subscript"/>
        <sz val="11"/>
        <color rgb="FF000000"/>
        <rFont val="Calibri"/>
        <family val="2"/>
        <scheme val="minor"/>
      </rPr>
      <t>2</t>
    </r>
    <r>
      <rPr>
        <sz val="11"/>
        <color rgb="FF000000"/>
        <rFont val="Calibri"/>
        <family val="2"/>
        <charset val="238"/>
        <scheme val="minor"/>
      </rPr>
      <t>O</t>
    </r>
  </si>
  <si>
    <r>
      <t>-(1-Y</t>
    </r>
    <r>
      <rPr>
        <vertAlign val="subscript"/>
        <sz val="11"/>
        <rFont val="Calibri"/>
        <family val="2"/>
      </rPr>
      <t>OHO,SB,anox</t>
    </r>
    <r>
      <rPr>
        <sz val="11"/>
        <rFont val="Calibri"/>
        <family val="2"/>
      </rPr>
      <t>)/(EEQ</t>
    </r>
    <r>
      <rPr>
        <vertAlign val="subscript"/>
        <sz val="11"/>
        <rFont val="Calibri"/>
        <family val="2"/>
      </rPr>
      <t>NO,NO2</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</si>
  <si>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NO,NO2</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</si>
  <si>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N2O,NO</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</si>
  <si>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N2O,NO</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</si>
  <si>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N2,N2O</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</si>
  <si>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N2,N2O</t>
    </r>
    <r>
      <rPr>
        <sz val="11"/>
        <rFont val="Calibri"/>
        <family val="2"/>
      </rPr>
      <t>*Y</t>
    </r>
    <r>
      <rPr>
        <vertAlign val="subscript"/>
        <sz val="11"/>
        <rFont val="Calibri"/>
        <family val="2"/>
      </rPr>
      <t>OHO,SB,anox</t>
    </r>
    <r>
      <rPr>
        <sz val="11"/>
        <rFont val="Calibri"/>
        <family val="2"/>
      </rPr>
      <t>)</t>
    </r>
  </si>
  <si>
    <t>Hiatt and Grady, 2008 (ηOHO,anox=0.6 in Sumo2)</t>
  </si>
  <si>
    <r>
      <t>η</t>
    </r>
    <r>
      <rPr>
        <vertAlign val="subscript"/>
        <sz val="11"/>
        <rFont val="Calibri"/>
        <family val="2"/>
        <scheme val="minor"/>
      </rPr>
      <t>OHO,NO3</t>
    </r>
  </si>
  <si>
    <r>
      <t>Reduction factor for anoxic growth of OHOs on NO</t>
    </r>
    <r>
      <rPr>
        <vertAlign val="subscript"/>
        <sz val="11"/>
        <rFont val="Calibri"/>
        <family val="2"/>
        <scheme val="minor"/>
      </rPr>
      <t>3</t>
    </r>
  </si>
  <si>
    <r>
      <t>Reduction factor for anoxic growth of OHOs on NO</t>
    </r>
    <r>
      <rPr>
        <vertAlign val="subscript"/>
        <sz val="11"/>
        <rFont val="Calibri"/>
        <family val="2"/>
        <scheme val="minor"/>
      </rPr>
      <t>2</t>
    </r>
  </si>
  <si>
    <r>
      <t>η</t>
    </r>
    <r>
      <rPr>
        <vertAlign val="subscript"/>
        <sz val="11"/>
        <rFont val="Calibri"/>
        <family val="2"/>
        <scheme val="minor"/>
      </rPr>
      <t>OHO,NO2</t>
    </r>
  </si>
  <si>
    <r>
      <t>η</t>
    </r>
    <r>
      <rPr>
        <vertAlign val="subscript"/>
        <sz val="11"/>
        <rFont val="Calibri"/>
        <family val="2"/>
        <scheme val="minor"/>
      </rPr>
      <t>OHO,NO</t>
    </r>
  </si>
  <si>
    <t>Reduction factor for anoxic growth of OHOs on NO</t>
  </si>
  <si>
    <r>
      <t>η</t>
    </r>
    <r>
      <rPr>
        <vertAlign val="subscript"/>
        <sz val="11"/>
        <rFont val="Calibri"/>
        <family val="2"/>
        <scheme val="minor"/>
      </rPr>
      <t>OHO,N2O</t>
    </r>
  </si>
  <si>
    <t>Reduction factor for anoxic growth of OHOs on N2O</t>
  </si>
  <si>
    <r>
      <t>K</t>
    </r>
    <r>
      <rPr>
        <vertAlign val="subscript"/>
        <sz val="11"/>
        <rFont val="Calibri"/>
        <family val="2"/>
        <scheme val="minor"/>
      </rPr>
      <t>SB,NO3,AS</t>
    </r>
  </si>
  <si>
    <r>
      <t>Half-saturation of readily biodegradable substrate for OHOs on NO</t>
    </r>
    <r>
      <rPr>
        <vertAlign val="subscript"/>
        <sz val="11"/>
        <rFont val="Calibri"/>
        <family val="2"/>
        <scheme val="minor"/>
      </rPr>
      <t>3</t>
    </r>
    <r>
      <rPr>
        <sz val="11"/>
        <rFont val="Calibri"/>
        <family val="2"/>
        <scheme val="minor"/>
      </rPr>
      <t xml:space="preserve"> (AS)</t>
    </r>
  </si>
  <si>
    <r>
      <t>K</t>
    </r>
    <r>
      <rPr>
        <vertAlign val="subscript"/>
        <sz val="11"/>
        <rFont val="Calibri"/>
        <family val="2"/>
        <scheme val="minor"/>
      </rPr>
      <t>SB,NO2,AS</t>
    </r>
  </si>
  <si>
    <r>
      <t>Half-saturation of readily biodegradable substrate for OHOs on NO</t>
    </r>
    <r>
      <rPr>
        <vertAlign val="subscript"/>
        <sz val="11"/>
        <rFont val="Calibri"/>
        <family val="2"/>
        <scheme val="minor"/>
      </rPr>
      <t>2</t>
    </r>
    <r>
      <rPr>
        <sz val="11"/>
        <rFont val="Calibri"/>
        <family val="2"/>
        <scheme val="minor"/>
      </rPr>
      <t xml:space="preserve"> (AS)</t>
    </r>
  </si>
  <si>
    <r>
      <t>K</t>
    </r>
    <r>
      <rPr>
        <vertAlign val="subscript"/>
        <sz val="11"/>
        <rFont val="Calibri"/>
        <family val="2"/>
        <scheme val="minor"/>
      </rPr>
      <t>SB,NO,AS</t>
    </r>
  </si>
  <si>
    <t>Half-saturation of readily biodegradable substrate for OHOs on NO (AS)</t>
  </si>
  <si>
    <r>
      <t>K</t>
    </r>
    <r>
      <rPr>
        <vertAlign val="subscript"/>
        <sz val="11"/>
        <rFont val="Calibri"/>
        <family val="2"/>
        <scheme val="minor"/>
      </rPr>
      <t>SB,N2O,AS</t>
    </r>
  </si>
  <si>
    <t>Half-saturation of readily biodegradable substrate for OHOs on N2O (AS)</t>
  </si>
  <si>
    <t>(=20 g COD.m-3 in Hiatt and Grady, 2008)</t>
  </si>
  <si>
    <r>
      <t>Half-saturation of O</t>
    </r>
    <r>
      <rPr>
        <vertAlign val="subscript"/>
        <sz val="11"/>
        <color rgb="FF000000"/>
        <rFont val="Calibri"/>
        <family val="2"/>
        <scheme val="minor"/>
      </rPr>
      <t>2</t>
    </r>
    <r>
      <rPr>
        <sz val="11"/>
        <color rgb="FF000000"/>
        <rFont val="Calibri"/>
        <family val="2"/>
        <charset val="238"/>
        <scheme val="minor"/>
      </rPr>
      <t xml:space="preserve"> for OHOs on NO</t>
    </r>
    <r>
      <rPr>
        <vertAlign val="subscript"/>
        <sz val="11"/>
        <color rgb="FF000000"/>
        <rFont val="Calibri"/>
        <family val="2"/>
        <scheme val="minor"/>
      </rPr>
      <t>3</t>
    </r>
    <r>
      <rPr>
        <sz val="11"/>
        <color rgb="FF000000"/>
        <rFont val="Calibri"/>
        <family val="2"/>
        <charset val="238"/>
        <scheme val="minor"/>
      </rPr>
      <t xml:space="preserve"> (AS)</t>
    </r>
  </si>
  <si>
    <r>
      <t>Half-saturation of O</t>
    </r>
    <r>
      <rPr>
        <vertAlign val="subscript"/>
        <sz val="11"/>
        <color rgb="FF000000"/>
        <rFont val="Calibri"/>
        <family val="2"/>
        <scheme val="minor"/>
      </rPr>
      <t>2</t>
    </r>
    <r>
      <rPr>
        <sz val="11"/>
        <color rgb="FF000000"/>
        <rFont val="Calibri"/>
        <family val="2"/>
        <charset val="238"/>
        <scheme val="minor"/>
      </rPr>
      <t xml:space="preserve"> for OHOs on NO</t>
    </r>
    <r>
      <rPr>
        <vertAlign val="subscript"/>
        <sz val="11"/>
        <color rgb="FF000000"/>
        <rFont val="Calibri"/>
        <family val="2"/>
        <scheme val="minor"/>
      </rPr>
      <t>2</t>
    </r>
    <r>
      <rPr>
        <sz val="11"/>
        <color rgb="FF000000"/>
        <rFont val="Calibri"/>
        <family val="2"/>
        <charset val="238"/>
        <scheme val="minor"/>
      </rPr>
      <t xml:space="preserve"> (AS)</t>
    </r>
  </si>
  <si>
    <r>
      <t>Half-saturation of O</t>
    </r>
    <r>
      <rPr>
        <vertAlign val="subscript"/>
        <sz val="11"/>
        <color rgb="FF000000"/>
        <rFont val="Calibri"/>
        <family val="2"/>
        <scheme val="minor"/>
      </rPr>
      <t>2</t>
    </r>
    <r>
      <rPr>
        <sz val="11"/>
        <color rgb="FF000000"/>
        <rFont val="Calibri"/>
        <family val="2"/>
        <charset val="238"/>
        <scheme val="minor"/>
      </rPr>
      <t xml:space="preserve"> for OHOs on NO (AS)</t>
    </r>
  </si>
  <si>
    <r>
      <t>K</t>
    </r>
    <r>
      <rPr>
        <vertAlign val="subscript"/>
        <sz val="11"/>
        <rFont val="Calibri"/>
        <family val="2"/>
        <scheme val="minor"/>
      </rPr>
      <t>O2,OHO,N2O,AS</t>
    </r>
  </si>
  <si>
    <r>
      <t>Half-saturation of O</t>
    </r>
    <r>
      <rPr>
        <vertAlign val="subscript"/>
        <sz val="11"/>
        <color rgb="FF000000"/>
        <rFont val="Calibri"/>
        <family val="2"/>
        <scheme val="minor"/>
      </rPr>
      <t>2</t>
    </r>
    <r>
      <rPr>
        <sz val="11"/>
        <color rgb="FF000000"/>
        <rFont val="Calibri"/>
        <family val="2"/>
        <charset val="238"/>
        <scheme val="minor"/>
      </rPr>
      <t xml:space="preserve"> for OHOs on N2O (AS)</t>
    </r>
  </si>
  <si>
    <r>
      <t>K</t>
    </r>
    <r>
      <rPr>
        <vertAlign val="subscript"/>
        <sz val="11"/>
        <rFont val="Calibri"/>
        <family val="2"/>
        <scheme val="minor"/>
      </rPr>
      <t>O2,OHO,NO3,AS</t>
    </r>
  </si>
  <si>
    <r>
      <t>K</t>
    </r>
    <r>
      <rPr>
        <vertAlign val="subscript"/>
        <sz val="11"/>
        <rFont val="Calibri"/>
        <family val="2"/>
        <scheme val="minor"/>
      </rPr>
      <t>O2,OHO,NO2,AS</t>
    </r>
  </si>
  <si>
    <r>
      <t>K</t>
    </r>
    <r>
      <rPr>
        <vertAlign val="subscript"/>
        <sz val="11"/>
        <rFont val="Calibri"/>
        <family val="2"/>
        <scheme val="minor"/>
      </rPr>
      <t>O2,OHO,NO,AS</t>
    </r>
  </si>
  <si>
    <t>(=0.1 g O2.m-3 in Hiatt and Grady, 2008)</t>
  </si>
  <si>
    <t>(=0.1 g N.m-3 in Sumo2)</t>
  </si>
  <si>
    <t>(=0.05 g N.m-3 in Sumo2)</t>
  </si>
  <si>
    <r>
      <t>K</t>
    </r>
    <r>
      <rPr>
        <vertAlign val="subscript"/>
        <sz val="11"/>
        <rFont val="Calibri"/>
        <family val="2"/>
        <scheme val="minor"/>
      </rPr>
      <t>NO,OHO,AS</t>
    </r>
  </si>
  <si>
    <r>
      <t>Half-saturation of NO</t>
    </r>
    <r>
      <rPr>
        <sz val="11"/>
        <color rgb="FF000000"/>
        <rFont val="Calibri"/>
        <family val="2"/>
        <charset val="238"/>
        <scheme val="minor"/>
      </rPr>
      <t xml:space="preserve"> for OHOs (AS)</t>
    </r>
  </si>
  <si>
    <r>
      <t>K</t>
    </r>
    <r>
      <rPr>
        <vertAlign val="subscript"/>
        <sz val="11"/>
        <rFont val="Calibri"/>
        <family val="2"/>
        <scheme val="minor"/>
      </rPr>
      <t>N2O,OHO,AS</t>
    </r>
  </si>
  <si>
    <r>
      <t>Half-saturation of N</t>
    </r>
    <r>
      <rPr>
        <vertAlign val="subscript"/>
        <sz val="11"/>
        <rFont val="Calibri"/>
        <family val="2"/>
        <scheme val="minor"/>
      </rPr>
      <t>2</t>
    </r>
    <r>
      <rPr>
        <sz val="11"/>
        <rFont val="Calibri"/>
        <family val="2"/>
        <scheme val="minor"/>
      </rPr>
      <t>O</t>
    </r>
    <r>
      <rPr>
        <sz val="11"/>
        <color rgb="FF000000"/>
        <rFont val="Calibri"/>
        <family val="2"/>
        <charset val="238"/>
        <scheme val="minor"/>
      </rPr>
      <t xml:space="preserve"> for OHOs (AS)</t>
    </r>
  </si>
  <si>
    <r>
      <t>Half-inhibition of NO</t>
    </r>
    <r>
      <rPr>
        <sz val="11"/>
        <color rgb="FF000000"/>
        <rFont val="Calibri"/>
        <family val="2"/>
        <charset val="238"/>
        <scheme val="minor"/>
      </rPr>
      <t xml:space="preserve"> for OHOs denitrification of NO</t>
    </r>
    <r>
      <rPr>
        <vertAlign val="subscript"/>
        <sz val="11"/>
        <color rgb="FF000000"/>
        <rFont val="Calibri"/>
        <family val="2"/>
        <scheme val="minor"/>
      </rPr>
      <t>2</t>
    </r>
    <r>
      <rPr>
        <sz val="11"/>
        <color rgb="FF000000"/>
        <rFont val="Calibri"/>
        <family val="2"/>
        <charset val="238"/>
        <scheme val="minor"/>
      </rPr>
      <t xml:space="preserve"> (AS)</t>
    </r>
  </si>
  <si>
    <r>
      <t>Ki</t>
    </r>
    <r>
      <rPr>
        <vertAlign val="subscript"/>
        <sz val="11"/>
        <rFont val="Calibri"/>
        <family val="2"/>
        <scheme val="minor"/>
      </rPr>
      <t>NO,OHO,NO2,AS</t>
    </r>
  </si>
  <si>
    <r>
      <t>Ki</t>
    </r>
    <r>
      <rPr>
        <vertAlign val="subscript"/>
        <sz val="11"/>
        <rFont val="Calibri"/>
        <family val="2"/>
        <scheme val="minor"/>
      </rPr>
      <t>NO,OHO,NO,AS</t>
    </r>
  </si>
  <si>
    <r>
      <t>Half-inhibition of NO</t>
    </r>
    <r>
      <rPr>
        <sz val="11"/>
        <color rgb="FF000000"/>
        <rFont val="Calibri"/>
        <family val="2"/>
        <charset val="238"/>
        <scheme val="minor"/>
      </rPr>
      <t xml:space="preserve"> for OHOs denitrification of NO (AS)</t>
    </r>
  </si>
  <si>
    <r>
      <t>Ki</t>
    </r>
    <r>
      <rPr>
        <vertAlign val="subscript"/>
        <sz val="11"/>
        <rFont val="Calibri"/>
        <family val="2"/>
        <scheme val="minor"/>
      </rPr>
      <t>NO,OHO,N2O,AS</t>
    </r>
  </si>
  <si>
    <r>
      <t>Half-inhibition of NO</t>
    </r>
    <r>
      <rPr>
        <sz val="11"/>
        <color rgb="FF000000"/>
        <rFont val="Calibri"/>
        <family val="2"/>
        <charset val="238"/>
        <scheme val="minor"/>
      </rPr>
      <t xml:space="preserve"> for OHOs denitrification of N</t>
    </r>
    <r>
      <rPr>
        <vertAlign val="subscript"/>
        <sz val="11"/>
        <color rgb="FF000000"/>
        <rFont val="Calibri"/>
        <family val="2"/>
        <scheme val="minor"/>
      </rPr>
      <t>2</t>
    </r>
    <r>
      <rPr>
        <sz val="11"/>
        <color rgb="FF000000"/>
        <rFont val="Calibri"/>
        <family val="2"/>
        <charset val="238"/>
        <scheme val="minor"/>
      </rPr>
      <t>O (AS)</t>
    </r>
  </si>
  <si>
    <t>Hiatt and Grady, 2008</t>
  </si>
  <si>
    <r>
      <t>OHO growth on VFAs</t>
    </r>
    <r>
      <rPr>
        <sz val="11"/>
        <color rgb="FF000000"/>
        <rFont val="Calibri"/>
        <family val="2"/>
        <charset val="238"/>
        <scheme val="minor"/>
      </rPr>
      <t>, NO</t>
    </r>
    <r>
      <rPr>
        <vertAlign val="subscript"/>
        <sz val="11"/>
        <color rgb="FF000000"/>
        <rFont val="Calibri"/>
        <family val="2"/>
        <scheme val="minor"/>
      </rPr>
      <t>2</t>
    </r>
  </si>
  <si>
    <r>
      <t>OHO growth on VFAs</t>
    </r>
    <r>
      <rPr>
        <sz val="11"/>
        <color rgb="FF000000"/>
        <rFont val="Calibri"/>
        <family val="2"/>
        <charset val="238"/>
        <scheme val="minor"/>
      </rPr>
      <t>, NO</t>
    </r>
  </si>
  <si>
    <r>
      <t>OHO growth on VFAs</t>
    </r>
    <r>
      <rPr>
        <sz val="11"/>
        <color rgb="FF000000"/>
        <rFont val="Calibri"/>
        <family val="2"/>
        <charset val="238"/>
        <scheme val="minor"/>
      </rPr>
      <t>, N</t>
    </r>
    <r>
      <rPr>
        <vertAlign val="subscript"/>
        <sz val="11"/>
        <color rgb="FF000000"/>
        <rFont val="Calibri"/>
        <family val="2"/>
        <scheme val="minor"/>
      </rPr>
      <t>2</t>
    </r>
    <r>
      <rPr>
        <sz val="11"/>
        <color rgb="FF000000"/>
        <rFont val="Calibri"/>
        <family val="2"/>
        <charset val="238"/>
        <scheme val="minor"/>
      </rPr>
      <t>O</t>
    </r>
  </si>
  <si>
    <r>
      <t>-(1-Y</t>
    </r>
    <r>
      <rPr>
        <vertAlign val="subscript"/>
        <sz val="11"/>
        <rFont val="Calibri"/>
        <family val="2"/>
      </rPr>
      <t>OHO,VFA,anox</t>
    </r>
    <r>
      <rPr>
        <sz val="11"/>
        <rFont val="Calibri"/>
        <family val="2"/>
      </rPr>
      <t>)/(EEQ</t>
    </r>
    <r>
      <rPr>
        <vertAlign val="subscript"/>
        <sz val="11"/>
        <rFont val="Calibri"/>
        <family val="2"/>
      </rPr>
      <t>NO,NO2</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</si>
  <si>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NO,NO2</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</si>
  <si>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N2O,NO</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</si>
  <si>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N2O,NO</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</si>
  <si>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N2,N2O</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</si>
  <si>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N2,N2O</t>
    </r>
    <r>
      <rPr>
        <sz val="11"/>
        <rFont val="Calibri"/>
        <family val="2"/>
      </rPr>
      <t>*Y</t>
    </r>
    <r>
      <rPr>
        <vertAlign val="subscript"/>
        <sz val="11"/>
        <rFont val="Calibri"/>
        <family val="2"/>
      </rPr>
      <t>OHO,VFA,anox</t>
    </r>
    <r>
      <rPr>
        <sz val="11"/>
        <rFont val="Calibri"/>
        <family val="2"/>
      </rPr>
      <t>)</t>
    </r>
  </si>
  <si>
    <r>
      <t>Half-saturation of readily biodegradable substrate for OHOs on NO</t>
    </r>
    <r>
      <rPr>
        <vertAlign val="subscript"/>
        <sz val="11"/>
        <rFont val="Calibri"/>
        <family val="2"/>
        <scheme val="minor"/>
      </rPr>
      <t>3</t>
    </r>
  </si>
  <si>
    <r>
      <t>Half-saturation of readily biodegradable substrate for OHOs on NO</t>
    </r>
    <r>
      <rPr>
        <vertAlign val="subscript"/>
        <sz val="11"/>
        <rFont val="Calibri"/>
        <family val="2"/>
        <scheme val="minor"/>
      </rPr>
      <t>2</t>
    </r>
  </si>
  <si>
    <t>Half-saturation of readily biodegradable substrate for OHOs on NO</t>
  </si>
  <si>
    <t>Half-saturation of readily biodegradable substrate for OHOs on N2O</t>
  </si>
  <si>
    <r>
      <t>K</t>
    </r>
    <r>
      <rPr>
        <vertAlign val="subscript"/>
        <sz val="11"/>
        <rFont val="Calibri"/>
        <family val="2"/>
        <scheme val="minor"/>
      </rPr>
      <t>SB,NO3</t>
    </r>
  </si>
  <si>
    <r>
      <t>K</t>
    </r>
    <r>
      <rPr>
        <vertAlign val="subscript"/>
        <sz val="11"/>
        <rFont val="Calibri"/>
        <family val="2"/>
        <scheme val="minor"/>
      </rPr>
      <t>SB,NO2</t>
    </r>
  </si>
  <si>
    <r>
      <t>K</t>
    </r>
    <r>
      <rPr>
        <vertAlign val="subscript"/>
        <sz val="11"/>
        <rFont val="Calibri"/>
        <family val="2"/>
        <scheme val="minor"/>
      </rPr>
      <t>SB,NO</t>
    </r>
  </si>
  <si>
    <r>
      <t>K</t>
    </r>
    <r>
      <rPr>
        <vertAlign val="subscript"/>
        <sz val="11"/>
        <rFont val="Calibri"/>
        <family val="2"/>
        <scheme val="minor"/>
      </rPr>
      <t>SB,N2O</t>
    </r>
  </si>
  <si>
    <r>
      <t>K</t>
    </r>
    <r>
      <rPr>
        <vertAlign val="subscript"/>
        <sz val="11"/>
        <rFont val="Calibri"/>
        <family val="2"/>
        <scheme val="minor"/>
      </rPr>
      <t>SB,NO3,AS</t>
    </r>
    <r>
      <rPr>
        <sz val="11"/>
        <rFont val="Calibri"/>
        <family val="2"/>
        <scheme val="minor"/>
      </rPr>
      <t>*f</t>
    </r>
    <r>
      <rPr>
        <vertAlign val="subscript"/>
        <sz val="11"/>
        <rFont val="Calibri"/>
        <family val="2"/>
        <scheme val="minor"/>
      </rPr>
      <t>KS</t>
    </r>
  </si>
  <si>
    <r>
      <t>K</t>
    </r>
    <r>
      <rPr>
        <vertAlign val="subscript"/>
        <sz val="11"/>
        <rFont val="Calibri"/>
        <family val="2"/>
        <scheme val="minor"/>
      </rPr>
      <t>SB,NO2,AS</t>
    </r>
    <r>
      <rPr>
        <sz val="11"/>
        <rFont val="Calibri"/>
        <family val="2"/>
        <scheme val="minor"/>
      </rPr>
      <t>*f</t>
    </r>
    <r>
      <rPr>
        <vertAlign val="subscript"/>
        <sz val="11"/>
        <rFont val="Calibri"/>
        <family val="2"/>
        <scheme val="minor"/>
      </rPr>
      <t>KS</t>
    </r>
  </si>
  <si>
    <r>
      <t>K</t>
    </r>
    <r>
      <rPr>
        <vertAlign val="subscript"/>
        <sz val="11"/>
        <rFont val="Calibri"/>
        <family val="2"/>
        <scheme val="minor"/>
      </rPr>
      <t>SB,NO,AS</t>
    </r>
    <r>
      <rPr>
        <sz val="11"/>
        <rFont val="Calibri"/>
        <family val="2"/>
        <scheme val="minor"/>
      </rPr>
      <t>*f</t>
    </r>
    <r>
      <rPr>
        <vertAlign val="subscript"/>
        <sz val="11"/>
        <rFont val="Calibri"/>
        <family val="2"/>
        <scheme val="minor"/>
      </rPr>
      <t>KS</t>
    </r>
  </si>
  <si>
    <r>
      <t>K</t>
    </r>
    <r>
      <rPr>
        <vertAlign val="subscript"/>
        <sz val="11"/>
        <rFont val="Calibri"/>
        <family val="2"/>
        <scheme val="minor"/>
      </rPr>
      <t>SB,N2O,AS</t>
    </r>
    <r>
      <rPr>
        <sz val="11"/>
        <rFont val="Calibri"/>
        <family val="2"/>
        <scheme val="minor"/>
      </rPr>
      <t>*f</t>
    </r>
    <r>
      <rPr>
        <vertAlign val="subscript"/>
        <sz val="11"/>
        <rFont val="Calibri"/>
        <family val="2"/>
        <scheme val="minor"/>
      </rPr>
      <t>KS</t>
    </r>
  </si>
  <si>
    <r>
      <t>Half-saturation of O</t>
    </r>
    <r>
      <rPr>
        <vertAlign val="subscript"/>
        <sz val="11"/>
        <color rgb="FF000000"/>
        <rFont val="Calibri"/>
        <family val="2"/>
        <scheme val="minor"/>
      </rPr>
      <t>2</t>
    </r>
    <r>
      <rPr>
        <sz val="11"/>
        <color rgb="FF000000"/>
        <rFont val="Calibri"/>
        <family val="2"/>
        <charset val="238"/>
        <scheme val="minor"/>
      </rPr>
      <t xml:space="preserve"> for OHOs on NO</t>
    </r>
    <r>
      <rPr>
        <vertAlign val="subscript"/>
        <sz val="11"/>
        <color rgb="FF000000"/>
        <rFont val="Calibri"/>
        <family val="2"/>
        <scheme val="minor"/>
      </rPr>
      <t>3</t>
    </r>
  </si>
  <si>
    <r>
      <t>Half-saturation of O</t>
    </r>
    <r>
      <rPr>
        <vertAlign val="subscript"/>
        <sz val="11"/>
        <color rgb="FF000000"/>
        <rFont val="Calibri"/>
        <family val="2"/>
        <scheme val="minor"/>
      </rPr>
      <t>2</t>
    </r>
    <r>
      <rPr>
        <sz val="11"/>
        <color rgb="FF000000"/>
        <rFont val="Calibri"/>
        <family val="2"/>
        <charset val="238"/>
        <scheme val="minor"/>
      </rPr>
      <t xml:space="preserve"> for OHOs on NO</t>
    </r>
    <r>
      <rPr>
        <vertAlign val="subscript"/>
        <sz val="11"/>
        <color rgb="FF000000"/>
        <rFont val="Calibri"/>
        <family val="2"/>
        <scheme val="minor"/>
      </rPr>
      <t>2</t>
    </r>
  </si>
  <si>
    <r>
      <t>Half-saturation of O</t>
    </r>
    <r>
      <rPr>
        <vertAlign val="subscript"/>
        <sz val="11"/>
        <color rgb="FF000000"/>
        <rFont val="Calibri"/>
        <family val="2"/>
        <scheme val="minor"/>
      </rPr>
      <t>2</t>
    </r>
    <r>
      <rPr>
        <sz val="11"/>
        <color rgb="FF000000"/>
        <rFont val="Calibri"/>
        <family val="2"/>
        <charset val="238"/>
        <scheme val="minor"/>
      </rPr>
      <t xml:space="preserve"> for OHOs on NO</t>
    </r>
  </si>
  <si>
    <r>
      <t>Half-saturation of O</t>
    </r>
    <r>
      <rPr>
        <vertAlign val="subscript"/>
        <sz val="11"/>
        <color rgb="FF000000"/>
        <rFont val="Calibri"/>
        <family val="2"/>
        <scheme val="minor"/>
      </rPr>
      <t>2</t>
    </r>
    <r>
      <rPr>
        <sz val="11"/>
        <color rgb="FF000000"/>
        <rFont val="Calibri"/>
        <family val="2"/>
        <charset val="238"/>
        <scheme val="minor"/>
      </rPr>
      <t xml:space="preserve"> for OHOs on N2O</t>
    </r>
  </si>
  <si>
    <r>
      <t>K</t>
    </r>
    <r>
      <rPr>
        <vertAlign val="subscript"/>
        <sz val="11"/>
        <rFont val="Calibri"/>
        <family val="2"/>
        <scheme val="minor"/>
      </rPr>
      <t>O2,OHO,NO3</t>
    </r>
  </si>
  <si>
    <r>
      <t>K</t>
    </r>
    <r>
      <rPr>
        <vertAlign val="subscript"/>
        <sz val="11"/>
        <rFont val="Calibri"/>
        <family val="2"/>
        <scheme val="minor"/>
      </rPr>
      <t>O2,OHO,NO2</t>
    </r>
  </si>
  <si>
    <r>
      <t>K</t>
    </r>
    <r>
      <rPr>
        <vertAlign val="subscript"/>
        <sz val="11"/>
        <rFont val="Calibri"/>
        <family val="2"/>
        <scheme val="minor"/>
      </rPr>
      <t>O2,OHO,NO</t>
    </r>
  </si>
  <si>
    <r>
      <t>K</t>
    </r>
    <r>
      <rPr>
        <vertAlign val="subscript"/>
        <sz val="11"/>
        <rFont val="Calibri"/>
        <family val="2"/>
        <scheme val="minor"/>
      </rPr>
      <t>O2,OHO,N2O</t>
    </r>
  </si>
  <si>
    <r>
      <t>K</t>
    </r>
    <r>
      <rPr>
        <vertAlign val="subscript"/>
        <sz val="11"/>
        <rFont val="Calibri"/>
        <family val="2"/>
        <scheme val="minor"/>
      </rPr>
      <t>O2,OHO,NO3,AS</t>
    </r>
    <r>
      <rPr>
        <sz val="11"/>
        <rFont val="Calibri"/>
        <family val="2"/>
        <scheme val="minor"/>
      </rPr>
      <t>*f</t>
    </r>
    <r>
      <rPr>
        <vertAlign val="subscript"/>
        <sz val="11"/>
        <rFont val="Calibri"/>
        <family val="2"/>
        <scheme val="minor"/>
      </rPr>
      <t>KS</t>
    </r>
  </si>
  <si>
    <r>
      <t>K</t>
    </r>
    <r>
      <rPr>
        <vertAlign val="subscript"/>
        <sz val="11"/>
        <rFont val="Calibri"/>
        <family val="2"/>
        <scheme val="minor"/>
      </rPr>
      <t>O2,OHO,NO2,AS</t>
    </r>
    <r>
      <rPr>
        <sz val="11"/>
        <rFont val="Calibri"/>
        <family val="2"/>
        <scheme val="minor"/>
      </rPr>
      <t>*f</t>
    </r>
    <r>
      <rPr>
        <vertAlign val="subscript"/>
        <sz val="11"/>
        <rFont val="Calibri"/>
        <family val="2"/>
        <scheme val="minor"/>
      </rPr>
      <t>KS</t>
    </r>
  </si>
  <si>
    <r>
      <t>K</t>
    </r>
    <r>
      <rPr>
        <vertAlign val="subscript"/>
        <sz val="11"/>
        <rFont val="Calibri"/>
        <family val="2"/>
        <scheme val="minor"/>
      </rPr>
      <t>O2,OHO,NO,AS</t>
    </r>
    <r>
      <rPr>
        <sz val="11"/>
        <rFont val="Calibri"/>
        <family val="2"/>
        <scheme val="minor"/>
      </rPr>
      <t>*f</t>
    </r>
    <r>
      <rPr>
        <vertAlign val="subscript"/>
        <sz val="11"/>
        <rFont val="Calibri"/>
        <family val="2"/>
        <scheme val="minor"/>
      </rPr>
      <t>KS</t>
    </r>
  </si>
  <si>
    <r>
      <t>K</t>
    </r>
    <r>
      <rPr>
        <vertAlign val="subscript"/>
        <sz val="11"/>
        <rFont val="Calibri"/>
        <family val="2"/>
        <scheme val="minor"/>
      </rPr>
      <t>O2,OHO,N2O,AS</t>
    </r>
    <r>
      <rPr>
        <sz val="11"/>
        <rFont val="Calibri"/>
        <family val="2"/>
        <scheme val="minor"/>
      </rPr>
      <t>*f</t>
    </r>
    <r>
      <rPr>
        <vertAlign val="subscript"/>
        <sz val="11"/>
        <rFont val="Calibri"/>
        <family val="2"/>
        <scheme val="minor"/>
      </rPr>
      <t>KS</t>
    </r>
  </si>
  <si>
    <r>
      <t>Half-saturation of NO</t>
    </r>
    <r>
      <rPr>
        <sz val="11"/>
        <color rgb="FF000000"/>
        <rFont val="Calibri"/>
        <family val="2"/>
        <charset val="238"/>
        <scheme val="minor"/>
      </rPr>
      <t xml:space="preserve"> for OHOs</t>
    </r>
  </si>
  <si>
    <r>
      <t>Half-saturation of N</t>
    </r>
    <r>
      <rPr>
        <vertAlign val="subscript"/>
        <sz val="11"/>
        <rFont val="Calibri"/>
        <family val="2"/>
        <scheme val="minor"/>
      </rPr>
      <t>2</t>
    </r>
    <r>
      <rPr>
        <sz val="11"/>
        <rFont val="Calibri"/>
        <family val="2"/>
        <scheme val="minor"/>
      </rPr>
      <t>O</t>
    </r>
    <r>
      <rPr>
        <sz val="11"/>
        <color rgb="FF000000"/>
        <rFont val="Calibri"/>
        <family val="2"/>
        <charset val="238"/>
        <scheme val="minor"/>
      </rPr>
      <t xml:space="preserve"> for OHOs</t>
    </r>
  </si>
  <si>
    <r>
      <t>Half-inhibition of NO</t>
    </r>
    <r>
      <rPr>
        <sz val="11"/>
        <color rgb="FF000000"/>
        <rFont val="Calibri"/>
        <family val="2"/>
        <charset val="238"/>
        <scheme val="minor"/>
      </rPr>
      <t xml:space="preserve"> for OHOs denitrification of NO</t>
    </r>
    <r>
      <rPr>
        <vertAlign val="subscript"/>
        <sz val="11"/>
        <color rgb="FF000000"/>
        <rFont val="Calibri"/>
        <family val="2"/>
        <scheme val="minor"/>
      </rPr>
      <t>2</t>
    </r>
  </si>
  <si>
    <r>
      <t>Half-inhibition of NO</t>
    </r>
    <r>
      <rPr>
        <sz val="11"/>
        <color rgb="FF000000"/>
        <rFont val="Calibri"/>
        <family val="2"/>
        <charset val="238"/>
        <scheme val="minor"/>
      </rPr>
      <t xml:space="preserve"> for OHOs denitrification of NO</t>
    </r>
  </si>
  <si>
    <r>
      <t>Half-inhibition of NO</t>
    </r>
    <r>
      <rPr>
        <sz val="11"/>
        <color rgb="FF000000"/>
        <rFont val="Calibri"/>
        <family val="2"/>
        <charset val="238"/>
        <scheme val="minor"/>
      </rPr>
      <t xml:space="preserve"> for OHOs denitrification of N</t>
    </r>
    <r>
      <rPr>
        <vertAlign val="subscript"/>
        <sz val="11"/>
        <color rgb="FF000000"/>
        <rFont val="Calibri"/>
        <family val="2"/>
        <scheme val="minor"/>
      </rPr>
      <t>2</t>
    </r>
    <r>
      <rPr>
        <sz val="11"/>
        <color rgb="FF000000"/>
        <rFont val="Calibri"/>
        <family val="2"/>
        <charset val="238"/>
        <scheme val="minor"/>
      </rPr>
      <t>O</t>
    </r>
  </si>
  <si>
    <r>
      <t>K</t>
    </r>
    <r>
      <rPr>
        <vertAlign val="subscript"/>
        <sz val="11"/>
        <rFont val="Calibri"/>
        <family val="2"/>
        <scheme val="minor"/>
      </rPr>
      <t>NO2,OHO</t>
    </r>
  </si>
  <si>
    <r>
      <t>K</t>
    </r>
    <r>
      <rPr>
        <vertAlign val="subscript"/>
        <sz val="11"/>
        <rFont val="Calibri"/>
        <family val="2"/>
        <scheme val="minor"/>
      </rPr>
      <t>NO,OHO</t>
    </r>
  </si>
  <si>
    <r>
      <t>K</t>
    </r>
    <r>
      <rPr>
        <vertAlign val="subscript"/>
        <sz val="11"/>
        <rFont val="Calibri"/>
        <family val="2"/>
        <scheme val="minor"/>
      </rPr>
      <t>N2O,OHO</t>
    </r>
  </si>
  <si>
    <r>
      <t>Ki</t>
    </r>
    <r>
      <rPr>
        <vertAlign val="subscript"/>
        <sz val="11"/>
        <rFont val="Calibri"/>
        <family val="2"/>
        <scheme val="minor"/>
      </rPr>
      <t>NO,OHO,NO2</t>
    </r>
  </si>
  <si>
    <r>
      <t>Ki</t>
    </r>
    <r>
      <rPr>
        <vertAlign val="subscript"/>
        <sz val="11"/>
        <rFont val="Calibri"/>
        <family val="2"/>
        <scheme val="minor"/>
      </rPr>
      <t>NO,OHO,NO</t>
    </r>
  </si>
  <si>
    <r>
      <t>Ki</t>
    </r>
    <r>
      <rPr>
        <vertAlign val="subscript"/>
        <sz val="11"/>
        <rFont val="Calibri"/>
        <family val="2"/>
        <scheme val="minor"/>
      </rPr>
      <t>NO,OHO,N2O</t>
    </r>
  </si>
  <si>
    <r>
      <t>K</t>
    </r>
    <r>
      <rPr>
        <vertAlign val="subscript"/>
        <sz val="11"/>
        <rFont val="Calibri"/>
        <family val="2"/>
        <scheme val="minor"/>
      </rPr>
      <t>NO2,OHO,AS</t>
    </r>
    <r>
      <rPr>
        <sz val="11"/>
        <rFont val="Calibri"/>
        <family val="2"/>
        <scheme val="minor"/>
      </rPr>
      <t>*f</t>
    </r>
    <r>
      <rPr>
        <vertAlign val="subscript"/>
        <sz val="11"/>
        <rFont val="Calibri"/>
        <family val="2"/>
        <scheme val="minor"/>
      </rPr>
      <t>KS</t>
    </r>
  </si>
  <si>
    <r>
      <t>K</t>
    </r>
    <r>
      <rPr>
        <vertAlign val="subscript"/>
        <sz val="11"/>
        <rFont val="Calibri"/>
        <family val="2"/>
        <scheme val="minor"/>
      </rPr>
      <t>NO,OHO,AS</t>
    </r>
    <r>
      <rPr>
        <sz val="11"/>
        <rFont val="Calibri"/>
        <family val="2"/>
        <scheme val="minor"/>
      </rPr>
      <t>*f</t>
    </r>
    <r>
      <rPr>
        <vertAlign val="subscript"/>
        <sz val="11"/>
        <rFont val="Calibri"/>
        <family val="2"/>
        <scheme val="minor"/>
      </rPr>
      <t>KS</t>
    </r>
  </si>
  <si>
    <r>
      <t>K</t>
    </r>
    <r>
      <rPr>
        <vertAlign val="subscript"/>
        <sz val="11"/>
        <rFont val="Calibri"/>
        <family val="2"/>
        <scheme val="minor"/>
      </rPr>
      <t>N2O,OHO,AS</t>
    </r>
    <r>
      <rPr>
        <sz val="11"/>
        <rFont val="Calibri"/>
        <family val="2"/>
        <scheme val="minor"/>
      </rPr>
      <t>*f</t>
    </r>
    <r>
      <rPr>
        <vertAlign val="subscript"/>
        <sz val="11"/>
        <rFont val="Calibri"/>
        <family val="2"/>
        <scheme val="minor"/>
      </rPr>
      <t>KS</t>
    </r>
  </si>
  <si>
    <r>
      <t>Ki</t>
    </r>
    <r>
      <rPr>
        <vertAlign val="subscript"/>
        <sz val="11"/>
        <rFont val="Calibri"/>
        <family val="2"/>
        <scheme val="minor"/>
      </rPr>
      <t>NO,OHO,NO2,AS</t>
    </r>
    <r>
      <rPr>
        <sz val="11"/>
        <rFont val="Calibri"/>
        <family val="2"/>
        <scheme val="minor"/>
      </rPr>
      <t>*f</t>
    </r>
    <r>
      <rPr>
        <vertAlign val="subscript"/>
        <sz val="11"/>
        <rFont val="Calibri"/>
        <family val="2"/>
        <scheme val="minor"/>
      </rPr>
      <t>KS</t>
    </r>
  </si>
  <si>
    <r>
      <t>Ki</t>
    </r>
    <r>
      <rPr>
        <vertAlign val="subscript"/>
        <sz val="11"/>
        <rFont val="Calibri"/>
        <family val="2"/>
        <scheme val="minor"/>
      </rPr>
      <t>NO,OHO,NO,AS</t>
    </r>
    <r>
      <rPr>
        <sz val="11"/>
        <rFont val="Calibri"/>
        <family val="2"/>
        <scheme val="minor"/>
      </rPr>
      <t>*f</t>
    </r>
    <r>
      <rPr>
        <vertAlign val="subscript"/>
        <sz val="11"/>
        <rFont val="Calibri"/>
        <family val="2"/>
        <scheme val="minor"/>
      </rPr>
      <t>KS</t>
    </r>
  </si>
  <si>
    <r>
      <t>Ki</t>
    </r>
    <r>
      <rPr>
        <vertAlign val="subscript"/>
        <sz val="11"/>
        <rFont val="Calibri"/>
        <family val="2"/>
        <scheme val="minor"/>
      </rPr>
      <t>NO,OHO,N2O,AS</t>
    </r>
    <r>
      <rPr>
        <sz val="11"/>
        <rFont val="Calibri"/>
        <family val="2"/>
        <scheme val="minor"/>
      </rPr>
      <t>*f</t>
    </r>
    <r>
      <rPr>
        <vertAlign val="subscript"/>
        <sz val="11"/>
        <rFont val="Calibri"/>
        <family val="2"/>
        <scheme val="minor"/>
      </rPr>
      <t>KS</t>
    </r>
  </si>
  <si>
    <r>
      <t>Msat</t>
    </r>
    <r>
      <rPr>
        <vertAlign val="subscript"/>
        <sz val="11"/>
        <rFont val="Calibri"/>
        <family val="2"/>
        <scheme val="minor"/>
      </rPr>
      <t>SB,KSB,NO3</t>
    </r>
  </si>
  <si>
    <r>
      <t>Saturation term for readily biodegradable substrate on NO</t>
    </r>
    <r>
      <rPr>
        <vertAlign val="subscript"/>
        <sz val="11"/>
        <rFont val="Calibri"/>
        <family val="2"/>
        <scheme val="minor"/>
      </rPr>
      <t>3</t>
    </r>
    <r>
      <rPr>
        <sz val="11"/>
        <rFont val="Calibri"/>
        <family val="2"/>
        <scheme val="minor"/>
      </rPr>
      <t xml:space="preserve"> (OHO)</t>
    </r>
  </si>
  <si>
    <r>
      <t>Msat(S</t>
    </r>
    <r>
      <rPr>
        <vertAlign val="subscript"/>
        <sz val="11"/>
        <rFont val="Calibri"/>
        <family val="2"/>
        <scheme val="minor"/>
      </rPr>
      <t>B</t>
    </r>
    <r>
      <rPr>
        <sz val="11"/>
        <rFont val="Calibri"/>
        <family val="2"/>
        <scheme val="minor"/>
      </rPr>
      <t>;K</t>
    </r>
    <r>
      <rPr>
        <vertAlign val="subscript"/>
        <sz val="11"/>
        <rFont val="Calibri"/>
        <family val="2"/>
        <scheme val="minor"/>
      </rPr>
      <t>SB,NO3</t>
    </r>
    <r>
      <rPr>
        <sz val="11"/>
        <rFont val="Calibri"/>
        <family val="2"/>
        <scheme val="minor"/>
      </rPr>
      <t>)</t>
    </r>
  </si>
  <si>
    <r>
      <t>Msat</t>
    </r>
    <r>
      <rPr>
        <vertAlign val="subscript"/>
        <sz val="11"/>
        <rFont val="Calibri"/>
        <family val="2"/>
        <scheme val="minor"/>
      </rPr>
      <t>SB,KSB,NO2</t>
    </r>
  </si>
  <si>
    <r>
      <t>Saturation term for readily biodegradable substrate on NO</t>
    </r>
    <r>
      <rPr>
        <vertAlign val="subscript"/>
        <sz val="11"/>
        <rFont val="Calibri"/>
        <family val="2"/>
        <scheme val="minor"/>
      </rPr>
      <t>2</t>
    </r>
    <r>
      <rPr>
        <sz val="11"/>
        <rFont val="Calibri"/>
        <family val="2"/>
        <scheme val="minor"/>
      </rPr>
      <t xml:space="preserve"> (OHO)</t>
    </r>
  </si>
  <si>
    <r>
      <t>Msat(S</t>
    </r>
    <r>
      <rPr>
        <vertAlign val="subscript"/>
        <sz val="11"/>
        <rFont val="Calibri"/>
        <family val="2"/>
        <scheme val="minor"/>
      </rPr>
      <t>B</t>
    </r>
    <r>
      <rPr>
        <sz val="11"/>
        <rFont val="Calibri"/>
        <family val="2"/>
        <scheme val="minor"/>
      </rPr>
      <t>;K</t>
    </r>
    <r>
      <rPr>
        <vertAlign val="subscript"/>
        <sz val="11"/>
        <rFont val="Calibri"/>
        <family val="2"/>
        <scheme val="minor"/>
      </rPr>
      <t>SB,NO2</t>
    </r>
    <r>
      <rPr>
        <sz val="11"/>
        <rFont val="Calibri"/>
        <family val="2"/>
        <scheme val="minor"/>
      </rPr>
      <t>)</t>
    </r>
  </si>
  <si>
    <r>
      <t>Msat</t>
    </r>
    <r>
      <rPr>
        <vertAlign val="subscript"/>
        <sz val="11"/>
        <rFont val="Calibri"/>
        <family val="2"/>
        <scheme val="minor"/>
      </rPr>
      <t>SB,KSB,NO</t>
    </r>
  </si>
  <si>
    <t>Saturation term for readily biodegradable substrate on NO (OHO)</t>
  </si>
  <si>
    <r>
      <t>Msat(S</t>
    </r>
    <r>
      <rPr>
        <vertAlign val="subscript"/>
        <sz val="11"/>
        <rFont val="Calibri"/>
        <family val="2"/>
        <scheme val="minor"/>
      </rPr>
      <t>B</t>
    </r>
    <r>
      <rPr>
        <sz val="11"/>
        <rFont val="Calibri"/>
        <family val="2"/>
        <scheme val="minor"/>
      </rPr>
      <t>;K</t>
    </r>
    <r>
      <rPr>
        <vertAlign val="subscript"/>
        <sz val="11"/>
        <rFont val="Calibri"/>
        <family val="2"/>
        <scheme val="minor"/>
      </rPr>
      <t>SB,NO</t>
    </r>
    <r>
      <rPr>
        <sz val="11"/>
        <rFont val="Calibri"/>
        <family val="2"/>
        <scheme val="minor"/>
      </rPr>
      <t>)</t>
    </r>
  </si>
  <si>
    <r>
      <t>Msat</t>
    </r>
    <r>
      <rPr>
        <vertAlign val="subscript"/>
        <sz val="11"/>
        <rFont val="Calibri"/>
        <family val="2"/>
        <scheme val="minor"/>
      </rPr>
      <t>SB,KSB,N2O</t>
    </r>
  </si>
  <si>
    <r>
      <t>Saturation term for readily biodegradable substrate on N</t>
    </r>
    <r>
      <rPr>
        <vertAlign val="subscript"/>
        <sz val="11"/>
        <rFont val="Calibri"/>
        <family val="2"/>
        <scheme val="minor"/>
      </rPr>
      <t>2</t>
    </r>
    <r>
      <rPr>
        <sz val="11"/>
        <rFont val="Calibri"/>
        <family val="2"/>
        <scheme val="minor"/>
      </rPr>
      <t>O (OHO)</t>
    </r>
  </si>
  <si>
    <r>
      <t>Msat(S</t>
    </r>
    <r>
      <rPr>
        <vertAlign val="subscript"/>
        <sz val="11"/>
        <rFont val="Calibri"/>
        <family val="2"/>
        <scheme val="minor"/>
      </rPr>
      <t>B</t>
    </r>
    <r>
      <rPr>
        <sz val="11"/>
        <rFont val="Calibri"/>
        <family val="2"/>
        <scheme val="minor"/>
      </rPr>
      <t>;K</t>
    </r>
    <r>
      <rPr>
        <vertAlign val="subscript"/>
        <sz val="11"/>
        <rFont val="Calibri"/>
        <family val="2"/>
        <scheme val="minor"/>
      </rPr>
      <t>SB,N2O</t>
    </r>
    <r>
      <rPr>
        <sz val="11"/>
        <rFont val="Calibri"/>
        <family val="2"/>
        <scheme val="minor"/>
      </rPr>
      <t>)</t>
    </r>
  </si>
  <si>
    <r>
      <t>Saturation term for N</t>
    </r>
    <r>
      <rPr>
        <vertAlign val="subscript"/>
        <sz val="11"/>
        <rFont val="Calibri"/>
        <family val="2"/>
        <scheme val="minor"/>
      </rPr>
      <t>2</t>
    </r>
    <r>
      <rPr>
        <sz val="11"/>
        <rFont val="Calibri"/>
        <family val="2"/>
        <scheme val="minor"/>
      </rPr>
      <t>O</t>
    </r>
    <r>
      <rPr>
        <sz val="11"/>
        <color rgb="FF000000"/>
        <rFont val="Calibri"/>
        <family val="2"/>
        <charset val="238"/>
        <scheme val="minor"/>
      </rPr>
      <t xml:space="preserve"> (OHO)</t>
    </r>
  </si>
  <si>
    <r>
      <t>Msat(S</t>
    </r>
    <r>
      <rPr>
        <vertAlign val="subscript"/>
        <sz val="11"/>
        <rFont val="Calibri"/>
        <family val="2"/>
      </rPr>
      <t>N2O</t>
    </r>
    <r>
      <rPr>
        <sz val="11"/>
        <rFont val="Calibri"/>
        <family val="2"/>
      </rPr>
      <t>;K</t>
    </r>
    <r>
      <rPr>
        <vertAlign val="subscript"/>
        <sz val="11"/>
        <rFont val="Calibri"/>
        <family val="2"/>
      </rPr>
      <t>N2O,OHO</t>
    </r>
    <r>
      <rPr>
        <sz val="11"/>
        <rFont val="Calibri"/>
        <family val="2"/>
      </rPr>
      <t>)</t>
    </r>
  </si>
  <si>
    <r>
      <t>Hsat</t>
    </r>
    <r>
      <rPr>
        <vertAlign val="subscript"/>
        <sz val="11"/>
        <rFont val="Calibri"/>
        <family val="2"/>
      </rPr>
      <t>SNO,KNO,OHO</t>
    </r>
  </si>
  <si>
    <r>
      <t>Haldane term for NO</t>
    </r>
    <r>
      <rPr>
        <sz val="11"/>
        <color rgb="FF000000"/>
        <rFont val="Calibri"/>
        <family val="2"/>
        <charset val="238"/>
        <scheme val="minor"/>
      </rPr>
      <t xml:space="preserve"> (OHO)</t>
    </r>
  </si>
  <si>
    <r>
      <t>Minh</t>
    </r>
    <r>
      <rPr>
        <vertAlign val="subscript"/>
        <sz val="11"/>
        <rFont val="Calibri"/>
        <family val="2"/>
        <scheme val="minor"/>
      </rPr>
      <t>SNO,KiNO,OHO,NO2</t>
    </r>
  </si>
  <si>
    <r>
      <t>Inhibition term for NO</t>
    </r>
    <r>
      <rPr>
        <sz val="11"/>
        <color rgb="FF000000"/>
        <rFont val="Calibri"/>
        <family val="2"/>
        <charset val="238"/>
        <scheme val="minor"/>
      </rPr>
      <t xml:space="preserve"> for NO2 denit (OHO)</t>
    </r>
  </si>
  <si>
    <r>
      <t>Minh</t>
    </r>
    <r>
      <rPr>
        <vertAlign val="subscript"/>
        <sz val="11"/>
        <rFont val="Calibri"/>
        <family val="2"/>
        <scheme val="minor"/>
      </rPr>
      <t>SNO,KiNO,OHO,N2O</t>
    </r>
  </si>
  <si>
    <r>
      <t>Inhibition term for NO</t>
    </r>
    <r>
      <rPr>
        <sz val="11"/>
        <color rgb="FF000000"/>
        <rFont val="Calibri"/>
        <family val="2"/>
        <charset val="238"/>
        <scheme val="minor"/>
      </rPr>
      <t xml:space="preserve"> for N2O denit (OHO)</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</si>
  <si>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OHO,NO3</t>
    </r>
    <r>
      <rPr>
        <sz val="11"/>
        <rFont val="Calibri"/>
        <family val="2"/>
      </rPr>
      <t>*Msat</t>
    </r>
    <r>
      <rPr>
        <vertAlign val="subscript"/>
        <sz val="11"/>
        <rFont val="Calibri"/>
        <family val="2"/>
      </rPr>
      <t>SB,KSB,NO3</t>
    </r>
    <r>
      <rPr>
        <sz val="11"/>
        <rFont val="Calibri"/>
        <family val="2"/>
      </rPr>
      <t>*Minh</t>
    </r>
    <r>
      <rPr>
        <vertAlign val="subscript"/>
        <sz val="11"/>
        <rFont val="Calibri"/>
        <family val="2"/>
      </rPr>
      <t>SVFA,KVFA</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SO2,KO2,OHO,NO3</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</si>
  <si>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Minh</t>
    </r>
    <r>
      <rPr>
        <vertAlign val="subscript"/>
        <sz val="11"/>
        <rFont val="Calibri"/>
        <family val="2"/>
        <scheme val="minor"/>
      </rPr>
      <t>SO2,KO2,OHO,NO3</t>
    </r>
  </si>
  <si>
    <r>
      <t>Minh</t>
    </r>
    <r>
      <rPr>
        <vertAlign val="subscript"/>
        <sz val="11"/>
        <rFont val="Calibri"/>
        <family val="2"/>
        <scheme val="minor"/>
      </rPr>
      <t>SO2,KO2,OHO,NO2</t>
    </r>
  </si>
  <si>
    <r>
      <t>Minh</t>
    </r>
    <r>
      <rPr>
        <vertAlign val="subscript"/>
        <sz val="11"/>
        <rFont val="Calibri"/>
        <family val="2"/>
        <scheme val="minor"/>
      </rPr>
      <t>SO2,KO2,OHO,NO</t>
    </r>
  </si>
  <si>
    <r>
      <t>Minh</t>
    </r>
    <r>
      <rPr>
        <vertAlign val="subscript"/>
        <sz val="11"/>
        <rFont val="Calibri"/>
        <family val="2"/>
        <scheme val="minor"/>
      </rPr>
      <t>SO2,KO2,OHO,N2O</t>
    </r>
  </si>
  <si>
    <r>
      <t>Inhibition term for O</t>
    </r>
    <r>
      <rPr>
        <vertAlign val="subscript"/>
        <sz val="11"/>
        <color rgb="FF000000"/>
        <rFont val="Calibri"/>
        <family val="2"/>
        <scheme val="minor"/>
      </rPr>
      <t>2</t>
    </r>
    <r>
      <rPr>
        <sz val="11"/>
        <color rgb="FF000000"/>
        <rFont val="Calibri"/>
        <family val="2"/>
        <charset val="238"/>
        <scheme val="minor"/>
      </rPr>
      <t xml:space="preserve"> (OHO)</t>
    </r>
    <r>
      <rPr>
        <sz val="11"/>
        <rFont val="Calibri"/>
        <family val="2"/>
        <scheme val="minor"/>
      </rPr>
      <t xml:space="preserve"> for NO</t>
    </r>
    <r>
      <rPr>
        <vertAlign val="subscript"/>
        <sz val="11"/>
        <rFont val="Calibri"/>
        <family val="2"/>
        <scheme val="minor"/>
      </rPr>
      <t>3</t>
    </r>
    <r>
      <rPr>
        <sz val="11"/>
        <rFont val="Calibri"/>
        <family val="2"/>
        <scheme val="minor"/>
      </rPr>
      <t xml:space="preserve"> denit</t>
    </r>
  </si>
  <si>
    <r>
      <t>Inhibition term for O</t>
    </r>
    <r>
      <rPr>
        <vertAlign val="subscript"/>
        <sz val="11"/>
        <color rgb="FF000000"/>
        <rFont val="Calibri"/>
        <family val="2"/>
        <scheme val="minor"/>
      </rPr>
      <t>2</t>
    </r>
    <r>
      <rPr>
        <sz val="11"/>
        <color rgb="FF000000"/>
        <rFont val="Calibri"/>
        <family val="2"/>
        <charset val="238"/>
        <scheme val="minor"/>
      </rPr>
      <t xml:space="preserve"> (OHO)</t>
    </r>
    <r>
      <rPr>
        <sz val="11"/>
        <rFont val="Calibri"/>
        <family val="2"/>
        <scheme val="minor"/>
      </rPr>
      <t xml:space="preserve"> for NO</t>
    </r>
    <r>
      <rPr>
        <vertAlign val="subscript"/>
        <sz val="11"/>
        <rFont val="Calibri"/>
        <family val="2"/>
        <scheme val="minor"/>
      </rPr>
      <t>2</t>
    </r>
    <r>
      <rPr>
        <sz val="11"/>
        <rFont val="Calibri"/>
        <family val="2"/>
        <scheme val="minor"/>
      </rPr>
      <t xml:space="preserve"> denit</t>
    </r>
  </si>
  <si>
    <r>
      <t>Inhibition term for O</t>
    </r>
    <r>
      <rPr>
        <vertAlign val="subscript"/>
        <sz val="11"/>
        <color rgb="FF000000"/>
        <rFont val="Calibri"/>
        <family val="2"/>
        <scheme val="minor"/>
      </rPr>
      <t>2</t>
    </r>
    <r>
      <rPr>
        <sz val="11"/>
        <color rgb="FF000000"/>
        <rFont val="Calibri"/>
        <family val="2"/>
        <charset val="238"/>
        <scheme val="minor"/>
      </rPr>
      <t xml:space="preserve"> (OHO)</t>
    </r>
    <r>
      <rPr>
        <sz val="11"/>
        <rFont val="Calibri"/>
        <family val="2"/>
        <scheme val="minor"/>
      </rPr>
      <t xml:space="preserve"> for NO denit</t>
    </r>
  </si>
  <si>
    <r>
      <t>Inhibition term for O</t>
    </r>
    <r>
      <rPr>
        <vertAlign val="subscript"/>
        <sz val="11"/>
        <color rgb="FF000000"/>
        <rFont val="Calibri"/>
        <family val="2"/>
        <scheme val="minor"/>
      </rPr>
      <t>2</t>
    </r>
    <r>
      <rPr>
        <sz val="11"/>
        <color rgb="FF000000"/>
        <rFont val="Calibri"/>
        <family val="2"/>
        <charset val="238"/>
        <scheme val="minor"/>
      </rPr>
      <t xml:space="preserve"> (OHO)</t>
    </r>
    <r>
      <rPr>
        <sz val="11"/>
        <rFont val="Calibri"/>
        <family val="2"/>
        <scheme val="minor"/>
      </rPr>
      <t xml:space="preserve"> for N</t>
    </r>
    <r>
      <rPr>
        <vertAlign val="subscript"/>
        <sz val="11"/>
        <rFont val="Calibri"/>
        <family val="2"/>
        <scheme val="minor"/>
      </rPr>
      <t>2</t>
    </r>
    <r>
      <rPr>
        <sz val="11"/>
        <rFont val="Calibri"/>
        <family val="2"/>
        <scheme val="minor"/>
      </rPr>
      <t>O denit</t>
    </r>
  </si>
  <si>
    <r>
      <t>Minh(S</t>
    </r>
    <r>
      <rPr>
        <vertAlign val="subscript"/>
        <sz val="11"/>
        <rFont val="Calibri"/>
        <family val="2"/>
        <scheme val="minor"/>
      </rPr>
      <t>O2</t>
    </r>
    <r>
      <rPr>
        <sz val="11"/>
        <rFont val="Calibri"/>
        <family val="2"/>
        <scheme val="minor"/>
      </rPr>
      <t>;K</t>
    </r>
    <r>
      <rPr>
        <vertAlign val="subscript"/>
        <sz val="11"/>
        <rFont val="Calibri"/>
        <family val="2"/>
        <scheme val="minor"/>
      </rPr>
      <t>O2,OHO,NO3</t>
    </r>
    <r>
      <rPr>
        <sz val="11"/>
        <rFont val="Calibri"/>
        <family val="2"/>
        <scheme val="minor"/>
      </rPr>
      <t>)</t>
    </r>
  </si>
  <si>
    <r>
      <t>Minh(S</t>
    </r>
    <r>
      <rPr>
        <vertAlign val="subscript"/>
        <sz val="11"/>
        <rFont val="Calibri"/>
        <family val="2"/>
        <scheme val="minor"/>
      </rPr>
      <t>O2</t>
    </r>
    <r>
      <rPr>
        <sz val="11"/>
        <rFont val="Calibri"/>
        <family val="2"/>
        <scheme val="minor"/>
      </rPr>
      <t>;K</t>
    </r>
    <r>
      <rPr>
        <vertAlign val="subscript"/>
        <sz val="11"/>
        <rFont val="Calibri"/>
        <family val="2"/>
        <scheme val="minor"/>
      </rPr>
      <t>O2,OHO,NO2</t>
    </r>
    <r>
      <rPr>
        <sz val="11"/>
        <rFont val="Calibri"/>
        <family val="2"/>
        <scheme val="minor"/>
      </rPr>
      <t>)</t>
    </r>
  </si>
  <si>
    <r>
      <t>Minh(S</t>
    </r>
    <r>
      <rPr>
        <vertAlign val="subscript"/>
        <sz val="11"/>
        <rFont val="Calibri"/>
        <family val="2"/>
        <scheme val="minor"/>
      </rPr>
      <t>O2</t>
    </r>
    <r>
      <rPr>
        <sz val="11"/>
        <rFont val="Calibri"/>
        <family val="2"/>
        <scheme val="minor"/>
      </rPr>
      <t>;K</t>
    </r>
    <r>
      <rPr>
        <vertAlign val="subscript"/>
        <sz val="11"/>
        <rFont val="Calibri"/>
        <family val="2"/>
        <scheme val="minor"/>
      </rPr>
      <t>O2,OHO,NO</t>
    </r>
    <r>
      <rPr>
        <sz val="11"/>
        <rFont val="Calibri"/>
        <family val="2"/>
        <scheme val="minor"/>
      </rPr>
      <t>)</t>
    </r>
  </si>
  <si>
    <r>
      <t>Minh(S</t>
    </r>
    <r>
      <rPr>
        <vertAlign val="subscript"/>
        <sz val="11"/>
        <rFont val="Calibri"/>
        <family val="2"/>
        <scheme val="minor"/>
      </rPr>
      <t>O2</t>
    </r>
    <r>
      <rPr>
        <sz val="11"/>
        <rFont val="Calibri"/>
        <family val="2"/>
        <scheme val="minor"/>
      </rPr>
      <t>;K</t>
    </r>
    <r>
      <rPr>
        <vertAlign val="subscript"/>
        <sz val="11"/>
        <rFont val="Calibri"/>
        <family val="2"/>
        <scheme val="minor"/>
      </rPr>
      <t>O2,OHO,N2O</t>
    </r>
    <r>
      <rPr>
        <sz val="11"/>
        <rFont val="Calibri"/>
        <family val="2"/>
        <scheme val="minor"/>
      </rPr>
      <t>)</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</si>
  <si>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OHO,NO2</t>
    </r>
    <r>
      <rPr>
        <sz val="11"/>
        <rFont val="Calibri"/>
        <family val="2"/>
      </rPr>
      <t>*Msat</t>
    </r>
    <r>
      <rPr>
        <vertAlign val="subscript"/>
        <sz val="11"/>
        <rFont val="Calibri"/>
        <family val="2"/>
      </rPr>
      <t>SB,KSB,NO2</t>
    </r>
    <r>
      <rPr>
        <sz val="11"/>
        <rFont val="Calibri"/>
        <family val="2"/>
      </rPr>
      <t>*Minh</t>
    </r>
    <r>
      <rPr>
        <vertAlign val="subscript"/>
        <sz val="11"/>
        <rFont val="Calibri"/>
        <family val="2"/>
      </rPr>
      <t>SVFA,KVFA</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SO2,KO2,OHO,NO2</t>
    </r>
    <r>
      <rPr>
        <sz val="11"/>
        <rFont val="Calibri"/>
        <family val="2"/>
      </rPr>
      <t>*Minh</t>
    </r>
    <r>
      <rPr>
        <vertAlign val="subscript"/>
        <sz val="11"/>
        <rFont val="Calibri"/>
        <family val="2"/>
      </rPr>
      <t>SNO,KiNO,OHO,NO2</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</si>
  <si>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OHO,NO</t>
    </r>
    <r>
      <rPr>
        <sz val="11"/>
        <rFont val="Calibri"/>
        <family val="2"/>
      </rPr>
      <t>*Msat</t>
    </r>
    <r>
      <rPr>
        <vertAlign val="subscript"/>
        <sz val="11"/>
        <rFont val="Calibri"/>
        <family val="2"/>
      </rPr>
      <t>SB,KSB,NO</t>
    </r>
    <r>
      <rPr>
        <sz val="11"/>
        <rFont val="Calibri"/>
        <family val="2"/>
      </rPr>
      <t>*Minh</t>
    </r>
    <r>
      <rPr>
        <vertAlign val="subscript"/>
        <sz val="11"/>
        <rFont val="Calibri"/>
        <family val="2"/>
      </rPr>
      <t>SVFA,KVFA</t>
    </r>
    <r>
      <rPr>
        <sz val="11"/>
        <rFont val="Calibri"/>
        <family val="2"/>
      </rPr>
      <t>*Hsat</t>
    </r>
    <r>
      <rPr>
        <vertAlign val="subscript"/>
        <sz val="11"/>
        <rFont val="Calibri"/>
        <family val="2"/>
      </rPr>
      <t>SNO,KNO,OHO</t>
    </r>
    <r>
      <rPr>
        <sz val="11"/>
        <rFont val="Calibri"/>
        <family val="2"/>
      </rPr>
      <t>*Minh</t>
    </r>
    <r>
      <rPr>
        <vertAlign val="subscript"/>
        <sz val="11"/>
        <rFont val="Calibri"/>
        <family val="2"/>
      </rPr>
      <t>SO2,KO2,OHO,NO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</si>
  <si>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OHO,N2O</t>
    </r>
    <r>
      <rPr>
        <sz val="11"/>
        <rFont val="Calibri"/>
        <family val="2"/>
      </rPr>
      <t>*Msat</t>
    </r>
    <r>
      <rPr>
        <vertAlign val="subscript"/>
        <sz val="11"/>
        <rFont val="Calibri"/>
        <family val="2"/>
      </rPr>
      <t>SB,KSB,N2O</t>
    </r>
    <r>
      <rPr>
        <sz val="11"/>
        <rFont val="Calibri"/>
        <family val="2"/>
      </rPr>
      <t>*Minh</t>
    </r>
    <r>
      <rPr>
        <vertAlign val="subscript"/>
        <sz val="11"/>
        <rFont val="Calibri"/>
        <family val="2"/>
      </rPr>
      <t>SVFA,KVFA</t>
    </r>
    <r>
      <rPr>
        <sz val="11"/>
        <rFont val="Calibri"/>
        <family val="2"/>
      </rPr>
      <t>*Msat</t>
    </r>
    <r>
      <rPr>
        <vertAlign val="subscript"/>
        <sz val="11"/>
        <rFont val="Calibri"/>
        <family val="2"/>
      </rPr>
      <t>SN2O,KN2O,OHO</t>
    </r>
    <r>
      <rPr>
        <sz val="11"/>
        <rFont val="Calibri"/>
        <family val="2"/>
      </rPr>
      <t>*Minh</t>
    </r>
    <r>
      <rPr>
        <vertAlign val="subscript"/>
        <sz val="11"/>
        <rFont val="Calibri"/>
        <family val="2"/>
      </rPr>
      <t>SO2,KO2,OHO,N2O</t>
    </r>
    <r>
      <rPr>
        <sz val="11"/>
        <rFont val="Calibri"/>
        <family val="2"/>
      </rPr>
      <t>*Minh</t>
    </r>
    <r>
      <rPr>
        <vertAlign val="subscript"/>
        <sz val="11"/>
        <rFont val="Calibri"/>
        <family val="2"/>
      </rPr>
      <t>SNO,KiNO,OHO,N2O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</si>
  <si>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t>inhibition terms for other denit. Intermediate removed</t>
  </si>
  <si>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OHO,NO3</t>
    </r>
    <r>
      <rPr>
        <sz val="11"/>
        <rFont val="Calibri"/>
        <family val="2"/>
      </rPr>
      <t>*Msat</t>
    </r>
    <r>
      <rPr>
        <vertAlign val="subscript"/>
        <sz val="11"/>
        <rFont val="Calibri"/>
        <family val="2"/>
      </rPr>
      <t>SVFA,KVFA,NO3</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SO2,KO2,OHO,NO3</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</si>
  <si>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OHO,NO2</t>
    </r>
    <r>
      <rPr>
        <sz val="11"/>
        <rFont val="Calibri"/>
        <family val="2"/>
      </rPr>
      <t>*Msat</t>
    </r>
    <r>
      <rPr>
        <vertAlign val="subscript"/>
        <sz val="11"/>
        <rFont val="Calibri"/>
        <family val="2"/>
      </rPr>
      <t>SVFA,KVFA,NO2</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SO2,KO2,OHO,NO2</t>
    </r>
    <r>
      <rPr>
        <sz val="11"/>
        <rFont val="Calibri"/>
        <family val="2"/>
      </rPr>
      <t>*Minh</t>
    </r>
    <r>
      <rPr>
        <vertAlign val="subscript"/>
        <sz val="11"/>
        <rFont val="Calibri"/>
        <family val="2"/>
      </rPr>
      <t>SNO,KiNO,OHO,NO2</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</si>
  <si>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OHO,NO</t>
    </r>
    <r>
      <rPr>
        <sz val="11"/>
        <rFont val="Calibri"/>
        <family val="2"/>
      </rPr>
      <t>*Msat</t>
    </r>
    <r>
      <rPr>
        <vertAlign val="subscript"/>
        <sz val="11"/>
        <rFont val="Calibri"/>
        <family val="2"/>
      </rPr>
      <t>SVFA,KVFA,NO</t>
    </r>
    <r>
      <rPr>
        <sz val="11"/>
        <rFont val="Calibri"/>
        <family val="2"/>
      </rPr>
      <t>*Hsat</t>
    </r>
    <r>
      <rPr>
        <vertAlign val="subscript"/>
        <sz val="11"/>
        <rFont val="Calibri"/>
        <family val="2"/>
      </rPr>
      <t>SNO,KNO,OHO</t>
    </r>
    <r>
      <rPr>
        <sz val="11"/>
        <rFont val="Calibri"/>
        <family val="2"/>
      </rPr>
      <t>*Minh</t>
    </r>
    <r>
      <rPr>
        <vertAlign val="subscript"/>
        <sz val="11"/>
        <rFont val="Calibri"/>
        <family val="2"/>
      </rPr>
      <t>SO2,KO2,OHO,NO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</si>
  <si>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OHO,N2O</t>
    </r>
    <r>
      <rPr>
        <sz val="11"/>
        <rFont val="Calibri"/>
        <family val="2"/>
      </rPr>
      <t>*Msat</t>
    </r>
    <r>
      <rPr>
        <vertAlign val="subscript"/>
        <sz val="11"/>
        <rFont val="Calibri"/>
        <family val="2"/>
      </rPr>
      <t>SVFA,KVFA,N2O</t>
    </r>
    <r>
      <rPr>
        <sz val="11"/>
        <rFont val="Calibri"/>
        <family val="2"/>
      </rPr>
      <t>*Msat</t>
    </r>
    <r>
      <rPr>
        <vertAlign val="subscript"/>
        <sz val="11"/>
        <rFont val="Calibri"/>
        <family val="2"/>
      </rPr>
      <t>SN2O,KN2O,OHO</t>
    </r>
    <r>
      <rPr>
        <sz val="11"/>
        <rFont val="Calibri"/>
        <family val="2"/>
      </rPr>
      <t>*Minh</t>
    </r>
    <r>
      <rPr>
        <vertAlign val="subscript"/>
        <sz val="11"/>
        <rFont val="Calibri"/>
        <family val="2"/>
      </rPr>
      <t>SO2,KO2,OHO,N2O</t>
    </r>
    <r>
      <rPr>
        <sz val="11"/>
        <rFont val="Calibri"/>
        <family val="2"/>
      </rPr>
      <t>*Minh</t>
    </r>
    <r>
      <rPr>
        <vertAlign val="subscript"/>
        <sz val="11"/>
        <rFont val="Calibri"/>
        <family val="2"/>
      </rPr>
      <t>SNO,KiNO,OHO,N2O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</si>
  <si>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K</t>
    </r>
    <r>
      <rPr>
        <vertAlign val="subscript"/>
        <sz val="11"/>
        <rFont val="Calibri"/>
        <family val="2"/>
        <scheme val="minor"/>
      </rPr>
      <t>VFA,NO3,AS</t>
    </r>
  </si>
  <si>
    <r>
      <t>K</t>
    </r>
    <r>
      <rPr>
        <vertAlign val="subscript"/>
        <sz val="11"/>
        <rFont val="Calibri"/>
        <family val="2"/>
        <scheme val="minor"/>
      </rPr>
      <t>VFA,NO2,AS</t>
    </r>
  </si>
  <si>
    <r>
      <t>K</t>
    </r>
    <r>
      <rPr>
        <vertAlign val="subscript"/>
        <sz val="11"/>
        <rFont val="Calibri"/>
        <family val="2"/>
        <scheme val="minor"/>
      </rPr>
      <t>VFA,NO,AS</t>
    </r>
  </si>
  <si>
    <r>
      <t>K</t>
    </r>
    <r>
      <rPr>
        <vertAlign val="subscript"/>
        <sz val="11"/>
        <rFont val="Calibri"/>
        <family val="2"/>
        <scheme val="minor"/>
      </rPr>
      <t>VFA,N2O,AS</t>
    </r>
  </si>
  <si>
    <r>
      <t>Half-saturation of VFA for OHOs on NO</t>
    </r>
    <r>
      <rPr>
        <vertAlign val="subscript"/>
        <sz val="11"/>
        <rFont val="Calibri"/>
        <family val="2"/>
        <scheme val="minor"/>
      </rPr>
      <t>3</t>
    </r>
    <r>
      <rPr>
        <sz val="11"/>
        <rFont val="Calibri"/>
        <family val="2"/>
        <scheme val="minor"/>
      </rPr>
      <t xml:space="preserve"> (AS)</t>
    </r>
  </si>
  <si>
    <r>
      <t>Half-saturation of VFA for OHOs on NO</t>
    </r>
    <r>
      <rPr>
        <vertAlign val="subscript"/>
        <sz val="11"/>
        <rFont val="Calibri"/>
        <family val="2"/>
        <scheme val="minor"/>
      </rPr>
      <t>2</t>
    </r>
    <r>
      <rPr>
        <sz val="11"/>
        <rFont val="Calibri"/>
        <family val="2"/>
        <scheme val="minor"/>
      </rPr>
      <t xml:space="preserve"> (AS)</t>
    </r>
  </si>
  <si>
    <t>Half-saturation of VFA for OHOs on NO (AS)</t>
  </si>
  <si>
    <t>Half-saturation of VFA for OHOs on N2O (AS)</t>
  </si>
  <si>
    <r>
      <t>K</t>
    </r>
    <r>
      <rPr>
        <vertAlign val="subscript"/>
        <sz val="11"/>
        <rFont val="Calibri"/>
        <family val="2"/>
        <scheme val="minor"/>
      </rPr>
      <t>VFA,NO3</t>
    </r>
  </si>
  <si>
    <r>
      <t>K</t>
    </r>
    <r>
      <rPr>
        <vertAlign val="subscript"/>
        <sz val="11"/>
        <rFont val="Calibri"/>
        <family val="2"/>
        <scheme val="minor"/>
      </rPr>
      <t>VFA,NO2</t>
    </r>
  </si>
  <si>
    <r>
      <t>K</t>
    </r>
    <r>
      <rPr>
        <vertAlign val="subscript"/>
        <sz val="11"/>
        <rFont val="Calibri"/>
        <family val="2"/>
        <scheme val="minor"/>
      </rPr>
      <t>VFA,NO</t>
    </r>
  </si>
  <si>
    <r>
      <t>K</t>
    </r>
    <r>
      <rPr>
        <vertAlign val="subscript"/>
        <sz val="11"/>
        <rFont val="Calibri"/>
        <family val="2"/>
        <scheme val="minor"/>
      </rPr>
      <t>VFA,N2O</t>
    </r>
  </si>
  <si>
    <t>Half-saturation of VFA for OHOs on NO3</t>
  </si>
  <si>
    <t>Half-saturation of VFA for OHOs on NO2</t>
  </si>
  <si>
    <t>Half-saturation of VFA for OHOs on NO</t>
  </si>
  <si>
    <t>Half-saturation of VFA for OHOs on N2O</t>
  </si>
  <si>
    <r>
      <t>K</t>
    </r>
    <r>
      <rPr>
        <vertAlign val="subscript"/>
        <sz val="11"/>
        <rFont val="Calibri"/>
        <family val="2"/>
        <scheme val="minor"/>
      </rPr>
      <t>VFA,NO3,AS</t>
    </r>
    <r>
      <rPr>
        <sz val="11"/>
        <rFont val="Calibri"/>
        <family val="2"/>
        <scheme val="minor"/>
      </rPr>
      <t>*f</t>
    </r>
    <r>
      <rPr>
        <vertAlign val="subscript"/>
        <sz val="11"/>
        <rFont val="Calibri"/>
        <family val="2"/>
        <scheme val="minor"/>
      </rPr>
      <t>KS</t>
    </r>
  </si>
  <si>
    <r>
      <t>K</t>
    </r>
    <r>
      <rPr>
        <vertAlign val="subscript"/>
        <sz val="11"/>
        <rFont val="Calibri"/>
        <family val="2"/>
        <scheme val="minor"/>
      </rPr>
      <t>VFA,NO2,AS</t>
    </r>
    <r>
      <rPr>
        <sz val="11"/>
        <rFont val="Calibri"/>
        <family val="2"/>
        <scheme val="minor"/>
      </rPr>
      <t>*f</t>
    </r>
    <r>
      <rPr>
        <vertAlign val="subscript"/>
        <sz val="11"/>
        <rFont val="Calibri"/>
        <family val="2"/>
        <scheme val="minor"/>
      </rPr>
      <t>KS</t>
    </r>
  </si>
  <si>
    <r>
      <t>K</t>
    </r>
    <r>
      <rPr>
        <vertAlign val="subscript"/>
        <sz val="11"/>
        <rFont val="Calibri"/>
        <family val="2"/>
        <scheme val="minor"/>
      </rPr>
      <t>VFA,NO,AS</t>
    </r>
    <r>
      <rPr>
        <sz val="11"/>
        <rFont val="Calibri"/>
        <family val="2"/>
        <scheme val="minor"/>
      </rPr>
      <t>*f</t>
    </r>
    <r>
      <rPr>
        <vertAlign val="subscript"/>
        <sz val="11"/>
        <rFont val="Calibri"/>
        <family val="2"/>
        <scheme val="minor"/>
      </rPr>
      <t>KS</t>
    </r>
  </si>
  <si>
    <r>
      <t>K</t>
    </r>
    <r>
      <rPr>
        <vertAlign val="subscript"/>
        <sz val="11"/>
        <rFont val="Calibri"/>
        <family val="2"/>
        <scheme val="minor"/>
      </rPr>
      <t>VFA,N2O,AS</t>
    </r>
    <r>
      <rPr>
        <sz val="11"/>
        <rFont val="Calibri"/>
        <family val="2"/>
        <scheme val="minor"/>
      </rPr>
      <t>*f</t>
    </r>
    <r>
      <rPr>
        <vertAlign val="subscript"/>
        <sz val="11"/>
        <rFont val="Calibri"/>
        <family val="2"/>
        <scheme val="minor"/>
      </rPr>
      <t>KS</t>
    </r>
  </si>
  <si>
    <r>
      <t>Msat</t>
    </r>
    <r>
      <rPr>
        <vertAlign val="subscript"/>
        <sz val="11"/>
        <rFont val="Calibri"/>
        <family val="2"/>
        <scheme val="minor"/>
      </rPr>
      <t>SVFA,KVFA,NO3</t>
    </r>
  </si>
  <si>
    <r>
      <t>Msat</t>
    </r>
    <r>
      <rPr>
        <vertAlign val="subscript"/>
        <sz val="11"/>
        <rFont val="Calibri"/>
        <family val="2"/>
        <scheme val="minor"/>
      </rPr>
      <t>SVFA,KVFA,NO2</t>
    </r>
  </si>
  <si>
    <r>
      <t>Msat</t>
    </r>
    <r>
      <rPr>
        <vertAlign val="subscript"/>
        <sz val="11"/>
        <rFont val="Calibri"/>
        <family val="2"/>
        <scheme val="minor"/>
      </rPr>
      <t>SVFA,KVFA,NO</t>
    </r>
  </si>
  <si>
    <r>
      <t>Msat</t>
    </r>
    <r>
      <rPr>
        <vertAlign val="subscript"/>
        <sz val="11"/>
        <rFont val="Calibri"/>
        <family val="2"/>
        <scheme val="minor"/>
      </rPr>
      <t>SVFA,KVFA,N2O</t>
    </r>
  </si>
  <si>
    <t>Saturation term for VFA on NO3 (OHO)</t>
  </si>
  <si>
    <t>Saturation term for VFA on NO2 (OHO)</t>
  </si>
  <si>
    <t>Saturation term for VFA on NO (OHO)</t>
  </si>
  <si>
    <t>Saturation term for VFA on N2O (OHO)</t>
  </si>
  <si>
    <r>
      <t>Msat(S</t>
    </r>
    <r>
      <rPr>
        <vertAlign val="subscript"/>
        <sz val="11"/>
        <rFont val="Calibri"/>
        <family val="2"/>
        <scheme val="minor"/>
      </rPr>
      <t>VFA</t>
    </r>
    <r>
      <rPr>
        <sz val="11"/>
        <rFont val="Calibri"/>
        <family val="2"/>
        <scheme val="minor"/>
      </rPr>
      <t>;K</t>
    </r>
    <r>
      <rPr>
        <vertAlign val="subscript"/>
        <sz val="11"/>
        <rFont val="Calibri"/>
        <family val="2"/>
        <scheme val="minor"/>
      </rPr>
      <t>VFA,NO3</t>
    </r>
    <r>
      <rPr>
        <sz val="11"/>
        <rFont val="Calibri"/>
        <family val="2"/>
        <scheme val="minor"/>
      </rPr>
      <t>)</t>
    </r>
  </si>
  <si>
    <r>
      <t>Msat(S</t>
    </r>
    <r>
      <rPr>
        <vertAlign val="subscript"/>
        <sz val="11"/>
        <rFont val="Calibri"/>
        <family val="2"/>
        <scheme val="minor"/>
      </rPr>
      <t>VFA</t>
    </r>
    <r>
      <rPr>
        <sz val="11"/>
        <rFont val="Calibri"/>
        <family val="2"/>
        <scheme val="minor"/>
      </rPr>
      <t>;K</t>
    </r>
    <r>
      <rPr>
        <vertAlign val="subscript"/>
        <sz val="11"/>
        <rFont val="Calibri"/>
        <family val="2"/>
        <scheme val="minor"/>
      </rPr>
      <t>VFA,NO2</t>
    </r>
    <r>
      <rPr>
        <sz val="11"/>
        <rFont val="Calibri"/>
        <family val="2"/>
        <scheme val="minor"/>
      </rPr>
      <t>)</t>
    </r>
  </si>
  <si>
    <r>
      <t>Msat(S</t>
    </r>
    <r>
      <rPr>
        <vertAlign val="subscript"/>
        <sz val="11"/>
        <rFont val="Calibri"/>
        <family val="2"/>
        <scheme val="minor"/>
      </rPr>
      <t>VFA</t>
    </r>
    <r>
      <rPr>
        <sz val="11"/>
        <rFont val="Calibri"/>
        <family val="2"/>
        <scheme val="minor"/>
      </rPr>
      <t>;K</t>
    </r>
    <r>
      <rPr>
        <vertAlign val="subscript"/>
        <sz val="11"/>
        <rFont val="Calibri"/>
        <family val="2"/>
        <scheme val="minor"/>
      </rPr>
      <t>VFA,NO</t>
    </r>
    <r>
      <rPr>
        <sz val="11"/>
        <rFont val="Calibri"/>
        <family val="2"/>
        <scheme val="minor"/>
      </rPr>
      <t>)</t>
    </r>
  </si>
  <si>
    <r>
      <t>Msat(S</t>
    </r>
    <r>
      <rPr>
        <vertAlign val="subscript"/>
        <sz val="11"/>
        <rFont val="Calibri"/>
        <family val="2"/>
        <scheme val="minor"/>
      </rPr>
      <t>VFA</t>
    </r>
    <r>
      <rPr>
        <sz val="11"/>
        <rFont val="Calibri"/>
        <family val="2"/>
        <scheme val="minor"/>
      </rPr>
      <t>;K</t>
    </r>
    <r>
      <rPr>
        <vertAlign val="subscript"/>
        <sz val="11"/>
        <rFont val="Calibri"/>
        <family val="2"/>
        <scheme val="minor"/>
      </rPr>
      <t>VFA,N2O</t>
    </r>
    <r>
      <rPr>
        <sz val="11"/>
        <rFont val="Calibri"/>
        <family val="2"/>
        <scheme val="minor"/>
      </rPr>
      <t>)</t>
    </r>
  </si>
  <si>
    <t>r103</t>
  </si>
  <si>
    <t>r104</t>
  </si>
  <si>
    <t>r105</t>
  </si>
  <si>
    <t>r106</t>
  </si>
  <si>
    <r>
      <t>Msat</t>
    </r>
    <r>
      <rPr>
        <vertAlign val="subscript"/>
        <sz val="11"/>
        <rFont val="Calibri"/>
        <family val="2"/>
      </rPr>
      <t>SN2O,KN2O,OHO</t>
    </r>
  </si>
  <si>
    <t>Sumo4N_Pocquet_Hiatt&amp;Grady</t>
  </si>
  <si>
    <t>4-step nitrification</t>
  </si>
  <si>
    <t>COD removal including 4-step denitrification</t>
  </si>
  <si>
    <t>4-step denitrification</t>
  </si>
  <si>
    <t>Anoxic growth of OHOs from Hiatt&amp;Grady, 2008 only for OHO denit on SB and VFA</t>
  </si>
  <si>
    <t>From Pocquet et al. 2016</t>
  </si>
  <si>
    <t>AOB NH2OH oxidation to NO</t>
  </si>
  <si>
    <t>AOB NO oxidation to NO2</t>
  </si>
  <si>
    <r>
      <t>S</t>
    </r>
    <r>
      <rPr>
        <b/>
        <vertAlign val="subscript"/>
        <sz val="11"/>
        <rFont val="Calibri"/>
        <family val="2"/>
        <scheme val="minor"/>
      </rPr>
      <t>NH2OH</t>
    </r>
  </si>
  <si>
    <r>
      <t>-EEQ</t>
    </r>
    <r>
      <rPr>
        <vertAlign val="subscript"/>
        <sz val="11"/>
        <rFont val="Calibri"/>
        <family val="2"/>
        <scheme val="minor"/>
      </rPr>
      <t>NH2OH</t>
    </r>
  </si>
  <si>
    <r>
      <t>S</t>
    </r>
    <r>
      <rPr>
        <b/>
        <vertAlign val="subscript"/>
        <sz val="11"/>
        <rFont val="Calibri"/>
        <family val="2"/>
        <charset val="238"/>
        <scheme val="minor"/>
      </rPr>
      <t>NH2OH</t>
    </r>
  </si>
  <si>
    <r>
      <t>Hydroxylamine (NH</t>
    </r>
    <r>
      <rPr>
        <vertAlign val="subscript"/>
        <sz val="11"/>
        <color rgb="FF000000"/>
        <rFont val="Calibri"/>
        <family val="2"/>
        <scheme val="minor"/>
      </rPr>
      <t>2</t>
    </r>
    <r>
      <rPr>
        <sz val="11"/>
        <color rgb="FF000000"/>
        <rFont val="Calibri"/>
        <family val="2"/>
        <scheme val="minor"/>
      </rPr>
      <t>OH</t>
    </r>
    <r>
      <rPr>
        <sz val="11"/>
        <color rgb="FF000000"/>
        <rFont val="Calibri"/>
        <family val="2"/>
        <charset val="238"/>
        <scheme val="minor"/>
      </rPr>
      <t>)</t>
    </r>
  </si>
  <si>
    <r>
      <t>-1/Y</t>
    </r>
    <r>
      <rPr>
        <vertAlign val="subscript"/>
        <sz val="11"/>
        <rFont val="Calibri"/>
        <family val="2"/>
      </rPr>
      <t>AOB</t>
    </r>
  </si>
  <si>
    <r>
      <t>-EEQ</t>
    </r>
    <r>
      <rPr>
        <vertAlign val="subscript"/>
        <sz val="11"/>
        <rFont val="Calibri"/>
        <family val="2"/>
      </rPr>
      <t>NH2OH</t>
    </r>
  </si>
  <si>
    <r>
      <t>-(EEQ</t>
    </r>
    <r>
      <rPr>
        <vertAlign val="subscript"/>
        <sz val="11"/>
        <rFont val="Calibri"/>
        <family val="2"/>
      </rPr>
      <t>NH2OH,NO</t>
    </r>
    <r>
      <rPr>
        <sz val="11"/>
        <rFont val="Calibri"/>
        <family val="2"/>
      </rPr>
      <t>-Y</t>
    </r>
    <r>
      <rPr>
        <vertAlign val="subscript"/>
        <sz val="11"/>
        <rFont val="Calibri"/>
        <family val="2"/>
      </rPr>
      <t>AOB</t>
    </r>
    <r>
      <rPr>
        <sz val="11"/>
        <rFont val="Calibri"/>
        <family val="2"/>
      </rPr>
      <t>)/Y</t>
    </r>
    <r>
      <rPr>
        <vertAlign val="subscript"/>
        <sz val="11"/>
        <rFont val="Calibri"/>
        <family val="2"/>
      </rPr>
      <t>AOB</t>
    </r>
  </si>
  <si>
    <r>
      <t>-EEQ</t>
    </r>
    <r>
      <rPr>
        <vertAlign val="subscript"/>
        <sz val="11"/>
        <rFont val="Calibri"/>
        <family val="2"/>
      </rPr>
      <t>NO,NO2</t>
    </r>
  </si>
  <si>
    <t>4-step AOB nitrification</t>
  </si>
  <si>
    <t>0.78 d-1 in Pocquet et al., 2016</t>
  </si>
  <si>
    <t>same in Sumo2 and Pocquet et al., 2016</t>
  </si>
  <si>
    <r>
      <t>K</t>
    </r>
    <r>
      <rPr>
        <vertAlign val="subscript"/>
        <sz val="11"/>
        <color indexed="8"/>
        <rFont val="Calibri"/>
        <family val="2"/>
        <scheme val="minor"/>
      </rPr>
      <t>NH2OH,AOB,AS</t>
    </r>
  </si>
  <si>
    <r>
      <t>Half-saturation of NH</t>
    </r>
    <r>
      <rPr>
        <vertAlign val="subscript"/>
        <sz val="11"/>
        <color rgb="FF000000"/>
        <rFont val="Calibri"/>
        <family val="2"/>
        <scheme val="minor"/>
      </rPr>
      <t>2</t>
    </r>
    <r>
      <rPr>
        <sz val="11"/>
        <color rgb="FF000000"/>
        <rFont val="Calibri"/>
        <family val="2"/>
        <charset val="238"/>
        <scheme val="minor"/>
      </rPr>
      <t>OH for AOBs (AS)</t>
    </r>
  </si>
  <si>
    <r>
      <t>K</t>
    </r>
    <r>
      <rPr>
        <vertAlign val="subscript"/>
        <sz val="11"/>
        <rFont val="Calibri"/>
        <family val="2"/>
        <scheme val="minor"/>
      </rPr>
      <t>NO,NO2,AOB,AS</t>
    </r>
  </si>
  <si>
    <r>
      <t>K</t>
    </r>
    <r>
      <rPr>
        <vertAlign val="subscript"/>
        <sz val="11"/>
        <rFont val="Calibri"/>
        <family val="2"/>
        <scheme val="minor"/>
      </rPr>
      <t>NO,N2O,AOB,AS</t>
    </r>
  </si>
  <si>
    <r>
      <t>Ki</t>
    </r>
    <r>
      <rPr>
        <vertAlign val="subscript"/>
        <sz val="11"/>
        <rFont val="Calibri"/>
        <family val="2"/>
        <scheme val="minor"/>
      </rPr>
      <t>O2,AOB,AS</t>
    </r>
  </si>
  <si>
    <t>Half-inhibition of O2 for N2O production by AOBs</t>
  </si>
  <si>
    <r>
      <t>Half-saturation of O</t>
    </r>
    <r>
      <rPr>
        <vertAlign val="subscript"/>
        <sz val="11"/>
        <color rgb="FF000000"/>
        <rFont val="Calibri"/>
        <family val="2"/>
        <scheme val="minor"/>
      </rPr>
      <t>2</t>
    </r>
    <r>
      <rPr>
        <sz val="11"/>
        <color rgb="FF000000"/>
        <rFont val="Calibri"/>
        <family val="2"/>
        <charset val="238"/>
        <scheme val="minor"/>
      </rPr>
      <t xml:space="preserve"> for NHx oxydation by AOBs (AS)</t>
    </r>
  </si>
  <si>
    <r>
      <t>Half-saturation of O</t>
    </r>
    <r>
      <rPr>
        <vertAlign val="subscript"/>
        <sz val="11"/>
        <color rgb="FF000000"/>
        <rFont val="Calibri"/>
        <family val="2"/>
        <scheme val="minor"/>
      </rPr>
      <t>2</t>
    </r>
    <r>
      <rPr>
        <sz val="11"/>
        <color rgb="FF000000"/>
        <rFont val="Calibri"/>
        <family val="2"/>
        <charset val="238"/>
        <scheme val="minor"/>
      </rPr>
      <t xml:space="preserve"> for NH2OH oxydation by AOBs (AS)</t>
    </r>
  </si>
  <si>
    <r>
      <t>Half-saturation of O</t>
    </r>
    <r>
      <rPr>
        <vertAlign val="subscript"/>
        <sz val="11"/>
        <color rgb="FF000000"/>
        <rFont val="Calibri"/>
        <family val="2"/>
        <scheme val="minor"/>
      </rPr>
      <t>2</t>
    </r>
    <r>
      <rPr>
        <sz val="11"/>
        <color rgb="FF000000"/>
        <rFont val="Calibri"/>
        <family val="2"/>
        <charset val="238"/>
        <scheme val="minor"/>
      </rPr>
      <t xml:space="preserve"> for NHx oxydation by AOBs (Sidestream)</t>
    </r>
  </si>
  <si>
    <r>
      <t>Half-saturation of O</t>
    </r>
    <r>
      <rPr>
        <vertAlign val="subscript"/>
        <sz val="11"/>
        <color rgb="FF000000"/>
        <rFont val="Calibri"/>
        <family val="2"/>
        <scheme val="minor"/>
      </rPr>
      <t>2</t>
    </r>
    <r>
      <rPr>
        <sz val="11"/>
        <color rgb="FF000000"/>
        <rFont val="Calibri"/>
        <family val="2"/>
        <charset val="238"/>
        <scheme val="minor"/>
      </rPr>
      <t xml:space="preserve"> for NH2OH oxydation by AOBs (Sidestream)</t>
    </r>
  </si>
  <si>
    <t>doubled compared to AS</t>
  </si>
  <si>
    <t>AOB NHx oxidation to NH2OH</t>
  </si>
  <si>
    <r>
      <t>EEQ</t>
    </r>
    <r>
      <rPr>
        <vertAlign val="subscript"/>
        <sz val="11"/>
        <rFont val="Calibri"/>
        <family val="2"/>
      </rPr>
      <t>NH2OH</t>
    </r>
  </si>
  <si>
    <t>Electron equivalence of NH2OH</t>
  </si>
  <si>
    <r>
      <t>EEQ</t>
    </r>
    <r>
      <rPr>
        <vertAlign val="subscript"/>
        <sz val="11"/>
        <rFont val="Calibri"/>
        <family val="2"/>
      </rPr>
      <t>NH2OH,NO</t>
    </r>
  </si>
  <si>
    <t>Electron equivalence of NH2OH to NO</t>
  </si>
  <si>
    <r>
      <t>Half-saturation of O</t>
    </r>
    <r>
      <rPr>
        <vertAlign val="subscript"/>
        <sz val="11"/>
        <color rgb="FF000000"/>
        <rFont val="Calibri"/>
        <family val="2"/>
        <scheme val="minor"/>
      </rPr>
      <t>2</t>
    </r>
    <r>
      <rPr>
        <sz val="11"/>
        <color rgb="FF000000"/>
        <rFont val="Calibri"/>
        <family val="2"/>
        <charset val="238"/>
        <scheme val="minor"/>
      </rPr>
      <t xml:space="preserve"> for NHx oxydation by AOBs</t>
    </r>
  </si>
  <si>
    <r>
      <t>Half-saturation of O</t>
    </r>
    <r>
      <rPr>
        <vertAlign val="subscript"/>
        <sz val="11"/>
        <color rgb="FF000000"/>
        <rFont val="Calibri"/>
        <family val="2"/>
        <scheme val="minor"/>
      </rPr>
      <t>2</t>
    </r>
    <r>
      <rPr>
        <sz val="11"/>
        <color rgb="FF000000"/>
        <rFont val="Calibri"/>
        <family val="2"/>
        <charset val="238"/>
        <scheme val="minor"/>
      </rPr>
      <t xml:space="preserve"> for NH2OH oxydation by AOBs</t>
    </r>
  </si>
  <si>
    <r>
      <t>Half-saturation of NH</t>
    </r>
    <r>
      <rPr>
        <vertAlign val="subscript"/>
        <sz val="11"/>
        <color rgb="FF000000"/>
        <rFont val="Calibri"/>
        <family val="2"/>
        <scheme val="minor"/>
      </rPr>
      <t>2</t>
    </r>
    <r>
      <rPr>
        <sz val="11"/>
        <color rgb="FF000000"/>
        <rFont val="Calibri"/>
        <family val="2"/>
        <scheme val="minor"/>
      </rPr>
      <t>OH</t>
    </r>
    <r>
      <rPr>
        <sz val="11"/>
        <color rgb="FF000000"/>
        <rFont val="Calibri"/>
        <family val="2"/>
        <charset val="238"/>
        <scheme val="minor"/>
      </rPr>
      <t xml:space="preserve"> for AOBs</t>
    </r>
  </si>
  <si>
    <r>
      <t>K</t>
    </r>
    <r>
      <rPr>
        <vertAlign val="subscript"/>
        <sz val="11"/>
        <rFont val="Calibri"/>
        <family val="2"/>
        <scheme val="minor"/>
      </rPr>
      <t>NH2OH,AOB</t>
    </r>
  </si>
  <si>
    <r>
      <t>K</t>
    </r>
    <r>
      <rPr>
        <vertAlign val="subscript"/>
        <sz val="11"/>
        <rFont val="Calibri"/>
        <family val="2"/>
      </rPr>
      <t>NH2OH,AOB,AS</t>
    </r>
  </si>
  <si>
    <r>
      <t>K</t>
    </r>
    <r>
      <rPr>
        <vertAlign val="subscript"/>
        <sz val="11"/>
        <rFont val="Calibri"/>
        <family val="2"/>
      </rPr>
      <t>NH2OH,AOB,AS</t>
    </r>
    <r>
      <rPr>
        <sz val="11"/>
        <rFont val="Calibri"/>
        <family val="2"/>
      </rPr>
      <t>*f</t>
    </r>
    <r>
      <rPr>
        <vertAlign val="subscript"/>
        <sz val="11"/>
        <rFont val="Calibri"/>
        <family val="2"/>
      </rPr>
      <t>KS</t>
    </r>
  </si>
  <si>
    <r>
      <t>Half-saturation of NO to NO2</t>
    </r>
    <r>
      <rPr>
        <sz val="11"/>
        <color rgb="FF000000"/>
        <rFont val="Calibri"/>
        <family val="2"/>
        <charset val="238"/>
        <scheme val="minor"/>
      </rPr>
      <t xml:space="preserve"> for AOBs</t>
    </r>
  </si>
  <si>
    <r>
      <t>Half-saturation of NO to N2O</t>
    </r>
    <r>
      <rPr>
        <sz val="11"/>
        <color rgb="FF000000"/>
        <rFont val="Calibri"/>
        <family val="2"/>
        <charset val="238"/>
        <scheme val="minor"/>
      </rPr>
      <t xml:space="preserve"> for AOBs</t>
    </r>
  </si>
  <si>
    <r>
      <t>K</t>
    </r>
    <r>
      <rPr>
        <vertAlign val="subscript"/>
        <sz val="11"/>
        <rFont val="Calibri"/>
        <family val="2"/>
        <scheme val="minor"/>
      </rPr>
      <t>NO,NO2,AOB,AS</t>
    </r>
    <r>
      <rPr>
        <sz val="11"/>
        <rFont val="Calibri"/>
        <family val="2"/>
      </rPr>
      <t>*f</t>
    </r>
    <r>
      <rPr>
        <vertAlign val="subscript"/>
        <sz val="11"/>
        <rFont val="Calibri"/>
        <family val="2"/>
      </rPr>
      <t>KS</t>
    </r>
  </si>
  <si>
    <r>
      <t>K</t>
    </r>
    <r>
      <rPr>
        <vertAlign val="subscript"/>
        <sz val="11"/>
        <rFont val="Calibri"/>
        <family val="2"/>
        <scheme val="minor"/>
      </rPr>
      <t>NO,N2O,AOB,AS</t>
    </r>
    <r>
      <rPr>
        <sz val="11"/>
        <rFont val="Calibri"/>
        <family val="2"/>
      </rPr>
      <t>*f</t>
    </r>
    <r>
      <rPr>
        <vertAlign val="subscript"/>
        <sz val="11"/>
        <rFont val="Calibri"/>
        <family val="2"/>
      </rPr>
      <t>KS</t>
    </r>
  </si>
  <si>
    <r>
      <t>Ki</t>
    </r>
    <r>
      <rPr>
        <vertAlign val="subscript"/>
        <sz val="11"/>
        <rFont val="Calibri"/>
        <family val="2"/>
        <scheme val="minor"/>
      </rPr>
      <t>O2,AOB,AS</t>
    </r>
    <r>
      <rPr>
        <sz val="11"/>
        <rFont val="Calibri"/>
        <family val="2"/>
      </rPr>
      <t>*f</t>
    </r>
    <r>
      <rPr>
        <vertAlign val="subscript"/>
        <sz val="11"/>
        <rFont val="Calibri"/>
        <family val="2"/>
      </rPr>
      <t>KS</t>
    </r>
  </si>
  <si>
    <r>
      <t>K</t>
    </r>
    <r>
      <rPr>
        <vertAlign val="subscript"/>
        <sz val="11"/>
        <rFont val="Calibri"/>
        <family val="2"/>
        <scheme val="minor"/>
      </rPr>
      <t>NO,NO2,AOB</t>
    </r>
  </si>
  <si>
    <r>
      <t>K</t>
    </r>
    <r>
      <rPr>
        <vertAlign val="subscript"/>
        <sz val="11"/>
        <rFont val="Calibri"/>
        <family val="2"/>
        <scheme val="minor"/>
      </rPr>
      <t>NO,N2O,AOB</t>
    </r>
  </si>
  <si>
    <r>
      <t>Ki</t>
    </r>
    <r>
      <rPr>
        <vertAlign val="subscript"/>
        <sz val="11"/>
        <rFont val="Calibri"/>
        <family val="2"/>
        <scheme val="minor"/>
      </rPr>
      <t>O2,AOB</t>
    </r>
  </si>
  <si>
    <r>
      <t>Msat</t>
    </r>
    <r>
      <rPr>
        <vertAlign val="subscript"/>
        <sz val="11"/>
        <rFont val="Calibri"/>
        <family val="2"/>
      </rPr>
      <t>SO2,KO2,NHx,AOB</t>
    </r>
  </si>
  <si>
    <r>
      <t>Saturation term for O</t>
    </r>
    <r>
      <rPr>
        <vertAlign val="subscript"/>
        <sz val="11"/>
        <color rgb="FF000000"/>
        <rFont val="Calibri"/>
        <family val="2"/>
        <scheme val="minor"/>
      </rPr>
      <t>2</t>
    </r>
    <r>
      <rPr>
        <sz val="11"/>
        <color rgb="FF000000"/>
        <rFont val="Calibri"/>
        <family val="2"/>
        <charset val="238"/>
        <scheme val="minor"/>
      </rPr>
      <t xml:space="preserve"> for NHx oxidation (AOB)</t>
    </r>
  </si>
  <si>
    <r>
      <t>Msat(S</t>
    </r>
    <r>
      <rPr>
        <vertAlign val="subscript"/>
        <sz val="11"/>
        <rFont val="Calibri"/>
        <family val="2"/>
      </rPr>
      <t>O2</t>
    </r>
    <r>
      <rPr>
        <sz val="11"/>
        <rFont val="Calibri"/>
        <family val="2"/>
      </rPr>
      <t>;K</t>
    </r>
    <r>
      <rPr>
        <vertAlign val="subscript"/>
        <sz val="11"/>
        <rFont val="Calibri"/>
        <family val="2"/>
      </rPr>
      <t>O2,NHx,AOB</t>
    </r>
    <r>
      <rPr>
        <sz val="11"/>
        <rFont val="Calibri"/>
        <family val="2"/>
      </rPr>
      <t>)</t>
    </r>
  </si>
  <si>
    <r>
      <t>Msat</t>
    </r>
    <r>
      <rPr>
        <vertAlign val="subscript"/>
        <sz val="11"/>
        <rFont val="Calibri"/>
        <family val="2"/>
      </rPr>
      <t>SO2,KO2,NH2OH,AOB</t>
    </r>
  </si>
  <si>
    <r>
      <t>Saturation term for O</t>
    </r>
    <r>
      <rPr>
        <vertAlign val="subscript"/>
        <sz val="11"/>
        <color rgb="FF000000"/>
        <rFont val="Calibri"/>
        <family val="2"/>
        <scheme val="minor"/>
      </rPr>
      <t>2</t>
    </r>
    <r>
      <rPr>
        <sz val="11"/>
        <color rgb="FF000000"/>
        <rFont val="Calibri"/>
        <family val="2"/>
        <charset val="238"/>
        <scheme val="minor"/>
      </rPr>
      <t xml:space="preserve"> for NH2OH oxidation (AOB)</t>
    </r>
  </si>
  <si>
    <r>
      <t>Msat(S</t>
    </r>
    <r>
      <rPr>
        <vertAlign val="subscript"/>
        <sz val="11"/>
        <rFont val="Calibri"/>
        <family val="2"/>
      </rPr>
      <t>O2</t>
    </r>
    <r>
      <rPr>
        <sz val="11"/>
        <rFont val="Calibri"/>
        <family val="2"/>
      </rPr>
      <t>;K</t>
    </r>
    <r>
      <rPr>
        <vertAlign val="subscript"/>
        <sz val="11"/>
        <rFont val="Calibri"/>
        <family val="2"/>
      </rPr>
      <t>O2,NH2OH,AOB</t>
    </r>
    <r>
      <rPr>
        <sz val="11"/>
        <rFont val="Calibri"/>
        <family val="2"/>
      </rPr>
      <t>)</t>
    </r>
  </si>
  <si>
    <r>
      <t>K</t>
    </r>
    <r>
      <rPr>
        <vertAlign val="subscript"/>
        <sz val="11"/>
        <color indexed="8"/>
        <rFont val="Calibri"/>
        <family val="2"/>
        <scheme val="minor"/>
      </rPr>
      <t>O2,NHx,AOB</t>
    </r>
  </si>
  <si>
    <r>
      <t>K</t>
    </r>
    <r>
      <rPr>
        <vertAlign val="subscript"/>
        <sz val="11"/>
        <color indexed="8"/>
        <rFont val="Calibri"/>
        <family val="2"/>
        <scheme val="minor"/>
      </rPr>
      <t>O2,NH2OH,AOB</t>
    </r>
  </si>
  <si>
    <r>
      <t>K</t>
    </r>
    <r>
      <rPr>
        <vertAlign val="subscript"/>
        <sz val="11"/>
        <color indexed="8"/>
        <rFont val="Calibri"/>
        <family val="2"/>
        <scheme val="minor"/>
      </rPr>
      <t>O2,NHx,AOB,sidestream</t>
    </r>
  </si>
  <si>
    <r>
      <t>K</t>
    </r>
    <r>
      <rPr>
        <vertAlign val="subscript"/>
        <sz val="11"/>
        <rFont val="Calibri"/>
        <family val="2"/>
      </rPr>
      <t>O2,NHx,AOB,AS</t>
    </r>
    <r>
      <rPr>
        <sz val="11"/>
        <rFont val="Calibri"/>
        <family val="2"/>
      </rPr>
      <t>*f</t>
    </r>
    <r>
      <rPr>
        <vertAlign val="subscript"/>
        <sz val="11"/>
        <rFont val="Calibri"/>
        <family val="2"/>
      </rPr>
      <t>KS</t>
    </r>
  </si>
  <si>
    <r>
      <t>K</t>
    </r>
    <r>
      <rPr>
        <vertAlign val="subscript"/>
        <sz val="11"/>
        <color indexed="8"/>
        <rFont val="Calibri"/>
        <family val="2"/>
        <scheme val="minor"/>
      </rPr>
      <t>O2,NH2OH,AOB,sidestream</t>
    </r>
  </si>
  <si>
    <r>
      <t>K</t>
    </r>
    <r>
      <rPr>
        <vertAlign val="subscript"/>
        <sz val="11"/>
        <rFont val="Calibri"/>
        <family val="2"/>
      </rPr>
      <t>O2,NH2OH,AOB,AS</t>
    </r>
    <r>
      <rPr>
        <sz val="11"/>
        <rFont val="Calibri"/>
        <family val="2"/>
      </rPr>
      <t>*f</t>
    </r>
    <r>
      <rPr>
        <vertAlign val="subscript"/>
        <sz val="11"/>
        <rFont val="Calibri"/>
        <family val="2"/>
      </rPr>
      <t>KS</t>
    </r>
  </si>
  <si>
    <r>
      <t>K</t>
    </r>
    <r>
      <rPr>
        <vertAlign val="subscript"/>
        <sz val="11"/>
        <color indexed="8"/>
        <rFont val="Calibri"/>
        <family val="2"/>
        <scheme val="minor"/>
      </rPr>
      <t>O2,NHx,AOB,AS</t>
    </r>
  </si>
  <si>
    <r>
      <t>K</t>
    </r>
    <r>
      <rPr>
        <vertAlign val="subscript"/>
        <sz val="11"/>
        <color indexed="8"/>
        <rFont val="Calibri"/>
        <family val="2"/>
        <scheme val="minor"/>
      </rPr>
      <t>O2,NH2OH,AOB,AS</t>
    </r>
  </si>
  <si>
    <r>
      <t>Msat</t>
    </r>
    <r>
      <rPr>
        <vertAlign val="subscript"/>
        <sz val="11"/>
        <rFont val="Calibri"/>
        <family val="2"/>
        <scheme val="minor"/>
      </rPr>
      <t>SNO,KNO,NO2,AOB</t>
    </r>
  </si>
  <si>
    <r>
      <t>Msat</t>
    </r>
    <r>
      <rPr>
        <vertAlign val="subscript"/>
        <sz val="11"/>
        <rFont val="Calibri"/>
        <family val="2"/>
        <scheme val="minor"/>
      </rPr>
      <t>SNO,KNO,N2O,AOB</t>
    </r>
  </si>
  <si>
    <r>
      <t>Minh</t>
    </r>
    <r>
      <rPr>
        <vertAlign val="subscript"/>
        <sz val="11"/>
        <rFont val="Calibri"/>
        <family val="2"/>
      </rPr>
      <t>SO2,KiO2,AOB</t>
    </r>
  </si>
  <si>
    <r>
      <t>Minh(S</t>
    </r>
    <r>
      <rPr>
        <vertAlign val="subscript"/>
        <sz val="11"/>
        <rFont val="Calibri"/>
        <family val="2"/>
      </rPr>
      <t>O2</t>
    </r>
    <r>
      <rPr>
        <sz val="11"/>
        <rFont val="Calibri"/>
        <family val="2"/>
      </rPr>
      <t>;Ki</t>
    </r>
    <r>
      <rPr>
        <vertAlign val="subscript"/>
        <sz val="11"/>
        <rFont val="Calibri"/>
        <family val="2"/>
      </rPr>
      <t>O2,AOB</t>
    </r>
    <r>
      <rPr>
        <sz val="11"/>
        <rFont val="Calibri"/>
        <family val="2"/>
      </rPr>
      <t>)</t>
    </r>
  </si>
  <si>
    <r>
      <t>Msat</t>
    </r>
    <r>
      <rPr>
        <vertAlign val="subscript"/>
        <sz val="11"/>
        <rFont val="Calibri"/>
        <family val="2"/>
      </rPr>
      <t>SNH2OH,KNH2OH,AOB</t>
    </r>
  </si>
  <si>
    <r>
      <t>Saturation term for NH</t>
    </r>
    <r>
      <rPr>
        <vertAlign val="subscript"/>
        <sz val="11"/>
        <color rgb="FF000000"/>
        <rFont val="Calibri"/>
        <family val="2"/>
        <scheme val="minor"/>
      </rPr>
      <t>2OH</t>
    </r>
    <r>
      <rPr>
        <sz val="11"/>
        <color rgb="FF000000"/>
        <rFont val="Calibri"/>
        <family val="2"/>
        <charset val="238"/>
        <scheme val="minor"/>
      </rPr>
      <t xml:space="preserve"> (AOB)</t>
    </r>
  </si>
  <si>
    <r>
      <t>Msat(S</t>
    </r>
    <r>
      <rPr>
        <vertAlign val="subscript"/>
        <sz val="11"/>
        <rFont val="Calibri"/>
        <family val="2"/>
      </rPr>
      <t>NH2OH</t>
    </r>
    <r>
      <rPr>
        <sz val="11"/>
        <rFont val="Calibri"/>
        <family val="2"/>
      </rPr>
      <t>;K</t>
    </r>
    <r>
      <rPr>
        <vertAlign val="subscript"/>
        <sz val="11"/>
        <rFont val="Calibri"/>
        <family val="2"/>
      </rPr>
      <t>NH2OH,AOB</t>
    </r>
    <r>
      <rPr>
        <sz val="11"/>
        <rFont val="Calibri"/>
        <family val="2"/>
      </rPr>
      <t>)</t>
    </r>
  </si>
  <si>
    <r>
      <t>µ</t>
    </r>
    <r>
      <rPr>
        <vertAlign val="subscript"/>
        <sz val="11"/>
        <rFont val="Calibri"/>
        <family val="2"/>
      </rPr>
      <t>AOB,T</t>
    </r>
    <r>
      <rPr>
        <sz val="11"/>
        <rFont val="Calibri"/>
        <family val="2"/>
      </rPr>
      <t>*X</t>
    </r>
    <r>
      <rPr>
        <vertAlign val="subscript"/>
        <sz val="11"/>
        <rFont val="Calibri"/>
        <family val="2"/>
      </rPr>
      <t>AOB</t>
    </r>
    <r>
      <rPr>
        <sz val="11"/>
        <rFont val="Calibri"/>
        <family val="2"/>
      </rPr>
      <t>*Msat</t>
    </r>
    <r>
      <rPr>
        <vertAlign val="subscript"/>
        <sz val="11"/>
        <rFont val="Calibri"/>
        <family val="2"/>
      </rPr>
      <t>SNH2OH,KNH2OH,AOB</t>
    </r>
    <r>
      <rPr>
        <sz val="11"/>
        <rFont val="Calibri"/>
        <family val="2"/>
      </rPr>
      <t>*Msat</t>
    </r>
    <r>
      <rPr>
        <vertAlign val="subscript"/>
        <sz val="11"/>
        <rFont val="Calibri"/>
        <family val="2"/>
      </rPr>
      <t>SO2,KO2,NH2OH,AOB</t>
    </r>
    <r>
      <rPr>
        <sz val="11"/>
        <rFont val="Calibri"/>
        <family val="2"/>
      </rPr>
      <t>*Msat</t>
    </r>
    <r>
      <rPr>
        <vertAlign val="subscript"/>
        <sz val="11"/>
        <rFont val="Calibri"/>
        <family val="2"/>
      </rPr>
      <t>SNHx,KNHx,AOB</t>
    </r>
    <r>
      <rPr>
        <sz val="11"/>
        <rFont val="Calibri"/>
        <family val="2"/>
      </rPr>
      <t>*LogsatpH</t>
    </r>
    <r>
      <rPr>
        <vertAlign val="subscript"/>
        <sz val="11"/>
        <rFont val="Calibri"/>
        <family val="2"/>
      </rPr>
      <t>CO2,AOB</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</si>
  <si>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K</t>
    </r>
    <r>
      <rPr>
        <vertAlign val="subscript"/>
        <sz val="11"/>
        <color indexed="8"/>
        <rFont val="Calibri"/>
        <family val="2"/>
        <scheme val="minor"/>
      </rPr>
      <t>O2,AOB,sidestream</t>
    </r>
  </si>
  <si>
    <r>
      <t>Half-saturation of O</t>
    </r>
    <r>
      <rPr>
        <vertAlign val="subscript"/>
        <sz val="11"/>
        <color rgb="FF000000"/>
        <rFont val="Calibri"/>
        <family val="2"/>
        <scheme val="minor"/>
      </rPr>
      <t>2</t>
    </r>
    <r>
      <rPr>
        <sz val="11"/>
        <color rgb="FF000000"/>
        <rFont val="Calibri"/>
        <family val="2"/>
        <charset val="238"/>
        <scheme val="minor"/>
      </rPr>
      <t xml:space="preserve"> for AOBs (Sidestream)</t>
    </r>
  </si>
  <si>
    <r>
      <t>K</t>
    </r>
    <r>
      <rPr>
        <vertAlign val="subscript"/>
        <sz val="11"/>
        <color indexed="8"/>
        <rFont val="Calibri"/>
        <family val="2"/>
        <scheme val="minor"/>
      </rPr>
      <t>O2,AOB,AS</t>
    </r>
  </si>
  <si>
    <r>
      <t>Half-saturation of O</t>
    </r>
    <r>
      <rPr>
        <vertAlign val="subscript"/>
        <sz val="11"/>
        <color rgb="FF000000"/>
        <rFont val="Calibri"/>
        <family val="2"/>
        <scheme val="minor"/>
      </rPr>
      <t>2</t>
    </r>
    <r>
      <rPr>
        <sz val="11"/>
        <color rgb="FF000000"/>
        <rFont val="Calibri"/>
        <family val="2"/>
        <charset val="238"/>
        <scheme val="minor"/>
      </rPr>
      <t xml:space="preserve"> for AOBs (AS)</t>
    </r>
  </si>
  <si>
    <t>unused</t>
  </si>
  <si>
    <t>is replaced with a simple Monod inhibition term. This results in a reduction in anoxie</t>
  </si>
  <si>
    <t xml:space="preserve"> with Hydroxylamine, what is observed by some authors (suggestion from Mathieu Sperandio)</t>
  </si>
  <si>
    <t>AOB NO reduction to N2O (NN pathway)</t>
  </si>
  <si>
    <t>AOB HNO2 reduction to N2O (ND pathway)</t>
  </si>
  <si>
    <r>
      <t>-(v1_S</t>
    </r>
    <r>
      <rPr>
        <vertAlign val="subscript"/>
        <sz val="11"/>
        <rFont val="Calibri"/>
        <family val="2"/>
        <scheme val="minor"/>
      </rPr>
      <t>O2</t>
    </r>
    <r>
      <rPr>
        <sz val="11"/>
        <rFont val="Calibri"/>
        <family val="2"/>
        <scheme val="minor"/>
      </rPr>
      <t>*r1+v6_S</t>
    </r>
    <r>
      <rPr>
        <vertAlign val="subscript"/>
        <sz val="11"/>
        <rFont val="Calibri"/>
        <family val="2"/>
        <scheme val="minor"/>
      </rPr>
      <t>O2</t>
    </r>
    <r>
      <rPr>
        <sz val="11"/>
        <rFont val="Calibri"/>
        <family val="2"/>
        <scheme val="minor"/>
      </rPr>
      <t>*r6+v13_S</t>
    </r>
    <r>
      <rPr>
        <vertAlign val="subscript"/>
        <sz val="11"/>
        <rFont val="Calibri"/>
        <family val="2"/>
        <scheme val="minor"/>
      </rPr>
      <t>O2</t>
    </r>
    <r>
      <rPr>
        <sz val="11"/>
        <rFont val="Calibri"/>
        <family val="2"/>
        <scheme val="minor"/>
      </rPr>
      <t>*r13+v20_S</t>
    </r>
    <r>
      <rPr>
        <vertAlign val="subscript"/>
        <sz val="11"/>
        <rFont val="Calibri"/>
        <family val="2"/>
        <scheme val="minor"/>
      </rPr>
      <t>O2</t>
    </r>
    <r>
      <rPr>
        <sz val="11"/>
        <rFont val="Calibri"/>
        <family val="2"/>
        <scheme val="minor"/>
      </rPr>
      <t>*r20+v23_S</t>
    </r>
    <r>
      <rPr>
        <vertAlign val="subscript"/>
        <sz val="11"/>
        <rFont val="Calibri"/>
        <family val="2"/>
        <scheme val="minor"/>
      </rPr>
      <t>O2</t>
    </r>
    <r>
      <rPr>
        <sz val="11"/>
        <rFont val="Calibri"/>
        <family val="2"/>
        <scheme val="minor"/>
      </rPr>
      <t>*r23+v27_S</t>
    </r>
    <r>
      <rPr>
        <vertAlign val="subscript"/>
        <sz val="11"/>
        <rFont val="Calibri"/>
        <family val="2"/>
        <scheme val="minor"/>
      </rPr>
      <t>O2</t>
    </r>
    <r>
      <rPr>
        <sz val="11"/>
        <rFont val="Calibri"/>
        <family val="2"/>
        <scheme val="minor"/>
      </rPr>
      <t>*r27+v35_S</t>
    </r>
    <r>
      <rPr>
        <vertAlign val="subscript"/>
        <sz val="11"/>
        <rFont val="Calibri"/>
        <family val="2"/>
        <scheme val="minor"/>
      </rPr>
      <t>O2</t>
    </r>
    <r>
      <rPr>
        <sz val="11"/>
        <rFont val="Calibri"/>
        <family val="2"/>
        <scheme val="minor"/>
      </rPr>
      <t>*r35+v39_S</t>
    </r>
    <r>
      <rPr>
        <vertAlign val="subscript"/>
        <sz val="11"/>
        <rFont val="Calibri"/>
        <family val="2"/>
        <scheme val="minor"/>
      </rPr>
      <t>O2</t>
    </r>
    <r>
      <rPr>
        <sz val="11"/>
        <rFont val="Calibri"/>
        <family val="2"/>
        <scheme val="minor"/>
      </rPr>
      <t>*r39+v86_S</t>
    </r>
    <r>
      <rPr>
        <vertAlign val="subscript"/>
        <sz val="11"/>
        <rFont val="Calibri"/>
        <family val="2"/>
        <scheme val="minor"/>
      </rPr>
      <t>O2</t>
    </r>
    <r>
      <rPr>
        <sz val="11"/>
        <rFont val="Calibri"/>
        <family val="2"/>
        <scheme val="minor"/>
      </rPr>
      <t>*r86)</t>
    </r>
  </si>
  <si>
    <r>
      <t>-(v45_S</t>
    </r>
    <r>
      <rPr>
        <vertAlign val="subscript"/>
        <sz val="11"/>
        <rFont val="Calibri"/>
        <family val="2"/>
        <scheme val="minor"/>
      </rPr>
      <t>O2</t>
    </r>
    <r>
      <rPr>
        <sz val="11"/>
        <rFont val="Calibri"/>
        <family val="2"/>
        <scheme val="minor"/>
      </rPr>
      <t>*r45+v46_S</t>
    </r>
    <r>
      <rPr>
        <vertAlign val="subscript"/>
        <sz val="11"/>
        <rFont val="Calibri"/>
        <family val="2"/>
        <scheme val="minor"/>
      </rPr>
      <t>O2</t>
    </r>
    <r>
      <rPr>
        <sz val="11"/>
        <rFont val="Calibri"/>
        <family val="2"/>
        <scheme val="minor"/>
      </rPr>
      <t>*r46+v47_S</t>
    </r>
    <r>
      <rPr>
        <vertAlign val="subscript"/>
        <sz val="11"/>
        <rFont val="Calibri"/>
        <family val="2"/>
        <scheme val="minor"/>
      </rPr>
      <t>O2</t>
    </r>
    <r>
      <rPr>
        <sz val="11"/>
        <rFont val="Calibri"/>
        <family val="2"/>
        <scheme val="minor"/>
      </rPr>
      <t>*r47+v52_S</t>
    </r>
    <r>
      <rPr>
        <vertAlign val="subscript"/>
        <sz val="11"/>
        <rFont val="Calibri"/>
        <family val="2"/>
        <scheme val="minor"/>
      </rPr>
      <t>O2</t>
    </r>
    <r>
      <rPr>
        <sz val="11"/>
        <rFont val="Calibri"/>
        <family val="2"/>
        <scheme val="minor"/>
      </rPr>
      <t>*r52)</t>
    </r>
  </si>
  <si>
    <r>
      <t>-(v2_S</t>
    </r>
    <r>
      <rPr>
        <vertAlign val="subscript"/>
        <sz val="11"/>
        <rFont val="Calibri"/>
        <family val="2"/>
        <scheme val="minor"/>
      </rPr>
      <t>NO3</t>
    </r>
    <r>
      <rPr>
        <sz val="11"/>
        <rFont val="Calibri"/>
        <family val="2"/>
        <scheme val="minor"/>
      </rPr>
      <t>*r2+v7_S</t>
    </r>
    <r>
      <rPr>
        <vertAlign val="subscript"/>
        <sz val="11"/>
        <rFont val="Calibri"/>
        <family val="2"/>
        <scheme val="minor"/>
      </rPr>
      <t>NO3</t>
    </r>
    <r>
      <rPr>
        <sz val="11"/>
        <rFont val="Calibri"/>
        <family val="2"/>
        <scheme val="minor"/>
      </rPr>
      <t>*r7+v17_S</t>
    </r>
    <r>
      <rPr>
        <vertAlign val="subscript"/>
        <sz val="11"/>
        <rFont val="Calibri"/>
        <family val="2"/>
        <scheme val="minor"/>
      </rPr>
      <t>NO3</t>
    </r>
    <r>
      <rPr>
        <sz val="11"/>
        <rFont val="Calibri"/>
        <family val="2"/>
        <scheme val="minor"/>
      </rPr>
      <t>*r17+v22_S</t>
    </r>
    <r>
      <rPr>
        <vertAlign val="subscript"/>
        <sz val="11"/>
        <rFont val="Calibri"/>
        <family val="2"/>
        <scheme val="minor"/>
      </rPr>
      <t>NO3</t>
    </r>
    <r>
      <rPr>
        <sz val="11"/>
        <rFont val="Calibri"/>
        <family val="2"/>
        <scheme val="minor"/>
      </rPr>
      <t>*r22+v25_S</t>
    </r>
    <r>
      <rPr>
        <vertAlign val="subscript"/>
        <sz val="11"/>
        <rFont val="Calibri"/>
        <family val="2"/>
        <scheme val="minor"/>
      </rPr>
      <t>NO3</t>
    </r>
    <r>
      <rPr>
        <sz val="11"/>
        <rFont val="Calibri"/>
        <family val="2"/>
        <scheme val="minor"/>
      </rPr>
      <t>*r25+v29_S</t>
    </r>
    <r>
      <rPr>
        <vertAlign val="subscript"/>
        <sz val="11"/>
        <rFont val="Calibri"/>
        <family val="2"/>
        <scheme val="minor"/>
      </rPr>
      <t>NO3</t>
    </r>
    <r>
      <rPr>
        <sz val="11"/>
        <rFont val="Calibri"/>
        <family val="2"/>
        <scheme val="minor"/>
      </rPr>
      <t>*r29+v37_S</t>
    </r>
    <r>
      <rPr>
        <vertAlign val="subscript"/>
        <sz val="11"/>
        <rFont val="Calibri"/>
        <family val="2"/>
        <scheme val="minor"/>
      </rPr>
      <t>NO3</t>
    </r>
    <r>
      <rPr>
        <sz val="11"/>
        <rFont val="Calibri"/>
        <family val="2"/>
        <scheme val="minor"/>
      </rPr>
      <t>*r37+v41_S</t>
    </r>
    <r>
      <rPr>
        <vertAlign val="subscript"/>
        <sz val="11"/>
        <rFont val="Calibri"/>
        <family val="2"/>
        <scheme val="minor"/>
      </rPr>
      <t>NO3</t>
    </r>
    <r>
      <rPr>
        <sz val="11"/>
        <rFont val="Calibri"/>
        <family val="2"/>
        <scheme val="minor"/>
      </rPr>
      <t>*r41+v75_S</t>
    </r>
    <r>
      <rPr>
        <vertAlign val="subscript"/>
        <sz val="11"/>
        <rFont val="Calibri"/>
        <family val="2"/>
        <scheme val="minor"/>
      </rPr>
      <t>NO3</t>
    </r>
    <r>
      <rPr>
        <sz val="11"/>
        <rFont val="Calibri"/>
        <family val="2"/>
        <scheme val="minor"/>
      </rPr>
      <t>*r75)</t>
    </r>
  </si>
  <si>
    <r>
      <t>-(v3_S</t>
    </r>
    <r>
      <rPr>
        <vertAlign val="subscript"/>
        <sz val="11"/>
        <rFont val="Calibri"/>
        <family val="2"/>
        <scheme val="minor"/>
      </rPr>
      <t>NO2</t>
    </r>
    <r>
      <rPr>
        <sz val="11"/>
        <rFont val="Calibri"/>
        <family val="2"/>
        <scheme val="minor"/>
      </rPr>
      <t>*r3+v8_S</t>
    </r>
    <r>
      <rPr>
        <vertAlign val="subscript"/>
        <sz val="11"/>
        <rFont val="Calibri"/>
        <family val="2"/>
        <scheme val="minor"/>
      </rPr>
      <t>NO2</t>
    </r>
    <r>
      <rPr>
        <sz val="11"/>
        <rFont val="Calibri"/>
        <family val="2"/>
        <scheme val="minor"/>
      </rPr>
      <t>*r8+v16_S</t>
    </r>
    <r>
      <rPr>
        <vertAlign val="subscript"/>
        <sz val="11"/>
        <rFont val="Calibri"/>
        <family val="2"/>
        <scheme val="minor"/>
      </rPr>
      <t>NO2</t>
    </r>
    <r>
      <rPr>
        <sz val="11"/>
        <rFont val="Calibri"/>
        <family val="2"/>
        <scheme val="minor"/>
      </rPr>
      <t>*r16+v21_S</t>
    </r>
    <r>
      <rPr>
        <vertAlign val="subscript"/>
        <sz val="11"/>
        <rFont val="Calibri"/>
        <family val="2"/>
        <scheme val="minor"/>
      </rPr>
      <t>NO2</t>
    </r>
    <r>
      <rPr>
        <sz val="11"/>
        <rFont val="Calibri"/>
        <family val="2"/>
        <scheme val="minor"/>
      </rPr>
      <t>*r21+v24_S</t>
    </r>
    <r>
      <rPr>
        <vertAlign val="subscript"/>
        <sz val="11"/>
        <rFont val="Calibri"/>
        <family val="2"/>
        <scheme val="minor"/>
      </rPr>
      <t>NO2</t>
    </r>
    <r>
      <rPr>
        <sz val="11"/>
        <rFont val="Calibri"/>
        <family val="2"/>
        <scheme val="minor"/>
      </rPr>
      <t>*r24+v28_S</t>
    </r>
    <r>
      <rPr>
        <vertAlign val="subscript"/>
        <sz val="11"/>
        <rFont val="Calibri"/>
        <family val="2"/>
        <scheme val="minor"/>
      </rPr>
      <t>NO2</t>
    </r>
    <r>
      <rPr>
        <sz val="11"/>
        <rFont val="Calibri"/>
        <family val="2"/>
        <scheme val="minor"/>
      </rPr>
      <t>*r28+v36_S</t>
    </r>
    <r>
      <rPr>
        <vertAlign val="subscript"/>
        <sz val="11"/>
        <rFont val="Calibri"/>
        <family val="2"/>
        <scheme val="minor"/>
      </rPr>
      <t>NO2</t>
    </r>
    <r>
      <rPr>
        <sz val="11"/>
        <rFont val="Calibri"/>
        <family val="2"/>
        <scheme val="minor"/>
      </rPr>
      <t>*r36+v40_S</t>
    </r>
    <r>
      <rPr>
        <vertAlign val="subscript"/>
        <sz val="11"/>
        <rFont val="Calibri"/>
        <family val="2"/>
        <scheme val="minor"/>
      </rPr>
      <t>NO2</t>
    </r>
    <r>
      <rPr>
        <sz val="11"/>
        <rFont val="Calibri"/>
        <family val="2"/>
        <scheme val="minor"/>
      </rPr>
      <t>*r40+v49_S</t>
    </r>
    <r>
      <rPr>
        <vertAlign val="subscript"/>
        <sz val="11"/>
        <rFont val="Calibri"/>
        <family val="2"/>
        <scheme val="minor"/>
      </rPr>
      <t>NO2</t>
    </r>
    <r>
      <rPr>
        <sz val="11"/>
        <rFont val="Calibri"/>
        <family val="2"/>
        <scheme val="minor"/>
      </rPr>
      <t>*r49+v52_S</t>
    </r>
    <r>
      <rPr>
        <vertAlign val="subscript"/>
        <sz val="11"/>
        <rFont val="Calibri"/>
        <family val="2"/>
        <scheme val="minor"/>
      </rPr>
      <t>NO2</t>
    </r>
    <r>
      <rPr>
        <sz val="11"/>
        <rFont val="Calibri"/>
        <family val="2"/>
        <scheme val="minor"/>
      </rPr>
      <t>*r52+v55_S</t>
    </r>
    <r>
      <rPr>
        <vertAlign val="subscript"/>
        <sz val="11"/>
        <rFont val="Calibri"/>
        <family val="2"/>
        <scheme val="minor"/>
      </rPr>
      <t>NO2</t>
    </r>
    <r>
      <rPr>
        <sz val="11"/>
        <rFont val="Calibri"/>
        <family val="2"/>
        <scheme val="minor"/>
      </rPr>
      <t>*r55+v74_SNO2*r74)</t>
    </r>
  </si>
  <si>
    <r>
      <t>i</t>
    </r>
    <r>
      <rPr>
        <vertAlign val="subscript"/>
        <sz val="11"/>
        <rFont val="Calibri"/>
        <family val="2"/>
        <scheme val="minor"/>
      </rPr>
      <t>N,BIO</t>
    </r>
    <r>
      <rPr>
        <sz val="11"/>
        <rFont val="Calibri"/>
        <family val="2"/>
        <scheme val="minor"/>
      </rPr>
      <t>*(r1+r2+r3+r4+r5+r6+r7+r8+r9+r10+r11+r12+r13+r16+r17+r20+r21+r22+r23+r24+r25+r30+r31+r35+r36+r37+r46+r52+r58+r61)-(v45_S</t>
    </r>
    <r>
      <rPr>
        <vertAlign val="subscript"/>
        <sz val="11"/>
        <rFont val="Calibri"/>
        <family val="2"/>
        <scheme val="minor"/>
      </rPr>
      <t>NHx</t>
    </r>
    <r>
      <rPr>
        <sz val="11"/>
        <rFont val="Calibri"/>
        <family val="2"/>
        <scheme val="minor"/>
      </rPr>
      <t>*r45+v55_S</t>
    </r>
    <r>
      <rPr>
        <vertAlign val="subscript"/>
        <sz val="11"/>
        <rFont val="Calibri"/>
        <family val="2"/>
        <scheme val="minor"/>
      </rPr>
      <t>NHx</t>
    </r>
    <r>
      <rPr>
        <sz val="11"/>
        <rFont val="Calibri"/>
        <family val="2"/>
        <scheme val="minor"/>
      </rPr>
      <t>*r55+v89_S</t>
    </r>
    <r>
      <rPr>
        <vertAlign val="subscript"/>
        <sz val="11"/>
        <rFont val="Calibri"/>
        <family val="2"/>
        <scheme val="minor"/>
      </rPr>
      <t>NHx</t>
    </r>
    <r>
      <rPr>
        <sz val="11"/>
        <rFont val="Calibri"/>
        <family val="2"/>
        <scheme val="minor"/>
      </rPr>
      <t>*r89)</t>
    </r>
  </si>
  <si>
    <r>
      <t>i</t>
    </r>
    <r>
      <rPr>
        <vertAlign val="subscript"/>
        <sz val="11"/>
        <rFont val="Calibri"/>
        <family val="2"/>
        <scheme val="minor"/>
      </rPr>
      <t>P,BIO</t>
    </r>
    <r>
      <rPr>
        <sz val="11"/>
        <rFont val="Calibri"/>
        <family val="2"/>
        <scheme val="minor"/>
      </rPr>
      <t>*(r1+r2+r3+r4+r5+r6+r7+r8+r9+r10+r11+r12+r13+r16+r17+r30+r31+r35+r36+r37+r46+r52+r55+r58+r61)-(v20_S</t>
    </r>
    <r>
      <rPr>
        <vertAlign val="subscript"/>
        <sz val="11"/>
        <rFont val="Calibri"/>
        <family val="2"/>
        <scheme val="minor"/>
      </rPr>
      <t>PO4</t>
    </r>
    <r>
      <rPr>
        <sz val="11"/>
        <rFont val="Calibri"/>
        <family val="2"/>
        <scheme val="minor"/>
      </rPr>
      <t>*r20+v21_S</t>
    </r>
    <r>
      <rPr>
        <vertAlign val="subscript"/>
        <sz val="11"/>
        <rFont val="Calibri"/>
        <family val="2"/>
        <scheme val="minor"/>
      </rPr>
      <t>PO4</t>
    </r>
    <r>
      <rPr>
        <sz val="11"/>
        <rFont val="Calibri"/>
        <family val="2"/>
        <scheme val="minor"/>
      </rPr>
      <t>*r21+v22_S</t>
    </r>
    <r>
      <rPr>
        <vertAlign val="subscript"/>
        <sz val="11"/>
        <rFont val="Calibri"/>
        <family val="2"/>
        <scheme val="minor"/>
      </rPr>
      <t>PO4</t>
    </r>
    <r>
      <rPr>
        <sz val="11"/>
        <rFont val="Calibri"/>
        <family val="2"/>
        <scheme val="minor"/>
      </rPr>
      <t>*r22)</t>
    </r>
  </si>
  <si>
    <r>
      <t>-(v78_S</t>
    </r>
    <r>
      <rPr>
        <vertAlign val="subscript"/>
        <sz val="11"/>
        <rFont val="Calibri"/>
        <family val="2"/>
        <scheme val="minor"/>
      </rPr>
      <t>PO4</t>
    </r>
    <r>
      <rPr>
        <sz val="11"/>
        <rFont val="Calibri"/>
        <family val="2"/>
        <scheme val="minor"/>
      </rPr>
      <t>*r78+v79_S</t>
    </r>
    <r>
      <rPr>
        <vertAlign val="subscript"/>
        <sz val="11"/>
        <rFont val="Calibri"/>
        <family val="2"/>
        <scheme val="minor"/>
      </rPr>
      <t>PO4</t>
    </r>
    <r>
      <rPr>
        <sz val="11"/>
        <rFont val="Calibri"/>
        <family val="2"/>
        <scheme val="minor"/>
      </rPr>
      <t>*r79+v83_S</t>
    </r>
    <r>
      <rPr>
        <vertAlign val="subscript"/>
        <sz val="11"/>
        <rFont val="Calibri"/>
        <family val="2"/>
        <scheme val="minor"/>
      </rPr>
      <t>PO4</t>
    </r>
    <r>
      <rPr>
        <sz val="11"/>
        <rFont val="Calibri"/>
        <family val="2"/>
        <scheme val="minor"/>
      </rPr>
      <t>*r83+v88_S</t>
    </r>
    <r>
      <rPr>
        <vertAlign val="subscript"/>
        <sz val="11"/>
        <rFont val="Calibri"/>
        <family val="2"/>
        <scheme val="minor"/>
      </rPr>
      <t>PO4</t>
    </r>
    <r>
      <rPr>
        <sz val="11"/>
        <rFont val="Calibri"/>
        <family val="2"/>
        <scheme val="minor"/>
      </rPr>
      <t>*r88+v89_S</t>
    </r>
    <r>
      <rPr>
        <vertAlign val="subscript"/>
        <sz val="11"/>
        <rFont val="Calibri"/>
        <family val="2"/>
        <scheme val="minor"/>
      </rPr>
      <t>PO4</t>
    </r>
    <r>
      <rPr>
        <sz val="11"/>
        <rFont val="Calibri"/>
        <family val="2"/>
        <scheme val="minor"/>
      </rPr>
      <t>*r89+v90_S</t>
    </r>
    <r>
      <rPr>
        <vertAlign val="subscript"/>
        <sz val="11"/>
        <rFont val="Calibri"/>
        <family val="2"/>
        <scheme val="minor"/>
      </rPr>
      <t>PO4</t>
    </r>
    <r>
      <rPr>
        <sz val="11"/>
        <rFont val="Calibri"/>
        <family val="2"/>
        <scheme val="minor"/>
      </rPr>
      <t>*r90)</t>
    </r>
  </si>
  <si>
    <r>
      <t>v26_S</t>
    </r>
    <r>
      <rPr>
        <vertAlign val="subscript"/>
        <sz val="11"/>
        <rFont val="Calibri"/>
        <family val="2"/>
        <scheme val="minor"/>
      </rPr>
      <t>PO4</t>
    </r>
    <r>
      <rPr>
        <sz val="11"/>
        <rFont val="Calibri"/>
        <family val="2"/>
        <scheme val="minor"/>
      </rPr>
      <t>*r26+v32_S</t>
    </r>
    <r>
      <rPr>
        <vertAlign val="subscript"/>
        <sz val="11"/>
        <rFont val="Calibri"/>
        <family val="2"/>
        <scheme val="minor"/>
      </rPr>
      <t>PO4</t>
    </r>
    <r>
      <rPr>
        <sz val="11"/>
        <rFont val="Calibri"/>
        <family val="2"/>
        <scheme val="minor"/>
      </rPr>
      <t>*r32+v33_S</t>
    </r>
    <r>
      <rPr>
        <vertAlign val="subscript"/>
        <sz val="11"/>
        <rFont val="Calibri"/>
        <family val="2"/>
        <scheme val="minor"/>
      </rPr>
      <t>PO4</t>
    </r>
    <r>
      <rPr>
        <sz val="11"/>
        <rFont val="Calibri"/>
        <family val="2"/>
        <scheme val="minor"/>
      </rPr>
      <t>*r33+v34_S</t>
    </r>
    <r>
      <rPr>
        <vertAlign val="subscript"/>
        <sz val="11"/>
        <rFont val="Calibri"/>
        <family val="2"/>
        <scheme val="minor"/>
      </rPr>
      <t>PO4</t>
    </r>
    <r>
      <rPr>
        <sz val="11"/>
        <rFont val="Calibri"/>
        <family val="2"/>
        <scheme val="minor"/>
      </rPr>
      <t>*r34+v70_S</t>
    </r>
    <r>
      <rPr>
        <vertAlign val="subscript"/>
        <sz val="11"/>
        <rFont val="Calibri"/>
        <family val="2"/>
        <scheme val="minor"/>
      </rPr>
      <t>PO4</t>
    </r>
    <r>
      <rPr>
        <sz val="11"/>
        <rFont val="Calibri"/>
        <family val="2"/>
        <scheme val="minor"/>
      </rPr>
      <t>*r70+v74_S</t>
    </r>
    <r>
      <rPr>
        <vertAlign val="subscript"/>
        <sz val="11"/>
        <rFont val="Calibri"/>
        <family val="2"/>
        <scheme val="minor"/>
      </rPr>
      <t>PO4</t>
    </r>
    <r>
      <rPr>
        <sz val="11"/>
        <rFont val="Calibri"/>
        <family val="2"/>
        <scheme val="minor"/>
      </rPr>
      <t>*r74+v75_S</t>
    </r>
    <r>
      <rPr>
        <vertAlign val="subscript"/>
        <sz val="11"/>
        <rFont val="Calibri"/>
        <family val="2"/>
        <scheme val="minor"/>
      </rPr>
      <t>PO4</t>
    </r>
    <r>
      <rPr>
        <sz val="11"/>
        <rFont val="Calibri"/>
        <family val="2"/>
        <scheme val="minor"/>
      </rPr>
      <t>*r75+v80_S</t>
    </r>
    <r>
      <rPr>
        <vertAlign val="subscript"/>
        <sz val="11"/>
        <rFont val="Calibri"/>
        <family val="2"/>
        <scheme val="minor"/>
      </rPr>
      <t>PO4</t>
    </r>
    <r>
      <rPr>
        <sz val="11"/>
        <rFont val="Calibri"/>
        <family val="2"/>
        <scheme val="minor"/>
      </rPr>
      <t>*r80+v81_S</t>
    </r>
    <r>
      <rPr>
        <vertAlign val="subscript"/>
        <sz val="11"/>
        <rFont val="Calibri"/>
        <family val="2"/>
        <scheme val="minor"/>
      </rPr>
      <t>PO4</t>
    </r>
    <r>
      <rPr>
        <sz val="11"/>
        <rFont val="Calibri"/>
        <family val="2"/>
        <scheme val="minor"/>
      </rPr>
      <t>*r81+v82_S</t>
    </r>
    <r>
      <rPr>
        <vertAlign val="subscript"/>
        <sz val="11"/>
        <rFont val="Calibri"/>
        <family val="2"/>
        <scheme val="minor"/>
      </rPr>
      <t>PO4</t>
    </r>
    <r>
      <rPr>
        <sz val="11"/>
        <rFont val="Calibri"/>
        <family val="2"/>
        <scheme val="minor"/>
      </rPr>
      <t>*r82+v84_S</t>
    </r>
    <r>
      <rPr>
        <vertAlign val="subscript"/>
        <sz val="11"/>
        <rFont val="Calibri"/>
        <family val="2"/>
        <scheme val="minor"/>
      </rPr>
      <t>PO4</t>
    </r>
    <r>
      <rPr>
        <sz val="11"/>
        <rFont val="Calibri"/>
        <family val="2"/>
        <scheme val="minor"/>
      </rPr>
      <t>*r84+v85_S</t>
    </r>
    <r>
      <rPr>
        <vertAlign val="subscript"/>
        <sz val="11"/>
        <rFont val="Calibri"/>
        <family val="2"/>
        <scheme val="minor"/>
      </rPr>
      <t>PO4</t>
    </r>
    <r>
      <rPr>
        <sz val="11"/>
        <rFont val="Calibri"/>
        <family val="2"/>
        <scheme val="minor"/>
      </rPr>
      <t>*r85</t>
    </r>
  </si>
  <si>
    <t xml:space="preserve">   </t>
  </si>
  <si>
    <r>
      <t>Concentration of H</t>
    </r>
    <r>
      <rPr>
        <vertAlign val="subscript"/>
        <sz val="11"/>
        <color rgb="FF000000"/>
        <rFont val="Calibri"/>
        <family val="2"/>
        <scheme val="minor"/>
      </rPr>
      <t>2</t>
    </r>
    <r>
      <rPr>
        <sz val="11"/>
        <color rgb="FF000000"/>
        <rFont val="Calibri"/>
        <family val="2"/>
        <charset val="238"/>
        <scheme val="minor"/>
      </rPr>
      <t>CO</t>
    </r>
    <r>
      <rPr>
        <vertAlign val="subscript"/>
        <sz val="11"/>
        <color rgb="FF000000"/>
        <rFont val="Calibri"/>
        <family val="2"/>
        <scheme val="minor"/>
      </rPr>
      <t>3</t>
    </r>
    <r>
      <rPr>
        <sz val="11"/>
        <color rgb="FF000000"/>
        <rFont val="Calibri"/>
        <family val="2"/>
        <charset val="238"/>
        <scheme val="minor"/>
      </rPr>
      <t xml:space="preserve"> at pH</t>
    </r>
    <r>
      <rPr>
        <vertAlign val="subscript"/>
        <sz val="11"/>
        <color rgb="FF000000"/>
        <rFont val="Calibri"/>
        <family val="2"/>
        <scheme val="minor"/>
      </rPr>
      <t>field</t>
    </r>
    <r>
      <rPr>
        <sz val="11"/>
        <color rgb="FF000000"/>
        <rFont val="Calibri"/>
        <family val="2"/>
        <charset val="238"/>
        <scheme val="minor"/>
      </rPr>
      <t xml:space="preserve"> (pH not calculated)</t>
    </r>
  </si>
  <si>
    <r>
      <t>Concentration of NH</t>
    </r>
    <r>
      <rPr>
        <vertAlign val="subscript"/>
        <sz val="11"/>
        <color rgb="FF000000"/>
        <rFont val="Calibri"/>
        <family val="2"/>
        <scheme val="minor"/>
      </rPr>
      <t>3</t>
    </r>
    <r>
      <rPr>
        <sz val="11"/>
        <color rgb="FF000000"/>
        <rFont val="Calibri"/>
        <family val="2"/>
        <charset val="238"/>
        <scheme val="minor"/>
      </rPr>
      <t xml:space="preserve"> at pH</t>
    </r>
    <r>
      <rPr>
        <vertAlign val="subscript"/>
        <sz val="11"/>
        <color rgb="FF000000"/>
        <rFont val="Calibri"/>
        <family val="2"/>
        <scheme val="minor"/>
      </rPr>
      <t>field</t>
    </r>
    <r>
      <rPr>
        <sz val="11"/>
        <color rgb="FF000000"/>
        <rFont val="Calibri"/>
        <family val="2"/>
        <charset val="238"/>
        <scheme val="minor"/>
      </rPr>
      <t xml:space="preserve"> (pH not calculated)</t>
    </r>
  </si>
  <si>
    <r>
      <t>Conc</t>
    </r>
    <r>
      <rPr>
        <vertAlign val="subscript"/>
        <sz val="11"/>
        <rFont val="Calibri"/>
        <family val="2"/>
        <scheme val="minor"/>
      </rPr>
      <t>HNO2,NonpH</t>
    </r>
  </si>
  <si>
    <t>Nitrous acid concentration</t>
  </si>
  <si>
    <r>
      <t>K</t>
    </r>
    <r>
      <rPr>
        <vertAlign val="subscript"/>
        <sz val="11"/>
        <rFont val="Calibri"/>
        <family val="2"/>
        <scheme val="minor"/>
      </rPr>
      <t>HNO2,AOB,AS</t>
    </r>
  </si>
  <si>
    <r>
      <t>K</t>
    </r>
    <r>
      <rPr>
        <vertAlign val="subscript"/>
        <sz val="11"/>
        <rFont val="Calibri"/>
        <family val="2"/>
        <scheme val="minor"/>
      </rPr>
      <t>HNO2,AOB,AS</t>
    </r>
    <r>
      <rPr>
        <sz val="11"/>
        <rFont val="Calibri"/>
        <family val="2"/>
        <scheme val="minor"/>
      </rPr>
      <t>*f</t>
    </r>
    <r>
      <rPr>
        <vertAlign val="subscript"/>
        <sz val="11"/>
        <rFont val="Calibri"/>
        <family val="2"/>
        <scheme val="minor"/>
      </rPr>
      <t>KS</t>
    </r>
  </si>
  <si>
    <r>
      <t>K</t>
    </r>
    <r>
      <rPr>
        <vertAlign val="subscript"/>
        <sz val="11"/>
        <rFont val="Calibri"/>
        <family val="2"/>
        <scheme val="minor"/>
      </rPr>
      <t>HNO2,AOB</t>
    </r>
  </si>
  <si>
    <t>Half saturation coefficient for nitritous acid (AOB)</t>
  </si>
  <si>
    <r>
      <t>Half-saturation of HNO</t>
    </r>
    <r>
      <rPr>
        <vertAlign val="subscript"/>
        <sz val="11"/>
        <color rgb="FF000000"/>
        <rFont val="Calibri"/>
        <family val="2"/>
        <scheme val="minor"/>
      </rPr>
      <t>2</t>
    </r>
    <r>
      <rPr>
        <sz val="11"/>
        <color rgb="FF000000"/>
        <rFont val="Calibri"/>
        <family val="2"/>
        <charset val="238"/>
        <scheme val="minor"/>
      </rPr>
      <t xml:space="preserve"> for AOBs (AS)</t>
    </r>
  </si>
  <si>
    <t>Saturation term of nitritous acid (AOB)</t>
  </si>
  <si>
    <r>
      <t>Msat(S</t>
    </r>
    <r>
      <rPr>
        <vertAlign val="subscript"/>
        <sz val="11"/>
        <rFont val="Calibri"/>
        <family val="2"/>
        <scheme val="minor"/>
      </rPr>
      <t>HNO2</t>
    </r>
    <r>
      <rPr>
        <sz val="11"/>
        <rFont val="Calibri"/>
        <family val="2"/>
        <scheme val="minor"/>
      </rPr>
      <t>;K</t>
    </r>
    <r>
      <rPr>
        <vertAlign val="subscript"/>
        <sz val="11"/>
        <rFont val="Calibri"/>
        <family val="2"/>
      </rPr>
      <t>HNO2,AOB</t>
    </r>
    <r>
      <rPr>
        <sz val="11"/>
        <rFont val="Calibri"/>
        <family val="2"/>
        <scheme val="minor"/>
      </rPr>
      <t>)</t>
    </r>
  </si>
  <si>
    <r>
      <t>S</t>
    </r>
    <r>
      <rPr>
        <vertAlign val="subscript"/>
        <sz val="11"/>
        <rFont val="Calibri"/>
        <family val="2"/>
        <scheme val="minor"/>
      </rPr>
      <t>HNO2</t>
    </r>
  </si>
  <si>
    <r>
      <t>Conc</t>
    </r>
    <r>
      <rPr>
        <vertAlign val="subscript"/>
        <sz val="11"/>
        <rFont val="Calibri"/>
        <family val="2"/>
        <scheme val="minor"/>
      </rPr>
      <t>HNO2,NonpH</t>
    </r>
    <r>
      <rPr>
        <sz val="11"/>
        <rFont val="Calibri"/>
        <family val="2"/>
        <scheme val="minor"/>
      </rPr>
      <t>*AM</t>
    </r>
    <r>
      <rPr>
        <vertAlign val="subscript"/>
        <sz val="11"/>
        <rFont val="Calibri"/>
        <family val="2"/>
        <scheme val="minor"/>
      </rPr>
      <t>N</t>
    </r>
    <r>
      <rPr>
        <sz val="11"/>
        <rFont val="Calibri"/>
        <family val="2"/>
        <scheme val="minor"/>
      </rPr>
      <t>*1000</t>
    </r>
  </si>
  <si>
    <r>
      <t>[HNO</t>
    </r>
    <r>
      <rPr>
        <vertAlign val="subscript"/>
        <sz val="11"/>
        <rFont val="Calibri"/>
        <family val="2"/>
      </rPr>
      <t>2</t>
    </r>
    <r>
      <rPr>
        <sz val="11"/>
        <rFont val="Calibri"/>
        <family val="2"/>
      </rPr>
      <t>]*AM</t>
    </r>
    <r>
      <rPr>
        <vertAlign val="subscript"/>
        <sz val="11"/>
        <rFont val="Calibri"/>
        <family val="2"/>
      </rPr>
      <t>N</t>
    </r>
    <r>
      <rPr>
        <sz val="11"/>
        <rFont val="Calibri"/>
        <family val="2"/>
      </rPr>
      <t>*1000</t>
    </r>
  </si>
  <si>
    <t>N2OPR</t>
  </si>
  <si>
    <r>
      <t>v48_S</t>
    </r>
    <r>
      <rPr>
        <vertAlign val="subscript"/>
        <sz val="11"/>
        <rFont val="Calibri"/>
        <family val="2"/>
        <scheme val="minor"/>
      </rPr>
      <t>N2O</t>
    </r>
    <r>
      <rPr>
        <sz val="11"/>
        <rFont val="Calibri"/>
        <family val="2"/>
        <scheme val="minor"/>
      </rPr>
      <t>*r48+v49_S</t>
    </r>
    <r>
      <rPr>
        <vertAlign val="subscript"/>
        <sz val="11"/>
        <rFont val="Calibri"/>
        <family val="2"/>
        <scheme val="minor"/>
      </rPr>
      <t>N2O</t>
    </r>
    <r>
      <rPr>
        <sz val="11"/>
        <rFont val="Calibri"/>
        <family val="2"/>
        <scheme val="minor"/>
      </rPr>
      <t>*r49</t>
    </r>
  </si>
  <si>
    <t>N2OPR_NN</t>
  </si>
  <si>
    <t>N2O production rate (N2OPR)</t>
  </si>
  <si>
    <t>N2O production rate NN pathway (N2OPR_NN)</t>
  </si>
  <si>
    <t>N2OPR_ND</t>
  </si>
  <si>
    <t>N2O production rate ND pathway (N2OPR_ND)</t>
  </si>
  <si>
    <r>
      <t>v48_S</t>
    </r>
    <r>
      <rPr>
        <vertAlign val="subscript"/>
        <sz val="11"/>
        <rFont val="Calibri"/>
        <family val="2"/>
        <scheme val="minor"/>
      </rPr>
      <t>N2O</t>
    </r>
    <r>
      <rPr>
        <sz val="11"/>
        <rFont val="Calibri"/>
        <family val="2"/>
        <scheme val="minor"/>
      </rPr>
      <t>*r48</t>
    </r>
  </si>
  <si>
    <r>
      <t>v49_S</t>
    </r>
    <r>
      <rPr>
        <vertAlign val="subscript"/>
        <sz val="11"/>
        <rFont val="Calibri"/>
        <family val="2"/>
        <scheme val="minor"/>
      </rPr>
      <t>N2O</t>
    </r>
    <r>
      <rPr>
        <sz val="11"/>
        <rFont val="Calibri"/>
        <family val="2"/>
        <scheme val="minor"/>
      </rPr>
      <t>*r49</t>
    </r>
  </si>
  <si>
    <r>
      <t>K</t>
    </r>
    <r>
      <rPr>
        <vertAlign val="subscript"/>
        <sz val="11"/>
        <rFont val="Calibri"/>
        <family val="2"/>
        <scheme val="minor"/>
      </rPr>
      <t>NO2,T</t>
    </r>
    <r>
      <rPr>
        <sz val="11"/>
        <rFont val="Calibri"/>
        <family val="2"/>
        <scheme val="minor"/>
      </rPr>
      <t>/f</t>
    </r>
    <r>
      <rPr>
        <vertAlign val="subscript"/>
        <sz val="11"/>
        <rFont val="Calibri"/>
        <family val="2"/>
        <scheme val="minor"/>
      </rPr>
      <t>mono,field</t>
    </r>
    <r>
      <rPr>
        <sz val="11"/>
        <rFont val="Calibri"/>
        <family val="2"/>
        <scheme val="minor"/>
      </rPr>
      <t>^2</t>
    </r>
  </si>
  <si>
    <r>
      <t>S</t>
    </r>
    <r>
      <rPr>
        <vertAlign val="subscript"/>
        <sz val="11"/>
        <rFont val="Calibri"/>
        <family val="2"/>
      </rPr>
      <t>NO2</t>
    </r>
    <r>
      <rPr>
        <sz val="11"/>
        <rFont val="Calibri"/>
        <family val="2"/>
      </rPr>
      <t>/(AM</t>
    </r>
    <r>
      <rPr>
        <vertAlign val="subscript"/>
        <sz val="11"/>
        <rFont val="Calibri"/>
        <family val="2"/>
      </rPr>
      <t>N</t>
    </r>
    <r>
      <rPr>
        <sz val="11"/>
        <rFont val="Calibri"/>
        <family val="2"/>
      </rPr>
      <t>*1000)*10^(-pH</t>
    </r>
    <r>
      <rPr>
        <vertAlign val="subscript"/>
        <sz val="11"/>
        <rFont val="Calibri"/>
        <family val="2"/>
      </rPr>
      <t>field</t>
    </r>
    <r>
      <rPr>
        <sz val="11"/>
        <rFont val="Calibri"/>
        <family val="2"/>
      </rPr>
      <t>)/(10^(-pH</t>
    </r>
    <r>
      <rPr>
        <vertAlign val="subscript"/>
        <sz val="11"/>
        <rFont val="Calibri"/>
        <family val="2"/>
      </rPr>
      <t>field</t>
    </r>
    <r>
      <rPr>
        <sz val="11"/>
        <rFont val="Calibri"/>
        <family val="2"/>
      </rPr>
      <t>)+K</t>
    </r>
    <r>
      <rPr>
        <vertAlign val="subscript"/>
        <sz val="11"/>
        <rFont val="Calibri"/>
        <family val="2"/>
      </rPr>
      <t>NO2</t>
    </r>
    <r>
      <rPr>
        <sz val="11"/>
        <rFont val="Calibri"/>
        <family val="2"/>
      </rPr>
      <t>)</t>
    </r>
  </si>
  <si>
    <r>
      <t>g N.m</t>
    </r>
    <r>
      <rPr>
        <vertAlign val="superscript"/>
        <sz val="11"/>
        <rFont val="Calibri"/>
        <family val="2"/>
        <scheme val="minor"/>
      </rPr>
      <t>-3</t>
    </r>
    <r>
      <rPr>
        <sz val="11"/>
        <rFont val="Calibri"/>
        <family val="2"/>
        <scheme val="minor"/>
      </rPr>
      <t>.d</t>
    </r>
    <r>
      <rPr>
        <vertAlign val="superscript"/>
        <sz val="11"/>
        <rFont val="Calibri"/>
        <family val="2"/>
        <scheme val="minor"/>
      </rPr>
      <t>-1</t>
    </r>
    <r>
      <rPr>
        <sz val="11"/>
        <color theme="1"/>
        <rFont val="Calibri"/>
        <family val="2"/>
        <scheme val="minor"/>
      </rPr>
      <t/>
    </r>
  </si>
  <si>
    <t>0.01 g N.m-3 in Pocquet et al., 2016</t>
  </si>
  <si>
    <r>
      <t>v5_S</t>
    </r>
    <r>
      <rPr>
        <vertAlign val="subscript"/>
        <sz val="11"/>
        <rFont val="Calibri"/>
        <family val="2"/>
        <scheme val="minor"/>
      </rPr>
      <t>N2O</t>
    </r>
    <r>
      <rPr>
        <sz val="11"/>
        <rFont val="Calibri"/>
        <family val="2"/>
        <scheme val="minor"/>
      </rPr>
      <t>*r5+v10_S</t>
    </r>
    <r>
      <rPr>
        <vertAlign val="subscript"/>
        <sz val="11"/>
        <rFont val="Calibri"/>
        <family val="2"/>
        <scheme val="minor"/>
      </rPr>
      <t>N2O</t>
    </r>
    <r>
      <rPr>
        <sz val="11"/>
        <rFont val="Calibri"/>
        <family val="2"/>
        <scheme val="minor"/>
      </rPr>
      <t>*r10+v48_S</t>
    </r>
    <r>
      <rPr>
        <vertAlign val="subscript"/>
        <sz val="11"/>
        <rFont val="Calibri"/>
        <family val="2"/>
        <scheme val="minor"/>
      </rPr>
      <t>N2O</t>
    </r>
    <r>
      <rPr>
        <sz val="11"/>
        <rFont val="Calibri"/>
        <family val="2"/>
        <scheme val="minor"/>
      </rPr>
      <t>*r48+v49_S</t>
    </r>
    <r>
      <rPr>
        <vertAlign val="subscript"/>
        <sz val="11"/>
        <rFont val="Calibri"/>
        <family val="2"/>
        <scheme val="minor"/>
      </rPr>
      <t>N2O</t>
    </r>
    <r>
      <rPr>
        <sz val="11"/>
        <rFont val="Calibri"/>
        <family val="2"/>
        <scheme val="minor"/>
      </rPr>
      <t>*r49</t>
    </r>
  </si>
  <si>
    <t>N2OPR_denit</t>
  </si>
  <si>
    <t>N2OPR_nit</t>
  </si>
  <si>
    <t>N2O production rate in denitrification (N2OPR_denit)</t>
  </si>
  <si>
    <t>N2O production rate in nitrification (N2OPR_nit)</t>
  </si>
  <si>
    <r>
      <t>v5_S</t>
    </r>
    <r>
      <rPr>
        <vertAlign val="subscript"/>
        <sz val="11"/>
        <rFont val="Calibri"/>
        <family val="2"/>
        <scheme val="minor"/>
      </rPr>
      <t>N2O</t>
    </r>
    <r>
      <rPr>
        <sz val="11"/>
        <rFont val="Calibri"/>
        <family val="2"/>
        <scheme val="minor"/>
      </rPr>
      <t>*r5+v10_S</t>
    </r>
    <r>
      <rPr>
        <vertAlign val="subscript"/>
        <sz val="11"/>
        <rFont val="Calibri"/>
        <family val="2"/>
        <scheme val="minor"/>
      </rPr>
      <t>N2O</t>
    </r>
    <r>
      <rPr>
        <sz val="11"/>
        <rFont val="Calibri"/>
        <family val="2"/>
        <scheme val="minor"/>
      </rPr>
      <t>*r10</t>
    </r>
  </si>
  <si>
    <r>
      <t>S</t>
    </r>
    <r>
      <rPr>
        <vertAlign val="subscript"/>
        <sz val="11"/>
        <rFont val="Calibri"/>
        <family val="2"/>
        <scheme val="minor"/>
      </rPr>
      <t>NH3</t>
    </r>
  </si>
  <si>
    <r>
      <t>[NH</t>
    </r>
    <r>
      <rPr>
        <vertAlign val="subscript"/>
        <sz val="11"/>
        <rFont val="Calibri"/>
        <family val="2"/>
      </rPr>
      <t>3</t>
    </r>
    <r>
      <rPr>
        <sz val="11"/>
        <rFont val="Calibri"/>
        <family val="2"/>
      </rPr>
      <t>]*AM</t>
    </r>
    <r>
      <rPr>
        <vertAlign val="subscript"/>
        <sz val="11"/>
        <rFont val="Calibri"/>
        <family val="2"/>
      </rPr>
      <t>N</t>
    </r>
    <r>
      <rPr>
        <sz val="11"/>
        <rFont val="Calibri"/>
        <family val="2"/>
      </rPr>
      <t>*1000</t>
    </r>
  </si>
  <si>
    <r>
      <t>Conc</t>
    </r>
    <r>
      <rPr>
        <vertAlign val="subscript"/>
        <sz val="11"/>
        <rFont val="Calibri"/>
        <family val="2"/>
        <scheme val="minor"/>
      </rPr>
      <t>NH3,NonpH</t>
    </r>
    <r>
      <rPr>
        <sz val="11"/>
        <rFont val="Calibri"/>
        <family val="2"/>
        <scheme val="minor"/>
      </rPr>
      <t>*AM</t>
    </r>
    <r>
      <rPr>
        <vertAlign val="subscript"/>
        <sz val="11"/>
        <rFont val="Calibri"/>
        <family val="2"/>
        <scheme val="minor"/>
      </rPr>
      <t>N</t>
    </r>
    <r>
      <rPr>
        <sz val="11"/>
        <rFont val="Calibri"/>
        <family val="2"/>
        <scheme val="minor"/>
      </rPr>
      <t>*1000</t>
    </r>
  </si>
  <si>
    <r>
      <t>pH; f(S</t>
    </r>
    <r>
      <rPr>
        <vertAlign val="subscript"/>
        <sz val="11"/>
        <rFont val="Calibri"/>
        <family val="2"/>
        <scheme val="minor"/>
      </rPr>
      <t>NO2</t>
    </r>
    <r>
      <rPr>
        <sz val="11"/>
        <rFont val="Calibri"/>
        <family val="2"/>
        <scheme val="minor"/>
      </rPr>
      <t>)</t>
    </r>
  </si>
  <si>
    <r>
      <t>Non-pH; f(S</t>
    </r>
    <r>
      <rPr>
        <vertAlign val="subscript"/>
        <sz val="11"/>
        <rFont val="Calibri"/>
        <family val="2"/>
        <scheme val="minor"/>
      </rPr>
      <t>NO2</t>
    </r>
    <r>
      <rPr>
        <sz val="11"/>
        <rFont val="Calibri"/>
        <family val="2"/>
        <scheme val="minor"/>
      </rPr>
      <t>)</t>
    </r>
  </si>
  <si>
    <r>
      <t>pH; f(S</t>
    </r>
    <r>
      <rPr>
        <vertAlign val="subscript"/>
        <sz val="11"/>
        <rFont val="Calibri"/>
        <family val="2"/>
        <scheme val="minor"/>
      </rPr>
      <t>NHx</t>
    </r>
    <r>
      <rPr>
        <sz val="11"/>
        <rFont val="Calibri"/>
        <family val="2"/>
        <scheme val="minor"/>
      </rPr>
      <t>)</t>
    </r>
  </si>
  <si>
    <r>
      <t>Non-pH; f(S</t>
    </r>
    <r>
      <rPr>
        <vertAlign val="subscript"/>
        <sz val="11"/>
        <rFont val="Calibri"/>
        <family val="2"/>
        <scheme val="minor"/>
      </rPr>
      <t>NHx</t>
    </r>
    <r>
      <rPr>
        <sz val="11"/>
        <rFont val="Calibri"/>
        <family val="2"/>
        <scheme val="minor"/>
      </rPr>
      <t>)</t>
    </r>
  </si>
  <si>
    <r>
      <t>Msat</t>
    </r>
    <r>
      <rPr>
        <vertAlign val="subscript"/>
        <sz val="11"/>
        <rFont val="Calibri"/>
        <family val="2"/>
        <scheme val="minor"/>
      </rPr>
      <t>SHNO2,KHNO2,AOB</t>
    </r>
  </si>
  <si>
    <r>
      <t>Msat</t>
    </r>
    <r>
      <rPr>
        <vertAlign val="subscript"/>
        <sz val="11"/>
        <rFont val="Calibri"/>
        <family val="2"/>
      </rPr>
      <t>SNHx,KNHx,NH2OH,AOB</t>
    </r>
  </si>
  <si>
    <r>
      <t>Saturation term for NH</t>
    </r>
    <r>
      <rPr>
        <vertAlign val="subscript"/>
        <sz val="11"/>
        <color rgb="FF000000"/>
        <rFont val="Calibri"/>
        <family val="2"/>
        <scheme val="minor"/>
      </rPr>
      <t>x</t>
    </r>
    <r>
      <rPr>
        <sz val="11"/>
        <color rgb="FF000000"/>
        <rFont val="Calibri"/>
        <family val="2"/>
        <charset val="238"/>
        <scheme val="minor"/>
      </rPr>
      <t xml:space="preserve"> to NH2OH (AOB)</t>
    </r>
  </si>
  <si>
    <r>
      <t>Msat(S</t>
    </r>
    <r>
      <rPr>
        <vertAlign val="subscript"/>
        <sz val="11"/>
        <rFont val="Calibri"/>
        <family val="2"/>
      </rPr>
      <t>NHx</t>
    </r>
    <r>
      <rPr>
        <sz val="11"/>
        <rFont val="Calibri"/>
        <family val="2"/>
      </rPr>
      <t>;K</t>
    </r>
    <r>
      <rPr>
        <vertAlign val="subscript"/>
        <sz val="11"/>
        <rFont val="Calibri"/>
        <family val="2"/>
      </rPr>
      <t>NHx,NH2OH,AOB</t>
    </r>
    <r>
      <rPr>
        <sz val="11"/>
        <rFont val="Calibri"/>
        <family val="2"/>
      </rPr>
      <t>)</t>
    </r>
  </si>
  <si>
    <r>
      <t>K</t>
    </r>
    <r>
      <rPr>
        <vertAlign val="subscript"/>
        <sz val="11"/>
        <rFont val="Calibri"/>
        <family val="2"/>
        <scheme val="minor"/>
      </rPr>
      <t>NHx,NH2OH,AOB</t>
    </r>
  </si>
  <si>
    <r>
      <t>Half-saturation of NH</t>
    </r>
    <r>
      <rPr>
        <vertAlign val="subscript"/>
        <sz val="11"/>
        <color rgb="FF000000"/>
        <rFont val="Calibri"/>
        <family val="2"/>
        <scheme val="minor"/>
      </rPr>
      <t>x</t>
    </r>
    <r>
      <rPr>
        <sz val="11"/>
        <color rgb="FF000000"/>
        <rFont val="Calibri"/>
        <family val="2"/>
        <charset val="238"/>
        <scheme val="minor"/>
      </rPr>
      <t xml:space="preserve"> to NH2OH for AOBs</t>
    </r>
  </si>
  <si>
    <r>
      <t>K</t>
    </r>
    <r>
      <rPr>
        <vertAlign val="subscript"/>
        <sz val="11"/>
        <rFont val="Calibri"/>
        <family val="2"/>
      </rPr>
      <t>NHx,NH2OH,AOB,AS</t>
    </r>
  </si>
  <si>
    <r>
      <t>K</t>
    </r>
    <r>
      <rPr>
        <vertAlign val="subscript"/>
        <sz val="11"/>
        <rFont val="Calibri"/>
        <family val="2"/>
      </rPr>
      <t>NHx,NH2OH,AOB,AS</t>
    </r>
    <r>
      <rPr>
        <sz val="11"/>
        <rFont val="Calibri"/>
        <family val="2"/>
      </rPr>
      <t>*f</t>
    </r>
    <r>
      <rPr>
        <vertAlign val="subscript"/>
        <sz val="11"/>
        <rFont val="Calibri"/>
        <family val="2"/>
      </rPr>
      <t>KS</t>
    </r>
  </si>
  <si>
    <r>
      <t>K</t>
    </r>
    <r>
      <rPr>
        <vertAlign val="subscript"/>
        <sz val="11"/>
        <color indexed="8"/>
        <rFont val="Calibri"/>
        <family val="2"/>
        <scheme val="minor"/>
      </rPr>
      <t>NHx,NH2OH,AOB,AS</t>
    </r>
  </si>
  <si>
    <r>
      <t>Half-saturation of NH</t>
    </r>
    <r>
      <rPr>
        <vertAlign val="subscript"/>
        <sz val="11"/>
        <color rgb="FF000000"/>
        <rFont val="Calibri"/>
        <family val="2"/>
        <scheme val="minor"/>
      </rPr>
      <t>x</t>
    </r>
    <r>
      <rPr>
        <sz val="11"/>
        <color rgb="FF000000"/>
        <rFont val="Calibri"/>
        <family val="2"/>
        <charset val="238"/>
        <scheme val="minor"/>
      </rPr>
      <t xml:space="preserve"> to NH2OH for AOBs (AS)</t>
    </r>
  </si>
  <si>
    <t>It has been replaced by a term on total ammonia for more stability of the model under normal pH range</t>
  </si>
  <si>
    <t>*Reduction factor for anoxic growth from Hiatt&amp;Grady, 2008</t>
  </si>
  <si>
    <t>*Half-saturation for substrates and O2 kept at Sumo2 values</t>
  </si>
  <si>
    <t>*Half saturation for NO3 and NO2 from Hiatt&amp;Grady2008</t>
  </si>
  <si>
    <t>*Same anoxic yield than in Hiatt&amp;Grady (0.54), although the aerobic yield in Sumo is higher than in Hiatt&amp;Grady (respectively 0.67 and 0.54)</t>
  </si>
  <si>
    <t>*In Sumo2 some inhibition terms on NO2 make sure that the denit reactions are occuring successively. These terms are not used in Hiatt&amp;Grady and have been removed.</t>
  </si>
  <si>
    <t>*Assimilative nitrate/nitrite reduction to ammonia coded differently in Sumo2 (and kept as is): NO3=&gt;NH4 and NO2=&gt;NH4 directly, biomasses are used as electron donors instead of substrate</t>
  </si>
  <si>
    <t>*Mixotrophic growth of NOB not implemented</t>
  </si>
  <si>
    <t xml:space="preserve">*in "AOB HNO2 reduction to N2O" process (ND pathway), the Haldane-type term on O2 </t>
  </si>
  <si>
    <t>*in "AOB NHx oxidation to NH2OH" process, the Monod term in the original model is on free ammonia</t>
  </si>
  <si>
    <t>*AOB decay kept as in Sumo2</t>
  </si>
  <si>
    <t>*NOB growth and decay kept as in Sumo2</t>
  </si>
  <si>
    <t>for GHG modelling</t>
  </si>
  <si>
    <r>
      <t>Half-saturation of NO to NO</t>
    </r>
    <r>
      <rPr>
        <vertAlign val="subscript"/>
        <sz val="11"/>
        <color indexed="8"/>
        <rFont val="Calibri"/>
        <family val="2"/>
        <charset val="238"/>
        <scheme val="minor"/>
      </rPr>
      <t>2</t>
    </r>
    <r>
      <rPr>
        <sz val="11"/>
        <color rgb="FF000000"/>
        <rFont val="Calibri"/>
        <family val="2"/>
        <charset val="238"/>
        <scheme val="minor"/>
      </rPr>
      <t xml:space="preserve"> for AOBs (AS)</t>
    </r>
  </si>
  <si>
    <r>
      <t>Half-saturation of NO to N</t>
    </r>
    <r>
      <rPr>
        <vertAlign val="subscript"/>
        <sz val="11"/>
        <color indexed="8"/>
        <rFont val="Calibri"/>
        <family val="2"/>
        <charset val="238"/>
        <scheme val="minor"/>
      </rPr>
      <t>2</t>
    </r>
    <r>
      <rPr>
        <sz val="11"/>
        <color indexed="8"/>
        <rFont val="Calibri"/>
        <family val="2"/>
        <scheme val="minor"/>
      </rPr>
      <t>O</t>
    </r>
    <r>
      <rPr>
        <sz val="11"/>
        <color rgb="FF000000"/>
        <rFont val="Calibri"/>
        <family val="2"/>
        <charset val="238"/>
        <scheme val="minor"/>
      </rPr>
      <t xml:space="preserve"> for AOBs (AS)</t>
    </r>
  </si>
  <si>
    <r>
      <t>Half-inhibition of O</t>
    </r>
    <r>
      <rPr>
        <vertAlign val="subscript"/>
        <sz val="11"/>
        <color indexed="8"/>
        <rFont val="Calibri"/>
        <family val="2"/>
        <charset val="238"/>
        <scheme val="minor"/>
      </rPr>
      <t>2</t>
    </r>
    <r>
      <rPr>
        <sz val="11"/>
        <color indexed="8"/>
        <rFont val="Calibri"/>
        <family val="2"/>
        <scheme val="minor"/>
      </rPr>
      <t xml:space="preserve"> for N</t>
    </r>
    <r>
      <rPr>
        <vertAlign val="subscript"/>
        <sz val="11"/>
        <color indexed="8"/>
        <rFont val="Calibri"/>
        <family val="2"/>
        <charset val="238"/>
        <scheme val="minor"/>
      </rPr>
      <t>2</t>
    </r>
    <r>
      <rPr>
        <sz val="11"/>
        <color indexed="8"/>
        <rFont val="Calibri"/>
        <family val="2"/>
        <scheme val="minor"/>
      </rPr>
      <t>O production by AOBs (AS)</t>
    </r>
  </si>
  <si>
    <r>
      <t>X</t>
    </r>
    <r>
      <rPr>
        <b/>
        <vertAlign val="subscript"/>
        <sz val="11"/>
        <rFont val="Calibri"/>
        <family val="2"/>
        <charset val="238"/>
        <scheme val="minor"/>
      </rPr>
      <t>CASTO</t>
    </r>
  </si>
  <si>
    <t>Carbon storing organisms (CASTO)</t>
  </si>
  <si>
    <t>Carbon storing organism kinetics (CASTO)</t>
  </si>
  <si>
    <r>
      <t>µ</t>
    </r>
    <r>
      <rPr>
        <vertAlign val="subscript"/>
        <sz val="11"/>
        <rFont val="Calibri"/>
        <family val="2"/>
        <scheme val="minor"/>
      </rPr>
      <t>CASTO</t>
    </r>
  </si>
  <si>
    <t>Maximum specific growth rate of CASTOs</t>
  </si>
  <si>
    <r>
      <t>q</t>
    </r>
    <r>
      <rPr>
        <vertAlign val="subscript"/>
        <sz val="11"/>
        <rFont val="Calibri"/>
        <family val="2"/>
        <scheme val="minor"/>
      </rPr>
      <t>PAO,PP</t>
    </r>
  </si>
  <si>
    <t>Maximum polyphosphate uptake rate of PAOs</t>
  </si>
  <si>
    <r>
      <t>b</t>
    </r>
    <r>
      <rPr>
        <vertAlign val="subscript"/>
        <sz val="11"/>
        <rFont val="Calibri"/>
        <family val="2"/>
        <scheme val="minor"/>
      </rPr>
      <t>CASTO</t>
    </r>
  </si>
  <si>
    <t>Decay rate of CASTOs</t>
  </si>
  <si>
    <t>previously 0.05 (0.15 for Lopez et al. 2006; Hao et al., 2010)</t>
  </si>
  <si>
    <r>
      <t>b</t>
    </r>
    <r>
      <rPr>
        <vertAlign val="subscript"/>
        <sz val="11"/>
        <rFont val="Calibri"/>
        <family val="2"/>
        <scheme val="minor"/>
      </rPr>
      <t>STC</t>
    </r>
  </si>
  <si>
    <t>Rate of CASTOs maintenance on PHA and GLY</t>
  </si>
  <si>
    <r>
      <t>q</t>
    </r>
    <r>
      <rPr>
        <vertAlign val="subscript"/>
        <sz val="11"/>
        <rFont val="Calibri"/>
        <family val="2"/>
        <charset val="238"/>
        <scheme val="minor"/>
      </rPr>
      <t>PAO,PHA</t>
    </r>
  </si>
  <si>
    <r>
      <t>q</t>
    </r>
    <r>
      <rPr>
        <vertAlign val="subscript"/>
        <sz val="11"/>
        <rFont val="Calibri"/>
        <family val="2"/>
        <charset val="238"/>
        <scheme val="minor"/>
      </rPr>
      <t>GAO,GLY</t>
    </r>
  </si>
  <si>
    <r>
      <t>η</t>
    </r>
    <r>
      <rPr>
        <vertAlign val="subscript"/>
        <sz val="11"/>
        <rFont val="Calibri"/>
        <family val="2"/>
        <scheme val="minor"/>
      </rPr>
      <t>CASTO,anox</t>
    </r>
  </si>
  <si>
    <t>Reduction factor for anoxic growth of CASTOs</t>
  </si>
  <si>
    <r>
      <t>η</t>
    </r>
    <r>
      <rPr>
        <vertAlign val="subscript"/>
        <sz val="11"/>
        <rFont val="Calibri"/>
        <family val="2"/>
        <scheme val="minor"/>
      </rPr>
      <t>bCASTO,anox</t>
    </r>
  </si>
  <si>
    <t>Reduction factor for anoxic decay of CASTOs</t>
  </si>
  <si>
    <r>
      <t>η</t>
    </r>
    <r>
      <rPr>
        <vertAlign val="subscript"/>
        <sz val="11"/>
        <rFont val="Calibri"/>
        <family val="2"/>
        <scheme val="minor"/>
      </rPr>
      <t>bCASTO,ana</t>
    </r>
  </si>
  <si>
    <t>Reduction factor for anaerobic decay of CASTOs</t>
  </si>
  <si>
    <r>
      <t>η</t>
    </r>
    <r>
      <rPr>
        <vertAlign val="subscript"/>
        <sz val="11"/>
        <rFont val="Calibri"/>
        <family val="2"/>
        <scheme val="minor"/>
      </rPr>
      <t>bSTC,anox</t>
    </r>
  </si>
  <si>
    <t>Reduction factor for anoxic maintenance of CASTOs on PHA and GLY</t>
  </si>
  <si>
    <r>
      <t>K</t>
    </r>
    <r>
      <rPr>
        <vertAlign val="subscript"/>
        <sz val="11"/>
        <rFont val="Calibri"/>
        <family val="2"/>
        <scheme val="minor"/>
      </rPr>
      <t>PHA,cle</t>
    </r>
  </si>
  <si>
    <t>Half-saturation of PHA for PAOs at PP cleavage</t>
  </si>
  <si>
    <r>
      <t>K</t>
    </r>
    <r>
      <rPr>
        <vertAlign val="subscript"/>
        <sz val="11"/>
        <rFont val="Calibri"/>
        <family val="2"/>
        <scheme val="minor"/>
      </rPr>
      <t>STC</t>
    </r>
  </si>
  <si>
    <t>Half-saturation of PHA and GLY for PAOs</t>
  </si>
  <si>
    <r>
      <t>K</t>
    </r>
    <r>
      <rPr>
        <vertAlign val="subscript"/>
        <sz val="11"/>
        <rFont val="Calibri"/>
        <family val="2"/>
        <scheme val="minor"/>
      </rPr>
      <t>O2,CASTO,AS</t>
    </r>
  </si>
  <si>
    <r>
      <t>Half-saturation of O</t>
    </r>
    <r>
      <rPr>
        <vertAlign val="subscript"/>
        <sz val="11"/>
        <color rgb="FF000000"/>
        <rFont val="Calibri"/>
        <family val="2"/>
        <scheme val="minor"/>
      </rPr>
      <t>2</t>
    </r>
    <r>
      <rPr>
        <sz val="11"/>
        <color rgb="FF000000"/>
        <rFont val="Calibri"/>
        <family val="2"/>
        <charset val="238"/>
        <scheme val="minor"/>
      </rPr>
      <t xml:space="preserve"> for CASTOs (AS)</t>
    </r>
  </si>
  <si>
    <r>
      <t>K</t>
    </r>
    <r>
      <rPr>
        <vertAlign val="subscript"/>
        <sz val="11"/>
        <rFont val="Calibri"/>
        <family val="2"/>
        <scheme val="minor"/>
      </rPr>
      <t>NO3,CASTO,AS</t>
    </r>
  </si>
  <si>
    <r>
      <t>Half-saturation of NO</t>
    </r>
    <r>
      <rPr>
        <vertAlign val="subscript"/>
        <sz val="11"/>
        <color rgb="FF000000"/>
        <rFont val="Calibri"/>
        <family val="2"/>
        <scheme val="minor"/>
      </rPr>
      <t>3</t>
    </r>
    <r>
      <rPr>
        <sz val="11"/>
        <color rgb="FF000000"/>
        <rFont val="Calibri"/>
        <family val="2"/>
        <charset val="238"/>
        <scheme val="minor"/>
      </rPr>
      <t xml:space="preserve"> for CASTOs (AS)</t>
    </r>
  </si>
  <si>
    <r>
      <t>K</t>
    </r>
    <r>
      <rPr>
        <vertAlign val="subscript"/>
        <sz val="11"/>
        <rFont val="Calibri"/>
        <family val="2"/>
        <scheme val="minor"/>
      </rPr>
      <t>NO2,CASTO,AS</t>
    </r>
  </si>
  <si>
    <r>
      <t>Half-saturation of NO</t>
    </r>
    <r>
      <rPr>
        <vertAlign val="subscript"/>
        <sz val="11"/>
        <color rgb="FF000000"/>
        <rFont val="Calibri"/>
        <family val="2"/>
        <scheme val="minor"/>
      </rPr>
      <t>2</t>
    </r>
    <r>
      <rPr>
        <sz val="11"/>
        <color rgb="FF000000"/>
        <rFont val="Calibri"/>
        <family val="2"/>
        <charset val="238"/>
        <scheme val="minor"/>
      </rPr>
      <t xml:space="preserve"> for CASTOs (AS)</t>
    </r>
  </si>
  <si>
    <r>
      <t>K</t>
    </r>
    <r>
      <rPr>
        <vertAlign val="subscript"/>
        <sz val="11"/>
        <rFont val="Calibri"/>
        <family val="2"/>
        <scheme val="minor"/>
      </rPr>
      <t>VFA,CASTO,AS</t>
    </r>
  </si>
  <si>
    <t>Half-saturation of VFA storage for CASTOs (AS)</t>
  </si>
  <si>
    <r>
      <t>g COD.g P</t>
    </r>
    <r>
      <rPr>
        <vertAlign val="superscript"/>
        <sz val="11"/>
        <rFont val="Calibri"/>
        <family val="2"/>
        <scheme val="minor"/>
      </rPr>
      <t>-1</t>
    </r>
  </si>
  <si>
    <r>
      <t>X</t>
    </r>
    <r>
      <rPr>
        <vertAlign val="subscript"/>
        <sz val="11"/>
        <rFont val="Calibri"/>
        <family val="2"/>
        <charset val="238"/>
        <scheme val="minor"/>
      </rPr>
      <t>PP,PAO,min</t>
    </r>
  </si>
  <si>
    <t>PAO PP uptake booster denominator limiting term</t>
  </si>
  <si>
    <r>
      <t>Logsat</t>
    </r>
    <r>
      <rPr>
        <vertAlign val="subscript"/>
        <sz val="11"/>
        <rFont val="Calibri"/>
        <family val="2"/>
        <scheme val="minor"/>
      </rPr>
      <t>ORP,GAO,Half,15</t>
    </r>
  </si>
  <si>
    <t>Half-value of ORP switch of glycogen storage by GAO at 15°C / 59°F</t>
  </si>
  <si>
    <r>
      <t>Logsat</t>
    </r>
    <r>
      <rPr>
        <vertAlign val="subscript"/>
        <sz val="11"/>
        <rFont val="Calibri"/>
        <family val="2"/>
        <scheme val="minor"/>
      </rPr>
      <t>ORP,GAO,Half,25</t>
    </r>
  </si>
  <si>
    <t>Half-value of ORP switch of glycogen storage by GAO at 25°C / 77°F</t>
  </si>
  <si>
    <r>
      <t>Logsat</t>
    </r>
    <r>
      <rPr>
        <vertAlign val="subscript"/>
        <sz val="11"/>
        <rFont val="Calibri"/>
        <family val="2"/>
        <scheme val="minor"/>
      </rPr>
      <t>ORP,GAO,Slope</t>
    </r>
  </si>
  <si>
    <r>
      <t>θ</t>
    </r>
    <r>
      <rPr>
        <vertAlign val="subscript"/>
        <sz val="11"/>
        <color indexed="8"/>
        <rFont val="Calibri"/>
        <family val="2"/>
        <scheme val="minor"/>
      </rPr>
      <t>b,CASTO</t>
    </r>
  </si>
  <si>
    <t>Arrhenius coefficient for CASTO decay</t>
  </si>
  <si>
    <r>
      <t>θ</t>
    </r>
    <r>
      <rPr>
        <vertAlign val="subscript"/>
        <sz val="11"/>
        <color indexed="8"/>
        <rFont val="Calibri"/>
        <family val="2"/>
        <scheme val="minor"/>
      </rPr>
      <t>b,STC</t>
    </r>
  </si>
  <si>
    <t>Arrhenius coefficient for PHA and GLY storage use for maintenance</t>
  </si>
  <si>
    <r>
      <t>Y</t>
    </r>
    <r>
      <rPr>
        <vertAlign val="subscript"/>
        <sz val="11"/>
        <rFont val="Calibri"/>
        <family val="2"/>
        <scheme val="minor"/>
      </rPr>
      <t>CASTO,PHA,ox</t>
    </r>
  </si>
  <si>
    <t>Yield of CASTOs on PHA under aerobic conditions</t>
  </si>
  <si>
    <r>
      <t>Y</t>
    </r>
    <r>
      <rPr>
        <vertAlign val="subscript"/>
        <sz val="11"/>
        <rFont val="Calibri"/>
        <family val="2"/>
        <scheme val="minor"/>
      </rPr>
      <t>CASTO,PHA,anox</t>
    </r>
  </si>
  <si>
    <t>Yield of CASTOs on PHA under anoxic conditions</t>
  </si>
  <si>
    <r>
      <t>Y</t>
    </r>
    <r>
      <rPr>
        <vertAlign val="subscript"/>
        <sz val="11"/>
        <rFont val="Calibri"/>
        <family val="2"/>
        <scheme val="minor"/>
      </rPr>
      <t>CASTO,SB,ana</t>
    </r>
  </si>
  <si>
    <t>Yield of CASTOs on readily biodegradable substrate under anaerobic conditions</t>
  </si>
  <si>
    <r>
      <t>Y</t>
    </r>
    <r>
      <rPr>
        <vertAlign val="subscript"/>
        <sz val="11"/>
        <rFont val="Calibri"/>
        <family val="2"/>
        <scheme val="minor"/>
      </rPr>
      <t>CASTO,H2,ana,high</t>
    </r>
  </si>
  <si>
    <t>Yield of H2 production in fermentation with high VFA concentration (CASTO)</t>
  </si>
  <si>
    <r>
      <t>Y</t>
    </r>
    <r>
      <rPr>
        <vertAlign val="subscript"/>
        <sz val="11"/>
        <rFont val="Calibri"/>
        <family val="2"/>
        <scheme val="minor"/>
      </rPr>
      <t>CASTO,H2,ana,low</t>
    </r>
  </si>
  <si>
    <t>Yield of H2 production in fermentation with low VFA concentration (CASTO)</t>
  </si>
  <si>
    <r>
      <t>Y</t>
    </r>
    <r>
      <rPr>
        <vertAlign val="subscript"/>
        <sz val="11"/>
        <rFont val="Calibri"/>
        <family val="2"/>
        <scheme val="minor"/>
      </rPr>
      <t>PP,CASTO,ox</t>
    </r>
  </si>
  <si>
    <t>Yield of CASTOs consumed per PP uptake under aerobic conditions</t>
  </si>
  <si>
    <r>
      <t>g X</t>
    </r>
    <r>
      <rPr>
        <vertAlign val="subscript"/>
        <sz val="11"/>
        <rFont val="Calibri"/>
        <family val="2"/>
        <scheme val="minor"/>
      </rPr>
      <t>PAO</t>
    </r>
    <r>
      <rPr>
        <sz val="11"/>
        <rFont val="Calibri"/>
        <family val="2"/>
        <scheme val="minor"/>
      </rPr>
      <t>.g X</t>
    </r>
    <r>
      <rPr>
        <vertAlign val="subscript"/>
        <sz val="11"/>
        <rFont val="Calibri"/>
        <family val="2"/>
        <scheme val="minor"/>
      </rPr>
      <t>PP</t>
    </r>
    <r>
      <rPr>
        <vertAlign val="superscript"/>
        <sz val="11"/>
        <rFont val="Calibri"/>
        <family val="2"/>
        <scheme val="minor"/>
      </rPr>
      <t>-1</t>
    </r>
  </si>
  <si>
    <r>
      <t>Y</t>
    </r>
    <r>
      <rPr>
        <vertAlign val="subscript"/>
        <sz val="11"/>
        <rFont val="Calibri"/>
        <family val="2"/>
        <scheme val="minor"/>
      </rPr>
      <t>PP,CASTO,anox</t>
    </r>
  </si>
  <si>
    <t>Yield of CASTOs consumed per PP uptake under anoxic conditions</t>
  </si>
  <si>
    <r>
      <t>Y</t>
    </r>
    <r>
      <rPr>
        <vertAlign val="subscript"/>
        <sz val="11"/>
        <rFont val="Calibri"/>
        <family val="2"/>
        <scheme val="minor"/>
      </rPr>
      <t>CASTO,GLY,ox</t>
    </r>
  </si>
  <si>
    <t>Yield of CASTOs on glycogen under aerobic conditions</t>
  </si>
  <si>
    <r>
      <t>Y</t>
    </r>
    <r>
      <rPr>
        <vertAlign val="subscript"/>
        <sz val="11"/>
        <rFont val="Calibri"/>
        <family val="2"/>
        <scheme val="minor"/>
      </rPr>
      <t>CASTO,GLY,anox</t>
    </r>
  </si>
  <si>
    <t>Yield of CASTOs on glycogen under anoxic conditions</t>
  </si>
  <si>
    <t>HAO stoichiometry</t>
  </si>
  <si>
    <r>
      <t>ASF</t>
    </r>
    <r>
      <rPr>
        <vertAlign val="subscript"/>
        <sz val="11"/>
        <rFont val="Calibri"/>
        <family val="2"/>
        <scheme val="minor"/>
      </rPr>
      <t>HAO,H</t>
    </r>
  </si>
  <si>
    <t>Active site factor for HAO,H</t>
  </si>
  <si>
    <r>
      <t>mol P.mol Al</t>
    </r>
    <r>
      <rPr>
        <vertAlign val="superscript"/>
        <sz val="11"/>
        <rFont val="Calibri"/>
        <family val="2"/>
        <scheme val="minor"/>
      </rPr>
      <t>-1</t>
    </r>
  </si>
  <si>
    <t>g P / g Me</t>
  </si>
  <si>
    <r>
      <t>ASF</t>
    </r>
    <r>
      <rPr>
        <vertAlign val="subscript"/>
        <sz val="11"/>
        <rFont val="Calibri"/>
        <family val="2"/>
        <scheme val="minor"/>
      </rPr>
      <t>HAO,L</t>
    </r>
  </si>
  <si>
    <t>Active site factor for HAO,L</t>
  </si>
  <si>
    <t>g MeOH / g Me</t>
  </si>
  <si>
    <r>
      <t>f</t>
    </r>
    <r>
      <rPr>
        <vertAlign val="subscript"/>
        <sz val="11"/>
        <rFont val="Calibri"/>
        <family val="2"/>
        <scheme val="minor"/>
      </rPr>
      <t>H2O,HAO,TSS</t>
    </r>
  </si>
  <si>
    <r>
      <t>Fraction of H</t>
    </r>
    <r>
      <rPr>
        <vertAlign val="subscript"/>
        <sz val="11"/>
        <color rgb="FF000000"/>
        <rFont val="Calibri"/>
        <family val="2"/>
        <scheme val="minor"/>
      </rPr>
      <t>2</t>
    </r>
    <r>
      <rPr>
        <sz val="11"/>
        <color rgb="FF000000"/>
        <rFont val="Calibri"/>
        <family val="2"/>
        <charset val="238"/>
        <scheme val="minor"/>
      </rPr>
      <t>O loss in TSS test for HAO</t>
    </r>
  </si>
  <si>
    <r>
      <t>g H2O.g AlOH3</t>
    </r>
    <r>
      <rPr>
        <vertAlign val="superscript"/>
        <sz val="11"/>
        <rFont val="Calibri"/>
        <family val="2"/>
        <scheme val="minor"/>
      </rPr>
      <t>-1</t>
    </r>
  </si>
  <si>
    <t>g MeP / g Me</t>
  </si>
  <si>
    <r>
      <t>f</t>
    </r>
    <r>
      <rPr>
        <vertAlign val="subscript"/>
        <sz val="11"/>
        <rFont val="Calibri"/>
        <family val="2"/>
        <scheme val="minor"/>
      </rPr>
      <t>H2O,HAO,VSS</t>
    </r>
  </si>
  <si>
    <t xml:space="preserve">Fraction of H2O loss in VSS test for HAO </t>
  </si>
  <si>
    <t>2Al(OH)3 -&gt; Al2O3 + 3H2O</t>
  </si>
  <si>
    <r>
      <t>q</t>
    </r>
    <r>
      <rPr>
        <vertAlign val="subscript"/>
        <sz val="11"/>
        <rFont val="Calibri"/>
        <family val="2"/>
        <scheme val="minor"/>
      </rPr>
      <t>ALPHA</t>
    </r>
  </si>
  <si>
    <t xml:space="preserve">Sludge retention-based alpha improvement rate component </t>
  </si>
  <si>
    <r>
      <t>m</t>
    </r>
    <r>
      <rPr>
        <vertAlign val="superscript"/>
        <sz val="11"/>
        <rFont val="Calibri"/>
        <family val="2"/>
        <charset val="238"/>
        <scheme val="minor"/>
      </rPr>
      <t>3</t>
    </r>
    <r>
      <rPr>
        <sz val="11"/>
        <rFont val="Calibri"/>
        <family val="2"/>
        <scheme val="minor"/>
      </rPr>
      <t>.g</t>
    </r>
    <r>
      <rPr>
        <vertAlign val="superscript"/>
        <sz val="11"/>
        <rFont val="Calibri"/>
        <family val="2"/>
        <charset val="238"/>
        <scheme val="minor"/>
      </rPr>
      <t>-1</t>
    </r>
    <r>
      <rPr>
        <sz val="11"/>
        <rFont val="Calibri"/>
        <family val="2"/>
        <charset val="238"/>
        <scheme val="minor"/>
      </rPr>
      <t>.</t>
    </r>
    <r>
      <rPr>
        <sz val="11"/>
        <rFont val="Calibri"/>
        <family val="2"/>
        <scheme val="minor"/>
      </rPr>
      <t>d</t>
    </r>
    <r>
      <rPr>
        <vertAlign val="superscript"/>
        <sz val="11"/>
        <rFont val="Calibri"/>
        <family val="2"/>
        <scheme val="minor"/>
      </rPr>
      <t>-1</t>
    </r>
  </si>
  <si>
    <r>
      <t>S</t>
    </r>
    <r>
      <rPr>
        <vertAlign val="subscript"/>
        <sz val="11"/>
        <rFont val="Calibri"/>
        <family val="2"/>
        <charset val="238"/>
        <scheme val="minor"/>
      </rPr>
      <t>ALPHA,sat</t>
    </r>
  </si>
  <si>
    <t>Alpha indicator saturation value</t>
  </si>
  <si>
    <r>
      <t>K</t>
    </r>
    <r>
      <rPr>
        <vertAlign val="subscript"/>
        <sz val="11"/>
        <rFont val="Calibri"/>
        <family val="2"/>
        <charset val="238"/>
        <scheme val="minor"/>
      </rPr>
      <t>SO2,ALPHA</t>
    </r>
  </si>
  <si>
    <t>Half-saturation of dissolved oxygen for anoxic/anaerobic alpha enhancement</t>
  </si>
  <si>
    <r>
      <t>f</t>
    </r>
    <r>
      <rPr>
        <vertAlign val="subscript"/>
        <sz val="11"/>
        <rFont val="Calibri"/>
        <family val="2"/>
        <charset val="238"/>
        <scheme val="minor"/>
      </rPr>
      <t>SO2,max,ALPHA</t>
    </r>
  </si>
  <si>
    <t>Maximum anaerobic/anoxic alpha enhancement factor (at 0 mg/l DO)</t>
  </si>
  <si>
    <r>
      <t>coeff</t>
    </r>
    <r>
      <rPr>
        <vertAlign val="subscript"/>
        <sz val="11"/>
        <rFont val="Calibri"/>
        <family val="2"/>
        <charset val="238"/>
        <scheme val="minor"/>
      </rPr>
      <t>damp,ALPHA</t>
    </r>
  </si>
  <si>
    <t>Coefficient of alpha first order limitation damping term</t>
  </si>
  <si>
    <r>
      <t>pow</t>
    </r>
    <r>
      <rPr>
        <vertAlign val="subscript"/>
        <sz val="11"/>
        <rFont val="Calibri"/>
        <family val="2"/>
        <charset val="238"/>
        <scheme val="minor"/>
      </rPr>
      <t>damp,ALPHA</t>
    </r>
  </si>
  <si>
    <t>Power of alpha first order limitation damping term</t>
  </si>
  <si>
    <r>
      <t>sl</t>
    </r>
    <r>
      <rPr>
        <vertAlign val="subscript"/>
        <sz val="11"/>
        <rFont val="Calibri"/>
        <family val="2"/>
        <charset val="238"/>
        <scheme val="minor"/>
      </rPr>
      <t>TSS,</t>
    </r>
    <r>
      <rPr>
        <vertAlign val="subscript"/>
        <sz val="11"/>
        <rFont val="Calibri"/>
        <family val="2"/>
        <charset val="238"/>
      </rPr>
      <t>α</t>
    </r>
    <r>
      <rPr>
        <vertAlign val="subscript"/>
        <sz val="11"/>
        <rFont val="Calibri"/>
        <family val="2"/>
        <charset val="238"/>
        <scheme val="minor"/>
      </rPr>
      <t>,def</t>
    </r>
  </si>
  <si>
    <t>Slope of solids-related alpha correction, default</t>
  </si>
  <si>
    <r>
      <t>m</t>
    </r>
    <r>
      <rPr>
        <vertAlign val="superscript"/>
        <sz val="11"/>
        <rFont val="Calibri"/>
        <family val="2"/>
        <charset val="238"/>
        <scheme val="minor"/>
      </rPr>
      <t>3</t>
    </r>
    <r>
      <rPr>
        <sz val="11"/>
        <rFont val="Calibri"/>
        <family val="2"/>
        <scheme val="minor"/>
      </rPr>
      <t>.kg</t>
    </r>
    <r>
      <rPr>
        <vertAlign val="superscript"/>
        <sz val="11"/>
        <rFont val="Calibri"/>
        <family val="2"/>
        <charset val="238"/>
        <scheme val="minor"/>
      </rPr>
      <t>-1</t>
    </r>
  </si>
  <si>
    <r>
      <t>sl</t>
    </r>
    <r>
      <rPr>
        <vertAlign val="subscript"/>
        <sz val="11"/>
        <rFont val="Calibri"/>
        <family val="2"/>
        <charset val="238"/>
        <scheme val="minor"/>
      </rPr>
      <t>TSS,α,coarse</t>
    </r>
  </si>
  <si>
    <t>Slope of solids-related alpha correction, coarse bubbles</t>
  </si>
  <si>
    <r>
      <t>coeff</t>
    </r>
    <r>
      <rPr>
        <vertAlign val="subscript"/>
        <sz val="11"/>
        <rFont val="Calibri"/>
        <family val="2"/>
        <charset val="238"/>
        <scheme val="minor"/>
      </rPr>
      <t>lead,TSS,α,mech</t>
    </r>
  </si>
  <si>
    <t>Leading coefficient of solids-related alpha correction, mechanical aeration</t>
  </si>
  <si>
    <r>
      <t>(kg.m</t>
    </r>
    <r>
      <rPr>
        <vertAlign val="superscript"/>
        <sz val="11"/>
        <rFont val="Calibri"/>
        <family val="2"/>
        <charset val="238"/>
        <scheme val="minor"/>
      </rPr>
      <t>-3</t>
    </r>
    <r>
      <rPr>
        <sz val="11"/>
        <rFont val="Calibri"/>
        <family val="2"/>
        <scheme val="minor"/>
      </rPr>
      <t>)</t>
    </r>
    <r>
      <rPr>
        <vertAlign val="superscript"/>
        <sz val="11"/>
        <rFont val="Calibri"/>
        <family val="2"/>
        <charset val="238"/>
        <scheme val="minor"/>
      </rPr>
      <t>-2</t>
    </r>
  </si>
  <si>
    <r>
      <t>coeff</t>
    </r>
    <r>
      <rPr>
        <vertAlign val="subscript"/>
        <sz val="11"/>
        <rFont val="Calibri"/>
        <family val="2"/>
        <charset val="238"/>
        <scheme val="minor"/>
      </rPr>
      <t>lin,TSS,α,mech</t>
    </r>
  </si>
  <si>
    <t>Linear coefficient of solids-related alpha correction, mechanical aeration</t>
  </si>
  <si>
    <r>
      <t>const</t>
    </r>
    <r>
      <rPr>
        <vertAlign val="subscript"/>
        <sz val="11"/>
        <color rgb="FF000000"/>
        <rFont val="Calibri"/>
        <family val="2"/>
        <charset val="238"/>
        <scheme val="minor"/>
      </rPr>
      <t>TSS,α,mech</t>
    </r>
  </si>
  <si>
    <t>Constant of solids-related alpha correction, mechanical aeration</t>
  </si>
  <si>
    <t>TOC calculation coefficients</t>
  </si>
  <si>
    <r>
      <t>f</t>
    </r>
    <r>
      <rPr>
        <vertAlign val="subscript"/>
        <sz val="11"/>
        <rFont val="Calibri"/>
        <family val="2"/>
        <scheme val="minor"/>
      </rPr>
      <t>TOC,1</t>
    </r>
  </si>
  <si>
    <r>
      <t>g C.g COD</t>
    </r>
    <r>
      <rPr>
        <vertAlign val="superscript"/>
        <sz val="11"/>
        <rFont val="Calibri"/>
        <family val="2"/>
        <scheme val="minor"/>
      </rPr>
      <t>-1</t>
    </r>
  </si>
  <si>
    <r>
      <t>f</t>
    </r>
    <r>
      <rPr>
        <vertAlign val="subscript"/>
        <sz val="11"/>
        <rFont val="Calibri"/>
        <family val="2"/>
        <scheme val="minor"/>
      </rPr>
      <t>TOC,2</t>
    </r>
  </si>
  <si>
    <r>
      <t>g C.m</t>
    </r>
    <r>
      <rPr>
        <vertAlign val="superscript"/>
        <sz val="11"/>
        <rFont val="Calibri"/>
        <family val="2"/>
        <scheme val="minor"/>
      </rPr>
      <t>-3</t>
    </r>
  </si>
  <si>
    <t>Interstitial water content</t>
  </si>
  <si>
    <r>
      <t>i</t>
    </r>
    <r>
      <rPr>
        <vertAlign val="subscript"/>
        <sz val="11"/>
        <rFont val="Calibri"/>
        <family val="2"/>
        <scheme val="minor"/>
      </rPr>
      <t>iw,BIO</t>
    </r>
  </si>
  <si>
    <t>Interstitial water of biomass in volatile solids</t>
  </si>
  <si>
    <r>
      <t>g H2O.g VS</t>
    </r>
    <r>
      <rPr>
        <vertAlign val="superscript"/>
        <sz val="11"/>
        <rFont val="Calibri"/>
        <family val="2"/>
        <scheme val="minor"/>
      </rPr>
      <t>-1</t>
    </r>
  </si>
  <si>
    <t>Assuming 70% of biomass cytoplasm is water</t>
  </si>
  <si>
    <t>Vicinal water content</t>
  </si>
  <si>
    <r>
      <t>i</t>
    </r>
    <r>
      <rPr>
        <vertAlign val="subscript"/>
        <sz val="11"/>
        <rFont val="Calibri"/>
        <family val="2"/>
        <scheme val="minor"/>
      </rPr>
      <t>vw,XB</t>
    </r>
  </si>
  <si>
    <t>Vicinal water of biodegradable substrate in volatile solids</t>
  </si>
  <si>
    <t>Assuming 5% of H2O is associated with vicinal water for these organics</t>
  </si>
  <si>
    <r>
      <t>i</t>
    </r>
    <r>
      <rPr>
        <vertAlign val="subscript"/>
        <sz val="11"/>
        <rFont val="Calibri"/>
        <family val="2"/>
        <scheme val="minor"/>
      </rPr>
      <t>vw,XU</t>
    </r>
  </si>
  <si>
    <t>Vicinal water of particulate unbiodegradable organics in volatile solids</t>
  </si>
  <si>
    <r>
      <t>i</t>
    </r>
    <r>
      <rPr>
        <vertAlign val="subscript"/>
        <sz val="11"/>
        <rFont val="Calibri"/>
        <family val="2"/>
        <scheme val="minor"/>
      </rPr>
      <t>vw,BIO</t>
    </r>
  </si>
  <si>
    <t>Vicinal water of biomass in volatile solids</t>
  </si>
  <si>
    <r>
      <t>i</t>
    </r>
    <r>
      <rPr>
        <vertAlign val="subscript"/>
        <sz val="11"/>
        <rFont val="Calibri"/>
        <family val="2"/>
        <scheme val="minor"/>
      </rPr>
      <t>vw,XE</t>
    </r>
  </si>
  <si>
    <t>Vicinal water of endogenous products in volatile solids</t>
  </si>
  <si>
    <r>
      <t>i</t>
    </r>
    <r>
      <rPr>
        <vertAlign val="subscript"/>
        <sz val="11"/>
        <rFont val="Calibri"/>
        <family val="2"/>
        <scheme val="minor"/>
      </rPr>
      <t>vw,CB</t>
    </r>
  </si>
  <si>
    <t>Vicinal water of colloidal biodegradable substrate in volatile solids</t>
  </si>
  <si>
    <r>
      <t>i</t>
    </r>
    <r>
      <rPr>
        <vertAlign val="subscript"/>
        <sz val="11"/>
        <rFont val="Calibri"/>
        <family val="2"/>
        <scheme val="minor"/>
      </rPr>
      <t>vw,CU</t>
    </r>
  </si>
  <si>
    <t>Vicinal water of colloidal unbiodegradable organics in volatile solids</t>
  </si>
  <si>
    <r>
      <t>i</t>
    </r>
    <r>
      <rPr>
        <vertAlign val="subscript"/>
        <sz val="11"/>
        <rFont val="Calibri"/>
        <family val="2"/>
        <scheme val="minor"/>
      </rPr>
      <t>vw,PHA</t>
    </r>
  </si>
  <si>
    <t>Vicinal water of PHA in volatile solids</t>
  </si>
  <si>
    <r>
      <t>i</t>
    </r>
    <r>
      <rPr>
        <vertAlign val="subscript"/>
        <sz val="11"/>
        <rFont val="Calibri"/>
        <family val="2"/>
        <scheme val="minor"/>
      </rPr>
      <t>vw,GLY</t>
    </r>
  </si>
  <si>
    <t>Vicinal water of glycogen in volatile solids</t>
  </si>
  <si>
    <r>
      <t>i</t>
    </r>
    <r>
      <rPr>
        <vertAlign val="subscript"/>
        <sz val="11"/>
        <rFont val="Calibri"/>
        <family val="2"/>
        <scheme val="minor"/>
      </rPr>
      <t>vw,EPS</t>
    </r>
  </si>
  <si>
    <t>Vicinal water correction of EPS in volatile solids</t>
  </si>
  <si>
    <t>Water of Hydration content</t>
  </si>
  <si>
    <r>
      <t>i</t>
    </r>
    <r>
      <rPr>
        <vertAlign val="subscript"/>
        <sz val="11"/>
        <rFont val="Calibri"/>
        <family val="2"/>
        <scheme val="minor"/>
      </rPr>
      <t>wh,XB</t>
    </r>
  </si>
  <si>
    <t>Water of hydration of biodegradable substrate in volatile solids</t>
  </si>
  <si>
    <t>Assuming 10% of H2O is associated with water of hydration</t>
  </si>
  <si>
    <r>
      <t>i</t>
    </r>
    <r>
      <rPr>
        <vertAlign val="subscript"/>
        <sz val="11"/>
        <rFont val="Calibri"/>
        <family val="2"/>
        <scheme val="minor"/>
      </rPr>
      <t>wh,XU</t>
    </r>
  </si>
  <si>
    <t>Water of hydration of particulate unbiodegradable organics in volatile solids</t>
  </si>
  <si>
    <r>
      <t>i</t>
    </r>
    <r>
      <rPr>
        <vertAlign val="subscript"/>
        <sz val="11"/>
        <rFont val="Calibri"/>
        <family val="2"/>
        <scheme val="minor"/>
      </rPr>
      <t>wh,BIO</t>
    </r>
  </si>
  <si>
    <t>Water of hydration of biomass in volatile solids</t>
  </si>
  <si>
    <r>
      <t>i</t>
    </r>
    <r>
      <rPr>
        <vertAlign val="subscript"/>
        <sz val="11"/>
        <rFont val="Calibri"/>
        <family val="2"/>
        <scheme val="minor"/>
      </rPr>
      <t>wh,XE</t>
    </r>
  </si>
  <si>
    <t>Water of hydration of endogenous products in volatile solids</t>
  </si>
  <si>
    <r>
      <t>i</t>
    </r>
    <r>
      <rPr>
        <vertAlign val="subscript"/>
        <sz val="11"/>
        <rFont val="Calibri"/>
        <family val="2"/>
        <scheme val="minor"/>
      </rPr>
      <t>wh,PHA</t>
    </r>
  </si>
  <si>
    <t>Water of hydration of PHA in volatile solids</t>
  </si>
  <si>
    <t>Assuming 15% of H2O is associated with water of hydration</t>
  </si>
  <si>
    <r>
      <t>i</t>
    </r>
    <r>
      <rPr>
        <vertAlign val="subscript"/>
        <sz val="11"/>
        <rFont val="Calibri"/>
        <family val="2"/>
        <scheme val="minor"/>
      </rPr>
      <t>wh,GLY</t>
    </r>
  </si>
  <si>
    <t>Water of hydration of glycogen in volatile solids</t>
  </si>
  <si>
    <r>
      <t>i</t>
    </r>
    <r>
      <rPr>
        <vertAlign val="subscript"/>
        <sz val="11"/>
        <rFont val="Calibri"/>
        <family val="2"/>
        <scheme val="minor"/>
      </rPr>
      <t>wh,EPS</t>
    </r>
  </si>
  <si>
    <t>Water of hydration correction of EPS in volatile solids</t>
  </si>
  <si>
    <t>Assuming 25% of H2O is associated with water of hydration</t>
  </si>
  <si>
    <r>
      <t>X</t>
    </r>
    <r>
      <rPr>
        <vertAlign val="subscript"/>
        <sz val="11"/>
        <rFont val="Calibri"/>
        <family val="2"/>
        <scheme val="minor"/>
      </rPr>
      <t>HAO,H</t>
    </r>
  </si>
  <si>
    <t>Active hydrous aluminium oxide, high surface (HAO,H)</t>
  </si>
  <si>
    <r>
      <t>g Al.m</t>
    </r>
    <r>
      <rPr>
        <vertAlign val="superscript"/>
        <sz val="11"/>
        <rFont val="Calibri"/>
        <family val="2"/>
      </rPr>
      <t>-3</t>
    </r>
  </si>
  <si>
    <r>
      <t>X</t>
    </r>
    <r>
      <rPr>
        <vertAlign val="subscript"/>
        <sz val="11"/>
        <rFont val="Calibri"/>
        <family val="2"/>
        <scheme val="minor"/>
      </rPr>
      <t>HAO,L</t>
    </r>
  </si>
  <si>
    <t>Active hydrous aluminium oxide, low surface (HAO,L)</t>
  </si>
  <si>
    <r>
      <t>X</t>
    </r>
    <r>
      <rPr>
        <vertAlign val="subscript"/>
        <sz val="11"/>
        <rFont val="Calibri"/>
        <family val="2"/>
        <scheme val="minor"/>
      </rPr>
      <t>HAO,old</t>
    </r>
  </si>
  <si>
    <t>Aged unused hydrous aluminium oxide (HAO,old)</t>
  </si>
  <si>
    <r>
      <t>X</t>
    </r>
    <r>
      <rPr>
        <vertAlign val="subscript"/>
        <sz val="11"/>
        <rFont val="Calibri"/>
        <family val="2"/>
        <scheme val="minor"/>
      </rPr>
      <t>HAO,H,P</t>
    </r>
  </si>
  <si>
    <t>P-bound hydrous aluminium oxide, high surface (HAO,H,P)</t>
  </si>
  <si>
    <r>
      <t>X</t>
    </r>
    <r>
      <rPr>
        <vertAlign val="subscript"/>
        <sz val="11"/>
        <rFont val="Calibri"/>
        <family val="2"/>
        <scheme val="minor"/>
      </rPr>
      <t>HAO,L,P</t>
    </r>
  </si>
  <si>
    <t>P-bound hydrous aluminium oxide, low surface (HAO,L,P)</t>
  </si>
  <si>
    <r>
      <t>X</t>
    </r>
    <r>
      <rPr>
        <vertAlign val="subscript"/>
        <sz val="11"/>
        <rFont val="Calibri"/>
        <family val="2"/>
      </rPr>
      <t>HAO,H,P,old</t>
    </r>
  </si>
  <si>
    <t>Aged P-bound hydrous aluminium oxide, high surface (HAO,H,P,old)</t>
  </si>
  <si>
    <r>
      <t>X</t>
    </r>
    <r>
      <rPr>
        <vertAlign val="subscript"/>
        <sz val="11"/>
        <rFont val="Calibri"/>
        <family val="2"/>
      </rPr>
      <t>HAO,L,P,old</t>
    </r>
  </si>
  <si>
    <t>Aged P-bound hydrous aluminium oxide, low surface (HAO,L,P,old)</t>
  </si>
  <si>
    <r>
      <t>X</t>
    </r>
    <r>
      <rPr>
        <b/>
        <vertAlign val="subscript"/>
        <sz val="11"/>
        <rFont val="Calibri"/>
        <family val="2"/>
        <scheme val="minor"/>
      </rPr>
      <t>HAO,L</t>
    </r>
  </si>
  <si>
    <r>
      <t>X</t>
    </r>
    <r>
      <rPr>
        <b/>
        <vertAlign val="subscript"/>
        <sz val="11"/>
        <rFont val="Calibri"/>
        <family val="2"/>
        <scheme val="minor"/>
      </rPr>
      <t>HAO,old</t>
    </r>
  </si>
  <si>
    <r>
      <t>X</t>
    </r>
    <r>
      <rPr>
        <b/>
        <vertAlign val="subscript"/>
        <sz val="11"/>
        <rFont val="Calibri"/>
        <family val="2"/>
        <scheme val="minor"/>
      </rPr>
      <t>HAO,H,P</t>
    </r>
  </si>
  <si>
    <r>
      <t>X</t>
    </r>
    <r>
      <rPr>
        <b/>
        <vertAlign val="subscript"/>
        <sz val="11"/>
        <rFont val="Calibri"/>
        <family val="2"/>
        <scheme val="minor"/>
      </rPr>
      <t>HAO,L,P</t>
    </r>
  </si>
  <si>
    <r>
      <t>X</t>
    </r>
    <r>
      <rPr>
        <b/>
        <vertAlign val="subscript"/>
        <sz val="11"/>
        <rFont val="Calibri"/>
        <family val="2"/>
      </rPr>
      <t>HAO,H,P,old</t>
    </r>
  </si>
  <si>
    <r>
      <t>X</t>
    </r>
    <r>
      <rPr>
        <b/>
        <vertAlign val="subscript"/>
        <sz val="11"/>
        <rFont val="Calibri"/>
        <family val="2"/>
      </rPr>
      <t>HAO,L,P,old</t>
    </r>
  </si>
  <si>
    <r>
      <t>X</t>
    </r>
    <r>
      <rPr>
        <vertAlign val="subscript"/>
        <sz val="11"/>
        <rFont val="Calibri"/>
        <family val="2"/>
        <scheme val="minor"/>
      </rPr>
      <t>BSH</t>
    </r>
  </si>
  <si>
    <t>Brushite (BSH)</t>
  </si>
  <si>
    <r>
      <t>S</t>
    </r>
    <r>
      <rPr>
        <b/>
        <vertAlign val="subscript"/>
        <sz val="11"/>
        <rFont val="Calibri"/>
        <family val="2"/>
        <charset val="238"/>
        <scheme val="minor"/>
      </rPr>
      <t>ALPHA</t>
    </r>
  </si>
  <si>
    <t>Alpha indicator</t>
  </si>
  <si>
    <r>
      <t>X</t>
    </r>
    <r>
      <rPr>
        <b/>
        <vertAlign val="subscript"/>
        <sz val="12"/>
        <rFont val="Calibri"/>
        <family val="2"/>
        <scheme val="minor"/>
      </rPr>
      <t>BSH</t>
    </r>
  </si>
  <si>
    <r>
      <t>S</t>
    </r>
    <r>
      <rPr>
        <b/>
        <vertAlign val="subscript"/>
        <sz val="11"/>
        <rFont val="Calibri"/>
        <family val="2"/>
        <scheme val="minor"/>
      </rPr>
      <t>ALPHA</t>
    </r>
  </si>
  <si>
    <r>
      <t>CASTO growth on PHA and GLY, O</t>
    </r>
    <r>
      <rPr>
        <vertAlign val="subscript"/>
        <sz val="11"/>
        <color rgb="FF000000"/>
        <rFont val="Calibri"/>
        <family val="2"/>
        <scheme val="minor"/>
      </rPr>
      <t>2</t>
    </r>
  </si>
  <si>
    <r>
      <t>-(X</t>
    </r>
    <r>
      <rPr>
        <vertAlign val="subscript"/>
        <sz val="11"/>
        <rFont val="Calibri"/>
        <family val="2"/>
      </rPr>
      <t>PHA</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</si>
  <si>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-(X</t>
    </r>
    <r>
      <rPr>
        <vertAlign val="subscript"/>
        <sz val="11"/>
        <rFont val="Calibri"/>
        <family val="2"/>
      </rPr>
      <t>GLY</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</si>
  <si>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-(1-Y</t>
    </r>
    <r>
      <rPr>
        <vertAlign val="subscript"/>
        <sz val="11"/>
        <rFont val="Calibri"/>
        <family val="2"/>
      </rPr>
      <t>CASTO,STC,ox</t>
    </r>
    <r>
      <rPr>
        <sz val="11"/>
        <rFont val="Calibri"/>
        <family val="2"/>
      </rPr>
      <t>)/Y</t>
    </r>
    <r>
      <rPr>
        <vertAlign val="subscript"/>
        <sz val="11"/>
        <rFont val="Calibri"/>
        <family val="2"/>
      </rPr>
      <t>CASTO,STC,ox</t>
    </r>
  </si>
  <si>
    <r>
      <t>(i</t>
    </r>
    <r>
      <rPr>
        <vertAlign val="subscript"/>
        <sz val="11"/>
        <rFont val="Calibri"/>
        <family val="2"/>
      </rPr>
      <t>CIT,STC</t>
    </r>
    <r>
      <rPr>
        <sz val="11"/>
        <rFont val="Calibri"/>
        <family val="2"/>
      </rPr>
      <t>/Y</t>
    </r>
    <r>
      <rPr>
        <vertAlign val="subscript"/>
        <sz val="11"/>
        <rFont val="Calibri"/>
        <family val="2"/>
      </rPr>
      <t>CASTO,STC,ox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</si>
  <si>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</si>
  <si>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CASTO growth on PHA and GLY, NO</t>
    </r>
    <r>
      <rPr>
        <vertAlign val="subscript"/>
        <sz val="11"/>
        <color rgb="FF000000"/>
        <rFont val="Calibri"/>
        <family val="2"/>
        <scheme val="minor"/>
      </rPr>
      <t>2</t>
    </r>
  </si>
  <si>
    <r>
      <t>-(X</t>
    </r>
    <r>
      <rPr>
        <vertAlign val="subscript"/>
        <sz val="11"/>
        <rFont val="Calibri"/>
        <family val="2"/>
      </rPr>
      <t>PHA</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</si>
  <si>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-(X</t>
    </r>
    <r>
      <rPr>
        <vertAlign val="subscript"/>
        <sz val="11"/>
        <rFont val="Calibri"/>
        <family val="2"/>
      </rPr>
      <t>GLY</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</si>
  <si>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-(1-Y</t>
    </r>
    <r>
      <rPr>
        <vertAlign val="subscript"/>
        <sz val="11"/>
        <rFont val="Calibri"/>
        <family val="2"/>
      </rPr>
      <t>CASTO,STC,anox</t>
    </r>
    <r>
      <rPr>
        <sz val="11"/>
        <rFont val="Calibri"/>
        <family val="2"/>
      </rPr>
      <t>)/(EEQ</t>
    </r>
    <r>
      <rPr>
        <vertAlign val="subscript"/>
        <sz val="11"/>
        <rFont val="Calibri"/>
        <family val="2"/>
      </rPr>
      <t>N2,NO2</t>
    </r>
    <r>
      <rPr>
        <sz val="11"/>
        <rFont val="Calibri"/>
        <family val="2"/>
      </rPr>
      <t>*Y</t>
    </r>
    <r>
      <rPr>
        <vertAlign val="subscript"/>
        <sz val="11"/>
        <rFont val="Calibri"/>
        <family val="2"/>
      </rPr>
      <t>CASTO,STC,anox</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</si>
  <si>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N2,NO2</t>
    </r>
    <r>
      <rPr>
        <sz val="11"/>
        <rFont val="Calibri"/>
        <family val="2"/>
      </rPr>
      <t>*Y</t>
    </r>
    <r>
      <rPr>
        <vertAlign val="subscript"/>
        <sz val="11"/>
        <rFont val="Calibri"/>
        <family val="2"/>
      </rPr>
      <t>CASTO,STC,anox</t>
    </r>
    <r>
      <rPr>
        <sz val="11"/>
        <rFont val="Calibri"/>
        <family val="2"/>
      </rPr>
      <t>)</t>
    </r>
  </si>
  <si>
    <r>
      <t>(i</t>
    </r>
    <r>
      <rPr>
        <vertAlign val="subscript"/>
        <sz val="11"/>
        <rFont val="Calibri"/>
        <family val="2"/>
      </rPr>
      <t>CIT,STC</t>
    </r>
    <r>
      <rPr>
        <sz val="11"/>
        <rFont val="Calibri"/>
        <family val="2"/>
      </rPr>
      <t>/Y</t>
    </r>
    <r>
      <rPr>
        <vertAlign val="subscript"/>
        <sz val="11"/>
        <rFont val="Calibri"/>
        <family val="2"/>
      </rPr>
      <t>CASTO,STC,anox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</si>
  <si>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SNO2,KNO2,CASTO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</si>
  <si>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CASTO growth on PHA and GLY, NO</t>
    </r>
    <r>
      <rPr>
        <vertAlign val="subscript"/>
        <sz val="11"/>
        <color rgb="FF000000"/>
        <rFont val="Calibri"/>
        <family val="2"/>
        <scheme val="minor"/>
      </rPr>
      <t>3</t>
    </r>
  </si>
  <si>
    <r>
      <t>(1-Y</t>
    </r>
    <r>
      <rPr>
        <vertAlign val="subscript"/>
        <sz val="11"/>
        <rFont val="Calibri"/>
        <family val="2"/>
      </rPr>
      <t>CASTO,STC,anox</t>
    </r>
    <r>
      <rPr>
        <sz val="11"/>
        <rFont val="Calibri"/>
        <family val="2"/>
      </rPr>
      <t>)/(EEQ</t>
    </r>
    <r>
      <rPr>
        <vertAlign val="subscript"/>
        <sz val="11"/>
        <rFont val="Calibri"/>
        <family val="2"/>
      </rPr>
      <t>NO2,NO3</t>
    </r>
    <r>
      <rPr>
        <sz val="11"/>
        <rFont val="Calibri"/>
        <family val="2"/>
      </rPr>
      <t>*Y</t>
    </r>
    <r>
      <rPr>
        <vertAlign val="subscript"/>
        <sz val="11"/>
        <rFont val="Calibri"/>
        <family val="2"/>
      </rPr>
      <t>CASTO,STC,anox</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</si>
  <si>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NO2,NO3</t>
    </r>
    <r>
      <rPr>
        <sz val="11"/>
        <rFont val="Calibri"/>
        <family val="2"/>
      </rPr>
      <t>*Y</t>
    </r>
    <r>
      <rPr>
        <vertAlign val="subscript"/>
        <sz val="11"/>
        <rFont val="Calibri"/>
        <family val="2"/>
      </rPr>
      <t>CASTO,STC,anox</t>
    </r>
    <r>
      <rPr>
        <sz val="11"/>
        <rFont val="Calibri"/>
        <family val="2"/>
      </rPr>
      <t>)</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</si>
  <si>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SNO3,KNO3,CASTO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</si>
  <si>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PAO polyphosphate storage, O</t>
    </r>
    <r>
      <rPr>
        <vertAlign val="subscript"/>
        <sz val="11"/>
        <rFont val="Calibri"/>
        <family val="2"/>
      </rPr>
      <t>2</t>
    </r>
  </si>
  <si>
    <r>
      <t>-Y</t>
    </r>
    <r>
      <rPr>
        <vertAlign val="subscript"/>
        <sz val="11"/>
        <rFont val="Calibri"/>
        <family val="2"/>
      </rPr>
      <t>PP,CASTO,ox</t>
    </r>
  </si>
  <si>
    <r>
      <t>i</t>
    </r>
    <r>
      <rPr>
        <vertAlign val="subscript"/>
        <sz val="11"/>
        <rFont val="Calibri"/>
        <family val="2"/>
      </rPr>
      <t>N,BIO</t>
    </r>
    <r>
      <rPr>
        <sz val="11"/>
        <rFont val="Calibri"/>
        <family val="2"/>
      </rPr>
      <t>*Y</t>
    </r>
    <r>
      <rPr>
        <vertAlign val="subscript"/>
        <sz val="11"/>
        <rFont val="Calibri"/>
        <family val="2"/>
      </rPr>
      <t>PP,CASTO,ox</t>
    </r>
  </si>
  <si>
    <r>
      <t>i</t>
    </r>
    <r>
      <rPr>
        <vertAlign val="subscript"/>
        <sz val="11"/>
        <rFont val="Calibri"/>
        <family val="2"/>
      </rPr>
      <t>P,BIO</t>
    </r>
    <r>
      <rPr>
        <sz val="11"/>
        <rFont val="Calibri"/>
        <family val="2"/>
      </rPr>
      <t>*Y</t>
    </r>
    <r>
      <rPr>
        <vertAlign val="subscript"/>
        <sz val="11"/>
        <rFont val="Calibri"/>
        <family val="2"/>
      </rPr>
      <t>PP,CASTO,ox</t>
    </r>
    <r>
      <rPr>
        <sz val="11"/>
        <rFont val="Calibri"/>
        <family val="2"/>
      </rPr>
      <t xml:space="preserve"> -1</t>
    </r>
  </si>
  <si>
    <r>
      <t>i</t>
    </r>
    <r>
      <rPr>
        <vertAlign val="subscript"/>
        <sz val="11"/>
        <rFont val="Calibri"/>
        <family val="2"/>
      </rPr>
      <t>CIT,BIO</t>
    </r>
    <r>
      <rPr>
        <sz val="11"/>
        <rFont val="Calibri"/>
        <family val="2"/>
      </rPr>
      <t>*Y</t>
    </r>
    <r>
      <rPr>
        <vertAlign val="subscript"/>
        <sz val="11"/>
        <rFont val="Calibri"/>
        <family val="2"/>
      </rPr>
      <t>PP,CASTO,ox</t>
    </r>
  </si>
  <si>
    <r>
      <t>-i</t>
    </r>
    <r>
      <rPr>
        <vertAlign val="subscript"/>
        <sz val="11"/>
        <rFont val="Calibri"/>
        <family val="2"/>
      </rPr>
      <t>INORG</t>
    </r>
    <r>
      <rPr>
        <sz val="11"/>
        <rFont val="Calibri"/>
        <family val="2"/>
      </rPr>
      <t>*Y</t>
    </r>
    <r>
      <rPr>
        <vertAlign val="subscript"/>
        <sz val="11"/>
        <rFont val="Calibri"/>
        <family val="2"/>
      </rPr>
      <t>PP,CASTO,ox</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</si>
  <si>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</si>
  <si>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</si>
  <si>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</si>
  <si>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</si>
  <si>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</si>
  <si>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Msat</t>
    </r>
    <r>
      <rPr>
        <vertAlign val="subscript"/>
        <sz val="11"/>
        <rFont val="Calibri"/>
        <family val="2"/>
      </rPr>
      <t xml:space="preserve">SO2,KO2,CASTO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r>
      <rPr>
        <sz val="11"/>
        <rFont val="Calibri"/>
        <family val="2"/>
        <charset val="238"/>
      </rPr>
      <t/>
    </r>
  </si>
  <si>
    <r>
      <t>PAO polyphosphate storage, NO</t>
    </r>
    <r>
      <rPr>
        <vertAlign val="subscript"/>
        <sz val="11"/>
        <rFont val="Calibri"/>
        <family val="2"/>
      </rPr>
      <t>2</t>
    </r>
  </si>
  <si>
    <r>
      <t>-Y</t>
    </r>
    <r>
      <rPr>
        <vertAlign val="subscript"/>
        <sz val="11"/>
        <rFont val="Calibri"/>
        <family val="2"/>
      </rPr>
      <t>PP,CASTO,anox</t>
    </r>
  </si>
  <si>
    <r>
      <t>i</t>
    </r>
    <r>
      <rPr>
        <vertAlign val="subscript"/>
        <sz val="11"/>
        <rFont val="Calibri"/>
        <family val="2"/>
      </rPr>
      <t>N,BIO</t>
    </r>
    <r>
      <rPr>
        <sz val="11"/>
        <rFont val="Calibri"/>
        <family val="2"/>
      </rPr>
      <t>*Y</t>
    </r>
    <r>
      <rPr>
        <vertAlign val="subscript"/>
        <sz val="11"/>
        <rFont val="Calibri"/>
        <family val="2"/>
      </rPr>
      <t>PP,CASTO,anox</t>
    </r>
  </si>
  <si>
    <r>
      <t>-Y</t>
    </r>
    <r>
      <rPr>
        <vertAlign val="subscript"/>
        <sz val="11"/>
        <rFont val="Calibri"/>
        <family val="2"/>
      </rPr>
      <t>PP,CASTO,anox</t>
    </r>
    <r>
      <rPr>
        <sz val="11"/>
        <rFont val="Calibri"/>
        <family val="2"/>
      </rPr>
      <t>/EEQ</t>
    </r>
    <r>
      <rPr>
        <vertAlign val="subscript"/>
        <sz val="11"/>
        <rFont val="Calibri"/>
        <family val="2"/>
      </rPr>
      <t>N2,NO2</t>
    </r>
  </si>
  <si>
    <r>
      <t>Y</t>
    </r>
    <r>
      <rPr>
        <vertAlign val="subscript"/>
        <sz val="11"/>
        <rFont val="Calibri"/>
        <family val="2"/>
      </rPr>
      <t>PP,CASTO,anox</t>
    </r>
    <r>
      <rPr>
        <sz val="11"/>
        <rFont val="Calibri"/>
        <family val="2"/>
      </rPr>
      <t>/EEQ</t>
    </r>
    <r>
      <rPr>
        <vertAlign val="subscript"/>
        <sz val="11"/>
        <rFont val="Calibri"/>
        <family val="2"/>
      </rPr>
      <t>N2,NO2</t>
    </r>
  </si>
  <si>
    <r>
      <t>i</t>
    </r>
    <r>
      <rPr>
        <vertAlign val="subscript"/>
        <sz val="11"/>
        <rFont val="Calibri"/>
        <family val="2"/>
      </rPr>
      <t>P,BIO</t>
    </r>
    <r>
      <rPr>
        <sz val="11"/>
        <rFont val="Calibri"/>
        <family val="2"/>
      </rPr>
      <t>*Y</t>
    </r>
    <r>
      <rPr>
        <vertAlign val="subscript"/>
        <sz val="11"/>
        <rFont val="Calibri"/>
        <family val="2"/>
      </rPr>
      <t>PP,CASTO,anox</t>
    </r>
    <r>
      <rPr>
        <sz val="11"/>
        <rFont val="Calibri"/>
        <family val="2"/>
      </rPr>
      <t xml:space="preserve"> -1</t>
    </r>
  </si>
  <si>
    <r>
      <t>i</t>
    </r>
    <r>
      <rPr>
        <vertAlign val="subscript"/>
        <sz val="11"/>
        <rFont val="Calibri"/>
        <family val="2"/>
      </rPr>
      <t>CIT,BIO</t>
    </r>
    <r>
      <rPr>
        <sz val="11"/>
        <rFont val="Calibri"/>
        <family val="2"/>
      </rPr>
      <t>*Y</t>
    </r>
    <r>
      <rPr>
        <vertAlign val="subscript"/>
        <sz val="11"/>
        <rFont val="Calibri"/>
        <family val="2"/>
      </rPr>
      <t>PP,CASTO,anox</t>
    </r>
  </si>
  <si>
    <r>
      <t>-i</t>
    </r>
    <r>
      <rPr>
        <vertAlign val="subscript"/>
        <sz val="11"/>
        <rFont val="Calibri"/>
        <family val="2"/>
      </rPr>
      <t>INORG</t>
    </r>
    <r>
      <rPr>
        <sz val="11"/>
        <rFont val="Calibri"/>
        <family val="2"/>
      </rPr>
      <t>*Y</t>
    </r>
    <r>
      <rPr>
        <vertAlign val="subscript"/>
        <sz val="11"/>
        <rFont val="Calibri"/>
        <family val="2"/>
      </rPr>
      <t>PP,CASTO,anox</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</si>
  <si>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</si>
  <si>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</si>
  <si>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</si>
  <si>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</si>
  <si>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η</t>
    </r>
    <r>
      <rPr>
        <vertAlign val="subscript"/>
        <sz val="11"/>
        <rFont val="Calibri"/>
        <family val="2"/>
      </rPr>
      <t xml:space="preserve">CASTO,anox </t>
    </r>
    <r>
      <rPr>
        <sz val="11"/>
        <rFont val="Calibri"/>
        <family val="2"/>
      </rPr>
      <t>* Msat</t>
    </r>
    <r>
      <rPr>
        <vertAlign val="subscript"/>
        <sz val="11"/>
        <rFont val="Calibri"/>
        <family val="2"/>
      </rPr>
      <t xml:space="preserve">SNO2,KNO2,CASTO </t>
    </r>
    <r>
      <rPr>
        <sz val="11"/>
        <rFont val="Calibri"/>
        <family val="2"/>
      </rPr>
      <t>* Minh</t>
    </r>
    <r>
      <rPr>
        <vertAlign val="subscript"/>
        <sz val="11"/>
        <rFont val="Calibri"/>
        <family val="2"/>
      </rPr>
      <t xml:space="preserve">SO2,KO2,CASTO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</si>
  <si>
    <r>
      <t>PAO polyphosphate storage, NO</t>
    </r>
    <r>
      <rPr>
        <vertAlign val="subscript"/>
        <sz val="11"/>
        <rFont val="Calibri"/>
        <family val="2"/>
      </rPr>
      <t>3</t>
    </r>
  </si>
  <si>
    <r>
      <t>Y</t>
    </r>
    <r>
      <rPr>
        <vertAlign val="subscript"/>
        <sz val="11"/>
        <rFont val="Calibri"/>
        <family val="2"/>
      </rPr>
      <t>PP,CASTO,anox</t>
    </r>
    <r>
      <rPr>
        <sz val="11"/>
        <rFont val="Calibri"/>
        <family val="2"/>
      </rPr>
      <t>/EEQ</t>
    </r>
    <r>
      <rPr>
        <vertAlign val="subscript"/>
        <sz val="11"/>
        <rFont val="Calibri"/>
        <family val="2"/>
      </rPr>
      <t>NO2,NO3</t>
    </r>
  </si>
  <si>
    <r>
      <t>-Y</t>
    </r>
    <r>
      <rPr>
        <vertAlign val="subscript"/>
        <sz val="11"/>
        <rFont val="Calibri"/>
        <family val="2"/>
      </rPr>
      <t>PP,CASTO,anox</t>
    </r>
    <r>
      <rPr>
        <sz val="11"/>
        <rFont val="Calibri"/>
        <family val="2"/>
      </rPr>
      <t>/EEQ</t>
    </r>
    <r>
      <rPr>
        <vertAlign val="subscript"/>
        <sz val="11"/>
        <rFont val="Calibri"/>
        <family val="2"/>
      </rPr>
      <t>NO2,NO3</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</si>
  <si>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η</t>
    </r>
    <r>
      <rPr>
        <vertAlign val="subscript"/>
        <sz val="11"/>
        <rFont val="Calibri"/>
        <family val="2"/>
      </rPr>
      <t xml:space="preserve">CASTO,anox </t>
    </r>
    <r>
      <rPr>
        <sz val="11"/>
        <rFont val="Calibri"/>
        <family val="2"/>
      </rPr>
      <t>* Msat</t>
    </r>
    <r>
      <rPr>
        <vertAlign val="subscript"/>
        <sz val="11"/>
        <rFont val="Calibri"/>
        <family val="2"/>
      </rPr>
      <t xml:space="preserve">SNO3,KNO3,CASTO </t>
    </r>
    <r>
      <rPr>
        <sz val="11"/>
        <rFont val="Calibri"/>
        <family val="2"/>
      </rPr>
      <t>* Minh</t>
    </r>
    <r>
      <rPr>
        <vertAlign val="subscript"/>
        <sz val="11"/>
        <rFont val="Calibri"/>
        <family val="2"/>
      </rPr>
      <t>SO2,KO2,CASTO</t>
    </r>
    <r>
      <rPr>
        <sz val="11"/>
        <rFont val="Calibri"/>
        <family val="2"/>
        <charset val="238"/>
      </rPr>
      <t xml:space="preserve"> * Minh</t>
    </r>
    <r>
      <rPr>
        <vertAlign val="subscript"/>
        <sz val="11"/>
        <rFont val="Calibri"/>
        <family val="2"/>
      </rPr>
      <t xml:space="preserve">SNO2,KNO2,CASTO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</si>
  <si>
    <r>
      <t>-1/Y</t>
    </r>
    <r>
      <rPr>
        <vertAlign val="subscript"/>
        <sz val="11"/>
        <rFont val="Calibri"/>
        <family val="2"/>
      </rPr>
      <t>CASTO,PHA,ox</t>
    </r>
  </si>
  <si>
    <r>
      <t>-(1-Y</t>
    </r>
    <r>
      <rPr>
        <vertAlign val="subscript"/>
        <sz val="11"/>
        <rFont val="Calibri"/>
        <family val="2"/>
      </rPr>
      <t>CASTO,PHA,ox</t>
    </r>
    <r>
      <rPr>
        <sz val="11"/>
        <rFont val="Calibri"/>
        <family val="2"/>
      </rPr>
      <t>)/Y</t>
    </r>
    <r>
      <rPr>
        <vertAlign val="subscript"/>
        <sz val="11"/>
        <rFont val="Calibri"/>
        <family val="2"/>
      </rPr>
      <t>CASTO,PHA,ox</t>
    </r>
  </si>
  <si>
    <r>
      <t>(i</t>
    </r>
    <r>
      <rPr>
        <vertAlign val="subscript"/>
        <sz val="11"/>
        <rFont val="Calibri"/>
        <family val="2"/>
      </rPr>
      <t>CIT,PHA</t>
    </r>
    <r>
      <rPr>
        <sz val="11"/>
        <rFont val="Calibri"/>
        <family val="2"/>
      </rPr>
      <t>/Y</t>
    </r>
    <r>
      <rPr>
        <vertAlign val="subscript"/>
        <sz val="11"/>
        <rFont val="Calibri"/>
        <family val="2"/>
      </rPr>
      <t>CASTO,PHA,ox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</si>
  <si>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MRsat</t>
    </r>
    <r>
      <rPr>
        <vertAlign val="subscript"/>
        <sz val="11"/>
        <rFont val="Calibri"/>
        <family val="2"/>
      </rPr>
      <t>XPHA,XPAO,KPHA</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</si>
  <si>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-1/Y</t>
    </r>
    <r>
      <rPr>
        <vertAlign val="subscript"/>
        <sz val="11"/>
        <rFont val="Calibri"/>
        <family val="2"/>
      </rPr>
      <t>CASTO,PHA,anox</t>
    </r>
  </si>
  <si>
    <r>
      <t>-(1-Y</t>
    </r>
    <r>
      <rPr>
        <vertAlign val="subscript"/>
        <sz val="11"/>
        <rFont val="Calibri"/>
        <family val="2"/>
      </rPr>
      <t>CASTO,PHA,anox</t>
    </r>
    <r>
      <rPr>
        <sz val="11"/>
        <rFont val="Calibri"/>
        <family val="2"/>
      </rPr>
      <t>)/(EEQ</t>
    </r>
    <r>
      <rPr>
        <vertAlign val="subscript"/>
        <sz val="11"/>
        <rFont val="Calibri"/>
        <family val="2"/>
      </rPr>
      <t>N2,NO2</t>
    </r>
    <r>
      <rPr>
        <sz val="11"/>
        <rFont val="Calibri"/>
        <family val="2"/>
      </rPr>
      <t>*Y</t>
    </r>
    <r>
      <rPr>
        <vertAlign val="subscript"/>
        <sz val="11"/>
        <rFont val="Calibri"/>
        <family val="2"/>
      </rPr>
      <t>CASTO,PHA,anox</t>
    </r>
    <r>
      <rPr>
        <sz val="11"/>
        <rFont val="Calibri"/>
        <family val="2"/>
      </rPr>
      <t>)</t>
    </r>
  </si>
  <si>
    <r>
      <t>(1-Y</t>
    </r>
    <r>
      <rPr>
        <vertAlign val="subscript"/>
        <sz val="11"/>
        <rFont val="Calibri"/>
        <family val="2"/>
      </rPr>
      <t>CASTO,PHA,anox</t>
    </r>
    <r>
      <rPr>
        <sz val="11"/>
        <rFont val="Calibri"/>
        <family val="2"/>
      </rPr>
      <t>)/(EEQ</t>
    </r>
    <r>
      <rPr>
        <vertAlign val="subscript"/>
        <sz val="11"/>
        <rFont val="Calibri"/>
        <family val="2"/>
      </rPr>
      <t>N2,NO2</t>
    </r>
    <r>
      <rPr>
        <sz val="11"/>
        <rFont val="Calibri"/>
        <family val="2"/>
      </rPr>
      <t>*Y</t>
    </r>
    <r>
      <rPr>
        <vertAlign val="subscript"/>
        <sz val="11"/>
        <rFont val="Calibri"/>
        <family val="2"/>
      </rPr>
      <t>CASTO,PHA,anox</t>
    </r>
    <r>
      <rPr>
        <sz val="11"/>
        <rFont val="Calibri"/>
        <family val="2"/>
      </rPr>
      <t>)</t>
    </r>
  </si>
  <si>
    <r>
      <t>(i</t>
    </r>
    <r>
      <rPr>
        <vertAlign val="subscript"/>
        <sz val="11"/>
        <rFont val="Calibri"/>
        <family val="2"/>
      </rPr>
      <t>CIT,PHA</t>
    </r>
    <r>
      <rPr>
        <sz val="11"/>
        <rFont val="Calibri"/>
        <family val="2"/>
      </rPr>
      <t>/Y</t>
    </r>
    <r>
      <rPr>
        <vertAlign val="subscript"/>
        <sz val="11"/>
        <rFont val="Calibri"/>
        <family val="2"/>
      </rPr>
      <t>CASTO,PHA,anox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</si>
  <si>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XPHA,XPAO,KPHA</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</si>
  <si>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(1-Y</t>
    </r>
    <r>
      <rPr>
        <vertAlign val="subscript"/>
        <sz val="11"/>
        <rFont val="Calibri"/>
        <family val="2"/>
      </rPr>
      <t>CASTO,PHA,anox</t>
    </r>
    <r>
      <rPr>
        <sz val="11"/>
        <rFont val="Calibri"/>
        <family val="2"/>
      </rPr>
      <t>)/(EEQ</t>
    </r>
    <r>
      <rPr>
        <vertAlign val="subscript"/>
        <sz val="11"/>
        <rFont val="Calibri"/>
        <family val="2"/>
      </rPr>
      <t>NO2,NO3</t>
    </r>
    <r>
      <rPr>
        <sz val="11"/>
        <rFont val="Calibri"/>
        <family val="2"/>
      </rPr>
      <t>*Y</t>
    </r>
    <r>
      <rPr>
        <vertAlign val="subscript"/>
        <sz val="11"/>
        <rFont val="Calibri"/>
        <family val="2"/>
      </rPr>
      <t>CASTO,PHA,anox</t>
    </r>
    <r>
      <rPr>
        <sz val="11"/>
        <rFont val="Calibri"/>
        <family val="2"/>
      </rPr>
      <t>)</t>
    </r>
  </si>
  <si>
    <r>
      <t>-(1-Y</t>
    </r>
    <r>
      <rPr>
        <vertAlign val="subscript"/>
        <sz val="11"/>
        <rFont val="Calibri"/>
        <family val="2"/>
      </rPr>
      <t>CASTO,PHA,anox</t>
    </r>
    <r>
      <rPr>
        <sz val="11"/>
        <rFont val="Calibri"/>
        <family val="2"/>
      </rPr>
      <t>)/(EEQ</t>
    </r>
    <r>
      <rPr>
        <vertAlign val="subscript"/>
        <sz val="11"/>
        <rFont val="Calibri"/>
        <family val="2"/>
      </rPr>
      <t>NO2,NO3</t>
    </r>
    <r>
      <rPr>
        <sz val="11"/>
        <rFont val="Calibri"/>
        <family val="2"/>
      </rPr>
      <t>*Y</t>
    </r>
    <r>
      <rPr>
        <vertAlign val="subscript"/>
        <sz val="11"/>
        <rFont val="Calibri"/>
        <family val="2"/>
      </rPr>
      <t>CASTO,PHA,anox</t>
    </r>
    <r>
      <rPr>
        <sz val="11"/>
        <rFont val="Calibri"/>
        <family val="2"/>
      </rPr>
      <t>)</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</si>
  <si>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XPHA,XPAO,KPHA</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</si>
  <si>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PAO's PHA storage from VFAs and PO</t>
    </r>
    <r>
      <rPr>
        <vertAlign val="subscript"/>
        <sz val="11"/>
        <rFont val="Calibri"/>
        <family val="2"/>
        <charset val="238"/>
      </rPr>
      <t>4</t>
    </r>
    <r>
      <rPr>
        <sz val="11"/>
        <rFont val="Calibri"/>
        <family val="2"/>
      </rPr>
      <t xml:space="preserve"> release</t>
    </r>
  </si>
  <si>
    <r>
      <t>q</t>
    </r>
    <r>
      <rPr>
        <vertAlign val="subscript"/>
        <sz val="11"/>
        <rFont val="Calibri"/>
        <family val="2"/>
      </rPr>
      <t>PAO,PHA,T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sto,PAO,ORP</t>
    </r>
    <r>
      <rPr>
        <sz val="11"/>
        <rFont val="Calibri"/>
        <family val="2"/>
      </rPr>
      <t xml:space="preserve"> * Msat</t>
    </r>
    <r>
      <rPr>
        <vertAlign val="subscript"/>
        <sz val="11"/>
        <rFont val="Calibri"/>
        <family val="2"/>
      </rPr>
      <t>SVFA,KVFA,CASTO</t>
    </r>
    <r>
      <rPr>
        <sz val="11"/>
        <rFont val="Calibri"/>
        <family val="2"/>
      </rPr>
      <t xml:space="preserve"> * MRsat</t>
    </r>
    <r>
      <rPr>
        <vertAlign val="subscript"/>
        <sz val="11"/>
        <rFont val="Calibri"/>
        <family val="2"/>
      </rPr>
      <t>XPP,XPAO,KPP</t>
    </r>
    <r>
      <rPr>
        <sz val="11"/>
        <rFont val="Calibri"/>
        <family val="2"/>
      </rPr>
      <t xml:space="preserve"> * Loginh</t>
    </r>
    <r>
      <rPr>
        <vertAlign val="subscript"/>
        <sz val="11"/>
        <rFont val="Calibri"/>
        <family val="2"/>
      </rPr>
      <t>XPHA,XPAO,max</t>
    </r>
  </si>
  <si>
    <r>
      <t>q</t>
    </r>
    <r>
      <rPr>
        <vertAlign val="subscript"/>
        <sz val="11"/>
        <rFont val="Calibri"/>
        <family val="2"/>
      </rPr>
      <t>GAO,GLY,T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sto,GAO,ORP</t>
    </r>
    <r>
      <rPr>
        <sz val="11"/>
        <rFont val="Calibri"/>
        <family val="2"/>
      </rPr>
      <t xml:space="preserve"> * Msat</t>
    </r>
    <r>
      <rPr>
        <vertAlign val="subscript"/>
        <sz val="11"/>
        <rFont val="Calibri"/>
        <family val="2"/>
      </rPr>
      <t>SVFA,KVFA,CASTO</t>
    </r>
    <r>
      <rPr>
        <sz val="11"/>
        <rFont val="Calibri"/>
        <family val="2"/>
      </rPr>
      <t xml:space="preserve"> * Loginh</t>
    </r>
    <r>
      <rPr>
        <vertAlign val="subscript"/>
        <sz val="11"/>
        <rFont val="Calibri"/>
        <family val="2"/>
      </rPr>
      <t>XGLY,XGAO,max</t>
    </r>
    <r>
      <rPr>
        <sz val="11"/>
        <rFont val="Calibri"/>
        <family val="2"/>
      </rPr>
      <t/>
    </r>
  </si>
  <si>
    <t>CASTO aerobic maintenance</t>
  </si>
  <si>
    <r>
      <t>-X</t>
    </r>
    <r>
      <rPr>
        <vertAlign val="subscript"/>
        <sz val="11"/>
        <rFont val="Calibri"/>
        <family val="2"/>
      </rPr>
      <t>PHA</t>
    </r>
    <r>
      <rPr>
        <sz val="11"/>
        <rFont val="Calibri"/>
        <family val="2"/>
      </rPr>
      <t>/X</t>
    </r>
    <r>
      <rPr>
        <vertAlign val="subscript"/>
        <sz val="11"/>
        <rFont val="Calibri"/>
        <family val="2"/>
      </rPr>
      <t>STC</t>
    </r>
  </si>
  <si>
    <r>
      <t>-X</t>
    </r>
    <r>
      <rPr>
        <vertAlign val="subscript"/>
        <sz val="11"/>
        <rFont val="Calibri"/>
        <family val="2"/>
      </rPr>
      <t>GLY</t>
    </r>
    <r>
      <rPr>
        <sz val="11"/>
        <rFont val="Calibri"/>
        <family val="2"/>
      </rPr>
      <t>/X</t>
    </r>
    <r>
      <rPr>
        <vertAlign val="subscript"/>
        <sz val="11"/>
        <rFont val="Calibri"/>
        <family val="2"/>
      </rPr>
      <t>STC</t>
    </r>
  </si>
  <si>
    <r>
      <t>i</t>
    </r>
    <r>
      <rPr>
        <vertAlign val="subscript"/>
        <sz val="11"/>
        <rFont val="Calibri"/>
        <family val="2"/>
      </rPr>
      <t>CIT,STC</t>
    </r>
  </si>
  <si>
    <r>
      <t>b</t>
    </r>
    <r>
      <rPr>
        <vertAlign val="subscript"/>
        <sz val="11"/>
        <rFont val="Calibri"/>
        <family val="2"/>
      </rPr>
      <t>STC,T</t>
    </r>
    <r>
      <rPr>
        <sz val="11"/>
        <rFont val="Calibri"/>
        <family val="2"/>
      </rPr>
      <t xml:space="preserve"> * X</t>
    </r>
    <r>
      <rPr>
        <vertAlign val="subscript"/>
        <sz val="11"/>
        <rFont val="Calibri"/>
        <family val="2"/>
      </rPr>
      <t>CASTO</t>
    </r>
    <r>
      <rPr>
        <sz val="11"/>
        <rFont val="Calibri"/>
        <family val="2"/>
      </rPr>
      <t xml:space="preserve"> * Msat</t>
    </r>
    <r>
      <rPr>
        <vertAlign val="subscript"/>
        <sz val="11"/>
        <rFont val="Calibri"/>
        <family val="2"/>
      </rPr>
      <t>SO2,KO2,CASTO</t>
    </r>
    <r>
      <rPr>
        <sz val="11"/>
        <rFont val="Calibri"/>
        <family val="2"/>
      </rPr>
      <t xml:space="preserve"> * MRsat</t>
    </r>
    <r>
      <rPr>
        <vertAlign val="subscript"/>
        <sz val="11"/>
        <rFont val="Calibri"/>
        <family val="2"/>
      </rPr>
      <t>XSTC,XCASTO,KSTC</t>
    </r>
  </si>
  <si>
    <r>
      <t>CASTO anoxic maintenance, NO</t>
    </r>
    <r>
      <rPr>
        <vertAlign val="subscript"/>
        <sz val="11"/>
        <color rgb="FF000000"/>
        <rFont val="Calibri"/>
        <family val="2"/>
        <scheme val="minor"/>
      </rPr>
      <t>2</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</si>
  <si>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MRsat</t>
    </r>
    <r>
      <rPr>
        <vertAlign val="subscript"/>
        <sz val="11"/>
        <rFont val="Calibri"/>
        <family val="2"/>
      </rPr>
      <t>XSTC,XCASTO,KSTC</t>
    </r>
  </si>
  <si>
    <r>
      <t>CASTO anoxic maintenance, NO</t>
    </r>
    <r>
      <rPr>
        <vertAlign val="subscript"/>
        <sz val="11"/>
        <color rgb="FF000000"/>
        <rFont val="Calibri"/>
        <family val="2"/>
        <scheme val="minor"/>
      </rPr>
      <t>3</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</si>
  <si>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MRsat</t>
    </r>
    <r>
      <rPr>
        <vertAlign val="subscript"/>
        <sz val="11"/>
        <rFont val="Calibri"/>
        <family val="2"/>
      </rPr>
      <t>XSTC,XCASTO,KSTC</t>
    </r>
  </si>
  <si>
    <r>
      <t>b</t>
    </r>
    <r>
      <rPr>
        <vertAlign val="subscript"/>
        <sz val="11"/>
        <rFont val="Calibri"/>
        <family val="2"/>
      </rPr>
      <t>STC,T</t>
    </r>
    <r>
      <rPr>
        <sz val="11"/>
        <rFont val="Calibri"/>
        <family val="2"/>
      </rPr>
      <t xml:space="preserve"> * η</t>
    </r>
    <r>
      <rPr>
        <vertAlign val="subscript"/>
        <sz val="11"/>
        <rFont val="Calibri"/>
        <family val="2"/>
      </rPr>
      <t>bGLY,ana</t>
    </r>
    <r>
      <rPr>
        <sz val="11"/>
        <rFont val="Calibri"/>
        <family val="2"/>
      </rPr>
      <t xml:space="preserve"> * X</t>
    </r>
    <r>
      <rPr>
        <vertAlign val="subscript"/>
        <sz val="11"/>
        <rFont val="Calibri"/>
        <family val="2"/>
      </rPr>
      <t>GAO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MRsat</t>
    </r>
    <r>
      <rPr>
        <vertAlign val="subscript"/>
        <sz val="11"/>
        <rFont val="Calibri"/>
        <family val="2"/>
      </rPr>
      <t>XGLY,XGAO,KGLY</t>
    </r>
    <r>
      <rPr>
        <sz val="11"/>
        <rFont val="Calibri"/>
        <family val="2"/>
        <charset val="238"/>
      </rPr>
      <t/>
    </r>
  </si>
  <si>
    <r>
      <t>b</t>
    </r>
    <r>
      <rPr>
        <vertAlign val="subscript"/>
        <sz val="11"/>
        <rFont val="Calibri"/>
        <family val="2"/>
      </rPr>
      <t>PP,ana,T</t>
    </r>
    <r>
      <rPr>
        <sz val="11"/>
        <rFont val="Calibri"/>
        <family val="2"/>
      </rPr>
      <t xml:space="preserve"> * X</t>
    </r>
    <r>
      <rPr>
        <vertAlign val="subscript"/>
        <sz val="11"/>
        <rFont val="Calibri"/>
        <family val="2"/>
      </rPr>
      <t>PAO</t>
    </r>
    <r>
      <rPr>
        <sz val="11"/>
        <rFont val="Calibri"/>
        <family val="2"/>
      </rPr>
      <t xml:space="preserve"> * Logsat</t>
    </r>
    <r>
      <rPr>
        <vertAlign val="subscript"/>
        <sz val="11"/>
        <rFont val="Calibri"/>
        <family val="2"/>
      </rPr>
      <t>XPP,KPO4,PAO</t>
    </r>
    <r>
      <rPr>
        <sz val="11"/>
        <rFont val="Calibri"/>
        <family val="2"/>
      </rPr>
      <t xml:space="preserve"> * (η</t>
    </r>
    <r>
      <rPr>
        <vertAlign val="subscript"/>
        <sz val="11"/>
        <rFont val="Calibri"/>
        <family val="2"/>
      </rPr>
      <t>bPP,aer</t>
    </r>
    <r>
      <rPr>
        <sz val="11"/>
        <rFont val="Calibri"/>
        <family val="2"/>
      </rPr>
      <t xml:space="preserve"> * MRinh</t>
    </r>
    <r>
      <rPr>
        <vertAlign val="subscript"/>
        <sz val="11"/>
        <rFont val="Calibri"/>
        <family val="2"/>
      </rPr>
      <t>XPHA,XPAO,KPHA,cle</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bPP,anox</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η</t>
    </r>
    <r>
      <rPr>
        <vertAlign val="subscript"/>
        <sz val="11"/>
        <rFont val="Calibri"/>
        <family val="2"/>
        <charset val="238"/>
      </rPr>
      <t>bPP,anox</t>
    </r>
    <r>
      <rPr>
        <sz val="11"/>
        <rFont val="Calibri"/>
        <family val="2"/>
      </rPr>
      <t xml:space="preserve"> * Minh</t>
    </r>
    <r>
      <rPr>
        <vertAlign val="subscript"/>
        <sz val="11"/>
        <rFont val="Calibri"/>
        <family val="2"/>
        <charset val="238"/>
      </rPr>
      <t>SO2,KO2,CASTO</t>
    </r>
    <r>
      <rPr>
        <sz val="11"/>
        <rFont val="Calibri"/>
        <family val="2"/>
      </rPr>
      <t xml:space="preserve"> * Msat</t>
    </r>
    <r>
      <rPr>
        <vertAlign val="subscript"/>
        <sz val="11"/>
        <rFont val="Calibri"/>
        <family val="2"/>
        <charset val="238"/>
      </rPr>
      <t>SNO3,KNO3,CASTO</t>
    </r>
    <r>
      <rPr>
        <sz val="11"/>
        <rFont val="Calibri"/>
        <family val="2"/>
      </rPr>
      <t xml:space="preserve"> * Minh</t>
    </r>
    <r>
      <rPr>
        <vertAlign val="subscript"/>
        <sz val="11"/>
        <rFont val="Calibri"/>
        <family val="2"/>
        <charset val="238"/>
      </rPr>
      <t>SNO2,KNO2,CASTO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t>
    </r>
  </si>
  <si>
    <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)/Y</t>
    </r>
    <r>
      <rPr>
        <vertAlign val="subscript"/>
        <sz val="11"/>
        <rFont val="Calibri"/>
        <family val="2"/>
      </rPr>
      <t>CASTO,SB,ana</t>
    </r>
  </si>
  <si>
    <r>
      <t>-1/Y</t>
    </r>
    <r>
      <rPr>
        <vertAlign val="subscript"/>
        <sz val="11"/>
        <rFont val="Calibri"/>
        <family val="2"/>
      </rPr>
      <t>CASTO,SB,ana</t>
    </r>
  </si>
  <si>
    <r>
      <t>Y</t>
    </r>
    <r>
      <rPr>
        <vertAlign val="subscript"/>
        <sz val="11"/>
        <rFont val="Calibri"/>
        <family val="2"/>
      </rPr>
      <t>CASTO,H2,ana,high</t>
    </r>
    <r>
      <rPr>
        <sz val="11"/>
        <rFont val="Calibri"/>
        <family val="2"/>
      </rPr>
      <t>/Y</t>
    </r>
    <r>
      <rPr>
        <vertAlign val="subscript"/>
        <sz val="11"/>
        <rFont val="Calibri"/>
        <family val="2"/>
      </rPr>
      <t>CASTO,SB,ana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</si>
  <si>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)-i</t>
    </r>
    <r>
      <rPr>
        <vertAlign val="subscript"/>
        <sz val="11"/>
        <rFont val="Calibri"/>
        <family val="2"/>
      </rPr>
      <t>CIT,BIO</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</si>
  <si>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r>
      <t>µ</t>
    </r>
    <r>
      <rPr>
        <vertAlign val="subscript"/>
        <sz val="11"/>
        <rFont val="Calibri"/>
        <family val="2"/>
      </rPr>
      <t>FERM,PAO,T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ferm,PAO,ORP</t>
    </r>
    <r>
      <rPr>
        <sz val="11"/>
        <rFont val="Calibri"/>
        <family val="2"/>
      </rPr>
      <t xml:space="preserve"> * Logsat</t>
    </r>
    <r>
      <rPr>
        <vertAlign val="subscript"/>
        <sz val="11"/>
        <rFont val="Calibri"/>
        <family val="2"/>
      </rPr>
      <t>SVFA,KVFA,FERM</t>
    </r>
    <r>
      <rPr>
        <sz val="11"/>
        <rFont val="Calibri"/>
        <family val="2"/>
      </rPr>
      <t xml:space="preserve"> * Msat</t>
    </r>
    <r>
      <rPr>
        <vertAlign val="subscript"/>
        <sz val="11"/>
        <rFont val="Calibri"/>
        <family val="2"/>
      </rPr>
      <t>SB,KSB,ana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rPr>
      <t/>
    </r>
  </si>
  <si>
    <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)/Y</t>
    </r>
    <r>
      <rPr>
        <vertAlign val="subscript"/>
        <sz val="11"/>
        <rFont val="Calibri"/>
        <family val="2"/>
      </rPr>
      <t>CASTO,SB,ana</t>
    </r>
  </si>
  <si>
    <r>
      <t>Y</t>
    </r>
    <r>
      <rPr>
        <vertAlign val="subscript"/>
        <sz val="11"/>
        <rFont val="Calibri"/>
        <family val="2"/>
      </rPr>
      <t>CASTO,H2,ana,low</t>
    </r>
    <r>
      <rPr>
        <sz val="11"/>
        <rFont val="Calibri"/>
        <family val="2"/>
      </rPr>
      <t>/Y</t>
    </r>
    <r>
      <rPr>
        <vertAlign val="subscript"/>
        <sz val="11"/>
        <rFont val="Calibri"/>
        <family val="2"/>
      </rPr>
      <t>CASTO,SB,ana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</si>
  <si>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)-i</t>
    </r>
    <r>
      <rPr>
        <vertAlign val="subscript"/>
        <sz val="11"/>
        <rFont val="Calibri"/>
        <family val="2"/>
      </rPr>
      <t>CIT,BIO</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</si>
  <si>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r>
      <t>µ</t>
    </r>
    <r>
      <rPr>
        <vertAlign val="subscript"/>
        <sz val="11"/>
        <rFont val="Calibri"/>
        <family val="2"/>
      </rPr>
      <t>FERM,PAO,T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ferm,PAO,ORP</t>
    </r>
    <r>
      <rPr>
        <sz val="11"/>
        <rFont val="Calibri"/>
        <family val="2"/>
      </rPr>
      <t xml:space="preserve"> * Loginh</t>
    </r>
    <r>
      <rPr>
        <vertAlign val="subscript"/>
        <sz val="11"/>
        <rFont val="Calibri"/>
        <family val="2"/>
      </rPr>
      <t>SVFA,KVFA,FERM</t>
    </r>
    <r>
      <rPr>
        <sz val="11"/>
        <rFont val="Calibri"/>
        <family val="2"/>
      </rPr>
      <t xml:space="preserve"> * Msat</t>
    </r>
    <r>
      <rPr>
        <vertAlign val="subscript"/>
        <sz val="11"/>
        <rFont val="Calibri"/>
        <family val="2"/>
      </rPr>
      <t>SB,KSB,ana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Msat</t>
    </r>
    <r>
      <rPr>
        <vertAlign val="subscript"/>
        <sz val="11"/>
        <rFont val="Calibri"/>
        <family val="2"/>
      </rPr>
      <t>SCO2,KCO2,BIO</t>
    </r>
    <r>
      <rPr>
        <sz val="11"/>
        <rFont val="Calibri"/>
        <family val="2"/>
      </rPr>
      <t xml:space="preserve"> * Bellinh</t>
    </r>
    <r>
      <rPr>
        <vertAlign val="subscript"/>
        <sz val="11"/>
        <rFont val="Calibri"/>
        <family val="2"/>
      </rPr>
      <t>pH</t>
    </r>
    <r>
      <rPr>
        <sz val="11"/>
        <rFont val="Calibri"/>
        <family val="2"/>
        <charset val="238"/>
      </rPr>
      <t/>
    </r>
  </si>
  <si>
    <t>CASTO decay</t>
  </si>
  <si>
    <r>
      <t>X</t>
    </r>
    <r>
      <rPr>
        <vertAlign val="subscript"/>
        <sz val="11"/>
        <rFont val="Calibri"/>
        <family val="2"/>
      </rPr>
      <t>STC</t>
    </r>
    <r>
      <rPr>
        <sz val="11"/>
        <rFont val="Calibri"/>
        <family val="2"/>
      </rPr>
      <t>/X</t>
    </r>
    <r>
      <rPr>
        <vertAlign val="subscript"/>
        <sz val="11"/>
        <rFont val="Calibri"/>
        <family val="2"/>
      </rPr>
      <t>CASTO</t>
    </r>
  </si>
  <si>
    <r>
      <t>-X</t>
    </r>
    <r>
      <rPr>
        <vertAlign val="subscript"/>
        <sz val="11"/>
        <rFont val="Calibri"/>
        <family val="2"/>
      </rPr>
      <t>PHA</t>
    </r>
    <r>
      <rPr>
        <sz val="11"/>
        <rFont val="Calibri"/>
        <family val="2"/>
      </rPr>
      <t>/X</t>
    </r>
    <r>
      <rPr>
        <vertAlign val="subscript"/>
        <sz val="11"/>
        <rFont val="Calibri"/>
        <family val="2"/>
      </rPr>
      <t>CASTO</t>
    </r>
  </si>
  <si>
    <r>
      <t>-X</t>
    </r>
    <r>
      <rPr>
        <vertAlign val="subscript"/>
        <sz val="11"/>
        <rFont val="Calibri"/>
        <family val="2"/>
      </rPr>
      <t>GLY</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</si>
  <si>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</si>
  <si>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/X</t>
    </r>
    <r>
      <rPr>
        <vertAlign val="subscript"/>
        <sz val="11"/>
        <rFont val="Calibri"/>
        <family val="2"/>
      </rPr>
      <t>CASTO</t>
    </r>
  </si>
  <si>
    <r>
      <t>(1-f</t>
    </r>
    <r>
      <rPr>
        <vertAlign val="subscript"/>
        <sz val="11"/>
        <rFont val="Calibri"/>
        <family val="2"/>
      </rPr>
      <t>E</t>
    </r>
    <r>
      <rPr>
        <sz val="11"/>
        <rFont val="Calibri"/>
        <family val="2"/>
      </rPr>
      <t>)*(i</t>
    </r>
    <r>
      <rPr>
        <vertAlign val="subscript"/>
        <sz val="11"/>
        <rFont val="Calibri"/>
        <family val="2"/>
      </rPr>
      <t>CIT,BIO</t>
    </r>
    <r>
      <rPr>
        <sz val="11"/>
        <rFont val="Calibri"/>
        <family val="2"/>
      </rPr>
      <t>-i</t>
    </r>
    <r>
      <rPr>
        <vertAlign val="subscript"/>
        <sz val="11"/>
        <rFont val="Calibri"/>
        <family val="2"/>
      </rPr>
      <t>CIT,SB</t>
    </r>
    <r>
      <rPr>
        <sz val="11"/>
        <rFont val="Calibri"/>
        <family val="2"/>
      </rPr>
      <t>)+(i</t>
    </r>
    <r>
      <rPr>
        <vertAlign val="subscript"/>
        <sz val="11"/>
        <rFont val="Calibri"/>
        <family val="2"/>
      </rPr>
      <t>CIT,STC</t>
    </r>
    <r>
      <rPr>
        <sz val="11"/>
        <rFont val="Calibri"/>
        <family val="2"/>
      </rPr>
      <t>-i</t>
    </r>
    <r>
      <rPr>
        <vertAlign val="subscript"/>
        <sz val="11"/>
        <rFont val="Calibri"/>
        <family val="2"/>
      </rPr>
      <t>CIT,VFA</t>
    </r>
    <r>
      <rPr>
        <sz val="11"/>
        <rFont val="Calibri"/>
        <family val="2"/>
      </rPr>
      <t>)*X</t>
    </r>
    <r>
      <rPr>
        <vertAlign val="subscript"/>
        <sz val="11"/>
        <rFont val="Calibri"/>
        <family val="2"/>
      </rPr>
      <t>STC</t>
    </r>
    <r>
      <rPr>
        <sz val="11"/>
        <rFont val="Calibri"/>
        <family val="2"/>
      </rPr>
      <t>/X</t>
    </r>
    <r>
      <rPr>
        <vertAlign val="subscript"/>
        <sz val="11"/>
        <rFont val="Calibri"/>
        <family val="2"/>
      </rPr>
      <t>CASTO</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</si>
  <si>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+X</t>
    </r>
    <r>
      <rPr>
        <vertAlign val="subscript"/>
        <sz val="11"/>
        <rFont val="Calibri"/>
        <family val="2"/>
      </rPr>
      <t>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Ca,PP</t>
    </r>
    <r>
      <rPr>
        <sz val="11"/>
        <rFont val="Calibri"/>
        <family val="2"/>
      </rPr>
      <t>/X</t>
    </r>
    <r>
      <rPr>
        <vertAlign val="subscript"/>
        <sz val="11"/>
        <rFont val="Calibri"/>
        <family val="2"/>
      </rPr>
      <t>CASTO</t>
    </r>
  </si>
  <si>
    <r>
      <t>i</t>
    </r>
    <r>
      <rPr>
        <vertAlign val="subscript"/>
        <sz val="11"/>
        <rFont val="Calibri"/>
        <family val="2"/>
      </rPr>
      <t>INORG</t>
    </r>
    <r>
      <rPr>
        <sz val="11"/>
        <rFont val="Calibri"/>
        <family val="2"/>
      </rPr>
      <t>*i</t>
    </r>
    <r>
      <rPr>
        <vertAlign val="subscript"/>
        <sz val="11"/>
        <rFont val="Calibri"/>
        <family val="2"/>
      </rPr>
      <t>Mg,INORG</t>
    </r>
    <r>
      <rPr>
        <sz val="11"/>
        <rFont val="Calibri"/>
        <family val="2"/>
      </rPr>
      <t>+X</t>
    </r>
    <r>
      <rPr>
        <vertAlign val="subscript"/>
        <sz val="11"/>
        <rFont val="Calibri"/>
        <family val="2"/>
      </rPr>
      <t>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Mg,PP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</si>
  <si>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K,PP</t>
    </r>
    <r>
      <rPr>
        <sz val="11"/>
        <rFont val="Calibri"/>
        <family val="2"/>
      </rPr>
      <t>/X</t>
    </r>
    <r>
      <rPr>
        <vertAlign val="subscript"/>
        <sz val="11"/>
        <rFont val="Calibri"/>
        <family val="2"/>
      </rPr>
      <t>CASTO</t>
    </r>
  </si>
  <si>
    <r>
      <t>b</t>
    </r>
    <r>
      <rPr>
        <vertAlign val="subscript"/>
        <sz val="11"/>
        <rFont val="Calibri"/>
        <family val="2"/>
      </rPr>
      <t>CASTO,T</t>
    </r>
    <r>
      <rPr>
        <sz val="11"/>
        <rFont val="Calibri"/>
        <family val="2"/>
      </rPr>
      <t xml:space="preserve"> * MRinh</t>
    </r>
    <r>
      <rPr>
        <vertAlign val="subscript"/>
        <sz val="11"/>
        <rFont val="Calibri"/>
        <family val="2"/>
        <charset val="238"/>
      </rPr>
      <t>XSTC,XCASTO,KSTC</t>
    </r>
    <r>
      <rPr>
        <sz val="11"/>
        <rFont val="Calibri"/>
        <family val="2"/>
      </rPr>
      <t xml:space="preserve"> * (X</t>
    </r>
    <r>
      <rPr>
        <vertAlign val="subscript"/>
        <sz val="11"/>
        <rFont val="Calibri"/>
        <family val="2"/>
        <charset val="238"/>
      </rPr>
      <t>CASTO</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bCASTO,anox</t>
    </r>
    <r>
      <rPr>
        <sz val="11"/>
        <rFont val="Calibri"/>
        <family val="2"/>
      </rPr>
      <t xml:space="preserve"> * (X</t>
    </r>
    <r>
      <rPr>
        <vertAlign val="subscript"/>
        <sz val="11"/>
        <rFont val="Calibri"/>
        <family val="2"/>
        <charset val="238"/>
      </rPr>
      <t>GAO</t>
    </r>
    <r>
      <rPr>
        <sz val="11"/>
        <rFont val="Calibri"/>
        <family val="2"/>
      </rPr>
      <t xml:space="preserve"> +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 (Msat</t>
    </r>
    <r>
      <rPr>
        <vertAlign val="subscript"/>
        <sz val="11"/>
        <rFont val="Calibri"/>
        <family val="2"/>
        <charset val="238"/>
      </rPr>
      <t>SNO2,KNO2,CASTO</t>
    </r>
    <r>
      <rPr>
        <sz val="11"/>
        <rFont val="Calibri"/>
        <family val="2"/>
      </rPr>
      <t xml:space="preserve"> + Minh</t>
    </r>
    <r>
      <rPr>
        <vertAlign val="subscript"/>
        <sz val="11"/>
        <rFont val="Calibri"/>
        <family val="2"/>
        <charset val="238"/>
      </rPr>
      <t>SNO2,KNO2,CASTO</t>
    </r>
    <r>
      <rPr>
        <sz val="11"/>
        <rFont val="Calibri"/>
        <family val="2"/>
      </rPr>
      <t xml:space="preserve"> * Msat</t>
    </r>
    <r>
      <rPr>
        <vertAlign val="subscript"/>
        <sz val="11"/>
        <rFont val="Calibri"/>
        <family val="2"/>
        <charset val="238"/>
      </rPr>
      <t>SNO3,KNO3,CASTO</t>
    </r>
    <r>
      <rPr>
        <sz val="11"/>
        <rFont val="Calibri"/>
        <family val="2"/>
      </rPr>
      <t>) * Minh</t>
    </r>
    <r>
      <rPr>
        <vertAlign val="subscript"/>
        <sz val="11"/>
        <rFont val="Calibri"/>
        <family val="2"/>
      </rPr>
      <t>SO2,KO2,CASTO</t>
    </r>
    <r>
      <rPr>
        <sz val="11"/>
        <rFont val="Calibri"/>
        <family val="2"/>
      </rPr>
      <t>)</t>
    </r>
  </si>
  <si>
    <t>CASTO anaerobic decay</t>
  </si>
  <si>
    <r>
      <t>b</t>
    </r>
    <r>
      <rPr>
        <vertAlign val="subscript"/>
        <sz val="11"/>
        <rFont val="Calibri"/>
        <family val="2"/>
      </rPr>
      <t xml:space="preserve">CASTO,T </t>
    </r>
    <r>
      <rPr>
        <sz val="11"/>
        <rFont val="Calibri"/>
        <family val="2"/>
      </rPr>
      <t>* (η</t>
    </r>
    <r>
      <rPr>
        <vertAlign val="subscript"/>
        <sz val="11"/>
        <rFont val="Calibri"/>
        <family val="2"/>
      </rPr>
      <t xml:space="preserve">bCASTO,ana </t>
    </r>
    <r>
      <rPr>
        <sz val="11"/>
        <rFont val="Calibri"/>
        <family val="2"/>
      </rPr>
      <t>*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xml:space="preserve"> + X</t>
    </r>
    <r>
      <rPr>
        <vertAlign val="subscript"/>
        <sz val="11"/>
        <rFont val="Calibri"/>
        <family val="2"/>
        <charset val="238"/>
      </rPr>
      <t>GAO</t>
    </r>
    <r>
      <rPr>
        <sz val="11"/>
        <rFont val="Calibri"/>
        <family val="2"/>
      </rPr>
      <t xml:space="preserve"> * MRinh</t>
    </r>
    <r>
      <rPr>
        <vertAlign val="subscript"/>
        <sz val="11"/>
        <rFont val="Calibri"/>
        <family val="2"/>
      </rPr>
      <t>XGLY,XGAO,KGLY</t>
    </r>
    <r>
      <rPr>
        <sz val="11"/>
        <rFont val="Calibri"/>
        <family val="2"/>
      </rPr>
      <t>) * Minh</t>
    </r>
    <r>
      <rPr>
        <vertAlign val="subscript"/>
        <sz val="11"/>
        <rFont val="Calibri"/>
        <family val="2"/>
      </rPr>
      <t>SNO3,KNO3,CASTO</t>
    </r>
    <r>
      <rPr>
        <sz val="11"/>
        <rFont val="Calibri"/>
        <family val="2"/>
        <charset val="238"/>
      </rPr>
      <t xml:space="preserve"> * Minh</t>
    </r>
    <r>
      <rPr>
        <vertAlign val="subscript"/>
        <sz val="11"/>
        <rFont val="Calibri"/>
        <family val="2"/>
      </rPr>
      <t xml:space="preserve">SNO2,KNO2,CASTO </t>
    </r>
    <r>
      <rPr>
        <sz val="11"/>
        <rFont val="Calibri"/>
        <family val="2"/>
      </rPr>
      <t>* Minh</t>
    </r>
    <r>
      <rPr>
        <vertAlign val="subscript"/>
        <sz val="11"/>
        <rFont val="Calibri"/>
        <family val="2"/>
      </rPr>
      <t xml:space="preserve">SO2,KO2,CASTO </t>
    </r>
    <r>
      <rPr>
        <sz val="11"/>
        <rFont val="Calibri"/>
        <family val="2"/>
      </rPr>
      <t>+ X</t>
    </r>
    <r>
      <rPr>
        <vertAlign val="subscript"/>
        <sz val="11"/>
        <rFont val="Calibri"/>
        <family val="2"/>
        <charset val="238"/>
      </rPr>
      <t>CASTO</t>
    </r>
    <r>
      <rPr>
        <sz val="11"/>
        <rFont val="Calibri"/>
        <family val="2"/>
      </rPr>
      <t xml:space="preserve"> * m</t>
    </r>
    <r>
      <rPr>
        <vertAlign val="subscript"/>
        <sz val="11"/>
        <rFont val="Calibri"/>
        <family val="2"/>
      </rPr>
      <t>tox,ana</t>
    </r>
    <r>
      <rPr>
        <sz val="11"/>
        <rFont val="Calibri"/>
        <family val="2"/>
      </rPr>
      <t>)</t>
    </r>
  </si>
  <si>
    <r>
      <t>X</t>
    </r>
    <r>
      <rPr>
        <b/>
        <vertAlign val="subscript"/>
        <sz val="11"/>
        <rFont val="Calibri"/>
        <family val="2"/>
        <scheme val="minor"/>
      </rPr>
      <t>CASTO</t>
    </r>
  </si>
  <si>
    <t>Aging of active HAO,H</t>
  </si>
  <si>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</si>
  <si>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</si>
  <si>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</si>
  <si>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</si>
  <si>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q</t>
    </r>
    <r>
      <rPr>
        <vertAlign val="subscript"/>
        <sz val="11"/>
        <rFont val="Calibri"/>
        <family val="2"/>
      </rPr>
      <t>HAOH,AGING</t>
    </r>
    <r>
      <rPr>
        <sz val="11"/>
        <rFont val="Calibri"/>
        <family val="2"/>
      </rPr>
      <t xml:space="preserve"> *(X</t>
    </r>
    <r>
      <rPr>
        <vertAlign val="subscript"/>
        <sz val="11"/>
        <rFont val="Calibri"/>
        <family val="2"/>
      </rPr>
      <t>HAO,H</t>
    </r>
    <r>
      <rPr>
        <sz val="11"/>
        <rFont val="Calibri"/>
        <family val="2"/>
      </rPr>
      <t>+X</t>
    </r>
    <r>
      <rPr>
        <vertAlign val="subscript"/>
        <sz val="11"/>
        <rFont val="Calibri"/>
        <family val="2"/>
      </rPr>
      <t>HAO,H,P</t>
    </r>
    <r>
      <rPr>
        <sz val="11"/>
        <rFont val="Calibri"/>
        <family val="2"/>
      </rPr>
      <t>)</t>
    </r>
  </si>
  <si>
    <t>Aging of active HAO,L</t>
  </si>
  <si>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</si>
  <si>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</si>
  <si>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</si>
  <si>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</si>
  <si>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q</t>
    </r>
    <r>
      <rPr>
        <vertAlign val="subscript"/>
        <sz val="11"/>
        <rFont val="Calibri"/>
        <family val="2"/>
      </rPr>
      <t>HAOL,AGING</t>
    </r>
    <r>
      <rPr>
        <sz val="11"/>
        <rFont val="Calibri"/>
        <family val="2"/>
      </rPr>
      <t xml:space="preserve"> *(X</t>
    </r>
    <r>
      <rPr>
        <vertAlign val="subscript"/>
        <sz val="11"/>
        <rFont val="Calibri"/>
        <family val="2"/>
      </rPr>
      <t>HAO,L</t>
    </r>
    <r>
      <rPr>
        <sz val="11"/>
        <rFont val="Calibri"/>
        <family val="2"/>
      </rPr>
      <t>+X</t>
    </r>
    <r>
      <rPr>
        <vertAlign val="subscript"/>
        <sz val="11"/>
        <rFont val="Calibri"/>
        <family val="2"/>
      </rPr>
      <t>HAO,L,P</t>
    </r>
    <r>
      <rPr>
        <sz val="11"/>
        <rFont val="Calibri"/>
        <family val="2"/>
      </rPr>
      <t>)</t>
    </r>
  </si>
  <si>
    <t>Fast binding of P on active HAO,H</t>
  </si>
  <si>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</si>
  <si>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</si>
  <si>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P,HAO,COPREC</t>
    </r>
    <r>
      <rPr>
        <sz val="11"/>
        <rFont val="Calibri"/>
        <family val="2"/>
      </rPr>
      <t>*X</t>
    </r>
    <r>
      <rPr>
        <vertAlign val="subscript"/>
        <sz val="11"/>
        <rFont val="Calibri"/>
        <family val="2"/>
      </rPr>
      <t>HAO,H</t>
    </r>
    <r>
      <rPr>
        <sz val="11"/>
        <rFont val="Calibri"/>
        <family val="2"/>
      </rPr>
      <t>*Msat</t>
    </r>
    <r>
      <rPr>
        <vertAlign val="subscript"/>
        <sz val="11"/>
        <rFont val="Calibri"/>
        <family val="2"/>
      </rPr>
      <t>SPO4,KP,HAO,BIND</t>
    </r>
  </si>
  <si>
    <t>Slow binding of P on active HAO,L</t>
  </si>
  <si>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</si>
  <si>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</si>
  <si>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P,HAO,BIND</t>
    </r>
    <r>
      <rPr>
        <sz val="11"/>
        <rFont val="Calibri"/>
        <family val="2"/>
      </rPr>
      <t>*X</t>
    </r>
    <r>
      <rPr>
        <vertAlign val="subscript"/>
        <sz val="11"/>
        <rFont val="Calibri"/>
        <family val="2"/>
      </rPr>
      <t>HAO,L</t>
    </r>
    <r>
      <rPr>
        <sz val="11"/>
        <rFont val="Calibri"/>
        <family val="2"/>
      </rPr>
      <t>*Msat</t>
    </r>
    <r>
      <rPr>
        <vertAlign val="subscript"/>
        <sz val="11"/>
        <rFont val="Calibri"/>
        <family val="2"/>
      </rPr>
      <t>SPO4,KP,HAO,BIND</t>
    </r>
  </si>
  <si>
    <r>
      <t>Desorption of P from X</t>
    </r>
    <r>
      <rPr>
        <vertAlign val="subscript"/>
        <sz val="11"/>
        <color rgb="FF000000"/>
        <rFont val="Calibri"/>
        <family val="2"/>
        <scheme val="minor"/>
      </rPr>
      <t>HAO,H,P</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</si>
  <si>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</si>
  <si>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HAOH,DESORP</t>
    </r>
    <r>
      <rPr>
        <sz val="11"/>
        <rFont val="Calibri"/>
        <family val="2"/>
      </rPr>
      <t>*X</t>
    </r>
    <r>
      <rPr>
        <vertAlign val="subscript"/>
        <sz val="11"/>
        <rFont val="Calibri"/>
        <family val="2"/>
      </rPr>
      <t>HAO,H,P</t>
    </r>
    <r>
      <rPr>
        <sz val="11"/>
        <rFont val="Calibri"/>
        <family val="2"/>
      </rPr>
      <t>*Minh</t>
    </r>
    <r>
      <rPr>
        <vertAlign val="subscript"/>
        <sz val="11"/>
        <rFont val="Calibri"/>
        <family val="2"/>
      </rPr>
      <t>SPO4,KiP,HAO,DESORP</t>
    </r>
  </si>
  <si>
    <r>
      <t>Desorption of P from X</t>
    </r>
    <r>
      <rPr>
        <vertAlign val="subscript"/>
        <sz val="11"/>
        <color rgb="FF000000"/>
        <rFont val="Calibri"/>
        <family val="2"/>
        <scheme val="minor"/>
      </rPr>
      <t>HAO,L,P</t>
    </r>
  </si>
  <si>
    <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</si>
  <si>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HAOL,DESORP</t>
    </r>
    <r>
      <rPr>
        <sz val="11"/>
        <rFont val="Calibri"/>
        <family val="2"/>
      </rPr>
      <t>*X</t>
    </r>
    <r>
      <rPr>
        <vertAlign val="subscript"/>
        <sz val="11"/>
        <rFont val="Calibri"/>
        <family val="2"/>
      </rPr>
      <t>HAO,L,P</t>
    </r>
    <r>
      <rPr>
        <sz val="11"/>
        <rFont val="Calibri"/>
        <family val="2"/>
      </rPr>
      <t>*Minh</t>
    </r>
    <r>
      <rPr>
        <vertAlign val="subscript"/>
        <sz val="11"/>
        <rFont val="Calibri"/>
        <family val="2"/>
      </rPr>
      <t>SPO4,KiP,HAO,DESORP</t>
    </r>
  </si>
  <si>
    <r>
      <t>Dissolution of P from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</si>
  <si>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</si>
  <si>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</si>
  <si>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</si>
  <si>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q</t>
    </r>
    <r>
      <rPr>
        <vertAlign val="subscript"/>
        <sz val="11"/>
        <rFont val="Calibri"/>
        <family val="2"/>
      </rPr>
      <t>HAO,DISS</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)*Loginh</t>
    </r>
    <r>
      <rPr>
        <vertAlign val="subscript"/>
        <sz val="11"/>
        <rFont val="Calibri"/>
        <family val="2"/>
      </rPr>
      <t>SPO4,KiP,HAO,DISS</t>
    </r>
  </si>
  <si>
    <t>Brushite precipitation</t>
  </si>
  <si>
    <r>
      <t>-AM</t>
    </r>
    <r>
      <rPr>
        <vertAlign val="subscript"/>
        <sz val="11"/>
        <rFont val="Calibri"/>
        <family val="2"/>
      </rPr>
      <t>P</t>
    </r>
    <r>
      <rPr>
        <sz val="11"/>
        <rFont val="Calibri"/>
        <family val="2"/>
      </rPr>
      <t>/MM</t>
    </r>
    <r>
      <rPr>
        <vertAlign val="subscript"/>
        <sz val="11"/>
        <rFont val="Calibri"/>
        <family val="2"/>
      </rPr>
      <t>BSH</t>
    </r>
  </si>
  <si>
    <r>
      <t>-AM</t>
    </r>
    <r>
      <rPr>
        <vertAlign val="subscript"/>
        <sz val="11"/>
        <rFont val="Calibri"/>
        <family val="2"/>
      </rPr>
      <t>Ca</t>
    </r>
    <r>
      <rPr>
        <sz val="11"/>
        <rFont val="Calibri"/>
        <family val="2"/>
      </rPr>
      <t>/MM</t>
    </r>
    <r>
      <rPr>
        <vertAlign val="subscript"/>
        <sz val="11"/>
        <rFont val="Calibri"/>
        <family val="2"/>
      </rPr>
      <t>BSH</t>
    </r>
  </si>
  <si>
    <r>
      <t>q</t>
    </r>
    <r>
      <rPr>
        <vertAlign val="subscript"/>
        <sz val="11"/>
        <rFont val="Calibri"/>
        <family val="2"/>
      </rPr>
      <t>BSH</t>
    </r>
    <r>
      <rPr>
        <sz val="11"/>
        <rFont val="Calibri"/>
        <family val="2"/>
      </rPr>
      <t>*PrecipDrivingForce</t>
    </r>
    <r>
      <rPr>
        <vertAlign val="subscript"/>
        <sz val="11"/>
        <rFont val="Calibri"/>
        <family val="2"/>
      </rPr>
      <t>BSH</t>
    </r>
    <r>
      <rPr>
        <vertAlign val="superscript"/>
        <sz val="11"/>
        <rFont val="Calibri"/>
        <family val="2"/>
      </rPr>
      <t>^2</t>
    </r>
  </si>
  <si>
    <r>
      <t>Ca</t>
    </r>
    <r>
      <rPr>
        <sz val="11"/>
        <color indexed="8"/>
        <rFont val="Calibri"/>
        <family val="2"/>
      </rPr>
      <t>H</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2H</t>
    </r>
    <r>
      <rPr>
        <vertAlign val="subscript"/>
        <sz val="11"/>
        <color indexed="8"/>
        <rFont val="Calibri"/>
        <family val="2"/>
        <scheme val="minor"/>
      </rPr>
      <t>2</t>
    </r>
    <r>
      <rPr>
        <sz val="11"/>
        <color indexed="8"/>
        <rFont val="Calibri"/>
        <family val="2"/>
        <scheme val="minor"/>
      </rPr>
      <t>O</t>
    </r>
  </si>
  <si>
    <r>
      <t>X</t>
    </r>
    <r>
      <rPr>
        <b/>
        <vertAlign val="subscript"/>
        <sz val="11"/>
        <rFont val="Calibri"/>
        <family val="2"/>
        <scheme val="minor"/>
      </rPr>
      <t>HAO,H</t>
    </r>
  </si>
  <si>
    <t>Elimination of surfactants</t>
  </si>
  <si>
    <r>
      <t>q</t>
    </r>
    <r>
      <rPr>
        <vertAlign val="subscript"/>
        <sz val="11"/>
        <rFont val="Calibri"/>
        <family val="2"/>
      </rPr>
      <t>ALPHA,SO2</t>
    </r>
    <r>
      <rPr>
        <sz val="11"/>
        <rFont val="Calibri"/>
        <family val="2"/>
      </rPr>
      <t>*X</t>
    </r>
    <r>
      <rPr>
        <vertAlign val="subscript"/>
        <sz val="11"/>
        <rFont val="Calibri"/>
        <family val="2"/>
      </rPr>
      <t>VSS</t>
    </r>
    <r>
      <rPr>
        <sz val="11"/>
        <rFont val="Calibri"/>
        <family val="2"/>
      </rPr>
      <t>*damp</t>
    </r>
    <r>
      <rPr>
        <vertAlign val="subscript"/>
        <sz val="11"/>
        <rFont val="Calibri"/>
        <family val="2"/>
        <charset val="238"/>
      </rPr>
      <t>ALPHA</t>
    </r>
    <r>
      <rPr>
        <sz val="11"/>
        <rFont val="Calibri"/>
        <family val="2"/>
      </rPr>
      <t>*(S</t>
    </r>
    <r>
      <rPr>
        <vertAlign val="subscript"/>
        <sz val="11"/>
        <rFont val="Calibri"/>
        <family val="2"/>
      </rPr>
      <t>ALPHA,sat</t>
    </r>
    <r>
      <rPr>
        <sz val="11"/>
        <rFont val="Calibri"/>
        <family val="2"/>
      </rPr>
      <t>-S</t>
    </r>
    <r>
      <rPr>
        <vertAlign val="subscript"/>
        <sz val="11"/>
        <rFont val="Calibri"/>
        <family val="2"/>
      </rPr>
      <t>ALPHA</t>
    </r>
    <r>
      <rPr>
        <sz val="11"/>
        <rFont val="Calibri"/>
        <family val="2"/>
      </rPr>
      <t>)</t>
    </r>
  </si>
  <si>
    <r>
      <rPr>
        <sz val="11"/>
        <rFont val="Calibri"/>
        <family val="2"/>
      </rPr>
      <t>d</t>
    </r>
    <r>
      <rPr>
        <vertAlign val="superscript"/>
        <sz val="11"/>
        <rFont val="Calibri"/>
        <family val="2"/>
      </rPr>
      <t>-1</t>
    </r>
  </si>
  <si>
    <r>
      <t>AM</t>
    </r>
    <r>
      <rPr>
        <vertAlign val="subscript"/>
        <sz val="11"/>
        <rFont val="Calibri"/>
        <family val="2"/>
        <scheme val="minor"/>
      </rPr>
      <t>P</t>
    </r>
    <r>
      <rPr>
        <sz val="11"/>
        <rFont val="Calibri"/>
        <family val="2"/>
        <scheme val="minor"/>
      </rPr>
      <t>/MM</t>
    </r>
    <r>
      <rPr>
        <vertAlign val="subscript"/>
        <sz val="11"/>
        <rFont val="Calibri"/>
        <family val="2"/>
        <scheme val="minor"/>
      </rPr>
      <t>BSH</t>
    </r>
  </si>
  <si>
    <r>
      <t>AM</t>
    </r>
    <r>
      <rPr>
        <vertAlign val="subscript"/>
        <sz val="11"/>
        <rFont val="Calibri"/>
        <family val="2"/>
        <scheme val="minor"/>
      </rPr>
      <t>Ca</t>
    </r>
    <r>
      <rPr>
        <sz val="11"/>
        <rFont val="Calibri"/>
        <family val="2"/>
        <scheme val="minor"/>
      </rPr>
      <t>/MM</t>
    </r>
    <r>
      <rPr>
        <vertAlign val="subscript"/>
        <sz val="11"/>
        <rFont val="Calibri"/>
        <family val="2"/>
        <scheme val="minor"/>
      </rPr>
      <t>BSH</t>
    </r>
  </si>
  <si>
    <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</si>
  <si>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</si>
  <si>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</si>
  <si>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</si>
  <si>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</si>
  <si>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</si>
  <si>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</si>
  <si>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</si>
  <si>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</si>
  <si>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</si>
  <si>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</si>
  <si>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K</t>
    </r>
    <r>
      <rPr>
        <vertAlign val="subscript"/>
        <sz val="11"/>
        <rFont val="Calibri"/>
        <family val="2"/>
        <scheme val="minor"/>
      </rPr>
      <t>SB,ana,DIG</t>
    </r>
  </si>
  <si>
    <r>
      <t>X</t>
    </r>
    <r>
      <rPr>
        <vertAlign val="subscript"/>
        <sz val="11"/>
        <rFont val="Calibri"/>
        <family val="2"/>
        <scheme val="minor"/>
      </rPr>
      <t>VSS,BIO</t>
    </r>
    <r>
      <rPr>
        <sz val="11"/>
        <rFont val="Calibri"/>
        <family val="2"/>
        <scheme val="minor"/>
      </rPr>
      <t>+X</t>
    </r>
    <r>
      <rPr>
        <vertAlign val="subscript"/>
        <sz val="11"/>
        <rFont val="Calibri"/>
        <family val="2"/>
        <scheme val="minor"/>
      </rPr>
      <t>B</t>
    </r>
    <r>
      <rPr>
        <sz val="11"/>
        <rFont val="Calibri"/>
        <family val="2"/>
        <scheme val="minor"/>
      </rPr>
      <t>/i</t>
    </r>
    <r>
      <rPr>
        <vertAlign val="subscript"/>
        <sz val="11"/>
        <rFont val="Calibri"/>
        <family val="2"/>
        <scheme val="minor"/>
      </rPr>
      <t>CV,XB</t>
    </r>
    <r>
      <rPr>
        <sz val="11"/>
        <rFont val="Calibri"/>
        <family val="2"/>
        <scheme val="minor"/>
      </rPr>
      <t>+X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+X</t>
    </r>
    <r>
      <rPr>
        <vertAlign val="subscript"/>
        <sz val="11"/>
        <rFont val="Calibri"/>
        <family val="2"/>
        <scheme val="minor"/>
      </rPr>
      <t>PHA</t>
    </r>
    <r>
      <rPr>
        <sz val="11"/>
        <rFont val="Calibri"/>
        <family val="2"/>
        <scheme val="minor"/>
      </rPr>
      <t>/i</t>
    </r>
    <r>
      <rPr>
        <vertAlign val="subscript"/>
        <sz val="11"/>
        <rFont val="Calibri"/>
        <family val="2"/>
        <scheme val="minor"/>
      </rPr>
      <t>CV,PHA</t>
    </r>
    <r>
      <rPr>
        <sz val="11"/>
        <rFont val="Calibri"/>
        <family val="2"/>
        <scheme val="minor"/>
      </rPr>
      <t>+X</t>
    </r>
    <r>
      <rPr>
        <vertAlign val="subscript"/>
        <sz val="11"/>
        <rFont val="Calibri"/>
        <family val="2"/>
        <scheme val="minor"/>
      </rPr>
      <t>GLY</t>
    </r>
    <r>
      <rPr>
        <sz val="11"/>
        <rFont val="Calibri"/>
        <family val="2"/>
        <scheme val="minor"/>
      </rPr>
      <t>/i</t>
    </r>
    <r>
      <rPr>
        <vertAlign val="subscript"/>
        <sz val="11"/>
        <rFont val="Calibri"/>
        <family val="2"/>
        <scheme val="minor"/>
      </rPr>
      <t>CV,GLY</t>
    </r>
    <r>
      <rPr>
        <sz val="11"/>
        <rFont val="Calibri"/>
        <family val="2"/>
        <scheme val="minor"/>
      </rPr>
      <t>+X</t>
    </r>
    <r>
      <rPr>
        <vertAlign val="subscript"/>
        <sz val="11"/>
        <rFont val="Calibri"/>
        <family val="2"/>
        <scheme val="minor"/>
      </rPr>
      <t>E,ana</t>
    </r>
    <r>
      <rPr>
        <sz val="11"/>
        <rFont val="Calibri"/>
        <family val="2"/>
        <scheme val="minor"/>
      </rPr>
      <t>/i</t>
    </r>
    <r>
      <rPr>
        <vertAlign val="subscript"/>
        <sz val="11"/>
        <rFont val="Calibri"/>
        <family val="2"/>
        <scheme val="minor"/>
      </rPr>
      <t>CV,XE</t>
    </r>
    <r>
      <rPr>
        <sz val="11"/>
        <rFont val="Calibri"/>
        <family val="2"/>
        <scheme val="minor"/>
      </rPr>
      <t>+X</t>
    </r>
    <r>
      <rPr>
        <vertAlign val="subscript"/>
        <sz val="11"/>
        <rFont val="Calibri"/>
        <family val="2"/>
        <scheme val="minor"/>
      </rPr>
      <t>E</t>
    </r>
    <r>
      <rPr>
        <sz val="11"/>
        <rFont val="Calibri"/>
        <family val="2"/>
        <scheme val="minor"/>
      </rPr>
      <t>/i</t>
    </r>
    <r>
      <rPr>
        <vertAlign val="subscript"/>
        <sz val="11"/>
        <rFont val="Calibri"/>
        <family val="2"/>
        <scheme val="minor"/>
      </rPr>
      <t>CV,XE</t>
    </r>
    <r>
      <rPr>
        <sz val="11"/>
        <rFont val="Calibri"/>
        <family val="2"/>
        <scheme val="minor"/>
      </rPr>
      <t>+(f</t>
    </r>
    <r>
      <rPr>
        <vertAlign val="subscript"/>
        <sz val="11"/>
        <rFont val="Calibri"/>
        <family val="2"/>
        <scheme val="minor"/>
      </rPr>
      <t>H2O,HFO,VSS</t>
    </r>
    <r>
      <rPr>
        <sz val="11"/>
        <rFont val="Calibri"/>
        <family val="2"/>
        <scheme val="minor"/>
      </rP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H2O,HAO,VSS</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</si>
  <si>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r>
      <t>X</t>
    </r>
    <r>
      <rPr>
        <vertAlign val="subscript"/>
        <sz val="11"/>
        <rFont val="Calibri"/>
        <family val="2"/>
        <scheme val="minor"/>
      </rPr>
      <t>CaCO3</t>
    </r>
    <r>
      <rPr>
        <sz val="11"/>
        <rFont val="Calibri"/>
        <family val="2"/>
        <scheme val="minor"/>
      </rPr>
      <t>+X</t>
    </r>
    <r>
      <rPr>
        <vertAlign val="subscript"/>
        <sz val="11"/>
        <rFont val="Calibri"/>
        <family val="2"/>
        <scheme val="minor"/>
      </rPr>
      <t>ACP</t>
    </r>
    <r>
      <rPr>
        <sz val="11"/>
        <rFont val="Calibri"/>
        <family val="2"/>
        <scheme val="minor"/>
      </rPr>
      <t>+X</t>
    </r>
    <r>
      <rPr>
        <vertAlign val="subscript"/>
        <sz val="11"/>
        <rFont val="Calibri"/>
        <family val="2"/>
        <scheme val="minor"/>
      </rPr>
      <t>STR</t>
    </r>
    <r>
      <rPr>
        <sz val="11"/>
        <rFont val="Calibri"/>
        <family val="2"/>
        <scheme val="minor"/>
      </rPr>
      <t>+X</t>
    </r>
    <r>
      <rPr>
        <vertAlign val="subscript"/>
        <sz val="11"/>
        <rFont val="Calibri"/>
        <family val="2"/>
        <scheme val="minor"/>
      </rPr>
      <t>Vivi</t>
    </r>
    <r>
      <rPr>
        <sz val="11"/>
        <rFont val="Calibri"/>
        <family val="2"/>
        <scheme val="minor"/>
      </rPr>
      <t>+X</t>
    </r>
    <r>
      <rPr>
        <vertAlign val="subscript"/>
        <sz val="11"/>
        <rFont val="Calibri"/>
        <family val="2"/>
        <scheme val="minor"/>
      </rPr>
      <t>BSH</t>
    </r>
  </si>
  <si>
    <r>
      <t>(1-f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</si>
  <si>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r>
      <t>X</t>
    </r>
    <r>
      <rPr>
        <vertAlign val="subscript"/>
        <sz val="11"/>
        <rFont val="Calibri"/>
        <family val="2"/>
        <scheme val="minor"/>
      </rPr>
      <t>HAO,TSS</t>
    </r>
  </si>
  <si>
    <t>Total HAOs in TSS unit</t>
  </si>
  <si>
    <r>
      <t>(1-f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</si>
  <si>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HFO,TSS</t>
    </r>
    <r>
      <rPr>
        <sz val="11"/>
        <rFont val="Calibri"/>
        <family val="2"/>
        <scheme val="minor"/>
      </rPr>
      <t>+X</t>
    </r>
    <r>
      <rPr>
        <vertAlign val="subscript"/>
        <sz val="11"/>
        <rFont val="Calibri"/>
        <family val="2"/>
        <scheme val="minor"/>
      </rPr>
      <t>HAO,TSS</t>
    </r>
  </si>
  <si>
    <r>
      <t>i</t>
    </r>
    <r>
      <rPr>
        <vertAlign val="subscript"/>
        <sz val="11"/>
        <rFont val="Calibri"/>
        <family val="2"/>
        <scheme val="minor"/>
      </rPr>
      <t>P,BIO</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 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P,B</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X</t>
    </r>
    <r>
      <rPr>
        <vertAlign val="subscript"/>
        <sz val="11"/>
        <rFont val="Calibri"/>
        <family val="2"/>
        <scheme val="minor"/>
      </rPr>
      <t>P,U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r>
      <rPr>
        <sz val="11"/>
        <rFont val="Calibri"/>
        <family val="2"/>
        <scheme val="minor"/>
      </rPr>
      <t xml:space="preserve">  +X</t>
    </r>
    <r>
      <rPr>
        <vertAlign val="subscript"/>
        <sz val="11"/>
        <rFont val="Calibri"/>
        <family val="2"/>
        <scheme val="minor"/>
      </rPr>
      <t>PP</t>
    </r>
    <r>
      <rPr>
        <sz val="11"/>
        <rFont val="Calibri"/>
        <family val="2"/>
        <scheme val="minor"/>
      </rPr>
      <t xml:space="preserve"> + i</t>
    </r>
    <r>
      <rPr>
        <vertAlign val="subscript"/>
        <sz val="11"/>
        <rFont val="Calibri"/>
        <family val="2"/>
        <scheme val="minor"/>
      </rPr>
      <t>P,XSTR</t>
    </r>
    <r>
      <rPr>
        <sz val="11"/>
        <rFont val="Calibri"/>
        <family val="2"/>
        <scheme val="minor"/>
      </rPr>
      <t xml:space="preserve"> * X</t>
    </r>
    <r>
      <rPr>
        <vertAlign val="subscript"/>
        <sz val="11"/>
        <rFont val="Calibri"/>
        <family val="2"/>
        <scheme val="minor"/>
      </rPr>
      <t>STR</t>
    </r>
    <r>
      <rPr>
        <sz val="11"/>
        <rFont val="Calibri"/>
        <family val="2"/>
        <scheme val="minor"/>
      </rPr>
      <t xml:space="preserve"> +X</t>
    </r>
    <r>
      <rPr>
        <vertAlign val="subscript"/>
        <sz val="11"/>
        <rFont val="Calibri"/>
        <family val="2"/>
        <scheme val="minor"/>
      </rPr>
      <t>HFO,P</t>
    </r>
    <r>
      <rPr>
        <sz val="11"/>
        <rFont val="Calibri"/>
        <family val="2"/>
        <charset val="238"/>
        <scheme val="minor"/>
      </rPr>
      <t>+</t>
    </r>
    <r>
      <rPr>
        <sz val="11"/>
        <rFont val="Calibri"/>
        <family val="2"/>
        <scheme val="minor"/>
      </rPr>
      <t>X</t>
    </r>
    <r>
      <rPr>
        <vertAlign val="subscript"/>
        <sz val="11"/>
        <rFont val="Calibri"/>
        <family val="2"/>
        <scheme val="minor"/>
      </rPr>
      <t>HAO,P</t>
    </r>
    <r>
      <rPr>
        <sz val="11"/>
        <rFont val="Calibri"/>
        <family val="2"/>
        <scheme val="minor"/>
      </rPr>
      <t>+i</t>
    </r>
    <r>
      <rPr>
        <vertAlign val="subscript"/>
        <sz val="11"/>
        <rFont val="Calibri"/>
        <family val="2"/>
        <scheme val="minor"/>
      </rPr>
      <t>P,XACP</t>
    </r>
    <r>
      <rPr>
        <sz val="11"/>
        <rFont val="Calibri"/>
        <family val="2"/>
        <scheme val="minor"/>
      </rPr>
      <t xml:space="preserve"> * X</t>
    </r>
    <r>
      <rPr>
        <vertAlign val="subscript"/>
        <sz val="11"/>
        <rFont val="Calibri"/>
        <family val="2"/>
        <scheme val="minor"/>
      </rPr>
      <t>ACP</t>
    </r>
    <r>
      <rPr>
        <sz val="11"/>
        <rFont val="Calibri"/>
        <family val="2"/>
        <scheme val="minor"/>
      </rPr>
      <t>+i</t>
    </r>
    <r>
      <rPr>
        <vertAlign val="subscript"/>
        <sz val="11"/>
        <rFont val="Calibri"/>
        <family val="2"/>
        <scheme val="minor"/>
      </rPr>
      <t>P,XVivi</t>
    </r>
    <r>
      <rPr>
        <sz val="11"/>
        <rFont val="Calibri"/>
        <family val="2"/>
        <scheme val="minor"/>
      </rPr>
      <t xml:space="preserve"> * X</t>
    </r>
    <r>
      <rPr>
        <vertAlign val="subscript"/>
        <sz val="11"/>
        <rFont val="Calibri"/>
        <family val="2"/>
        <scheme val="minor"/>
      </rPr>
      <t>Vivi</t>
    </r>
    <r>
      <rPr>
        <sz val="11"/>
        <rFont val="Calibri"/>
        <family val="2"/>
        <scheme val="minor"/>
      </rPr>
      <t>+i</t>
    </r>
    <r>
      <rPr>
        <vertAlign val="subscript"/>
        <sz val="11"/>
        <rFont val="Calibri"/>
        <family val="2"/>
        <scheme val="minor"/>
      </rPr>
      <t>P,XBSH</t>
    </r>
    <r>
      <rPr>
        <sz val="11"/>
        <rFont val="Calibri"/>
        <family val="2"/>
        <scheme val="minor"/>
      </rPr>
      <t>*X</t>
    </r>
    <r>
      <rPr>
        <vertAlign val="subscript"/>
        <sz val="11"/>
        <rFont val="Calibri"/>
        <family val="2"/>
        <scheme val="minor"/>
      </rPr>
      <t>BSH</t>
    </r>
  </si>
  <si>
    <r>
      <t>X</t>
    </r>
    <r>
      <rPr>
        <vertAlign val="subscript"/>
        <sz val="11"/>
        <rFont val="Calibri"/>
        <family val="2"/>
        <scheme val="minor"/>
      </rPr>
      <t>HAO</t>
    </r>
  </si>
  <si>
    <t>Total HAOs</t>
  </si>
  <si>
    <r>
      <t>X</t>
    </r>
    <r>
      <rPr>
        <vertAlign val="subscript"/>
        <sz val="11"/>
        <rFont val="Calibri"/>
        <family val="2"/>
        <scheme val="minor"/>
      </rPr>
      <t>HAO,H</t>
    </r>
    <r>
      <rPr>
        <sz val="11"/>
        <rFont val="Calibri"/>
        <family val="2"/>
        <scheme val="minor"/>
      </rPr>
      <t>+X</t>
    </r>
    <r>
      <rPr>
        <vertAlign val="subscript"/>
        <sz val="11"/>
        <rFont val="Calibri"/>
        <family val="2"/>
        <scheme val="minor"/>
      </rPr>
      <t>HAO,L</t>
    </r>
    <r>
      <rPr>
        <sz val="11"/>
        <rFont val="Calibri"/>
        <family val="2"/>
        <scheme val="minor"/>
      </rPr>
      <t>+X</t>
    </r>
    <r>
      <rPr>
        <vertAlign val="subscript"/>
        <sz val="11"/>
        <rFont val="Calibri"/>
        <family val="2"/>
        <scheme val="minor"/>
      </rPr>
      <t>HAO,L,P</t>
    </r>
    <r>
      <rPr>
        <sz val="11"/>
        <rFont val="Calibri"/>
        <family val="2"/>
        <scheme val="minor"/>
      </rPr>
      <t>+X</t>
    </r>
    <r>
      <rPr>
        <vertAlign val="subscript"/>
        <sz val="11"/>
        <rFont val="Calibri"/>
        <family val="2"/>
        <scheme val="minor"/>
      </rPr>
      <t>HAO,H,P</t>
    </r>
    <r>
      <rPr>
        <sz val="11"/>
        <rFont val="Calibri"/>
        <family val="2"/>
        <scheme val="minor"/>
      </rPr>
      <t>+X</t>
    </r>
    <r>
      <rPr>
        <vertAlign val="subscript"/>
        <sz val="11"/>
        <rFont val="Calibri"/>
        <family val="2"/>
        <scheme val="minor"/>
      </rPr>
      <t>HAO,old</t>
    </r>
    <r>
      <rPr>
        <sz val="11"/>
        <rFont val="Calibri"/>
        <family val="2"/>
        <scheme val="minor"/>
      </rPr>
      <t>+X</t>
    </r>
    <r>
      <rPr>
        <vertAlign val="subscript"/>
        <sz val="11"/>
        <rFont val="Calibri"/>
        <family val="2"/>
        <scheme val="minor"/>
      </rPr>
      <t>HAO,L,P,old</t>
    </r>
    <r>
      <rPr>
        <sz val="11"/>
        <rFont val="Calibri"/>
        <family val="2"/>
        <scheme val="minor"/>
      </rPr>
      <t>+X</t>
    </r>
    <r>
      <rPr>
        <vertAlign val="subscript"/>
        <sz val="11"/>
        <rFont val="Calibri"/>
        <family val="2"/>
        <scheme val="minor"/>
      </rPr>
      <t>HAO,H,P,old</t>
    </r>
  </si>
  <si>
    <r>
      <t>g Al.m</t>
    </r>
    <r>
      <rPr>
        <vertAlign val="superscript"/>
        <sz val="11"/>
        <rFont val="Calibri"/>
        <family val="2"/>
        <scheme val="minor"/>
      </rPr>
      <t>-3</t>
    </r>
  </si>
  <si>
    <r>
      <t>T</t>
    </r>
    <r>
      <rPr>
        <vertAlign val="subscript"/>
        <sz val="11"/>
        <rFont val="Calibri"/>
        <family val="2"/>
        <scheme val="minor"/>
      </rPr>
      <t>Al</t>
    </r>
  </si>
  <si>
    <t>Total aluminium</t>
  </si>
  <si>
    <r>
      <t>X</t>
    </r>
    <r>
      <rPr>
        <vertAlign val="subscript"/>
        <sz val="11"/>
        <rFont val="Calibri"/>
        <family val="2"/>
        <scheme val="minor"/>
      </rPr>
      <t xml:space="preserve">HAO </t>
    </r>
  </si>
  <si>
    <r>
      <t>T</t>
    </r>
    <r>
      <rPr>
        <vertAlign val="subscript"/>
        <sz val="11"/>
        <rFont val="Calibri"/>
        <family val="2"/>
        <scheme val="minor"/>
      </rPr>
      <t>Ca</t>
    </r>
  </si>
  <si>
    <t>Total calcium</t>
  </si>
  <si>
    <r>
      <t>S</t>
    </r>
    <r>
      <rPr>
        <vertAlign val="subscript"/>
        <sz val="11"/>
        <rFont val="Calibri"/>
        <family val="2"/>
        <scheme val="minor"/>
      </rPr>
      <t>Ca</t>
    </r>
    <r>
      <rPr>
        <sz val="11"/>
        <rFont val="Calibri"/>
        <family val="2"/>
        <scheme val="minor"/>
      </rP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Ca,INORG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ACP</t>
    </r>
    <r>
      <rPr>
        <sz val="11"/>
        <rFont val="Calibri"/>
        <family val="2"/>
        <scheme val="minor"/>
      </rPr>
      <t>*3*AM</t>
    </r>
    <r>
      <rPr>
        <vertAlign val="subscript"/>
        <sz val="11"/>
        <rFont val="Calibri"/>
        <family val="2"/>
        <scheme val="minor"/>
      </rPr>
      <t>Ca</t>
    </r>
    <r>
      <rPr>
        <sz val="11"/>
        <rFont val="Calibri"/>
        <family val="2"/>
        <scheme val="minor"/>
      </rPr>
      <t>/MM</t>
    </r>
    <r>
      <rPr>
        <vertAlign val="subscript"/>
        <sz val="11"/>
        <rFont val="Calibri"/>
        <family val="2"/>
        <scheme val="minor"/>
      </rPr>
      <t>ACP</t>
    </r>
    <r>
      <rPr>
        <sz val="11"/>
        <rFont val="Calibri"/>
        <family val="2"/>
        <scheme val="minor"/>
      </rPr>
      <t>+X</t>
    </r>
    <r>
      <rPr>
        <vertAlign val="subscript"/>
        <sz val="11"/>
        <rFont val="Calibri"/>
        <family val="2"/>
        <scheme val="minor"/>
      </rPr>
      <t>CaCO3</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CaCO3</t>
    </r>
    <r>
      <rPr>
        <sz val="11"/>
        <rFont val="Calibri"/>
        <family val="2"/>
        <scheme val="minor"/>
      </rPr>
      <t>+X</t>
    </r>
    <r>
      <rPr>
        <vertAlign val="subscript"/>
        <sz val="11"/>
        <rFont val="Calibri"/>
        <family val="2"/>
        <scheme val="minor"/>
      </rPr>
      <t>BSH</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BSH</t>
    </r>
  </si>
  <si>
    <r>
      <t>T</t>
    </r>
    <r>
      <rPr>
        <vertAlign val="subscript"/>
        <sz val="11"/>
        <rFont val="Calibri"/>
        <family val="2"/>
        <scheme val="minor"/>
      </rPr>
      <t>Mg</t>
    </r>
  </si>
  <si>
    <t>Total magnesium</t>
  </si>
  <si>
    <r>
      <t>S</t>
    </r>
    <r>
      <rPr>
        <vertAlign val="subscript"/>
        <sz val="11"/>
        <rFont val="Calibri"/>
        <family val="2"/>
        <scheme val="minor"/>
      </rPr>
      <t>Mg</t>
    </r>
    <r>
      <rPr>
        <sz val="11"/>
        <rFont val="Calibri"/>
        <family val="2"/>
        <scheme val="minor"/>
      </rP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Mg,INORG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STR</t>
    </r>
    <r>
      <rPr>
        <sz val="11"/>
        <rFont val="Calibri"/>
        <family val="2"/>
        <scheme val="minor"/>
      </rPr>
      <t>*AM</t>
    </r>
    <r>
      <rPr>
        <vertAlign val="subscript"/>
        <sz val="11"/>
        <rFont val="Calibri"/>
        <family val="2"/>
        <scheme val="minor"/>
      </rPr>
      <t>Mg</t>
    </r>
    <r>
      <rPr>
        <sz val="11"/>
        <rFont val="Calibri"/>
        <family val="2"/>
        <scheme val="minor"/>
      </rPr>
      <t>/MM</t>
    </r>
    <r>
      <rPr>
        <vertAlign val="subscript"/>
        <sz val="11"/>
        <rFont val="Calibri"/>
        <family val="2"/>
        <scheme val="minor"/>
      </rPr>
      <t>STR</t>
    </r>
  </si>
  <si>
    <r>
      <t>X</t>
    </r>
    <r>
      <rPr>
        <vertAlign val="subscript"/>
        <sz val="11"/>
        <rFont val="Calibri"/>
        <family val="2"/>
        <scheme val="minor"/>
      </rPr>
      <t>HAO,P</t>
    </r>
  </si>
  <si>
    <t>Total phosphorus in HAOs</t>
  </si>
  <si>
    <r>
      <t>(X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</si>
  <si>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</si>
  <si>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T</t>
    </r>
    <r>
      <rPr>
        <vertAlign val="subscript"/>
        <sz val="11"/>
        <rFont val="Calibri"/>
        <family val="2"/>
        <charset val="238"/>
        <scheme val="minor"/>
      </rPr>
      <t>OC</t>
    </r>
  </si>
  <si>
    <t>Total organic carbon</t>
  </si>
  <si>
    <r>
      <t>Max(0;f</t>
    </r>
    <r>
      <rPr>
        <vertAlign val="subscript"/>
        <sz val="11"/>
        <rFont val="Calibri"/>
        <family val="2"/>
        <scheme val="minor"/>
      </rPr>
      <t>TOC,1</t>
    </r>
    <r>
      <rPr>
        <sz val="11"/>
        <rFont val="Calibri"/>
        <family val="2"/>
        <scheme val="minor"/>
      </rPr>
      <t>*T</t>
    </r>
    <r>
      <rPr>
        <vertAlign val="subscript"/>
        <sz val="11"/>
        <rFont val="Calibri"/>
        <family val="2"/>
        <charset val="238"/>
        <scheme val="minor"/>
      </rPr>
      <t>COD</t>
    </r>
    <r>
      <rPr>
        <sz val="11"/>
        <rFont val="Calibri"/>
        <family val="2"/>
        <scheme val="minor"/>
      </rPr>
      <t>-f</t>
    </r>
    <r>
      <rPr>
        <vertAlign val="subscript"/>
        <sz val="11"/>
        <rFont val="Calibri"/>
        <family val="2"/>
        <scheme val="minor"/>
      </rPr>
      <t>TOC,2</t>
    </r>
    <r>
      <rPr>
        <sz val="11"/>
        <rFont val="Calibri"/>
        <family val="2"/>
        <scheme val="minor"/>
      </rPr>
      <t>)</t>
    </r>
  </si>
  <si>
    <r>
      <t>g C.m</t>
    </r>
    <r>
      <rPr>
        <vertAlign val="superscript"/>
        <sz val="11"/>
        <rFont val="Calibri"/>
        <family val="2"/>
        <charset val="238"/>
        <scheme val="minor"/>
      </rPr>
      <t>-3</t>
    </r>
  </si>
  <si>
    <t>Effluent</t>
  </si>
  <si>
    <r>
      <t>f</t>
    </r>
    <r>
      <rPr>
        <vertAlign val="subscript"/>
        <sz val="11"/>
        <rFont val="Calibri"/>
        <family val="2"/>
        <scheme val="minor"/>
      </rPr>
      <t>bw,floc</t>
    </r>
  </si>
  <si>
    <t>Fraction of bound water</t>
  </si>
  <si>
    <r>
      <t>(X</t>
    </r>
    <r>
      <rPr>
        <vertAlign val="subscript"/>
        <sz val="11"/>
        <rFont val="Calibri"/>
        <family val="2"/>
        <scheme val="minor"/>
      </rPr>
      <t>VSS,BIO</t>
    </r>
    <r>
      <rPr>
        <sz val="11"/>
        <rFont val="Calibri"/>
        <family val="2"/>
        <scheme val="minor"/>
      </rPr>
      <t>*(i</t>
    </r>
    <r>
      <rPr>
        <vertAlign val="subscript"/>
        <sz val="11"/>
        <rFont val="Calibri"/>
        <family val="2"/>
        <scheme val="minor"/>
      </rPr>
      <t>vw,BIO</t>
    </r>
    <r>
      <rPr>
        <sz val="11"/>
        <rFont val="Calibri"/>
        <family val="2"/>
        <scheme val="minor"/>
      </rPr>
      <t>+i</t>
    </r>
    <r>
      <rPr>
        <vertAlign val="subscript"/>
        <sz val="11"/>
        <rFont val="Calibri"/>
        <family val="2"/>
        <scheme val="minor"/>
      </rPr>
      <t>iw,BIO</t>
    </r>
    <r>
      <rPr>
        <sz val="11"/>
        <rFont val="Calibri"/>
        <family val="2"/>
        <scheme val="minor"/>
      </rPr>
      <t>+i</t>
    </r>
    <r>
      <rPr>
        <vertAlign val="subscript"/>
        <sz val="11"/>
        <rFont val="Calibri"/>
        <family val="2"/>
        <scheme val="minor"/>
      </rPr>
      <t>wh,BIO</t>
    </r>
    <r>
      <rPr>
        <sz val="11"/>
        <rFont val="Calibri"/>
        <family val="2"/>
        <scheme val="minor"/>
      </rPr>
      <t>)</t>
    </r>
    <r>
      <rPr>
        <vertAlign val="subscript"/>
        <sz val="11"/>
        <rFont val="Calibri"/>
        <family val="2"/>
        <scheme val="minor"/>
      </rPr>
      <t xml:space="preserve"> </t>
    </r>
    <r>
      <rPr>
        <b/>
        <sz val="11"/>
        <color rgb="FFC00000"/>
        <rFont val="Calibri"/>
        <family val="2"/>
        <scheme val="minor"/>
      </rPr>
      <t>+ X</t>
    </r>
    <r>
      <rPr>
        <b/>
        <vertAlign val="subscript"/>
        <sz val="11"/>
        <color rgb="FFC00000"/>
        <rFont val="Calibri"/>
        <family val="2"/>
        <scheme val="minor"/>
      </rPr>
      <t>VSS,BIO</t>
    </r>
    <r>
      <rPr>
        <b/>
        <sz val="11"/>
        <color rgb="FFC00000"/>
        <rFont val="Calibri"/>
        <family val="2"/>
        <scheme val="minor"/>
      </rPr>
      <t xml:space="preserve"> * (i</t>
    </r>
    <r>
      <rPr>
        <b/>
        <vertAlign val="subscript"/>
        <sz val="11"/>
        <color rgb="FFC00000"/>
        <rFont val="Calibri"/>
        <family val="2"/>
        <scheme val="minor"/>
      </rPr>
      <t>vw,EPS</t>
    </r>
    <r>
      <rPr>
        <b/>
        <sz val="11"/>
        <color rgb="FFC00000"/>
        <rFont val="Calibri"/>
        <family val="2"/>
        <scheme val="minor"/>
      </rPr>
      <t xml:space="preserve"> + i</t>
    </r>
    <r>
      <rPr>
        <b/>
        <vertAlign val="subscript"/>
        <sz val="11"/>
        <color rgb="FFC00000"/>
        <rFont val="Calibri"/>
        <family val="2"/>
        <scheme val="minor"/>
      </rPr>
      <t>wh,EPS</t>
    </r>
    <r>
      <rPr>
        <sz val="11"/>
        <color rgb="FFC00000"/>
        <rFont val="Calibri"/>
        <family val="2"/>
        <scheme val="minor"/>
      </rPr>
      <t>)</t>
    </r>
    <r>
      <rPr>
        <sz val="11"/>
        <rFont val="Calibri"/>
        <family val="2"/>
        <scheme val="minor"/>
      </rPr>
      <t xml:space="preserve"> + X</t>
    </r>
    <r>
      <rPr>
        <vertAlign val="subscript"/>
        <sz val="11"/>
        <rFont val="Calibri"/>
        <family val="2"/>
        <scheme val="minor"/>
      </rPr>
      <t>E</t>
    </r>
    <r>
      <rPr>
        <sz val="11"/>
        <rFont val="Calibri"/>
        <family val="2"/>
        <scheme val="minor"/>
      </rPr>
      <t>/i</t>
    </r>
    <r>
      <rPr>
        <vertAlign val="subscript"/>
        <sz val="11"/>
        <rFont val="Calibri"/>
        <family val="2"/>
        <scheme val="minor"/>
      </rPr>
      <t>CV,XE</t>
    </r>
    <r>
      <rPr>
        <sz val="11"/>
        <rFont val="Calibri"/>
        <family val="2"/>
        <scheme val="minor"/>
      </rPr>
      <t xml:space="preserve"> * (i</t>
    </r>
    <r>
      <rPr>
        <vertAlign val="subscript"/>
        <sz val="11"/>
        <rFont val="Calibri"/>
        <family val="2"/>
        <scheme val="minor"/>
      </rPr>
      <t>vw,XE</t>
    </r>
    <r>
      <rPr>
        <sz val="11"/>
        <rFont val="Calibri"/>
        <family val="2"/>
        <scheme val="minor"/>
      </rPr>
      <t>+i</t>
    </r>
    <r>
      <rPr>
        <vertAlign val="subscript"/>
        <sz val="11"/>
        <rFont val="Calibri"/>
        <family val="2"/>
        <scheme val="minor"/>
      </rPr>
      <t>wh,XE</t>
    </r>
    <r>
      <rPr>
        <sz val="11"/>
        <rFont val="Calibri"/>
        <family val="2"/>
        <scheme val="minor"/>
      </rPr>
      <t>)</t>
    </r>
    <r>
      <rPr>
        <b/>
        <sz val="11"/>
        <color rgb="FFC00000"/>
        <rFont val="Calibri"/>
        <family val="2"/>
        <scheme val="minor"/>
      </rPr>
      <t xml:space="preserve"> + X</t>
    </r>
    <r>
      <rPr>
        <b/>
        <vertAlign val="subscript"/>
        <sz val="11"/>
        <color rgb="FFC00000"/>
        <rFont val="Calibri"/>
        <family val="2"/>
        <scheme val="minor"/>
      </rPr>
      <t>E</t>
    </r>
    <r>
      <rPr>
        <b/>
        <sz val="11"/>
        <color rgb="FFC00000"/>
        <rFont val="Calibri"/>
        <family val="2"/>
        <scheme val="minor"/>
      </rPr>
      <t>/i</t>
    </r>
    <r>
      <rPr>
        <b/>
        <vertAlign val="subscript"/>
        <sz val="11"/>
        <color rgb="FFC00000"/>
        <rFont val="Calibri"/>
        <family val="2"/>
        <scheme val="minor"/>
      </rPr>
      <t>CV,XE</t>
    </r>
    <r>
      <rPr>
        <b/>
        <sz val="11"/>
        <color rgb="FFC00000"/>
        <rFont val="Calibri"/>
        <family val="2"/>
        <scheme val="minor"/>
      </rPr>
      <t xml:space="preserve"> * (i</t>
    </r>
    <r>
      <rPr>
        <b/>
        <vertAlign val="subscript"/>
        <sz val="11"/>
        <color rgb="FFC00000"/>
        <rFont val="Calibri"/>
        <family val="2"/>
        <scheme val="minor"/>
      </rPr>
      <t>vw,EPS</t>
    </r>
    <r>
      <rPr>
        <b/>
        <sz val="11"/>
        <color rgb="FFC00000"/>
        <rFont val="Calibri"/>
        <family val="2"/>
        <scheme val="minor"/>
      </rPr>
      <t xml:space="preserve"> + i</t>
    </r>
    <r>
      <rPr>
        <b/>
        <vertAlign val="subscript"/>
        <sz val="11"/>
        <color rgb="FFC00000"/>
        <rFont val="Calibri"/>
        <family val="2"/>
        <scheme val="minor"/>
      </rPr>
      <t>wh,EPS</t>
    </r>
    <r>
      <rPr>
        <sz val="11"/>
        <color rgb="FFC00000"/>
        <rFont val="Calibri"/>
        <family val="2"/>
        <scheme val="minor"/>
      </rPr>
      <t>)</t>
    </r>
    <r>
      <rPr>
        <sz val="11"/>
        <rFont val="Calibri"/>
        <family val="2"/>
        <scheme val="minor"/>
      </rPr>
      <t xml:space="preserve"> + X</t>
    </r>
    <r>
      <rPr>
        <vertAlign val="subscript"/>
        <sz val="11"/>
        <rFont val="Calibri"/>
        <family val="2"/>
        <scheme val="minor"/>
      </rPr>
      <t>B</t>
    </r>
    <r>
      <rPr>
        <sz val="11"/>
        <rFont val="Calibri"/>
        <family val="2"/>
        <scheme val="minor"/>
      </rPr>
      <t>/i</t>
    </r>
    <r>
      <rPr>
        <vertAlign val="subscript"/>
        <sz val="11"/>
        <rFont val="Calibri"/>
        <family val="2"/>
        <scheme val="minor"/>
      </rPr>
      <t>CV,XB</t>
    </r>
    <r>
      <rPr>
        <sz val="11"/>
        <rFont val="Calibri"/>
        <family val="2"/>
        <scheme val="minor"/>
      </rPr>
      <t xml:space="preserve"> *(i</t>
    </r>
    <r>
      <rPr>
        <vertAlign val="subscript"/>
        <sz val="11"/>
        <rFont val="Calibri"/>
        <family val="2"/>
        <scheme val="minor"/>
      </rPr>
      <t>vw,XB</t>
    </r>
    <r>
      <rPr>
        <sz val="11"/>
        <rFont val="Calibri"/>
        <family val="2"/>
        <scheme val="minor"/>
      </rPr>
      <t>+i</t>
    </r>
    <r>
      <rPr>
        <vertAlign val="subscript"/>
        <sz val="11"/>
        <rFont val="Calibri"/>
        <family val="2"/>
        <scheme val="minor"/>
      </rPr>
      <t>wh,XB</t>
    </r>
    <r>
      <rPr>
        <sz val="11"/>
        <rFont val="Calibri"/>
        <family val="2"/>
        <scheme val="minor"/>
      </rPr>
      <t>) + 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 xml:space="preserve"> *(i</t>
    </r>
    <r>
      <rPr>
        <vertAlign val="subscript"/>
        <sz val="11"/>
        <rFont val="Calibri"/>
        <family val="2"/>
        <scheme val="minor"/>
      </rPr>
      <t>vw,XU</t>
    </r>
    <r>
      <rPr>
        <sz val="11"/>
        <rFont val="Calibri"/>
        <family val="2"/>
        <scheme val="minor"/>
      </rPr>
      <t>+i</t>
    </r>
    <r>
      <rPr>
        <vertAlign val="subscript"/>
        <sz val="11"/>
        <rFont val="Calibri"/>
        <family val="2"/>
        <scheme val="minor"/>
      </rPr>
      <t>wh,XU</t>
    </r>
    <r>
      <rPr>
        <sz val="11"/>
        <rFont val="Calibri"/>
        <family val="2"/>
        <scheme val="minor"/>
      </rPr>
      <t>) + X</t>
    </r>
    <r>
      <rPr>
        <vertAlign val="subscript"/>
        <sz val="11"/>
        <rFont val="Calibri"/>
        <family val="2"/>
        <scheme val="minor"/>
      </rPr>
      <t>PHA</t>
    </r>
    <r>
      <rPr>
        <sz val="11"/>
        <rFont val="Calibri"/>
        <family val="2"/>
        <scheme val="minor"/>
      </rPr>
      <t>/i</t>
    </r>
    <r>
      <rPr>
        <vertAlign val="subscript"/>
        <sz val="11"/>
        <rFont val="Calibri"/>
        <family val="2"/>
        <scheme val="minor"/>
      </rPr>
      <t xml:space="preserve">CV,PHA </t>
    </r>
    <r>
      <rPr>
        <sz val="11"/>
        <rFont val="Calibri"/>
        <family val="2"/>
        <scheme val="minor"/>
      </rPr>
      <t>* (i</t>
    </r>
    <r>
      <rPr>
        <vertAlign val="subscript"/>
        <sz val="11"/>
        <rFont val="Calibri"/>
        <family val="2"/>
        <scheme val="minor"/>
      </rPr>
      <t>vw,PHA</t>
    </r>
    <r>
      <rPr>
        <sz val="11"/>
        <rFont val="Calibri"/>
        <family val="2"/>
        <scheme val="minor"/>
      </rPr>
      <t>+i</t>
    </r>
    <r>
      <rPr>
        <vertAlign val="subscript"/>
        <sz val="11"/>
        <rFont val="Calibri"/>
        <family val="2"/>
        <scheme val="minor"/>
      </rPr>
      <t>wh,PHA</t>
    </r>
    <r>
      <rPr>
        <sz val="11"/>
        <rFont val="Calibri"/>
        <family val="2"/>
        <scheme val="minor"/>
      </rPr>
      <t>) + X</t>
    </r>
    <r>
      <rPr>
        <vertAlign val="subscript"/>
        <sz val="11"/>
        <rFont val="Calibri"/>
        <family val="2"/>
        <scheme val="minor"/>
      </rPr>
      <t>GLY</t>
    </r>
    <r>
      <rPr>
        <sz val="11"/>
        <rFont val="Calibri"/>
        <family val="2"/>
        <scheme val="minor"/>
      </rPr>
      <t>/i</t>
    </r>
    <r>
      <rPr>
        <vertAlign val="subscript"/>
        <sz val="11"/>
        <rFont val="Calibri"/>
        <family val="2"/>
        <scheme val="minor"/>
      </rPr>
      <t xml:space="preserve">CV,GLY </t>
    </r>
    <r>
      <rPr>
        <sz val="11"/>
        <rFont val="Calibri"/>
        <family val="2"/>
        <scheme val="minor"/>
      </rPr>
      <t>* (i</t>
    </r>
    <r>
      <rPr>
        <vertAlign val="subscript"/>
        <sz val="11"/>
        <rFont val="Calibri"/>
        <family val="2"/>
        <scheme val="minor"/>
      </rPr>
      <t>vw,GLY</t>
    </r>
    <r>
      <rPr>
        <sz val="11"/>
        <rFont val="Calibri"/>
        <family val="2"/>
        <scheme val="minor"/>
      </rPr>
      <t>+i</t>
    </r>
    <r>
      <rPr>
        <vertAlign val="subscript"/>
        <sz val="11"/>
        <rFont val="Calibri"/>
        <family val="2"/>
        <scheme val="minor"/>
      </rPr>
      <t>wh,GLY</t>
    </r>
    <r>
      <rPr>
        <sz val="11"/>
        <rFont val="Calibri"/>
        <family val="2"/>
        <scheme val="minor"/>
      </rPr>
      <t>) + 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 xml:space="preserve"> *i</t>
    </r>
    <r>
      <rPr>
        <vertAlign val="subscript"/>
        <sz val="11"/>
        <rFont val="Calibri"/>
        <family val="2"/>
        <scheme val="minor"/>
      </rPr>
      <t>vw,CB</t>
    </r>
    <r>
      <rPr>
        <sz val="11"/>
        <rFont val="Calibri"/>
        <family val="2"/>
        <scheme val="minor"/>
      </rPr>
      <t xml:space="preserve"> + C</t>
    </r>
    <r>
      <rPr>
        <vertAlign val="subscript"/>
        <sz val="11"/>
        <rFont val="Calibri"/>
        <family val="2"/>
        <scheme val="minor"/>
      </rPr>
      <t>U</t>
    </r>
    <r>
      <rPr>
        <sz val="11"/>
        <rFont val="Calibri"/>
        <family val="2"/>
        <scheme val="minor"/>
      </rPr>
      <t>/i</t>
    </r>
    <r>
      <rPr>
        <vertAlign val="subscript"/>
        <sz val="11"/>
        <rFont val="Calibri"/>
        <family val="2"/>
        <scheme val="minor"/>
      </rPr>
      <t>CV,CU</t>
    </r>
    <r>
      <rPr>
        <sz val="11"/>
        <rFont val="Calibri"/>
        <family val="2"/>
        <scheme val="minor"/>
      </rPr>
      <t>*i</t>
    </r>
    <r>
      <rPr>
        <vertAlign val="subscript"/>
        <sz val="11"/>
        <rFont val="Calibri"/>
        <family val="2"/>
        <scheme val="minor"/>
      </rPr>
      <t>vw,CU</t>
    </r>
    <r>
      <rPr>
        <sz val="11"/>
        <rFont val="Calibri"/>
        <family val="2"/>
        <scheme val="minor"/>
      </rPr>
      <t>)/X</t>
    </r>
    <r>
      <rPr>
        <vertAlign val="subscript"/>
        <sz val="11"/>
        <rFont val="Calibri"/>
        <family val="2"/>
        <scheme val="minor"/>
      </rPr>
      <t>TSS</t>
    </r>
  </si>
  <si>
    <t>CASTO related calculations</t>
  </si>
  <si>
    <r>
      <t>X</t>
    </r>
    <r>
      <rPr>
        <vertAlign val="subscript"/>
        <sz val="11"/>
        <rFont val="Calibri"/>
        <family val="2"/>
        <scheme val="minor"/>
      </rPr>
      <t>STC</t>
    </r>
  </si>
  <si>
    <t>PHA and GLY stored in CASTO</t>
  </si>
  <si>
    <r>
      <t>X</t>
    </r>
    <r>
      <rPr>
        <vertAlign val="subscript"/>
        <sz val="11"/>
        <rFont val="Calibri"/>
        <family val="2"/>
        <scheme val="minor"/>
      </rPr>
      <t>PHA</t>
    </r>
    <r>
      <rPr>
        <sz val="11"/>
        <rFont val="Calibri"/>
        <family val="2"/>
        <scheme val="minor"/>
      </rPr>
      <t xml:space="preserve"> + X</t>
    </r>
    <r>
      <rPr>
        <vertAlign val="subscript"/>
        <sz val="11"/>
        <rFont val="Calibri"/>
        <family val="2"/>
        <scheme val="minor"/>
      </rPr>
      <t>GLY</t>
    </r>
  </si>
  <si>
    <r>
      <t>act</t>
    </r>
    <r>
      <rPr>
        <vertAlign val="subscript"/>
        <sz val="11"/>
        <rFont val="Calibri"/>
        <family val="2"/>
        <scheme val="minor"/>
      </rPr>
      <t>PAO</t>
    </r>
  </si>
  <si>
    <r>
      <t>X</t>
    </r>
    <r>
      <rPr>
        <vertAlign val="subscript"/>
        <sz val="11"/>
        <color rgb="FF000000"/>
        <rFont val="Calibri"/>
        <family val="2"/>
      </rPr>
      <t>PHA</t>
    </r>
    <r>
      <rPr>
        <sz val="11"/>
        <color indexed="8"/>
        <rFont val="Calibri"/>
        <family val="2"/>
      </rPr>
      <t xml:space="preserve"> / X</t>
    </r>
    <r>
      <rPr>
        <vertAlign val="subscript"/>
        <sz val="11"/>
        <color rgb="FF000000"/>
        <rFont val="Calibri"/>
        <family val="2"/>
      </rPr>
      <t>STC</t>
    </r>
  </si>
  <si>
    <r>
      <t>act</t>
    </r>
    <r>
      <rPr>
        <vertAlign val="subscript"/>
        <sz val="11"/>
        <rFont val="Calibri"/>
        <family val="2"/>
        <scheme val="minor"/>
      </rPr>
      <t>GAO</t>
    </r>
  </si>
  <si>
    <r>
      <t>X</t>
    </r>
    <r>
      <rPr>
        <vertAlign val="subscript"/>
        <sz val="11"/>
        <color rgb="FF000000"/>
        <rFont val="Calibri"/>
        <family val="2"/>
      </rPr>
      <t>GLY</t>
    </r>
    <r>
      <rPr>
        <sz val="11"/>
        <color indexed="8"/>
        <rFont val="Calibri"/>
        <family val="2"/>
      </rPr>
      <t xml:space="preserve"> / X</t>
    </r>
    <r>
      <rPr>
        <vertAlign val="subscript"/>
        <sz val="11"/>
        <color rgb="FF000000"/>
        <rFont val="Calibri"/>
        <family val="2"/>
      </rPr>
      <t>STC</t>
    </r>
  </si>
  <si>
    <r>
      <t>X</t>
    </r>
    <r>
      <rPr>
        <vertAlign val="subscript"/>
        <sz val="11"/>
        <rFont val="Calibri"/>
        <family val="2"/>
        <scheme val="minor"/>
      </rPr>
      <t>PAO</t>
    </r>
  </si>
  <si>
    <t>Phosphate accumulating organisms (PAO)</t>
  </si>
  <si>
    <r>
      <t>act</t>
    </r>
    <r>
      <rPr>
        <vertAlign val="subscript"/>
        <sz val="11"/>
        <rFont val="Calibri"/>
        <family val="2"/>
        <scheme val="minor"/>
      </rPr>
      <t>PAO</t>
    </r>
    <r>
      <rPr>
        <sz val="11"/>
        <rFont val="Calibri"/>
        <family val="2"/>
        <scheme val="minor"/>
      </rPr>
      <t xml:space="preserve"> * X</t>
    </r>
    <r>
      <rPr>
        <vertAlign val="subscript"/>
        <sz val="11"/>
        <rFont val="Calibri"/>
        <family val="2"/>
        <scheme val="minor"/>
      </rPr>
      <t>CASTO</t>
    </r>
  </si>
  <si>
    <r>
      <t>X</t>
    </r>
    <r>
      <rPr>
        <vertAlign val="subscript"/>
        <sz val="11"/>
        <rFont val="Calibri"/>
        <family val="2"/>
        <scheme val="minor"/>
      </rPr>
      <t>GAO</t>
    </r>
  </si>
  <si>
    <r>
      <t>act</t>
    </r>
    <r>
      <rPr>
        <vertAlign val="subscript"/>
        <sz val="11"/>
        <rFont val="Calibri"/>
        <family val="2"/>
        <scheme val="minor"/>
      </rPr>
      <t>GAO</t>
    </r>
    <r>
      <rPr>
        <sz val="11"/>
        <rFont val="Calibri"/>
        <family val="2"/>
        <scheme val="minor"/>
      </rPr>
      <t xml:space="preserve"> * X</t>
    </r>
    <r>
      <rPr>
        <vertAlign val="subscript"/>
        <sz val="11"/>
        <rFont val="Calibri"/>
        <family val="2"/>
        <scheme val="minor"/>
      </rPr>
      <t>CASTO</t>
    </r>
  </si>
  <si>
    <r>
      <t>act</t>
    </r>
    <r>
      <rPr>
        <vertAlign val="subscript"/>
        <sz val="11"/>
        <rFont val="Calibri"/>
        <family val="2"/>
        <scheme val="minor"/>
      </rPr>
      <t>sto,GAO,ORP</t>
    </r>
  </si>
  <si>
    <t>ORP dependent VFA storage activity of GAOs</t>
  </si>
  <si>
    <r>
      <t>Logsat</t>
    </r>
    <r>
      <rPr>
        <vertAlign val="subscript"/>
        <sz val="11"/>
        <rFont val="Calibri"/>
        <family val="2"/>
        <scheme val="minor"/>
      </rPr>
      <t>ORP,GAO,T</t>
    </r>
  </si>
  <si>
    <r>
      <t>act</t>
    </r>
    <r>
      <rPr>
        <vertAlign val="subscript"/>
        <sz val="11"/>
        <rFont val="Calibri"/>
        <family val="2"/>
        <scheme val="minor"/>
      </rPr>
      <t>sto,PAO,ORP</t>
    </r>
  </si>
  <si>
    <t>ORP dependent VFA storage activity of PAOs</t>
  </si>
  <si>
    <r>
      <t>(1 - Logsat</t>
    </r>
    <r>
      <rPr>
        <vertAlign val="subscript"/>
        <sz val="11"/>
        <color indexed="8"/>
        <rFont val="Calibri"/>
        <family val="2"/>
        <charset val="238"/>
      </rPr>
      <t>ORP,GAO,T</t>
    </r>
    <r>
      <rPr>
        <sz val="11"/>
        <color indexed="8"/>
        <rFont val="Calibri"/>
        <family val="2"/>
        <charset val="238"/>
      </rPr>
      <t xml:space="preserve">) </t>
    </r>
  </si>
  <si>
    <r>
      <t>act</t>
    </r>
    <r>
      <rPr>
        <vertAlign val="subscript"/>
        <sz val="11"/>
        <rFont val="Calibri"/>
        <family val="2"/>
        <scheme val="minor"/>
      </rPr>
      <t>ferm,PAO,ORP</t>
    </r>
  </si>
  <si>
    <t>ORP dependent fermentation activity of PAOs</t>
  </si>
  <si>
    <r>
      <t>(1 - Logsat</t>
    </r>
    <r>
      <rPr>
        <vertAlign val="subscript"/>
        <sz val="11"/>
        <rFont val="Calibri"/>
        <family val="2"/>
        <charset val="238"/>
        <scheme val="minor"/>
      </rPr>
      <t>ORP,GAO,T</t>
    </r>
    <r>
      <rPr>
        <sz val="11"/>
        <rFont val="Calibri"/>
        <family val="2"/>
        <scheme val="minor"/>
      </rPr>
      <t>) * Loginh</t>
    </r>
    <r>
      <rPr>
        <vertAlign val="subscript"/>
        <sz val="11"/>
        <color rgb="FF000000"/>
        <rFont val="Calibri"/>
        <family val="2"/>
      </rPr>
      <t>ORP,PAO</t>
    </r>
    <r>
      <rPr>
        <sz val="11"/>
        <color indexed="8"/>
        <rFont val="Calibri"/>
        <family val="2"/>
      </rPr>
      <t/>
    </r>
  </si>
  <si>
    <r>
      <t>Y</t>
    </r>
    <r>
      <rPr>
        <vertAlign val="subscript"/>
        <sz val="11"/>
        <rFont val="Calibri"/>
        <family val="2"/>
        <scheme val="minor"/>
      </rPr>
      <t>CASTO,STC,ox</t>
    </r>
  </si>
  <si>
    <t>Observed yield of CASTOs on PHA and GLY under aerobic conditions</t>
  </si>
  <si>
    <r>
      <t>(Y</t>
    </r>
    <r>
      <rPr>
        <vertAlign val="subscript"/>
        <sz val="11"/>
        <rFont val="Calibri"/>
        <family val="2"/>
        <scheme val="minor"/>
      </rPr>
      <t>CASTO,PHA,ox</t>
    </r>
    <r>
      <rPr>
        <sz val="11"/>
        <rFont val="Calibri"/>
        <family val="2"/>
        <scheme val="minor"/>
      </rPr>
      <t xml:space="preserve"> * X</t>
    </r>
    <r>
      <rPr>
        <vertAlign val="subscript"/>
        <sz val="11"/>
        <rFont val="Calibri"/>
        <family val="2"/>
        <scheme val="minor"/>
      </rPr>
      <t>PHA</t>
    </r>
    <r>
      <rPr>
        <sz val="11"/>
        <rFont val="Calibri"/>
        <family val="2"/>
        <scheme val="minor"/>
      </rPr>
      <t xml:space="preserve"> + Y</t>
    </r>
    <r>
      <rPr>
        <vertAlign val="subscript"/>
        <sz val="11"/>
        <rFont val="Calibri"/>
        <family val="2"/>
        <scheme val="minor"/>
      </rPr>
      <t>CASTO,GLY,ox</t>
    </r>
    <r>
      <rPr>
        <sz val="11"/>
        <rFont val="Calibri"/>
        <family val="2"/>
        <scheme val="minor"/>
      </rPr>
      <t xml:space="preserve"> * X</t>
    </r>
    <r>
      <rPr>
        <vertAlign val="subscript"/>
        <sz val="11"/>
        <rFont val="Calibri"/>
        <family val="2"/>
        <scheme val="minor"/>
      </rPr>
      <t>GLY</t>
    </r>
    <r>
      <rPr>
        <sz val="11"/>
        <rFont val="Calibri"/>
        <family val="2"/>
        <scheme val="minor"/>
      </rPr>
      <t xml:space="preserve"> ) / X</t>
    </r>
    <r>
      <rPr>
        <vertAlign val="subscript"/>
        <sz val="11"/>
        <rFont val="Calibri"/>
        <family val="2"/>
        <scheme val="minor"/>
      </rPr>
      <t>STC</t>
    </r>
  </si>
  <si>
    <r>
      <t>g X</t>
    </r>
    <r>
      <rPr>
        <vertAlign val="subscript"/>
        <sz val="11"/>
        <rFont val="Calibri"/>
        <family val="2"/>
        <scheme val="minor"/>
      </rPr>
      <t>CASTO</t>
    </r>
    <r>
      <rPr>
        <sz val="11"/>
        <rFont val="Calibri"/>
        <family val="2"/>
        <scheme val="minor"/>
      </rPr>
      <t>.g X</t>
    </r>
    <r>
      <rPr>
        <vertAlign val="subscript"/>
        <sz val="11"/>
        <rFont val="Calibri"/>
        <family val="2"/>
        <scheme val="minor"/>
      </rPr>
      <t>STC</t>
    </r>
    <r>
      <rPr>
        <vertAlign val="superscript"/>
        <sz val="11"/>
        <rFont val="Calibri"/>
        <family val="2"/>
        <scheme val="minor"/>
      </rPr>
      <t>-1</t>
    </r>
  </si>
  <si>
    <r>
      <t>Y</t>
    </r>
    <r>
      <rPr>
        <vertAlign val="subscript"/>
        <sz val="11"/>
        <rFont val="Calibri"/>
        <family val="2"/>
        <scheme val="minor"/>
      </rPr>
      <t>CASTO,STC,anox</t>
    </r>
  </si>
  <si>
    <t>Observed yield of CASTOs on PHA and GLY under anoxic conditions</t>
  </si>
  <si>
    <r>
      <t>(Y</t>
    </r>
    <r>
      <rPr>
        <vertAlign val="subscript"/>
        <sz val="11"/>
        <rFont val="Calibri"/>
        <family val="2"/>
        <scheme val="minor"/>
      </rPr>
      <t>CASTO,PHA,anox</t>
    </r>
    <r>
      <rPr>
        <sz val="11"/>
        <rFont val="Calibri"/>
        <family val="2"/>
        <scheme val="minor"/>
      </rPr>
      <t xml:space="preserve"> * X</t>
    </r>
    <r>
      <rPr>
        <vertAlign val="subscript"/>
        <sz val="11"/>
        <rFont val="Calibri"/>
        <family val="2"/>
        <scheme val="minor"/>
      </rPr>
      <t>PHA</t>
    </r>
    <r>
      <rPr>
        <sz val="11"/>
        <rFont val="Calibri"/>
        <family val="2"/>
        <scheme val="minor"/>
      </rPr>
      <t xml:space="preserve"> + Y</t>
    </r>
    <r>
      <rPr>
        <vertAlign val="subscript"/>
        <sz val="11"/>
        <rFont val="Calibri"/>
        <family val="2"/>
        <scheme val="minor"/>
      </rPr>
      <t>CASTO,GLY,anox</t>
    </r>
    <r>
      <rPr>
        <sz val="11"/>
        <rFont val="Calibri"/>
        <family val="2"/>
        <scheme val="minor"/>
      </rPr>
      <t xml:space="preserve"> * X</t>
    </r>
    <r>
      <rPr>
        <vertAlign val="subscript"/>
        <sz val="11"/>
        <rFont val="Calibri"/>
        <family val="2"/>
        <scheme val="minor"/>
      </rPr>
      <t>GLY</t>
    </r>
    <r>
      <rPr>
        <sz val="11"/>
        <rFont val="Calibri"/>
        <family val="2"/>
        <scheme val="minor"/>
      </rPr>
      <t xml:space="preserve"> ) / X</t>
    </r>
    <r>
      <rPr>
        <vertAlign val="subscript"/>
        <sz val="11"/>
        <rFont val="Calibri"/>
        <family val="2"/>
        <scheme val="minor"/>
      </rPr>
      <t>STC</t>
    </r>
  </si>
  <si>
    <r>
      <t>i</t>
    </r>
    <r>
      <rPr>
        <vertAlign val="subscript"/>
        <sz val="11"/>
        <rFont val="Calibri"/>
        <family val="2"/>
        <scheme val="minor"/>
      </rPr>
      <t>CIT,STC</t>
    </r>
  </si>
  <si>
    <t>Observed inorganic carbon content of STC</t>
  </si>
  <si>
    <r>
      <t>(i</t>
    </r>
    <r>
      <rPr>
        <vertAlign val="subscript"/>
        <sz val="11"/>
        <rFont val="Calibri"/>
        <family val="2"/>
        <scheme val="minor"/>
      </rPr>
      <t>CIT,PHA</t>
    </r>
    <r>
      <rPr>
        <sz val="11"/>
        <rFont val="Calibri"/>
        <family val="2"/>
        <scheme val="minor"/>
      </rPr>
      <t xml:space="preserve"> * X</t>
    </r>
    <r>
      <rPr>
        <vertAlign val="subscript"/>
        <sz val="11"/>
        <rFont val="Calibri"/>
        <family val="2"/>
        <scheme val="minor"/>
      </rPr>
      <t>PHA</t>
    </r>
    <r>
      <rPr>
        <sz val="11"/>
        <rFont val="Calibri"/>
        <family val="2"/>
        <scheme val="minor"/>
      </rPr>
      <t xml:space="preserve"> + i</t>
    </r>
    <r>
      <rPr>
        <vertAlign val="subscript"/>
        <sz val="11"/>
        <rFont val="Calibri"/>
        <family val="2"/>
        <scheme val="minor"/>
      </rPr>
      <t>CIT,GLY</t>
    </r>
    <r>
      <rPr>
        <sz val="11"/>
        <rFont val="Calibri"/>
        <family val="2"/>
        <scheme val="minor"/>
      </rPr>
      <t xml:space="preserve"> * X</t>
    </r>
    <r>
      <rPr>
        <vertAlign val="subscript"/>
        <sz val="11"/>
        <rFont val="Calibri"/>
        <family val="2"/>
        <scheme val="minor"/>
      </rPr>
      <t>GLY</t>
    </r>
    <r>
      <rPr>
        <sz val="11"/>
        <rFont val="Calibri"/>
        <family val="2"/>
        <scheme val="minor"/>
      </rPr>
      <t xml:space="preserve"> ) / X</t>
    </r>
    <r>
      <rPr>
        <vertAlign val="subscript"/>
        <sz val="11"/>
        <rFont val="Calibri"/>
        <family val="2"/>
        <scheme val="minor"/>
      </rPr>
      <t>STC</t>
    </r>
  </si>
  <si>
    <t>Oxidation-reduction potential due to dissolved nitrate (anoxic)</t>
  </si>
  <si>
    <r>
      <t>ORP</t>
    </r>
    <r>
      <rPr>
        <vertAlign val="subscript"/>
        <sz val="11"/>
        <rFont val="Calibri"/>
        <family val="2"/>
        <scheme val="minor"/>
      </rPr>
      <t>base</t>
    </r>
    <r>
      <rPr>
        <sz val="11"/>
        <rFont val="Calibri"/>
        <family val="2"/>
        <scheme val="minor"/>
      </rPr>
      <t>+(ORP</t>
    </r>
    <r>
      <rPr>
        <vertAlign val="subscript"/>
        <sz val="11"/>
        <rFont val="Calibri"/>
        <family val="2"/>
        <scheme val="minor"/>
      </rPr>
      <t>max,SNOx</t>
    </r>
    <r>
      <rPr>
        <sz val="11"/>
        <rFont val="Calibri"/>
        <family val="2"/>
        <scheme val="minor"/>
      </rPr>
      <t>-ORP</t>
    </r>
    <r>
      <rPr>
        <vertAlign val="subscript"/>
        <sz val="11"/>
        <rFont val="Calibri"/>
        <family val="2"/>
        <scheme val="minor"/>
      </rPr>
      <t>base</t>
    </r>
    <r>
      <rPr>
        <sz val="11"/>
        <rFont val="Calibri"/>
        <family val="2"/>
        <charset val="238"/>
        <scheme val="minor"/>
      </rPr>
      <t>)</t>
    </r>
    <r>
      <rPr>
        <sz val="11"/>
        <rFont val="Calibri"/>
        <family val="2"/>
        <scheme val="minor"/>
      </rPr>
      <t>*S</t>
    </r>
    <r>
      <rPr>
        <vertAlign val="subscript"/>
        <sz val="11"/>
        <rFont val="Calibri"/>
        <family val="2"/>
        <scheme val="minor"/>
      </rPr>
      <t>NOx</t>
    </r>
    <r>
      <rPr>
        <sz val="11"/>
        <rFont val="Calibri"/>
        <family val="2"/>
        <scheme val="minor"/>
      </rPr>
      <t>/(K</t>
    </r>
    <r>
      <rPr>
        <vertAlign val="subscript"/>
        <sz val="11"/>
        <rFont val="Calibri"/>
        <family val="2"/>
        <scheme val="minor"/>
      </rPr>
      <t>ORP,SNOx</t>
    </r>
    <r>
      <rPr>
        <sz val="11"/>
        <rFont val="Calibri"/>
        <family val="2"/>
        <scheme val="minor"/>
      </rPr>
      <t>+S</t>
    </r>
    <r>
      <rPr>
        <vertAlign val="subscript"/>
        <sz val="11"/>
        <rFont val="Calibri"/>
        <family val="2"/>
        <scheme val="minor"/>
      </rPr>
      <t>NOx</t>
    </r>
    <r>
      <rPr>
        <sz val="11"/>
        <rFont val="Calibri"/>
        <family val="2"/>
        <scheme val="minor"/>
      </rPr>
      <t>)</t>
    </r>
  </si>
  <si>
    <t>ORP related inhibiton functions</t>
  </si>
  <si>
    <r>
      <t>sl</t>
    </r>
    <r>
      <rPr>
        <vertAlign val="subscript"/>
        <sz val="11"/>
        <rFont val="Calibri"/>
        <family val="2"/>
        <charset val="238"/>
        <scheme val="minor"/>
      </rPr>
      <t>ORP,GAO,Half,T</t>
    </r>
  </si>
  <si>
    <t>Slope of logistic half-saturation of ORP switching of GAOs temperature correction</t>
  </si>
  <si>
    <r>
      <t>(Logsat</t>
    </r>
    <r>
      <rPr>
        <vertAlign val="subscript"/>
        <sz val="11"/>
        <rFont val="Calibri"/>
        <family val="2"/>
        <charset val="238"/>
        <scheme val="minor"/>
      </rPr>
      <t>ORP,GAO,Half,25</t>
    </r>
    <r>
      <rPr>
        <sz val="11"/>
        <rFont val="Calibri"/>
        <family val="2"/>
        <scheme val="minor"/>
      </rPr>
      <t xml:space="preserve"> - Logsat</t>
    </r>
    <r>
      <rPr>
        <vertAlign val="subscript"/>
        <sz val="11"/>
        <rFont val="Calibri"/>
        <family val="2"/>
        <charset val="238"/>
        <scheme val="minor"/>
      </rPr>
      <t>ORP,GAO,Half,15</t>
    </r>
    <r>
      <rPr>
        <sz val="11"/>
        <rFont val="Calibri"/>
        <family val="2"/>
        <scheme val="minor"/>
      </rPr>
      <t>) / (25 - 15)</t>
    </r>
  </si>
  <si>
    <t>mV.°C-1</t>
  </si>
  <si>
    <r>
      <t>y</t>
    </r>
    <r>
      <rPr>
        <vertAlign val="subscript"/>
        <sz val="11"/>
        <rFont val="Calibri"/>
        <family val="2"/>
        <charset val="238"/>
        <scheme val="minor"/>
      </rPr>
      <t>ORP,GAO,Half,T</t>
    </r>
  </si>
  <si>
    <t>Intercept of logistic half-saturation of ORP switching of GAOs temperature correction</t>
  </si>
  <si>
    <r>
      <t>Logsat</t>
    </r>
    <r>
      <rPr>
        <vertAlign val="subscript"/>
        <sz val="11"/>
        <rFont val="Calibri"/>
        <family val="2"/>
        <charset val="238"/>
        <scheme val="minor"/>
      </rPr>
      <t>ORP,GAO,Half,25</t>
    </r>
    <r>
      <rPr>
        <sz val="11"/>
        <rFont val="Calibri"/>
        <family val="2"/>
        <scheme val="minor"/>
      </rPr>
      <t xml:space="preserve"> - sl</t>
    </r>
    <r>
      <rPr>
        <vertAlign val="subscript"/>
        <sz val="11"/>
        <rFont val="Calibri"/>
        <family val="2"/>
        <charset val="238"/>
        <scheme val="minor"/>
      </rPr>
      <t>ORP,GAO,Half,T</t>
    </r>
    <r>
      <rPr>
        <sz val="11"/>
        <rFont val="Calibri"/>
        <family val="2"/>
        <scheme val="minor"/>
      </rPr>
      <t xml:space="preserve"> * 25</t>
    </r>
  </si>
  <si>
    <r>
      <t>Logsat</t>
    </r>
    <r>
      <rPr>
        <vertAlign val="subscript"/>
        <sz val="11"/>
        <rFont val="Calibri"/>
        <family val="2"/>
      </rPr>
      <t>ORP,GAO,Half,T</t>
    </r>
  </si>
  <si>
    <t>Temperature correction of ORP switch of glycogen storage by GAO</t>
  </si>
  <si>
    <r>
      <t>sl</t>
    </r>
    <r>
      <rPr>
        <vertAlign val="subscript"/>
        <sz val="11"/>
        <rFont val="Calibri"/>
        <family val="2"/>
      </rPr>
      <t>ORP,GAO,Half,T</t>
    </r>
    <r>
      <rPr>
        <sz val="11"/>
        <rFont val="Calibri"/>
        <family val="2"/>
      </rPr>
      <t xml:space="preserve"> * T + y</t>
    </r>
    <r>
      <rPr>
        <vertAlign val="subscript"/>
        <sz val="11"/>
        <rFont val="Calibri"/>
        <family val="2"/>
      </rPr>
      <t>ORP,GAO,Half,T</t>
    </r>
  </si>
  <si>
    <r>
      <t>Logsat</t>
    </r>
    <r>
      <rPr>
        <vertAlign val="subscript"/>
        <sz val="11"/>
        <rFont val="Calibri"/>
        <family val="2"/>
      </rPr>
      <t>ORP,GAO,T</t>
    </r>
  </si>
  <si>
    <r>
      <t>PrecipDrivingForce</t>
    </r>
    <r>
      <rPr>
        <vertAlign val="subscript"/>
        <sz val="11"/>
        <color theme="1"/>
        <rFont val="Calibri"/>
        <family val="2"/>
        <scheme val="minor"/>
      </rPr>
      <t>BSH</t>
    </r>
  </si>
  <si>
    <t>Rate expression of brushite precipitation (driving force)</t>
  </si>
  <si>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*[HPO</t>
    </r>
    <r>
      <rPr>
        <vertAlign val="subscript"/>
        <sz val="11"/>
        <color theme="1"/>
        <rFont val="Calibri"/>
        <family val="2"/>
        <scheme val="minor"/>
      </rPr>
      <t>4</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</si>
  <si>
    <r>
      <t>q</t>
    </r>
    <r>
      <rPr>
        <vertAlign val="subscript"/>
        <sz val="11"/>
        <color theme="1"/>
        <rFont val="Calibri"/>
        <family val="2"/>
        <scheme val="minor"/>
      </rPr>
      <t>BSH</t>
    </r>
  </si>
  <si>
    <t>Rate of brushite precipitation</t>
  </si>
  <si>
    <r>
      <t>If(PrecipDrivingForce</t>
    </r>
    <r>
      <rPr>
        <vertAlign val="subscript"/>
        <sz val="11"/>
        <color theme="1"/>
        <rFont val="Calibri"/>
        <family val="2"/>
        <scheme val="minor"/>
      </rPr>
      <t>BSH</t>
    </r>
    <r>
      <rPr>
        <sz val="11"/>
        <color theme="1"/>
        <rFont val="Calibri"/>
        <family val="2"/>
        <scheme val="minor"/>
      </rPr>
      <t>&gt;0;q</t>
    </r>
    <r>
      <rPr>
        <vertAlign val="subscript"/>
        <sz val="11"/>
        <color theme="1"/>
        <rFont val="Calibri"/>
        <family val="2"/>
        <scheme val="minor"/>
      </rPr>
      <t>BSH,PREC</t>
    </r>
    <r>
      <rPr>
        <sz val="11"/>
        <color theme="1"/>
        <rFont val="Calibri"/>
        <family val="2"/>
        <scheme val="minor"/>
      </rPr>
      <t>;-q</t>
    </r>
    <r>
      <rPr>
        <vertAlign val="subscript"/>
        <sz val="11"/>
        <color theme="1"/>
        <rFont val="Calibri"/>
        <family val="2"/>
        <scheme val="minor"/>
      </rPr>
      <t>BSH,DISS</t>
    </r>
    <r>
      <rPr>
        <sz val="11"/>
        <color theme="1"/>
        <rFont val="Calibri"/>
        <family val="2"/>
        <scheme val="minor"/>
      </rPr>
      <t>*Msat</t>
    </r>
    <r>
      <rPr>
        <vertAlign val="subscript"/>
        <sz val="11"/>
        <color theme="1"/>
        <rFont val="Calibri"/>
        <family val="2"/>
        <scheme val="minor"/>
      </rPr>
      <t>XBSH,KBSH,DISS</t>
    </r>
    <r>
      <rPr>
        <sz val="11"/>
        <color theme="1"/>
        <rFont val="Calibri"/>
        <family val="2"/>
        <scheme val="minor"/>
      </rPr>
      <t>)</t>
    </r>
  </si>
  <si>
    <r>
      <t>d</t>
    </r>
    <r>
      <rPr>
        <vertAlign val="superscript"/>
        <sz val="11"/>
        <color theme="1"/>
        <rFont val="Calibri"/>
        <family val="2"/>
        <charset val="238"/>
        <scheme val="minor"/>
      </rPr>
      <t>-1</t>
    </r>
  </si>
  <si>
    <r>
      <t>-EEQ</t>
    </r>
    <r>
      <rPr>
        <vertAlign val="subscript"/>
        <sz val="11"/>
        <rFont val="Calibri"/>
        <family val="2"/>
      </rPr>
      <t>NO2</t>
    </r>
    <r>
      <rPr>
        <sz val="11"/>
        <rFont val="Calibri"/>
        <family val="2"/>
      </rPr>
      <t>*X</t>
    </r>
    <r>
      <rPr>
        <vertAlign val="subscript"/>
        <sz val="11"/>
        <rFont val="Calibri"/>
        <family val="2"/>
      </rPr>
      <t>OHO</t>
    </r>
    <r>
      <rPr>
        <sz val="11"/>
        <rFont val="Calibri"/>
        <family val="2"/>
      </rPr>
      <t>/X</t>
    </r>
    <r>
      <rPr>
        <vertAlign val="subscript"/>
        <sz val="11"/>
        <rFont val="Calibri"/>
        <family val="2"/>
      </rPr>
      <t>BIO</t>
    </r>
  </si>
  <si>
    <r>
      <t>b</t>
    </r>
    <r>
      <rPr>
        <vertAlign val="subscript"/>
        <sz val="11"/>
        <rFont val="Calibri"/>
        <family val="2"/>
      </rPr>
      <t>AOB,T</t>
    </r>
    <r>
      <rPr>
        <sz val="11"/>
        <rFont val="Calibri"/>
        <family val="2"/>
      </rPr>
      <t>*X</t>
    </r>
    <r>
      <rPr>
        <vertAlign val="subscript"/>
        <sz val="11"/>
        <rFont val="Calibri"/>
        <family val="2"/>
      </rPr>
      <t>AOB</t>
    </r>
    <r>
      <rPr>
        <sz val="11"/>
        <rFont val="Calibri"/>
        <family val="2"/>
      </rPr>
      <t>*(Msat</t>
    </r>
    <r>
      <rPr>
        <vertAlign val="subscript"/>
        <sz val="11"/>
        <rFont val="Calibri"/>
        <family val="2"/>
      </rPr>
      <t>SO2,KO2,AOB</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KNOx,AOB</t>
    </r>
    <r>
      <rPr>
        <sz val="11"/>
        <rFont val="Calibri"/>
        <family val="2"/>
      </rPr>
      <t>*Minh</t>
    </r>
    <r>
      <rPr>
        <vertAlign val="subscript"/>
        <sz val="11"/>
        <rFont val="Calibri"/>
        <family val="2"/>
      </rPr>
      <t>SO2,KO2,AOB</t>
    </r>
    <r>
      <rPr>
        <sz val="11"/>
        <rFont val="Calibri"/>
        <family val="2"/>
      </rPr>
      <t>)</t>
    </r>
  </si>
  <si>
    <r>
      <t>b</t>
    </r>
    <r>
      <rPr>
        <vertAlign val="subscript"/>
        <sz val="11"/>
        <rFont val="Calibri"/>
        <family val="2"/>
      </rPr>
      <t>AOB,T</t>
    </r>
    <r>
      <rPr>
        <sz val="11"/>
        <rFont val="Calibri"/>
        <family val="2"/>
      </rPr>
      <t>*X</t>
    </r>
    <r>
      <rPr>
        <vertAlign val="subscript"/>
        <sz val="11"/>
        <rFont val="Calibri"/>
        <family val="2"/>
      </rPr>
      <t>AOB</t>
    </r>
    <r>
      <rPr>
        <sz val="11"/>
        <rFont val="Calibri"/>
        <family val="2"/>
      </rPr>
      <t>*(η</t>
    </r>
    <r>
      <rPr>
        <vertAlign val="subscript"/>
        <sz val="11"/>
        <rFont val="Calibri"/>
        <family val="2"/>
      </rPr>
      <t>b,ana</t>
    </r>
    <r>
      <rPr>
        <sz val="11"/>
        <rFont val="Calibri"/>
        <family val="2"/>
      </rPr>
      <t>*Minh</t>
    </r>
    <r>
      <rPr>
        <vertAlign val="subscript"/>
        <sz val="11"/>
        <rFont val="Calibri"/>
        <family val="2"/>
      </rPr>
      <t>SNOx,KNOx,AOB</t>
    </r>
    <r>
      <rPr>
        <sz val="11"/>
        <rFont val="Calibri"/>
        <family val="2"/>
      </rPr>
      <t>*Minh</t>
    </r>
    <r>
      <rPr>
        <vertAlign val="subscript"/>
        <sz val="11"/>
        <rFont val="Calibri"/>
        <family val="2"/>
      </rPr>
      <t>SO2,KO2,AOB</t>
    </r>
    <r>
      <rPr>
        <sz val="11"/>
        <rFont val="Calibri"/>
        <family val="2"/>
      </rPr>
      <t>+m</t>
    </r>
    <r>
      <rPr>
        <vertAlign val="subscript"/>
        <sz val="11"/>
        <rFont val="Calibri"/>
        <family val="2"/>
      </rPr>
      <t>tox,ana</t>
    </r>
    <r>
      <rPr>
        <sz val="11"/>
        <rFont val="Calibri"/>
        <family val="2"/>
      </rPr>
      <t>)</t>
    </r>
  </si>
  <si>
    <r>
      <t>b</t>
    </r>
    <r>
      <rPr>
        <vertAlign val="subscript"/>
        <sz val="11"/>
        <rFont val="Calibri"/>
        <family val="2"/>
      </rPr>
      <t>NOB,T</t>
    </r>
    <r>
      <rPr>
        <sz val="11"/>
        <rFont val="Calibri"/>
        <family val="2"/>
      </rPr>
      <t>*X</t>
    </r>
    <r>
      <rPr>
        <vertAlign val="subscript"/>
        <sz val="11"/>
        <rFont val="Calibri"/>
        <family val="2"/>
      </rPr>
      <t>NOB</t>
    </r>
    <r>
      <rPr>
        <sz val="11"/>
        <rFont val="Calibri"/>
        <family val="2"/>
      </rPr>
      <t>*(Msat</t>
    </r>
    <r>
      <rPr>
        <vertAlign val="subscript"/>
        <sz val="11"/>
        <rFont val="Calibri"/>
        <family val="2"/>
      </rPr>
      <t>SO2,KO2,NOB</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KNOx,NOB</t>
    </r>
    <r>
      <rPr>
        <sz val="11"/>
        <rFont val="Calibri"/>
        <family val="2"/>
      </rPr>
      <t>*Minh</t>
    </r>
    <r>
      <rPr>
        <vertAlign val="subscript"/>
        <sz val="11"/>
        <rFont val="Calibri"/>
        <family val="2"/>
      </rPr>
      <t>SO2,KO2,NOB</t>
    </r>
    <r>
      <rPr>
        <sz val="11"/>
        <rFont val="Calibri"/>
        <family val="2"/>
      </rPr>
      <t>)</t>
    </r>
  </si>
  <si>
    <r>
      <t>b</t>
    </r>
    <r>
      <rPr>
        <vertAlign val="subscript"/>
        <sz val="11"/>
        <rFont val="Calibri"/>
        <family val="2"/>
      </rPr>
      <t>NOB,T</t>
    </r>
    <r>
      <rPr>
        <sz val="11"/>
        <rFont val="Calibri"/>
        <family val="2"/>
      </rPr>
      <t>*X</t>
    </r>
    <r>
      <rPr>
        <vertAlign val="subscript"/>
        <sz val="11"/>
        <rFont val="Calibri"/>
        <family val="2"/>
      </rPr>
      <t>NOB</t>
    </r>
    <r>
      <rPr>
        <sz val="11"/>
        <rFont val="Calibri"/>
        <family val="2"/>
      </rPr>
      <t>*(η</t>
    </r>
    <r>
      <rPr>
        <vertAlign val="subscript"/>
        <sz val="11"/>
        <rFont val="Calibri"/>
        <family val="2"/>
      </rPr>
      <t>b,ana</t>
    </r>
    <r>
      <rPr>
        <sz val="11"/>
        <rFont val="Calibri"/>
        <family val="2"/>
      </rPr>
      <t>*Minh</t>
    </r>
    <r>
      <rPr>
        <vertAlign val="subscript"/>
        <sz val="11"/>
        <rFont val="Calibri"/>
        <family val="2"/>
      </rPr>
      <t>SNOx,KNOx,NOB</t>
    </r>
    <r>
      <rPr>
        <sz val="11"/>
        <rFont val="Calibri"/>
        <family val="2"/>
      </rPr>
      <t>*Minh</t>
    </r>
    <r>
      <rPr>
        <vertAlign val="subscript"/>
        <sz val="11"/>
        <rFont val="Calibri"/>
        <family val="2"/>
      </rPr>
      <t>SO2,KO2,NOB</t>
    </r>
    <r>
      <rPr>
        <sz val="11"/>
        <rFont val="Calibri"/>
        <family val="2"/>
      </rPr>
      <t>+m</t>
    </r>
    <r>
      <rPr>
        <vertAlign val="subscript"/>
        <sz val="11"/>
        <rFont val="Calibri"/>
        <family val="2"/>
      </rPr>
      <t>tox,ana</t>
    </r>
    <r>
      <rPr>
        <sz val="11"/>
        <rFont val="Calibri"/>
        <family val="2"/>
      </rPr>
      <t>)</t>
    </r>
  </si>
  <si>
    <r>
      <t>b</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*(Msat</t>
    </r>
    <r>
      <rPr>
        <vertAlign val="subscript"/>
        <sz val="11"/>
        <color indexed="8"/>
        <rFont val="Calibri"/>
        <family val="2"/>
        <charset val="238"/>
      </rPr>
      <t>SO2,KiO2,AMX</t>
    </r>
    <r>
      <rPr>
        <sz val="11"/>
        <color indexed="8"/>
        <rFont val="Calibri"/>
        <family val="2"/>
      </rPr>
      <t>+η</t>
    </r>
    <r>
      <rPr>
        <vertAlign val="subscript"/>
        <sz val="11"/>
        <color indexed="8"/>
        <rFont val="Calibri"/>
        <family val="2"/>
        <charset val="238"/>
      </rPr>
      <t>b,anox</t>
    </r>
    <r>
      <rPr>
        <sz val="11"/>
        <color indexed="8"/>
        <rFont val="Calibri"/>
        <family val="2"/>
      </rPr>
      <t>*Msat</t>
    </r>
    <r>
      <rPr>
        <vertAlign val="subscript"/>
        <sz val="11"/>
        <color indexed="8"/>
        <rFont val="Calibri"/>
        <family val="2"/>
        <charset val="238"/>
      </rPr>
      <t>SNOx,KNOx,AMX</t>
    </r>
    <r>
      <rPr>
        <sz val="11"/>
        <color indexed="8"/>
        <rFont val="Calibri"/>
        <family val="2"/>
      </rPr>
      <t>*Minh</t>
    </r>
    <r>
      <rPr>
        <vertAlign val="subscript"/>
        <sz val="11"/>
        <color indexed="8"/>
        <rFont val="Calibri"/>
        <family val="2"/>
        <charset val="238"/>
      </rPr>
      <t>SO2,KiO2,AMX</t>
    </r>
    <r>
      <rPr>
        <sz val="11"/>
        <color indexed="8"/>
        <rFont val="Calibri"/>
        <family val="2"/>
      </rPr>
      <t>)</t>
    </r>
  </si>
  <si>
    <r>
      <t>b</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*(η</t>
    </r>
    <r>
      <rPr>
        <vertAlign val="subscript"/>
        <sz val="11"/>
        <color indexed="8"/>
        <rFont val="Calibri"/>
        <family val="2"/>
        <charset val="238"/>
      </rPr>
      <t>b,ana</t>
    </r>
    <r>
      <rPr>
        <sz val="11"/>
        <color indexed="8"/>
        <rFont val="Calibri"/>
        <family val="2"/>
      </rPr>
      <t>*Minh</t>
    </r>
    <r>
      <rPr>
        <vertAlign val="subscript"/>
        <sz val="11"/>
        <color indexed="8"/>
        <rFont val="Calibri"/>
        <family val="2"/>
        <charset val="238"/>
      </rPr>
      <t>SNOx,KNOx,AMX</t>
    </r>
    <r>
      <rPr>
        <sz val="11"/>
        <color indexed="8"/>
        <rFont val="Calibri"/>
        <family val="2"/>
      </rPr>
      <t>*Minh</t>
    </r>
    <r>
      <rPr>
        <vertAlign val="subscript"/>
        <sz val="11"/>
        <color indexed="8"/>
        <rFont val="Calibri"/>
        <family val="2"/>
        <charset val="238"/>
      </rPr>
      <t>SO2,KiO2,AMX</t>
    </r>
    <r>
      <rPr>
        <sz val="11"/>
        <color indexed="8"/>
        <rFont val="Calibri"/>
        <family val="2"/>
      </rPr>
      <t>)</t>
    </r>
  </si>
  <si>
    <r>
      <t>q</t>
    </r>
    <r>
      <rPr>
        <vertAlign val="subscript"/>
        <sz val="11"/>
        <rFont val="Calibri"/>
        <family val="2"/>
      </rPr>
      <t>FLOC,T</t>
    </r>
    <r>
      <rPr>
        <sz val="11"/>
        <rFont val="Calibri"/>
        <family val="2"/>
      </rPr>
      <t>*X</t>
    </r>
    <r>
      <rPr>
        <vertAlign val="subscript"/>
        <sz val="11"/>
        <rFont val="Calibri"/>
        <family val="2"/>
      </rPr>
      <t>BIO</t>
    </r>
    <r>
      <rPr>
        <sz val="11"/>
        <rFont val="Calibri"/>
        <family val="2"/>
      </rPr>
      <t>*MRsat</t>
    </r>
    <r>
      <rPr>
        <vertAlign val="subscript"/>
        <sz val="11"/>
        <rFont val="Calibri"/>
        <family val="2"/>
      </rPr>
      <t>CB,XBIO,KFLOC</t>
    </r>
  </si>
  <si>
    <r>
      <t>q</t>
    </r>
    <r>
      <rPr>
        <vertAlign val="subscript"/>
        <sz val="11"/>
        <rFont val="Calibri"/>
        <family val="2"/>
      </rPr>
      <t>FLOC,T</t>
    </r>
    <r>
      <rPr>
        <sz val="11"/>
        <rFont val="Calibri"/>
        <family val="2"/>
      </rPr>
      <t>*X</t>
    </r>
    <r>
      <rPr>
        <vertAlign val="subscript"/>
        <sz val="11"/>
        <rFont val="Calibri"/>
        <family val="2"/>
      </rPr>
      <t>BIO</t>
    </r>
    <r>
      <rPr>
        <sz val="11"/>
        <rFont val="Calibri"/>
        <family val="2"/>
      </rPr>
      <t>*MRsat</t>
    </r>
    <r>
      <rPr>
        <vertAlign val="subscript"/>
        <sz val="11"/>
        <rFont val="Calibri"/>
        <family val="2"/>
      </rPr>
      <t>CU,XBIO,KFLOC</t>
    </r>
  </si>
  <si>
    <r>
      <t>q</t>
    </r>
    <r>
      <rPr>
        <vertAlign val="subscript"/>
        <sz val="11"/>
        <rFont val="Calibri"/>
        <family val="2"/>
      </rPr>
      <t>HYD,T</t>
    </r>
    <r>
      <rPr>
        <sz val="11"/>
        <rFont val="Calibri"/>
        <family val="2"/>
      </rPr>
      <t>*X</t>
    </r>
    <r>
      <rPr>
        <vertAlign val="subscript"/>
        <sz val="11"/>
        <rFont val="Calibri"/>
        <family val="2"/>
      </rPr>
      <t>BIO</t>
    </r>
    <r>
      <rPr>
        <sz val="11"/>
        <rFont val="Calibri"/>
        <family val="2"/>
      </rPr>
      <t>*MRsat</t>
    </r>
    <r>
      <rPr>
        <vertAlign val="subscript"/>
        <sz val="11"/>
        <rFont val="Calibri"/>
        <family val="2"/>
      </rPr>
      <t>XEana,XBIO,KHYD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SNO2,KNO2,OHO</t>
    </r>
    <r>
      <rPr>
        <sz val="11"/>
        <rFont val="Calibri"/>
        <family val="2"/>
      </rPr>
      <t>+Minh</t>
    </r>
    <r>
      <rPr>
        <vertAlign val="subscript"/>
        <sz val="11"/>
        <rFont val="Calibri"/>
        <family val="2"/>
      </rPr>
      <t>SNO2,KNO2,OHO</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t>
    </r>
    <r>
      <rPr>
        <sz val="11"/>
        <rFont val="Calibri"/>
        <family val="2"/>
      </rPr>
      <t>)</t>
    </r>
  </si>
  <si>
    <r>
      <t>q</t>
    </r>
    <r>
      <rPr>
        <vertAlign val="subscript"/>
        <sz val="11"/>
        <rFont val="Calibri"/>
        <family val="2"/>
      </rPr>
      <t>SPB,T</t>
    </r>
    <r>
      <rPr>
        <sz val="11"/>
        <rFont val="Calibri"/>
        <family val="2"/>
      </rPr>
      <t>*S</t>
    </r>
    <r>
      <rPr>
        <vertAlign val="subscript"/>
        <sz val="11"/>
        <rFont val="Calibri"/>
        <family val="2"/>
      </rPr>
      <t>P,B</t>
    </r>
    <r>
      <rPr>
        <sz val="11"/>
        <rFont val="Calibri"/>
        <family val="2"/>
      </rPr>
      <t>*X</t>
    </r>
    <r>
      <rPr>
        <vertAlign val="subscript"/>
        <sz val="11"/>
        <rFont val="Calibri"/>
        <family val="2"/>
      </rPr>
      <t>BIO</t>
    </r>
  </si>
  <si>
    <r>
      <t>q</t>
    </r>
    <r>
      <rPr>
        <vertAlign val="subscript"/>
        <sz val="11"/>
        <rFont val="Calibri"/>
        <family val="2"/>
      </rPr>
      <t>AMMON,T</t>
    </r>
    <r>
      <rPr>
        <sz val="11"/>
        <rFont val="Calibri"/>
        <family val="2"/>
      </rPr>
      <t>*S</t>
    </r>
    <r>
      <rPr>
        <vertAlign val="subscript"/>
        <sz val="11"/>
        <rFont val="Calibri"/>
        <family val="2"/>
      </rPr>
      <t>N,B</t>
    </r>
    <r>
      <rPr>
        <sz val="11"/>
        <rFont val="Calibri"/>
        <family val="2"/>
      </rPr>
      <t>*X</t>
    </r>
    <r>
      <rPr>
        <vertAlign val="subscript"/>
        <sz val="11"/>
        <rFont val="Calibri"/>
        <family val="2"/>
      </rPr>
      <t>BIO</t>
    </r>
  </si>
  <si>
    <r>
      <t>q</t>
    </r>
    <r>
      <rPr>
        <vertAlign val="subscript"/>
        <sz val="11"/>
        <rFont val="Calibri"/>
        <family val="2"/>
      </rPr>
      <t>HYD,T</t>
    </r>
    <r>
      <rPr>
        <sz val="11"/>
        <rFont val="Calibri"/>
        <family val="2"/>
      </rPr>
      <t>*X</t>
    </r>
    <r>
      <rPr>
        <vertAlign val="subscript"/>
        <sz val="11"/>
        <rFont val="Calibri"/>
        <family val="2"/>
      </rPr>
      <t>BIO</t>
    </r>
    <r>
      <rPr>
        <sz val="11"/>
        <rFont val="Calibri"/>
        <family val="2"/>
      </rPr>
      <t>*MRsat</t>
    </r>
    <r>
      <rPr>
        <vertAlign val="subscript"/>
        <sz val="11"/>
        <rFont val="Calibri"/>
        <family val="2"/>
      </rPr>
      <t>XB,XBIO,KHYD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SNO2,KNO2,OHO</t>
    </r>
    <r>
      <rPr>
        <sz val="11"/>
        <rFont val="Calibri"/>
        <family val="2"/>
      </rPr>
      <t>+Msat</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HYD,ana</t>
    </r>
    <r>
      <rPr>
        <sz val="11"/>
        <rFont val="Calibri"/>
        <family val="2"/>
      </rPr>
      <t>*Minh</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t>
    </r>
  </si>
  <si>
    <r>
      <t>-EEQ</t>
    </r>
    <r>
      <rPr>
        <vertAlign val="subscript"/>
        <sz val="11"/>
        <rFont val="Calibri"/>
        <family val="2"/>
      </rPr>
      <t>NO2</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</si>
  <si>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</si>
  <si>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</si>
  <si>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AOB</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</si>
  <si>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NOB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</si>
  <si>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NOB</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</si>
  <si>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AMX</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</si>
  <si>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AMX</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</si>
  <si>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</si>
  <si>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</si>
  <si>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</si>
  <si>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SNO2,KNO2,ASSIM</t>
    </r>
    <r>
      <rPr>
        <sz val="11"/>
        <rFont val="Calibri"/>
        <family val="2"/>
      </rPr>
      <t>*Minh</t>
    </r>
    <r>
      <rPr>
        <vertAlign val="subscript"/>
        <sz val="11"/>
        <rFont val="Calibri"/>
        <family val="2"/>
      </rPr>
      <t>SNHx,KiNHx,ASSIM</t>
    </r>
  </si>
  <si>
    <r>
      <t>-EEQ</t>
    </r>
    <r>
      <rPr>
        <vertAlign val="subscript"/>
        <sz val="11"/>
        <rFont val="Calibri"/>
        <family val="2"/>
      </rPr>
      <t>NO3</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</si>
  <si>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</si>
  <si>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SNO3,KNO3,ASSIM</t>
    </r>
    <r>
      <rPr>
        <sz val="11"/>
        <rFont val="Calibri"/>
        <family val="2"/>
      </rPr>
      <t>*Minh</t>
    </r>
    <r>
      <rPr>
        <vertAlign val="subscript"/>
        <sz val="11"/>
        <rFont val="Calibri"/>
        <family val="2"/>
      </rPr>
      <t>SNO2,KNO2,ASSIM</t>
    </r>
    <r>
      <rPr>
        <sz val="11"/>
        <rFont val="Calibri"/>
        <family val="2"/>
      </rPr>
      <t>*Minh</t>
    </r>
    <r>
      <rPr>
        <vertAlign val="subscript"/>
        <sz val="11"/>
        <rFont val="Calibri"/>
        <family val="2"/>
      </rPr>
      <t>SNHx,KiNHx,ASSIM</t>
    </r>
  </si>
  <si>
    <r>
      <t>-X</t>
    </r>
    <r>
      <rPr>
        <vertAlign val="subscript"/>
        <sz val="11"/>
        <rFont val="Calibri"/>
        <family val="2"/>
      </rPr>
      <t>HFO,H</t>
    </r>
    <r>
      <rPr>
        <sz val="11"/>
        <rFont val="Calibri"/>
        <family val="2"/>
      </rPr>
      <t>/X</t>
    </r>
    <r>
      <rPr>
        <vertAlign val="subscript"/>
        <sz val="11"/>
        <rFont val="Calibri"/>
        <family val="2"/>
      </rPr>
      <t>HFO</t>
    </r>
  </si>
  <si>
    <r>
      <t>-X</t>
    </r>
    <r>
      <rPr>
        <vertAlign val="subscript"/>
        <sz val="11"/>
        <rFont val="Calibri"/>
        <family val="2"/>
      </rPr>
      <t>HFO,L</t>
    </r>
    <r>
      <rPr>
        <sz val="11"/>
        <rFont val="Calibri"/>
        <family val="2"/>
      </rPr>
      <t>/X</t>
    </r>
    <r>
      <rPr>
        <vertAlign val="subscript"/>
        <sz val="11"/>
        <rFont val="Calibri"/>
        <family val="2"/>
      </rPr>
      <t>HFO</t>
    </r>
  </si>
  <si>
    <r>
      <t>-X</t>
    </r>
    <r>
      <rPr>
        <vertAlign val="subscript"/>
        <sz val="11"/>
        <rFont val="Calibri"/>
        <family val="2"/>
      </rPr>
      <t>HFO,old</t>
    </r>
    <r>
      <rPr>
        <sz val="11"/>
        <rFont val="Calibri"/>
        <family val="2"/>
      </rPr>
      <t>/X</t>
    </r>
    <r>
      <rPr>
        <vertAlign val="subscript"/>
        <sz val="11"/>
        <rFont val="Calibri"/>
        <family val="2"/>
      </rPr>
      <t>HFO</t>
    </r>
  </si>
  <si>
    <r>
      <t>-X</t>
    </r>
    <r>
      <rPr>
        <vertAlign val="subscript"/>
        <sz val="11"/>
        <rFont val="Calibri"/>
        <family val="2"/>
      </rPr>
      <t>HFO,H,P</t>
    </r>
    <r>
      <rPr>
        <sz val="11"/>
        <rFont val="Calibri"/>
        <family val="2"/>
      </rPr>
      <t>/X</t>
    </r>
    <r>
      <rPr>
        <vertAlign val="subscript"/>
        <sz val="11"/>
        <rFont val="Calibri"/>
        <family val="2"/>
      </rPr>
      <t>HFO</t>
    </r>
  </si>
  <si>
    <r>
      <t>-X</t>
    </r>
    <r>
      <rPr>
        <vertAlign val="subscript"/>
        <sz val="11"/>
        <rFont val="Calibri"/>
        <family val="2"/>
      </rPr>
      <t>HFO,L,P</t>
    </r>
    <r>
      <rPr>
        <sz val="11"/>
        <rFont val="Calibri"/>
        <family val="2"/>
      </rPr>
      <t>/X</t>
    </r>
    <r>
      <rPr>
        <vertAlign val="subscript"/>
        <sz val="11"/>
        <rFont val="Calibri"/>
        <family val="2"/>
      </rPr>
      <t>HFO</t>
    </r>
  </si>
  <si>
    <r>
      <t>-X</t>
    </r>
    <r>
      <rPr>
        <vertAlign val="subscript"/>
        <sz val="11"/>
        <rFont val="Calibri"/>
        <family val="2"/>
      </rPr>
      <t>HFO,H,P,old</t>
    </r>
    <r>
      <rPr>
        <sz val="11"/>
        <rFont val="Calibri"/>
        <family val="2"/>
      </rPr>
      <t>/X</t>
    </r>
    <r>
      <rPr>
        <vertAlign val="subscript"/>
        <sz val="11"/>
        <rFont val="Calibri"/>
        <family val="2"/>
      </rPr>
      <t>HFO</t>
    </r>
  </si>
  <si>
    <r>
      <t>-X</t>
    </r>
    <r>
      <rPr>
        <vertAlign val="subscript"/>
        <sz val="11"/>
        <rFont val="Calibri"/>
        <family val="2"/>
      </rPr>
      <t>HFO,L,P,old</t>
    </r>
    <r>
      <rPr>
        <sz val="11"/>
        <rFont val="Calibri"/>
        <family val="2"/>
      </rPr>
      <t>/X</t>
    </r>
    <r>
      <rPr>
        <vertAlign val="subscript"/>
        <sz val="11"/>
        <rFont val="Calibri"/>
        <family val="2"/>
      </rPr>
      <t>HFO</t>
    </r>
  </si>
  <si>
    <r>
      <t>q</t>
    </r>
    <r>
      <rPr>
        <vertAlign val="subscript"/>
        <sz val="11"/>
        <rFont val="Calibri"/>
        <family val="2"/>
      </rPr>
      <t>HFO,RED,T</t>
    </r>
    <r>
      <rPr>
        <sz val="11"/>
        <rFont val="Calibri"/>
        <family val="2"/>
      </rPr>
      <t xml:space="preserve"> * X</t>
    </r>
    <r>
      <rPr>
        <vertAlign val="subscript"/>
        <sz val="11"/>
        <rFont val="Calibri"/>
        <family val="2"/>
      </rPr>
      <t>HFO</t>
    </r>
    <r>
      <rPr>
        <sz val="11"/>
        <rFont val="Calibri"/>
        <family val="2"/>
      </rPr>
      <t>*Loginh</t>
    </r>
    <r>
      <rPr>
        <vertAlign val="subscript"/>
        <sz val="11"/>
        <rFont val="Calibri"/>
        <family val="2"/>
      </rPr>
      <t>ORP,HFO</t>
    </r>
    <r>
      <rPr>
        <sz val="11"/>
        <rFont val="Calibri"/>
        <family val="2"/>
      </rPr>
      <t>*(Msat</t>
    </r>
    <r>
      <rPr>
        <vertAlign val="subscript"/>
        <sz val="11"/>
        <rFont val="Calibri"/>
        <family val="2"/>
      </rPr>
      <t>SB,KSB</t>
    </r>
    <r>
      <rPr>
        <sz val="11"/>
        <rFont val="Calibri"/>
        <family val="2"/>
      </rPr>
      <t>+Msat</t>
    </r>
    <r>
      <rPr>
        <vertAlign val="subscript"/>
        <sz val="11"/>
        <rFont val="Calibri"/>
        <family val="2"/>
      </rPr>
      <t>SVFA,KVFA</t>
    </r>
    <r>
      <rPr>
        <sz val="11"/>
        <rFont val="Calibri"/>
        <family val="2"/>
      </rPr>
      <t>)</t>
    </r>
  </si>
  <si>
    <r>
      <t>X</t>
    </r>
    <r>
      <rPr>
        <vertAlign val="subscript"/>
        <sz val="11"/>
        <rFont val="Calibri"/>
        <family val="2"/>
      </rPr>
      <t>HFO,P</t>
    </r>
    <r>
      <rPr>
        <sz val="11"/>
        <rFont val="Calibri"/>
        <family val="2"/>
      </rPr>
      <t>/X</t>
    </r>
    <r>
      <rPr>
        <vertAlign val="subscript"/>
        <sz val="11"/>
        <rFont val="Calibri"/>
        <family val="2"/>
      </rPr>
      <t>HFO</t>
    </r>
  </si>
  <si>
    <t>Non-Digester; Non-Biofilm</t>
  </si>
  <si>
    <t>Non-Digester; Biofilm</t>
  </si>
  <si>
    <t>Half-saturations for carbon storing organisms (CASTO)</t>
  </si>
  <si>
    <r>
      <t>K</t>
    </r>
    <r>
      <rPr>
        <vertAlign val="subscript"/>
        <sz val="11"/>
        <rFont val="Calibri"/>
        <family val="2"/>
        <scheme val="minor"/>
      </rPr>
      <t>O2,CASTO</t>
    </r>
  </si>
  <si>
    <r>
      <t>Half-saturation of O</t>
    </r>
    <r>
      <rPr>
        <vertAlign val="subscript"/>
        <sz val="11"/>
        <color rgb="FF000000"/>
        <rFont val="Calibri"/>
        <family val="2"/>
        <scheme val="minor"/>
      </rPr>
      <t>2</t>
    </r>
    <r>
      <rPr>
        <sz val="11"/>
        <color rgb="FF000000"/>
        <rFont val="Calibri"/>
        <family val="2"/>
        <charset val="238"/>
        <scheme val="minor"/>
      </rPr>
      <t xml:space="preserve"> for CASTOs</t>
    </r>
  </si>
  <si>
    <r>
      <t>K</t>
    </r>
    <r>
      <rPr>
        <vertAlign val="subscript"/>
        <sz val="11"/>
        <rFont val="Calibri"/>
        <family val="2"/>
        <scheme val="minor"/>
      </rPr>
      <t>O2,CASTO,AS</t>
    </r>
    <r>
      <rPr>
        <sz val="11"/>
        <rFont val="Calibri"/>
        <family val="2"/>
        <scheme val="minor"/>
      </rPr>
      <t>*f</t>
    </r>
    <r>
      <rPr>
        <vertAlign val="subscript"/>
        <sz val="11"/>
        <rFont val="Calibri"/>
        <family val="2"/>
        <scheme val="minor"/>
      </rPr>
      <t>KS</t>
    </r>
  </si>
  <si>
    <r>
      <t>K</t>
    </r>
    <r>
      <rPr>
        <vertAlign val="subscript"/>
        <sz val="11"/>
        <rFont val="Calibri"/>
        <family val="2"/>
      </rPr>
      <t>NO2,CASTO</t>
    </r>
  </si>
  <si>
    <r>
      <t>Half-saturation of NO</t>
    </r>
    <r>
      <rPr>
        <vertAlign val="subscript"/>
        <sz val="11"/>
        <color rgb="FF000000"/>
        <rFont val="Calibri"/>
        <family val="2"/>
        <scheme val="minor"/>
      </rPr>
      <t>2</t>
    </r>
    <r>
      <rPr>
        <sz val="11"/>
        <color rgb="FF000000"/>
        <rFont val="Calibri"/>
        <family val="2"/>
        <charset val="238"/>
        <scheme val="minor"/>
      </rPr>
      <t xml:space="preserve"> for CASTOs</t>
    </r>
  </si>
  <si>
    <r>
      <t>K</t>
    </r>
    <r>
      <rPr>
        <vertAlign val="subscript"/>
        <sz val="11"/>
        <rFont val="Calibri"/>
        <family val="2"/>
      </rPr>
      <t>NO2,CASTO,AS</t>
    </r>
  </si>
  <si>
    <r>
      <t>K</t>
    </r>
    <r>
      <rPr>
        <vertAlign val="subscript"/>
        <sz val="11"/>
        <rFont val="Calibri"/>
        <family val="2"/>
      </rPr>
      <t>NO2,CASTO,AS</t>
    </r>
    <r>
      <rPr>
        <sz val="11"/>
        <rFont val="Calibri"/>
        <family val="2"/>
      </rPr>
      <t>*f</t>
    </r>
    <r>
      <rPr>
        <vertAlign val="subscript"/>
        <sz val="11"/>
        <rFont val="Calibri"/>
        <family val="2"/>
      </rPr>
      <t>KS</t>
    </r>
  </si>
  <si>
    <r>
      <t>K</t>
    </r>
    <r>
      <rPr>
        <vertAlign val="subscript"/>
        <sz val="11"/>
        <rFont val="Calibri"/>
        <family val="2"/>
        <scheme val="minor"/>
      </rPr>
      <t>NO3,CASTO</t>
    </r>
  </si>
  <si>
    <r>
      <t>Half-saturation of NO</t>
    </r>
    <r>
      <rPr>
        <vertAlign val="subscript"/>
        <sz val="11"/>
        <color rgb="FF000000"/>
        <rFont val="Calibri"/>
        <family val="2"/>
        <scheme val="minor"/>
      </rPr>
      <t>3</t>
    </r>
    <r>
      <rPr>
        <sz val="11"/>
        <color rgb="FF000000"/>
        <rFont val="Calibri"/>
        <family val="2"/>
        <charset val="238"/>
        <scheme val="minor"/>
      </rPr>
      <t xml:space="preserve"> for CASTOs</t>
    </r>
  </si>
  <si>
    <r>
      <t>K</t>
    </r>
    <r>
      <rPr>
        <vertAlign val="subscript"/>
        <sz val="11"/>
        <rFont val="Calibri"/>
        <family val="2"/>
        <scheme val="minor"/>
      </rPr>
      <t>NO3,CASTO,AS</t>
    </r>
    <r>
      <rPr>
        <sz val="11"/>
        <rFont val="Calibri"/>
        <family val="2"/>
        <scheme val="minor"/>
      </rPr>
      <t>*f</t>
    </r>
    <r>
      <rPr>
        <vertAlign val="subscript"/>
        <sz val="11"/>
        <rFont val="Calibri"/>
        <family val="2"/>
        <scheme val="minor"/>
      </rPr>
      <t>KS</t>
    </r>
  </si>
  <si>
    <r>
      <t>K</t>
    </r>
    <r>
      <rPr>
        <vertAlign val="subscript"/>
        <sz val="11"/>
        <rFont val="Calibri"/>
        <family val="2"/>
        <scheme val="minor"/>
      </rPr>
      <t>VFA,CASTO</t>
    </r>
  </si>
  <si>
    <t>Half-saturation of VFA storage for CASTOs</t>
  </si>
  <si>
    <r>
      <t>K</t>
    </r>
    <r>
      <rPr>
        <vertAlign val="subscript"/>
        <sz val="11"/>
        <rFont val="Calibri"/>
        <family val="2"/>
        <scheme val="minor"/>
      </rPr>
      <t>VFA,CASTO,AS</t>
    </r>
    <r>
      <rPr>
        <sz val="11"/>
        <rFont val="Calibri"/>
        <family val="2"/>
        <scheme val="minor"/>
      </rPr>
      <t>*f</t>
    </r>
    <r>
      <rPr>
        <vertAlign val="subscript"/>
        <sz val="11"/>
        <rFont val="Calibri"/>
        <family val="2"/>
        <scheme val="minor"/>
      </rPr>
      <t>KS</t>
    </r>
  </si>
  <si>
    <r>
      <t>Minh</t>
    </r>
    <r>
      <rPr>
        <vertAlign val="subscript"/>
        <sz val="11"/>
        <rFont val="Calibri"/>
        <family val="2"/>
        <scheme val="minor"/>
      </rPr>
      <t>SNO2,KNO2,CASTO</t>
    </r>
  </si>
  <si>
    <r>
      <t>Inhibition term for NO</t>
    </r>
    <r>
      <rPr>
        <vertAlign val="subscript"/>
        <sz val="11"/>
        <color rgb="FF000000"/>
        <rFont val="Calibri"/>
        <family val="2"/>
        <scheme val="minor"/>
      </rPr>
      <t>2</t>
    </r>
    <r>
      <rPr>
        <sz val="11"/>
        <color rgb="FF000000"/>
        <rFont val="Calibri"/>
        <family val="2"/>
        <charset val="238"/>
        <scheme val="minor"/>
      </rPr>
      <t xml:space="preserve"> (CASTO)</t>
    </r>
  </si>
  <si>
    <r>
      <t>Minh(S</t>
    </r>
    <r>
      <rPr>
        <vertAlign val="subscript"/>
        <sz val="11"/>
        <rFont val="Calibri"/>
        <family val="2"/>
        <scheme val="minor"/>
      </rPr>
      <t>NO2</t>
    </r>
    <r>
      <rPr>
        <sz val="11"/>
        <rFont val="Calibri"/>
        <family val="2"/>
        <scheme val="minor"/>
      </rPr>
      <t>;K</t>
    </r>
    <r>
      <rPr>
        <vertAlign val="subscript"/>
        <sz val="11"/>
        <rFont val="Calibri"/>
        <family val="2"/>
        <scheme val="minor"/>
      </rPr>
      <t>NO2,CASTO</t>
    </r>
    <r>
      <rPr>
        <sz val="11"/>
        <rFont val="Calibri"/>
        <family val="2"/>
        <scheme val="minor"/>
      </rPr>
      <t>)</t>
    </r>
  </si>
  <si>
    <r>
      <t>Minh</t>
    </r>
    <r>
      <rPr>
        <vertAlign val="subscript"/>
        <sz val="11"/>
        <rFont val="Calibri"/>
        <family val="2"/>
        <scheme val="minor"/>
      </rPr>
      <t>SNO3,KNO3,CASTO</t>
    </r>
  </si>
  <si>
    <r>
      <t>Inhibition term for NO</t>
    </r>
    <r>
      <rPr>
        <vertAlign val="subscript"/>
        <sz val="11"/>
        <color rgb="FF000000"/>
        <rFont val="Calibri"/>
        <family val="2"/>
        <scheme val="minor"/>
      </rPr>
      <t>3</t>
    </r>
    <r>
      <rPr>
        <sz val="11"/>
        <color rgb="FF000000"/>
        <rFont val="Calibri"/>
        <family val="2"/>
        <charset val="238"/>
        <scheme val="minor"/>
      </rPr>
      <t xml:space="preserve"> (CASTO)</t>
    </r>
  </si>
  <si>
    <r>
      <t>Minh(S</t>
    </r>
    <r>
      <rPr>
        <vertAlign val="subscript"/>
        <sz val="11"/>
        <rFont val="Calibri"/>
        <family val="2"/>
        <scheme val="minor"/>
      </rPr>
      <t>NO3</t>
    </r>
    <r>
      <rPr>
        <sz val="11"/>
        <rFont val="Calibri"/>
        <family val="2"/>
        <scheme val="minor"/>
      </rPr>
      <t>;K</t>
    </r>
    <r>
      <rPr>
        <vertAlign val="subscript"/>
        <sz val="11"/>
        <rFont val="Calibri"/>
        <family val="2"/>
        <scheme val="minor"/>
      </rPr>
      <t>NO3,CASTO</t>
    </r>
    <r>
      <rPr>
        <sz val="11"/>
        <rFont val="Calibri"/>
        <family val="2"/>
        <scheme val="minor"/>
      </rPr>
      <t>)</t>
    </r>
  </si>
  <si>
    <r>
      <t>Minh</t>
    </r>
    <r>
      <rPr>
        <vertAlign val="subscript"/>
        <sz val="11"/>
        <rFont val="Calibri"/>
        <family val="2"/>
        <scheme val="minor"/>
      </rPr>
      <t>SO2,KO2,CASTO</t>
    </r>
  </si>
  <si>
    <r>
      <t>Inhibition term for O</t>
    </r>
    <r>
      <rPr>
        <vertAlign val="subscript"/>
        <sz val="11"/>
        <color rgb="FF000000"/>
        <rFont val="Calibri"/>
        <family val="2"/>
        <scheme val="minor"/>
      </rPr>
      <t>2</t>
    </r>
    <r>
      <rPr>
        <sz val="11"/>
        <color rgb="FF000000"/>
        <rFont val="Calibri"/>
        <family val="2"/>
        <charset val="238"/>
        <scheme val="minor"/>
      </rPr>
      <t xml:space="preserve"> (CASTO)</t>
    </r>
  </si>
  <si>
    <r>
      <t>Minh(S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</si>
  <si>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MRsat</t>
    </r>
    <r>
      <rPr>
        <vertAlign val="subscript"/>
        <sz val="11"/>
        <rFont val="Calibri"/>
        <family val="2"/>
        <scheme val="minor"/>
      </rPr>
      <t>XSTC,XCASTO,KSTC</t>
    </r>
  </si>
  <si>
    <t>Saturation term for PHA and GLY storage (CASTO)</t>
  </si>
  <si>
    <r>
      <t>MRsat(X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</si>
  <si>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t>Saturation term for PHA storage in (PAO)</t>
  </si>
  <si>
    <r>
      <t>MRinh</t>
    </r>
    <r>
      <rPr>
        <vertAlign val="subscript"/>
        <sz val="11"/>
        <rFont val="Calibri"/>
        <family val="2"/>
        <scheme val="minor"/>
      </rPr>
      <t>XPHA,XPAO,KPHA,cle</t>
    </r>
  </si>
  <si>
    <t>Inhibition term for PHA storage in (PAO)</t>
  </si>
  <si>
    <r>
      <t>MRinh(X</t>
    </r>
    <r>
      <rPr>
        <vertAlign val="subscript"/>
        <sz val="11"/>
        <rFont val="Calibri"/>
        <family val="2"/>
        <scheme val="minor"/>
      </rPr>
      <t>PHA</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PHA,cle</t>
    </r>
    <r>
      <rPr>
        <sz val="11"/>
        <rFont val="Calibri"/>
        <family val="2"/>
        <scheme val="minor"/>
      </rPr>
      <t>)</t>
    </r>
  </si>
  <si>
    <r>
      <t>MRinh</t>
    </r>
    <r>
      <rPr>
        <vertAlign val="subscript"/>
        <sz val="11"/>
        <rFont val="Calibri"/>
        <family val="2"/>
        <scheme val="minor"/>
      </rPr>
      <t>XSTC,XCASTO,KSTC</t>
    </r>
  </si>
  <si>
    <t>Inhibition term for PHA and GLY storage in (CASTO)</t>
  </si>
  <si>
    <r>
      <t>MRinh(X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</si>
  <si>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t>Inhibition term for PP storage compound in (PAO)</t>
  </si>
  <si>
    <t>Saturation term for PP storage in (PAO)</t>
  </si>
  <si>
    <r>
      <t>Msat</t>
    </r>
    <r>
      <rPr>
        <vertAlign val="subscript"/>
        <sz val="11"/>
        <rFont val="Calibri"/>
        <family val="2"/>
      </rPr>
      <t>SNO2,KNO2,CASTO</t>
    </r>
  </si>
  <si>
    <r>
      <t>Saturation term for NO</t>
    </r>
    <r>
      <rPr>
        <vertAlign val="subscript"/>
        <sz val="11"/>
        <color rgb="FF000000"/>
        <rFont val="Calibri"/>
        <family val="2"/>
        <scheme val="minor"/>
      </rPr>
      <t>2</t>
    </r>
    <r>
      <rPr>
        <sz val="11"/>
        <color rgb="FF000000"/>
        <rFont val="Calibri"/>
        <family val="2"/>
        <charset val="238"/>
        <scheme val="minor"/>
      </rPr>
      <t xml:space="preserve"> (CASTO)</t>
    </r>
  </si>
  <si>
    <r>
      <t>Msat(S</t>
    </r>
    <r>
      <rPr>
        <vertAlign val="subscript"/>
        <sz val="11"/>
        <rFont val="Calibri"/>
        <family val="2"/>
      </rPr>
      <t>NO2</t>
    </r>
    <r>
      <rPr>
        <sz val="11"/>
        <rFont val="Calibri"/>
        <family val="2"/>
      </rPr>
      <t>;K</t>
    </r>
    <r>
      <rPr>
        <vertAlign val="subscript"/>
        <sz val="11"/>
        <rFont val="Calibri"/>
        <family val="2"/>
      </rPr>
      <t>NO2,CASTO</t>
    </r>
    <r>
      <rPr>
        <sz val="11"/>
        <rFont val="Calibri"/>
        <family val="2"/>
      </rPr>
      <t>)</t>
    </r>
  </si>
  <si>
    <r>
      <t>Msat</t>
    </r>
    <r>
      <rPr>
        <vertAlign val="subscript"/>
        <sz val="11"/>
        <rFont val="Calibri"/>
        <family val="2"/>
      </rPr>
      <t>SNO3,KNO3,CASTO</t>
    </r>
  </si>
  <si>
    <r>
      <t>Saturation term for NO</t>
    </r>
    <r>
      <rPr>
        <vertAlign val="subscript"/>
        <sz val="11"/>
        <color rgb="FF000000"/>
        <rFont val="Calibri"/>
        <family val="2"/>
        <scheme val="minor"/>
      </rPr>
      <t>3</t>
    </r>
    <r>
      <rPr>
        <sz val="11"/>
        <color rgb="FF000000"/>
        <rFont val="Calibri"/>
        <family val="2"/>
        <charset val="238"/>
        <scheme val="minor"/>
      </rPr>
      <t xml:space="preserve"> (CASTO)</t>
    </r>
  </si>
  <si>
    <r>
      <t>Msat(S</t>
    </r>
    <r>
      <rPr>
        <vertAlign val="subscript"/>
        <sz val="11"/>
        <rFont val="Calibri"/>
        <family val="2"/>
      </rPr>
      <t>NO3</t>
    </r>
    <r>
      <rPr>
        <sz val="11"/>
        <rFont val="Calibri"/>
        <family val="2"/>
      </rPr>
      <t>;K</t>
    </r>
    <r>
      <rPr>
        <vertAlign val="subscript"/>
        <sz val="11"/>
        <rFont val="Calibri"/>
        <family val="2"/>
      </rPr>
      <t>NO3,CASTO</t>
    </r>
    <r>
      <rPr>
        <sz val="11"/>
        <rFont val="Calibri"/>
        <family val="2"/>
      </rPr>
      <t>)</t>
    </r>
  </si>
  <si>
    <r>
      <t>Msat</t>
    </r>
    <r>
      <rPr>
        <vertAlign val="subscript"/>
        <sz val="11"/>
        <rFont val="Calibri"/>
        <family val="2"/>
        <scheme val="minor"/>
      </rPr>
      <t>SO2,KO2,CASTO</t>
    </r>
  </si>
  <si>
    <r>
      <t>Saturation term for O</t>
    </r>
    <r>
      <rPr>
        <vertAlign val="subscript"/>
        <sz val="11"/>
        <color rgb="FF000000"/>
        <rFont val="Calibri"/>
        <family val="2"/>
        <scheme val="minor"/>
      </rPr>
      <t>2</t>
    </r>
    <r>
      <rPr>
        <sz val="11"/>
        <color rgb="FF000000"/>
        <rFont val="Calibri"/>
        <family val="2"/>
        <charset val="238"/>
        <scheme val="minor"/>
      </rPr>
      <t xml:space="preserve"> (CASTO)</t>
    </r>
  </si>
  <si>
    <r>
      <t>Msat(S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</si>
  <si>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Logsat</t>
    </r>
    <r>
      <rPr>
        <vertAlign val="subscript"/>
        <sz val="11"/>
        <rFont val="Calibri"/>
        <family val="2"/>
        <scheme val="minor"/>
      </rPr>
      <t>SPO4,KPO4,PAO</t>
    </r>
  </si>
  <si>
    <r>
      <t>Logistic saturation term for PO</t>
    </r>
    <r>
      <rPr>
        <vertAlign val="subscript"/>
        <sz val="11"/>
        <color rgb="FF000000"/>
        <rFont val="Calibri"/>
        <family val="2"/>
        <scheme val="minor"/>
      </rPr>
      <t>4</t>
    </r>
    <r>
      <rPr>
        <sz val="11"/>
        <color rgb="FF000000"/>
        <rFont val="Calibri"/>
        <family val="2"/>
        <charset val="238"/>
        <scheme val="minor"/>
      </rPr>
      <t xml:space="preserve"> (PAO)</t>
    </r>
  </si>
  <si>
    <r>
      <t>Msat</t>
    </r>
    <r>
      <rPr>
        <vertAlign val="subscript"/>
        <sz val="11"/>
        <rFont val="Calibri"/>
        <family val="2"/>
        <scheme val="minor"/>
      </rPr>
      <t>SVFA,KVFA,CASTO</t>
    </r>
  </si>
  <si>
    <t>Saturation term for VFA storage (CASTO)</t>
  </si>
  <si>
    <r>
      <t>Msat(S</t>
    </r>
    <r>
      <rPr>
        <vertAlign val="subscript"/>
        <sz val="11"/>
        <rFont val="Calibri"/>
        <family val="2"/>
        <scheme val="minor"/>
      </rPr>
      <t>VFA</t>
    </r>
    <r>
      <rPr>
        <sz val="11"/>
        <rFont val="Calibri"/>
        <family val="2"/>
        <scheme val="minor"/>
      </rPr>
      <t>;K</t>
    </r>
    <r>
      <rPr>
        <vertAlign val="subscript"/>
        <sz val="11"/>
        <rFont val="Calibri"/>
        <family val="2"/>
        <scheme val="minor"/>
      </rPr>
      <t>VFA,CASTO</t>
    </r>
    <r>
      <rPr>
        <sz val="11"/>
        <rFont val="Calibri"/>
        <family val="2"/>
        <scheme val="minor"/>
      </rPr>
      <t>)</t>
    </r>
  </si>
  <si>
    <r>
      <t>Logsat</t>
    </r>
    <r>
      <rPr>
        <vertAlign val="subscript"/>
        <sz val="11"/>
        <rFont val="Calibri"/>
        <family val="2"/>
        <scheme val="minor"/>
      </rPr>
      <t>XPP,KPO4,PAO</t>
    </r>
  </si>
  <si>
    <t>Logistic saturation term for PP in PP cleavage (PAO)</t>
  </si>
  <si>
    <t>Logistic inhibition term for PHA (PAO)</t>
  </si>
  <si>
    <t>Logistic inhibition term for PP (PAO)</t>
  </si>
  <si>
    <t>Logistic inhibition term for glycogen (GAO)</t>
  </si>
  <si>
    <r>
      <t>Loginh</t>
    </r>
    <r>
      <rPr>
        <vertAlign val="subscript"/>
        <sz val="11"/>
        <rFont val="Calibri"/>
        <family val="2"/>
        <scheme val="minor"/>
      </rPr>
      <t>SPO4,KiP,HAO,DISS</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</si>
  <si>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HAO</t>
    </r>
  </si>
  <si>
    <r>
      <t>Minh</t>
    </r>
    <r>
      <rPr>
        <vertAlign val="subscript"/>
        <sz val="11"/>
        <rFont val="Calibri"/>
        <family val="2"/>
        <scheme val="minor"/>
      </rPr>
      <t>SPO4,KiP,HAO,DESORP</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</si>
  <si>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HAO</t>
    </r>
  </si>
  <si>
    <r>
      <t>Minh(S</t>
    </r>
    <r>
      <rPr>
        <vertAlign val="subscript"/>
        <sz val="11"/>
        <rFont val="Calibri"/>
        <family val="2"/>
        <scheme val="minor"/>
      </rPr>
      <t>PO4</t>
    </r>
    <r>
      <rPr>
        <sz val="11"/>
        <rFont val="Calibri"/>
        <family val="2"/>
        <scheme val="minor"/>
      </rPr>
      <t>;Ki</t>
    </r>
    <r>
      <rPr>
        <vertAlign val="subscript"/>
        <sz val="11"/>
        <rFont val="Calibri"/>
        <family val="2"/>
        <scheme val="minor"/>
      </rPr>
      <t>P,HAO,DESORP</t>
    </r>
    <r>
      <rPr>
        <sz val="11"/>
        <rFont val="Calibri"/>
        <family val="2"/>
        <scheme val="minor"/>
      </rPr>
      <t>)</t>
    </r>
  </si>
  <si>
    <r>
      <t>Msat</t>
    </r>
    <r>
      <rPr>
        <vertAlign val="subscript"/>
        <sz val="11"/>
        <rFont val="Calibri"/>
        <family val="2"/>
        <scheme val="minor"/>
      </rPr>
      <t>SPO4,KP,HAO,BIND</t>
    </r>
  </si>
  <si>
    <r>
      <t>Saturation term for PO</t>
    </r>
    <r>
      <rPr>
        <vertAlign val="subscript"/>
        <sz val="11"/>
        <color rgb="FF000000"/>
        <rFont val="Calibri"/>
        <family val="2"/>
        <scheme val="minor"/>
      </rPr>
      <t>4</t>
    </r>
    <r>
      <rPr>
        <sz val="11"/>
        <color rgb="FF000000"/>
        <rFont val="Calibri"/>
        <family val="2"/>
        <charset val="238"/>
        <scheme val="minor"/>
      </rPr>
      <t xml:space="preserve"> binding on HAO</t>
    </r>
  </si>
  <si>
    <r>
      <t>Msat(S</t>
    </r>
    <r>
      <rPr>
        <vertAlign val="subscript"/>
        <sz val="11"/>
        <rFont val="Calibri"/>
        <family val="2"/>
        <scheme val="minor"/>
      </rPr>
      <t>PO4</t>
    </r>
    <r>
      <rPr>
        <sz val="11"/>
        <rFont val="Calibri"/>
        <family val="2"/>
        <scheme val="minor"/>
      </rPr>
      <t>;K</t>
    </r>
    <r>
      <rPr>
        <vertAlign val="subscript"/>
        <sz val="11"/>
        <rFont val="Calibri"/>
        <family val="2"/>
        <scheme val="minor"/>
      </rPr>
      <t>P,HAO,BIND</t>
    </r>
    <r>
      <rPr>
        <sz val="11"/>
        <rFont val="Calibri"/>
        <family val="2"/>
        <scheme val="minor"/>
      </rPr>
      <t>)</t>
    </r>
  </si>
  <si>
    <r>
      <t>Msat</t>
    </r>
    <r>
      <rPr>
        <vertAlign val="subscript"/>
        <sz val="11"/>
        <rFont val="Calibri"/>
        <family val="2"/>
        <scheme val="minor"/>
      </rPr>
      <t>XBSH,KBSH,DISS</t>
    </r>
  </si>
  <si>
    <t>Saturation term for brushite dissolution</t>
  </si>
  <si>
    <r>
      <t>Msat(X</t>
    </r>
    <r>
      <rPr>
        <vertAlign val="subscript"/>
        <sz val="11"/>
        <rFont val="Calibri"/>
        <family val="2"/>
        <scheme val="minor"/>
      </rPr>
      <t>BSH</t>
    </r>
    <r>
      <rPr>
        <sz val="11"/>
        <rFont val="Calibri"/>
        <family val="2"/>
        <scheme val="minor"/>
      </rPr>
      <t>;K</t>
    </r>
    <r>
      <rPr>
        <vertAlign val="subscript"/>
        <sz val="11"/>
        <rFont val="Calibri"/>
        <family val="2"/>
        <scheme val="minor"/>
      </rPr>
      <t>BSH,DISS</t>
    </r>
    <r>
      <rPr>
        <sz val="11"/>
        <rFont val="Calibri"/>
        <family val="2"/>
        <scheme val="minor"/>
      </rPr>
      <t>)</t>
    </r>
  </si>
  <si>
    <r>
      <t>µ</t>
    </r>
    <r>
      <rPr>
        <vertAlign val="subscript"/>
        <sz val="11"/>
        <color indexed="8"/>
        <rFont val="Calibri"/>
        <family val="2"/>
        <scheme val="minor"/>
      </rPr>
      <t>CASTO,T</t>
    </r>
  </si>
  <si>
    <t>Observed maximum specific growth rate of CASTOs (temperature corrected)</t>
  </si>
  <si>
    <r>
      <t>µ</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µ,CASTO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</si>
  <si>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PAO,PP,T</t>
    </r>
  </si>
  <si>
    <t>Rate of polyphosphate storage for PAOs (temperature corrected)</t>
  </si>
  <si>
    <r>
      <t>q</t>
    </r>
    <r>
      <rPr>
        <vertAlign val="subscript"/>
        <sz val="11"/>
        <color indexed="8"/>
        <rFont val="Calibri"/>
        <family val="2"/>
        <scheme val="minor"/>
      </rPr>
      <t>PAO,PP</t>
    </r>
    <r>
      <rPr>
        <sz val="11"/>
        <color indexed="8"/>
        <rFont val="Calibri"/>
        <family val="2"/>
        <scheme val="minor"/>
      </rPr>
      <t>*Arrh(θ</t>
    </r>
    <r>
      <rPr>
        <vertAlign val="subscript"/>
        <sz val="11"/>
        <color indexed="8"/>
        <rFont val="Calibri"/>
        <family val="2"/>
        <scheme val="minor"/>
      </rPr>
      <t>q,PAO,PP</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</si>
  <si>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STC,T</t>
    </r>
  </si>
  <si>
    <t>Observed rate of CASTOs maintenance on PHA and GLY (temperature corrected)</t>
  </si>
  <si>
    <r>
      <t>b</t>
    </r>
    <r>
      <rPr>
        <vertAlign val="subscript"/>
        <sz val="11"/>
        <color indexed="8"/>
        <rFont val="Calibri"/>
        <family val="2"/>
        <charset val="238"/>
        <scheme val="minor"/>
      </rPr>
      <t>STC</t>
    </r>
    <r>
      <rPr>
        <sz val="11"/>
        <color indexed="8"/>
        <rFont val="Calibri"/>
        <family val="2"/>
        <scheme val="minor"/>
      </rPr>
      <t>*Arrh(θ</t>
    </r>
    <r>
      <rPr>
        <vertAlign val="subscript"/>
        <sz val="11"/>
        <color indexed="8"/>
        <rFont val="Calibri"/>
        <family val="2"/>
        <scheme val="minor"/>
      </rPr>
      <t>b,STC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</si>
  <si>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CASTO,T</t>
    </r>
  </si>
  <si>
    <t>Decay rate of CASTOs (temperature corrected)</t>
  </si>
  <si>
    <r>
      <t>b</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b,CASTO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</si>
  <si>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sp,BSH</t>
    </r>
  </si>
  <si>
    <t>Solubility constant of brushite (activity corrected)</t>
  </si>
  <si>
    <r>
      <t>K</t>
    </r>
    <r>
      <rPr>
        <vertAlign val="subscript"/>
        <sz val="11"/>
        <rFont val="Calibri"/>
        <family val="2"/>
        <scheme val="minor"/>
      </rPr>
      <t>sp,BSH,param</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t>
    </r>
  </si>
  <si>
    <t>Alpha factor influencing expressions</t>
  </si>
  <si>
    <r>
      <t>q</t>
    </r>
    <r>
      <rPr>
        <vertAlign val="subscript"/>
        <sz val="11"/>
        <rFont val="Calibri"/>
        <family val="2"/>
        <charset val="238"/>
        <scheme val="minor"/>
      </rPr>
      <t>ALPHA,SO2</t>
    </r>
  </si>
  <si>
    <t>Alpha improvement rate component (dissolved oxygen corrected)</t>
  </si>
  <si>
    <r>
      <t>q</t>
    </r>
    <r>
      <rPr>
        <vertAlign val="subscript"/>
        <sz val="11"/>
        <rFont val="Calibri"/>
        <family val="2"/>
        <charset val="238"/>
        <scheme val="minor"/>
      </rPr>
      <t>ALPHA</t>
    </r>
    <r>
      <rPr>
        <sz val="11"/>
        <rFont val="Calibri"/>
        <family val="2"/>
        <charset val="238"/>
        <scheme val="minor"/>
      </rPr>
      <t>*((1-f</t>
    </r>
    <r>
      <rPr>
        <vertAlign val="subscript"/>
        <sz val="11"/>
        <rFont val="Calibri"/>
        <family val="2"/>
        <charset val="238"/>
        <scheme val="minor"/>
      </rPr>
      <t>SO2,max,ALPHA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/(K</t>
    </r>
    <r>
      <rPr>
        <vertAlign val="subscript"/>
        <sz val="11"/>
        <rFont val="Calibri"/>
        <family val="2"/>
        <charset val="238"/>
        <scheme val="minor"/>
      </rPr>
      <t>SO2,ALPHA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)+f</t>
    </r>
    <r>
      <rPr>
        <vertAlign val="subscript"/>
        <sz val="11"/>
        <rFont val="Calibri"/>
        <family val="2"/>
        <charset val="238"/>
        <scheme val="minor"/>
      </rPr>
      <t>SO2,max,ALPHA</t>
    </r>
    <r>
      <rPr>
        <sz val="11"/>
        <rFont val="Calibri"/>
        <family val="2"/>
        <charset val="238"/>
        <scheme val="minor"/>
      </rPr>
      <t>)</t>
    </r>
  </si>
  <si>
    <r>
      <t>damp</t>
    </r>
    <r>
      <rPr>
        <vertAlign val="subscript"/>
        <sz val="11"/>
        <rFont val="Calibri"/>
        <family val="2"/>
        <charset val="238"/>
        <scheme val="minor"/>
      </rPr>
      <t>ALPHA</t>
    </r>
  </si>
  <si>
    <t>Alpha first order limitation damping term</t>
  </si>
  <si>
    <r>
      <t>1+coeff</t>
    </r>
    <r>
      <rPr>
        <vertAlign val="subscript"/>
        <sz val="11"/>
        <rFont val="Calibri"/>
        <family val="2"/>
        <charset val="238"/>
        <scheme val="minor"/>
      </rPr>
      <t>damp,ALPHA</t>
    </r>
    <r>
      <rPr>
        <sz val="11"/>
        <rFont val="Calibri"/>
        <family val="2"/>
        <charset val="238"/>
        <scheme val="minor"/>
      </rPr>
      <t>*(</t>
    </r>
    <r>
      <rPr>
        <sz val="11"/>
        <rFont val="Calibri"/>
        <family val="2"/>
        <scheme val="minor"/>
      </rPr>
      <t>S</t>
    </r>
    <r>
      <rPr>
        <vertAlign val="subscript"/>
        <sz val="11"/>
        <rFont val="Calibri"/>
        <family val="2"/>
        <charset val="238"/>
        <scheme val="minor"/>
      </rPr>
      <t>ALPHA</t>
    </r>
    <r>
      <rPr>
        <sz val="11"/>
        <rFont val="Calibri"/>
        <family val="2"/>
        <scheme val="minor"/>
      </rPr>
      <t>/S</t>
    </r>
    <r>
      <rPr>
        <vertAlign val="subscript"/>
        <sz val="11"/>
        <rFont val="Calibri"/>
        <family val="2"/>
        <charset val="238"/>
        <scheme val="minor"/>
      </rPr>
      <t>ALPHA,sat</t>
    </r>
    <r>
      <rPr>
        <sz val="11"/>
        <rFont val="Calibri"/>
        <family val="2"/>
        <charset val="238"/>
        <scheme val="minor"/>
      </rPr>
      <t>)^pow</t>
    </r>
    <r>
      <rPr>
        <vertAlign val="subscript"/>
        <sz val="11"/>
        <rFont val="Calibri"/>
        <family val="2"/>
        <charset val="238"/>
        <scheme val="minor"/>
      </rPr>
      <t>damp,ALPHA</t>
    </r>
  </si>
  <si>
    <r>
      <t>corr</t>
    </r>
    <r>
      <rPr>
        <vertAlign val="subscript"/>
        <sz val="11"/>
        <rFont val="Calibri"/>
        <family val="2"/>
        <charset val="238"/>
        <scheme val="minor"/>
      </rPr>
      <t>TSS,</t>
    </r>
    <r>
      <rPr>
        <vertAlign val="subscript"/>
        <sz val="11"/>
        <rFont val="Calibri"/>
        <family val="2"/>
        <charset val="238"/>
      </rPr>
      <t>α</t>
    </r>
  </si>
  <si>
    <t>Solids-related alpha correction term</t>
  </si>
  <si>
    <r>
      <t>Exp(</t>
    </r>
    <r>
      <rPr>
        <sz val="11"/>
        <color indexed="8"/>
        <rFont val="Calibri"/>
        <family val="2"/>
      </rPr>
      <t>sl</t>
    </r>
    <r>
      <rPr>
        <vertAlign val="subscript"/>
        <sz val="11"/>
        <color rgb="FF000000"/>
        <rFont val="Calibri"/>
        <family val="2"/>
        <charset val="238"/>
      </rPr>
      <t>TSS,α,def</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</si>
  <si>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t>Non-Mechanical; Non-SOTECorr_cap; Non-SOTEFixed_coarse</t>
  </si>
  <si>
    <r>
      <t>Exp(</t>
    </r>
    <r>
      <rPr>
        <sz val="11"/>
        <color indexed="8"/>
        <rFont val="Calibri"/>
        <family val="2"/>
      </rPr>
      <t>sl</t>
    </r>
    <r>
      <rPr>
        <vertAlign val="subscript"/>
        <sz val="11"/>
        <color rgb="FF000000"/>
        <rFont val="Calibri"/>
        <family val="2"/>
        <charset val="238"/>
      </rPr>
      <t>TSS,α,coarse</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</si>
  <si>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t>SOTECorr_cap</t>
  </si>
  <si>
    <t>SOTEFixed_coarse</t>
  </si>
  <si>
    <r>
      <t>coeff</t>
    </r>
    <r>
      <rPr>
        <vertAlign val="subscript"/>
        <sz val="11"/>
        <rFont val="Calibri"/>
        <family val="2"/>
        <charset val="238"/>
        <scheme val="minor"/>
      </rPr>
      <t>lead,TSS,</t>
    </r>
    <r>
      <rPr>
        <vertAlign val="subscript"/>
        <sz val="11"/>
        <rFont val="Calibri"/>
        <family val="2"/>
        <charset val="238"/>
      </rPr>
      <t>α,mech</t>
    </r>
    <r>
      <rPr>
        <sz val="11"/>
        <rFont val="Calibri"/>
        <family val="2"/>
        <scheme val="minor"/>
      </rPr>
      <t>*(X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charset val="238"/>
        <scheme val="minor"/>
      </rPr>
      <t>)^</t>
    </r>
    <r>
      <rPr>
        <sz val="11"/>
        <rFont val="Calibri"/>
        <family val="2"/>
        <scheme val="minor"/>
      </rPr>
      <t>2 + coeff</t>
    </r>
    <r>
      <rPr>
        <vertAlign val="subscript"/>
        <sz val="11"/>
        <rFont val="Calibri"/>
        <family val="2"/>
        <charset val="238"/>
        <scheme val="minor"/>
      </rPr>
      <t>lin,TSS,α,mech</t>
    </r>
    <r>
      <rPr>
        <sz val="11"/>
        <rFont val="Calibri"/>
        <family val="2"/>
        <scheme val="minor"/>
      </rPr>
      <t xml:space="preserve"> * 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scheme val="minor"/>
      </rPr>
      <t xml:space="preserve"> + const</t>
    </r>
    <r>
      <rPr>
        <vertAlign val="subscript"/>
        <sz val="11"/>
        <rFont val="Calibri"/>
        <family val="2"/>
        <charset val="238"/>
        <scheme val="minor"/>
      </rPr>
      <t>TSS,α,mech</t>
    </r>
  </si>
  <si>
    <t>Mechanical</t>
  </si>
  <si>
    <r>
      <t>α</t>
    </r>
    <r>
      <rPr>
        <vertAlign val="subscript"/>
        <sz val="9.35"/>
        <rFont val="Calibri"/>
        <family val="2"/>
        <charset val="238"/>
      </rPr>
      <t>pred</t>
    </r>
  </si>
  <si>
    <t>Alpha factor predicted</t>
  </si>
  <si>
    <r>
      <t>S</t>
    </r>
    <r>
      <rPr>
        <vertAlign val="subscript"/>
        <sz val="11"/>
        <rFont val="Calibri"/>
        <family val="2"/>
        <charset val="238"/>
        <scheme val="minor"/>
      </rPr>
      <t>ALPHA</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</si>
  <si>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r>
      <t>ASF</t>
    </r>
    <r>
      <rPr>
        <vertAlign val="subscript"/>
        <sz val="11"/>
        <rFont val="Calibri"/>
        <family val="2"/>
        <scheme val="minor"/>
      </rPr>
      <t>HFO,H</t>
    </r>
  </si>
  <si>
    <r>
      <t>ASF</t>
    </r>
    <r>
      <rPr>
        <vertAlign val="subscript"/>
        <sz val="11"/>
        <rFont val="Calibri"/>
        <family val="2"/>
        <scheme val="minor"/>
      </rPr>
      <t>HFO,L</t>
    </r>
  </si>
  <si>
    <r>
      <t>i</t>
    </r>
    <r>
      <rPr>
        <vertAlign val="subscript"/>
        <sz val="11"/>
        <rFont val="Calibri"/>
        <family val="2"/>
        <scheme val="minor"/>
      </rPr>
      <t>P,XBSH</t>
    </r>
  </si>
  <si>
    <t>P content of BSH</t>
  </si>
  <si>
    <t>Estimated to fit saturation concentrations for 0-30 °C from Metcalf &amp; Eddy Inc.: Wastewater Engineering: Treatment and Reuse</t>
  </si>
  <si>
    <r>
      <t>Temperature dependency factor for CO</t>
    </r>
    <r>
      <rPr>
        <vertAlign val="subscript"/>
        <sz val="11"/>
        <rFont val="Calibri"/>
        <family val="2"/>
        <scheme val="minor"/>
      </rPr>
      <t>2</t>
    </r>
    <r>
      <rPr>
        <sz val="11"/>
        <rFont val="Calibri"/>
        <family val="2"/>
        <scheme val="minor"/>
      </rPr>
      <t xml:space="preserve"> Henry coefficient</t>
    </r>
  </si>
  <si>
    <t>original values in Sumo:</t>
  </si>
  <si>
    <t>Sabba et al</t>
  </si>
  <si>
    <r>
      <t>p</t>
    </r>
    <r>
      <rPr>
        <vertAlign val="subscript"/>
        <sz val="11"/>
        <rFont val="Calibri"/>
        <family val="2"/>
      </rPr>
      <t>NTP</t>
    </r>
  </si>
  <si>
    <r>
      <t>Ca</t>
    </r>
    <r>
      <rPr>
        <vertAlign val="subscript"/>
        <sz val="11"/>
        <rFont val="Calibri"/>
        <family val="2"/>
        <scheme val="minor"/>
      </rPr>
      <t>3</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2</t>
    </r>
    <r>
      <rPr>
        <sz val="11"/>
        <rFont val="Calibri"/>
        <family val="2"/>
        <scheme val="minor"/>
      </rPr>
      <t>x·4 H</t>
    </r>
    <r>
      <rPr>
        <vertAlign val="subscript"/>
        <sz val="11"/>
        <rFont val="Calibri"/>
        <family val="2"/>
        <scheme val="minor"/>
      </rPr>
      <t>2</t>
    </r>
    <r>
      <rPr>
        <sz val="11"/>
        <rFont val="Calibri"/>
        <family val="2"/>
        <scheme val="minor"/>
      </rPr>
      <t>O</t>
    </r>
  </si>
  <si>
    <r>
      <t>MM</t>
    </r>
    <r>
      <rPr>
        <vertAlign val="subscript"/>
        <sz val="11"/>
        <rFont val="Calibri"/>
        <family val="2"/>
        <scheme val="minor"/>
      </rPr>
      <t>Al2SO43</t>
    </r>
  </si>
  <si>
    <t>Molecular mass of aluminium sulfate</t>
  </si>
  <si>
    <r>
      <t>MM</t>
    </r>
    <r>
      <rPr>
        <vertAlign val="subscript"/>
        <sz val="11"/>
        <rFont val="Calibri"/>
        <family val="2"/>
        <scheme val="minor"/>
      </rPr>
      <t>AlCl3</t>
    </r>
  </si>
  <si>
    <t>Molecular mass of aluminium chloride</t>
  </si>
  <si>
    <r>
      <t>MM</t>
    </r>
    <r>
      <rPr>
        <vertAlign val="subscript"/>
        <sz val="11"/>
        <rFont val="Calibri"/>
        <family val="2"/>
        <scheme val="minor"/>
      </rPr>
      <t>BSH</t>
    </r>
  </si>
  <si>
    <t>Molecular mass of Brushite</t>
  </si>
  <si>
    <r>
      <t>MM</t>
    </r>
    <r>
      <rPr>
        <vertAlign val="subscript"/>
        <sz val="11"/>
        <rFont val="Calibri"/>
        <family val="2"/>
        <scheme val="minor"/>
      </rPr>
      <t>CaCl</t>
    </r>
    <r>
      <rPr>
        <vertAlign val="subscript"/>
        <sz val="11"/>
        <rFont val="Calibri"/>
        <family val="2"/>
      </rPr>
      <t>2</t>
    </r>
  </si>
  <si>
    <t>Molecular mass of CaCl2</t>
  </si>
  <si>
    <r>
      <t>MM</t>
    </r>
    <r>
      <rPr>
        <vertAlign val="subscript"/>
        <sz val="11"/>
        <rFont val="Calibri"/>
        <family val="2"/>
        <scheme val="minor"/>
      </rPr>
      <t>CaOH</t>
    </r>
    <r>
      <rPr>
        <vertAlign val="subscript"/>
        <sz val="11"/>
        <rFont val="Calibri"/>
        <family val="2"/>
      </rPr>
      <t>2</t>
    </r>
  </si>
  <si>
    <t>Molecular mass of CaOH2</t>
  </si>
  <si>
    <r>
      <t>MM</t>
    </r>
    <r>
      <rPr>
        <vertAlign val="subscript"/>
        <sz val="11"/>
        <rFont val="Calibri"/>
        <family val="2"/>
        <scheme val="minor"/>
      </rPr>
      <t>Fe2SO43</t>
    </r>
  </si>
  <si>
    <t>Molecular mass of iron sulfate</t>
  </si>
  <si>
    <r>
      <t>MM</t>
    </r>
    <r>
      <rPr>
        <vertAlign val="subscript"/>
        <sz val="11"/>
        <rFont val="Calibri"/>
        <family val="2"/>
        <scheme val="minor"/>
      </rPr>
      <t>H3PO4</t>
    </r>
  </si>
  <si>
    <t>Molecular mass of phosphoric acid</t>
  </si>
  <si>
    <r>
      <t>Ca</t>
    </r>
    <r>
      <rPr>
        <vertAlign val="subscript"/>
        <sz val="11"/>
        <rFont val="Calibri"/>
        <family val="2"/>
        <scheme val="minor"/>
      </rPr>
      <t>5</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3</t>
    </r>
    <r>
      <rPr>
        <sz val="11"/>
        <rFont val="Calibri"/>
        <family val="2"/>
        <scheme val="minor"/>
      </rPr>
      <t>(OH)</t>
    </r>
  </si>
  <si>
    <r>
      <t>Ca</t>
    </r>
    <r>
      <rPr>
        <vertAlign val="subscript"/>
        <sz val="11"/>
        <rFont val="Calibri"/>
        <family val="2"/>
        <scheme val="minor"/>
      </rPr>
      <t>2</t>
    </r>
    <r>
      <rPr>
        <sz val="11"/>
        <rFont val="Calibri"/>
        <family val="2"/>
        <scheme val="minor"/>
      </rPr>
      <t>(PO</t>
    </r>
    <r>
      <rPr>
        <vertAlign val="subscript"/>
        <sz val="11"/>
        <rFont val="Calibri"/>
        <family val="2"/>
        <scheme val="minor"/>
      </rPr>
      <t>4</t>
    </r>
    <r>
      <rPr>
        <sz val="11"/>
        <rFont val="Calibri"/>
        <family val="2"/>
        <scheme val="minor"/>
      </rPr>
      <t>)(OH)</t>
    </r>
    <r>
      <rPr>
        <vertAlign val="subscript"/>
        <sz val="11"/>
        <rFont val="Calibri"/>
        <family val="2"/>
        <scheme val="minor"/>
      </rPr>
      <t>2</t>
    </r>
    <r>
      <rPr>
        <vertAlign val="superscript"/>
        <sz val="11"/>
        <rFont val="Calibri"/>
        <family val="2"/>
        <scheme val="minor"/>
      </rPr>
      <t>-</t>
    </r>
  </si>
  <si>
    <r>
      <t>MM</t>
    </r>
    <r>
      <rPr>
        <vertAlign val="subscript"/>
        <sz val="11"/>
        <rFont val="Calibri"/>
        <family val="2"/>
        <scheme val="minor"/>
      </rPr>
      <t>HNO3</t>
    </r>
  </si>
  <si>
    <t>Molecular mass of nitric acid</t>
  </si>
  <si>
    <r>
      <t>CH</t>
    </r>
    <r>
      <rPr>
        <vertAlign val="subscript"/>
        <sz val="11"/>
        <rFont val="Calibri"/>
        <family val="2"/>
        <scheme val="minor"/>
      </rPr>
      <t>4</t>
    </r>
    <r>
      <rPr>
        <sz val="11"/>
        <rFont val="Calibri"/>
        <family val="2"/>
        <scheme val="minor"/>
      </rPr>
      <t>S</t>
    </r>
  </si>
  <si>
    <r>
      <t>MM</t>
    </r>
    <r>
      <rPr>
        <vertAlign val="subscript"/>
        <sz val="11"/>
        <rFont val="Calibri"/>
        <family val="2"/>
        <scheme val="minor"/>
      </rPr>
      <t>KNO2</t>
    </r>
  </si>
  <si>
    <t>Molecular mass of KNO2</t>
  </si>
  <si>
    <r>
      <t>MM</t>
    </r>
    <r>
      <rPr>
        <vertAlign val="subscript"/>
        <sz val="11"/>
        <rFont val="Calibri"/>
        <family val="2"/>
        <scheme val="minor"/>
      </rPr>
      <t>KNO3</t>
    </r>
  </si>
  <si>
    <t>Molecular mass of KNO3</t>
  </si>
  <si>
    <r>
      <t>MM</t>
    </r>
    <r>
      <rPr>
        <vertAlign val="subscript"/>
        <sz val="11"/>
        <rFont val="Calibri"/>
        <family val="2"/>
        <scheme val="minor"/>
      </rPr>
      <t>NH4HCO3</t>
    </r>
  </si>
  <si>
    <t>Molecular mass of NH4HCO3</t>
  </si>
  <si>
    <r>
      <t>MgNH</t>
    </r>
    <r>
      <rPr>
        <vertAlign val="subscript"/>
        <sz val="11"/>
        <rFont val="Calibri"/>
        <family val="2"/>
        <scheme val="minor"/>
      </rPr>
      <t>4</t>
    </r>
    <r>
      <rPr>
        <sz val="11"/>
        <rFont val="Calibri"/>
        <family val="2"/>
        <scheme val="minor"/>
      </rPr>
      <t>PO</t>
    </r>
    <r>
      <rPr>
        <vertAlign val="subscript"/>
        <sz val="11"/>
        <rFont val="Calibri"/>
        <family val="2"/>
        <scheme val="minor"/>
      </rPr>
      <t>4</t>
    </r>
    <r>
      <rPr>
        <sz val="11"/>
        <rFont val="Calibri"/>
        <family val="2"/>
        <scheme val="minor"/>
      </rPr>
      <t>x·6 H</t>
    </r>
    <r>
      <rPr>
        <vertAlign val="subscript"/>
        <sz val="11"/>
        <rFont val="Calibri"/>
        <family val="2"/>
        <scheme val="minor"/>
      </rPr>
      <t>2</t>
    </r>
    <r>
      <rPr>
        <sz val="11"/>
        <rFont val="Calibri"/>
        <family val="2"/>
        <scheme val="minor"/>
      </rPr>
      <t>O</t>
    </r>
  </si>
  <si>
    <r>
      <t>Fe</t>
    </r>
    <r>
      <rPr>
        <vertAlign val="subscript"/>
        <sz val="11"/>
        <rFont val="Calibri"/>
        <family val="2"/>
        <scheme val="minor"/>
      </rPr>
      <t>2</t>
    </r>
    <r>
      <rPr>
        <vertAlign val="superscript"/>
        <sz val="11"/>
        <rFont val="Calibri"/>
        <family val="2"/>
        <scheme val="minor"/>
      </rPr>
      <t>+3</t>
    </r>
    <r>
      <rPr>
        <sz val="11"/>
        <rFont val="Calibri"/>
        <family val="2"/>
        <scheme val="minor"/>
      </rPr>
      <t>(PO</t>
    </r>
    <r>
      <rPr>
        <vertAlign val="subscript"/>
        <sz val="11"/>
        <rFont val="Calibri"/>
        <family val="2"/>
        <scheme val="minor"/>
      </rPr>
      <t>4</t>
    </r>
    <r>
      <rPr>
        <vertAlign val="superscript"/>
        <sz val="11"/>
        <rFont val="Calibri"/>
        <family val="2"/>
        <scheme val="minor"/>
      </rPr>
      <t>3-</t>
    </r>
    <r>
      <rPr>
        <sz val="11"/>
        <rFont val="Calibri"/>
        <family val="2"/>
        <scheme val="minor"/>
      </rPr>
      <t>)</t>
    </r>
    <r>
      <rPr>
        <vertAlign val="subscript"/>
        <sz val="11"/>
        <rFont val="Calibri"/>
        <family val="2"/>
        <scheme val="minor"/>
      </rPr>
      <t xml:space="preserve">2 </t>
    </r>
    <r>
      <rPr>
        <sz val="11"/>
        <rFont val="Calibri"/>
        <family val="2"/>
        <scheme val="minor"/>
      </rPr>
      <t>x 8 H</t>
    </r>
    <r>
      <rPr>
        <vertAlign val="subscript"/>
        <sz val="11"/>
        <rFont val="Calibri"/>
        <family val="2"/>
        <scheme val="minor"/>
      </rPr>
      <t>2</t>
    </r>
    <r>
      <rPr>
        <sz val="11"/>
        <rFont val="Calibri"/>
        <family val="2"/>
        <scheme val="minor"/>
      </rPr>
      <t>O</t>
    </r>
  </si>
  <si>
    <t>Dissociation constant of propionate</t>
  </si>
  <si>
    <r>
      <t>K</t>
    </r>
    <r>
      <rPr>
        <vertAlign val="subscript"/>
        <sz val="11"/>
        <rFont val="Calibri"/>
        <family val="2"/>
        <scheme val="minor"/>
      </rPr>
      <t>But,param</t>
    </r>
  </si>
  <si>
    <t>Dissociation constant of butyrate</t>
  </si>
  <si>
    <t>?</t>
  </si>
  <si>
    <r>
      <t>K</t>
    </r>
    <r>
      <rPr>
        <vertAlign val="subscript"/>
        <sz val="11"/>
        <rFont val="Calibri"/>
        <family val="2"/>
        <scheme val="minor"/>
      </rPr>
      <t>Val,param</t>
    </r>
  </si>
  <si>
    <t>Dissociation constant of valerate</t>
  </si>
  <si>
    <t>Musvoto et al. (2000) =10^(-25.46) (NIST 1e-29 is too high)</t>
  </si>
  <si>
    <r>
      <t>K</t>
    </r>
    <r>
      <rPr>
        <vertAlign val="subscript"/>
        <sz val="11"/>
        <rFont val="Calibri"/>
        <family val="2"/>
        <scheme val="minor"/>
      </rPr>
      <t>sp,BSH,param</t>
    </r>
  </si>
  <si>
    <t>Solubility constant of Brushite</t>
  </si>
  <si>
    <t xml:space="preserve">Musvoto et al. (2000) =10^(-6.6) </t>
  </si>
  <si>
    <r>
      <t>c</t>
    </r>
    <r>
      <rPr>
        <vertAlign val="subscript"/>
        <sz val="11"/>
        <rFont val="Calibri"/>
        <family val="2"/>
        <scheme val="minor"/>
      </rPr>
      <t>mmol,mol</t>
    </r>
  </si>
  <si>
    <t>Conversion coefficient between milimols and mol</t>
  </si>
  <si>
    <r>
      <t>mmol.mol</t>
    </r>
    <r>
      <rPr>
        <vertAlign val="superscript"/>
        <sz val="11"/>
        <rFont val="Calibri"/>
        <family val="2"/>
        <scheme val="minor"/>
      </rPr>
      <t>-1</t>
    </r>
  </si>
  <si>
    <r>
      <t>c</t>
    </r>
    <r>
      <rPr>
        <vertAlign val="subscript"/>
        <sz val="11"/>
        <rFont val="Calibri"/>
        <family val="2"/>
        <scheme val="minor"/>
      </rPr>
      <t>s,min</t>
    </r>
  </si>
  <si>
    <t>Conversion coefficient between seconds and minutes</t>
  </si>
  <si>
    <r>
      <t>s.min</t>
    </r>
    <r>
      <rPr>
        <vertAlign val="superscript"/>
        <sz val="11"/>
        <rFont val="Calibri"/>
        <family val="2"/>
        <scheme val="minor"/>
      </rPr>
      <t>-1</t>
    </r>
  </si>
  <si>
    <r>
      <t>c</t>
    </r>
    <r>
      <rPr>
        <vertAlign val="subscript"/>
        <sz val="11"/>
        <rFont val="Calibri"/>
        <family val="2"/>
        <scheme val="minor"/>
      </rPr>
      <t>min,d</t>
    </r>
  </si>
  <si>
    <t>Conversion coefficient between minutes and days</t>
  </si>
  <si>
    <r>
      <t>min.d</t>
    </r>
    <r>
      <rPr>
        <vertAlign val="superscript"/>
        <sz val="11"/>
        <rFont val="Calibri"/>
        <family val="2"/>
        <scheme val="minor"/>
      </rPr>
      <t>-1</t>
    </r>
  </si>
  <si>
    <r>
      <t>c</t>
    </r>
    <r>
      <rPr>
        <vertAlign val="subscript"/>
        <sz val="11"/>
        <rFont val="Calibri"/>
        <family val="2"/>
        <scheme val="minor"/>
      </rPr>
      <t>d,w</t>
    </r>
  </si>
  <si>
    <t>Conversion coefficient between days and weeks</t>
  </si>
  <si>
    <r>
      <t>d.w</t>
    </r>
    <r>
      <rPr>
        <vertAlign val="superscript"/>
        <sz val="11"/>
        <rFont val="Calibri"/>
        <family val="2"/>
        <scheme val="minor"/>
      </rPr>
      <t>-1</t>
    </r>
  </si>
  <si>
    <r>
      <t>c</t>
    </r>
    <r>
      <rPr>
        <vertAlign val="subscript"/>
        <sz val="11"/>
        <rFont val="Calibri"/>
        <family val="2"/>
        <scheme val="minor"/>
      </rPr>
      <t>d,mon</t>
    </r>
  </si>
  <si>
    <t>Conversion coefficient between days and month</t>
  </si>
  <si>
    <r>
      <t>d.mon</t>
    </r>
    <r>
      <rPr>
        <vertAlign val="superscript"/>
        <sz val="11"/>
        <rFont val="Calibri"/>
        <family val="2"/>
        <scheme val="minor"/>
      </rPr>
      <t>-1</t>
    </r>
  </si>
  <si>
    <r>
      <t>c</t>
    </r>
    <r>
      <rPr>
        <vertAlign val="subscript"/>
        <sz val="11"/>
        <rFont val="Calibri"/>
        <family val="2"/>
        <scheme val="minor"/>
      </rPr>
      <t>d,y</t>
    </r>
  </si>
  <si>
    <t>Conversion coefficient between days and years</t>
  </si>
  <si>
    <r>
      <t>d.y</t>
    </r>
    <r>
      <rPr>
        <vertAlign val="superscript"/>
        <sz val="11"/>
        <rFont val="Calibri"/>
        <family val="2"/>
        <scheme val="minor"/>
      </rPr>
      <t>-1</t>
    </r>
  </si>
  <si>
    <r>
      <t>c</t>
    </r>
    <r>
      <rPr>
        <vertAlign val="subscript"/>
        <sz val="11"/>
        <rFont val="Calibri"/>
        <family val="2"/>
        <scheme val="minor"/>
      </rPr>
      <t>g,ton</t>
    </r>
  </si>
  <si>
    <t>Conversion coefficient between grams and ton</t>
  </si>
  <si>
    <r>
      <t>g.ton</t>
    </r>
    <r>
      <rPr>
        <vertAlign val="superscript"/>
        <sz val="11"/>
        <rFont val="Calibri"/>
        <family val="2"/>
        <scheme val="minor"/>
      </rPr>
      <t>-1</t>
    </r>
  </si>
  <si>
    <r>
      <t>c</t>
    </r>
    <r>
      <rPr>
        <vertAlign val="subscript"/>
        <sz val="11"/>
        <rFont val="Calibri"/>
        <family val="2"/>
        <scheme val="minor"/>
      </rPr>
      <t>W,kW</t>
    </r>
  </si>
  <si>
    <r>
      <t>kW.MW</t>
    </r>
    <r>
      <rPr>
        <vertAlign val="superscript"/>
        <sz val="11"/>
        <rFont val="Calibri"/>
        <family val="2"/>
        <scheme val="minor"/>
      </rPr>
      <t>-1</t>
    </r>
  </si>
  <si>
    <r>
      <t>c</t>
    </r>
    <r>
      <rPr>
        <vertAlign val="subscript"/>
        <sz val="11"/>
        <rFont val="Calibri"/>
        <family val="2"/>
        <scheme val="minor"/>
      </rPr>
      <t>Pa,MPa</t>
    </r>
  </si>
  <si>
    <t>Conversion coefficient between pascal and megapascal</t>
  </si>
  <si>
    <r>
      <t>Pa.MPa</t>
    </r>
    <r>
      <rPr>
        <vertAlign val="superscript"/>
        <sz val="11"/>
        <rFont val="Calibri"/>
        <family val="2"/>
        <scheme val="minor"/>
      </rPr>
      <t>-1</t>
    </r>
  </si>
  <si>
    <r>
      <t>c</t>
    </r>
    <r>
      <rPr>
        <vertAlign val="subscript"/>
        <sz val="11"/>
        <rFont val="Calibri"/>
        <family val="2"/>
        <scheme val="minor"/>
      </rPr>
      <t>Pa,mbar</t>
    </r>
  </si>
  <si>
    <t>Conversion coefficient between pascal and milibar</t>
  </si>
  <si>
    <r>
      <t>Pa.mbar</t>
    </r>
    <r>
      <rPr>
        <vertAlign val="superscript"/>
        <sz val="11"/>
        <rFont val="Calibri"/>
        <family val="2"/>
        <scheme val="minor"/>
      </rPr>
      <t>-1</t>
    </r>
  </si>
  <si>
    <r>
      <t>c</t>
    </r>
    <r>
      <rPr>
        <vertAlign val="subscript"/>
        <sz val="11"/>
        <rFont val="Calibri"/>
        <family val="2"/>
        <scheme val="minor"/>
      </rPr>
      <t>micron,m</t>
    </r>
  </si>
  <si>
    <t>Conversion coefficient between microns and meters</t>
  </si>
  <si>
    <r>
      <t>micron.m</t>
    </r>
    <r>
      <rPr>
        <vertAlign val="superscript"/>
        <sz val="11"/>
        <rFont val="Calibri"/>
        <family val="2"/>
        <scheme val="minor"/>
      </rPr>
      <t>-1</t>
    </r>
  </si>
  <si>
    <r>
      <t>c</t>
    </r>
    <r>
      <rPr>
        <vertAlign val="subscript"/>
        <sz val="11"/>
        <rFont val="Calibri"/>
        <family val="2"/>
        <scheme val="minor"/>
      </rPr>
      <t>mm,m</t>
    </r>
  </si>
  <si>
    <t>Conversion coefficient between milimeters and meters</t>
  </si>
  <si>
    <r>
      <t>mm.m</t>
    </r>
    <r>
      <rPr>
        <vertAlign val="superscript"/>
        <sz val="11"/>
        <rFont val="Calibri"/>
        <family val="2"/>
        <scheme val="minor"/>
      </rPr>
      <t>-1</t>
    </r>
  </si>
  <si>
    <r>
      <t>cm.m</t>
    </r>
    <r>
      <rPr>
        <vertAlign val="superscript"/>
        <sz val="11"/>
        <rFont val="Calibri"/>
        <family val="2"/>
        <scheme val="minor"/>
      </rPr>
      <t>-1</t>
    </r>
  </si>
  <si>
    <r>
      <t>c</t>
    </r>
    <r>
      <rPr>
        <vertAlign val="subscript"/>
        <sz val="11"/>
        <rFont val="Calibri"/>
        <family val="2"/>
        <scheme val="minor"/>
      </rPr>
      <t>MG,m3</t>
    </r>
  </si>
  <si>
    <t>Conversion coefficient between million gallons and cubic meters</t>
  </si>
  <si>
    <r>
      <t>MG.m</t>
    </r>
    <r>
      <rPr>
        <vertAlign val="superscript"/>
        <sz val="11"/>
        <rFont val="Calibri"/>
        <family val="2"/>
        <scheme val="minor"/>
      </rPr>
      <t>-3</t>
    </r>
  </si>
  <si>
    <r>
      <t>c</t>
    </r>
    <r>
      <rPr>
        <vertAlign val="subscript"/>
        <sz val="11"/>
        <rFont val="Calibri"/>
        <family val="2"/>
        <scheme val="minor"/>
      </rPr>
      <t>G,m3</t>
    </r>
  </si>
  <si>
    <t>Conversion coefficient between gallons and cubic meters</t>
  </si>
  <si>
    <r>
      <t>G.m</t>
    </r>
    <r>
      <rPr>
        <vertAlign val="superscript"/>
        <sz val="11"/>
        <rFont val="Calibri"/>
        <family val="2"/>
        <scheme val="minor"/>
      </rPr>
      <t>-3</t>
    </r>
  </si>
  <si>
    <r>
      <t>c</t>
    </r>
    <r>
      <rPr>
        <vertAlign val="subscript"/>
        <sz val="11"/>
        <rFont val="Calibri"/>
        <family val="2"/>
        <scheme val="minor"/>
      </rPr>
      <t>lbs,g</t>
    </r>
  </si>
  <si>
    <t>Conversion coefficient between lbs and g</t>
  </si>
  <si>
    <r>
      <t>lbs.g</t>
    </r>
    <r>
      <rPr>
        <vertAlign val="superscript"/>
        <sz val="11"/>
        <rFont val="Calibri"/>
        <family val="2"/>
        <scheme val="minor"/>
      </rPr>
      <t>-1</t>
    </r>
  </si>
  <si>
    <r>
      <t>c</t>
    </r>
    <r>
      <rPr>
        <vertAlign val="subscript"/>
        <sz val="11"/>
        <rFont val="Calibri"/>
        <family val="2"/>
        <scheme val="minor"/>
      </rPr>
      <t>ft3,m3</t>
    </r>
  </si>
  <si>
    <t>Conversion coefficient between cubic feet and cubic meters</t>
  </si>
  <si>
    <r>
      <t>ft</t>
    </r>
    <r>
      <rPr>
        <vertAlign val="superscript"/>
        <sz val="11"/>
        <rFont val="Calibri"/>
        <family val="2"/>
        <scheme val="minor"/>
      </rPr>
      <t>3</t>
    </r>
    <r>
      <rPr>
        <sz val="11"/>
        <rFont val="Calibri"/>
        <family val="2"/>
        <scheme val="minor"/>
      </rPr>
      <t>.m</t>
    </r>
    <r>
      <rPr>
        <vertAlign val="superscript"/>
        <sz val="11"/>
        <rFont val="Calibri"/>
        <family val="2"/>
        <scheme val="minor"/>
      </rPr>
      <t>-3</t>
    </r>
  </si>
  <si>
    <r>
      <t>c</t>
    </r>
    <r>
      <rPr>
        <vertAlign val="subscript"/>
        <sz val="11"/>
        <rFont val="Calibri"/>
        <family val="2"/>
        <scheme val="minor"/>
      </rPr>
      <t>ft2,m2</t>
    </r>
  </si>
  <si>
    <t>Conversion coefficient between square feet and square meters</t>
  </si>
  <si>
    <r>
      <t>ft</t>
    </r>
    <r>
      <rPr>
        <vertAlign val="superscript"/>
        <sz val="11"/>
        <rFont val="Calibri"/>
        <family val="2"/>
        <scheme val="minor"/>
      </rPr>
      <t>2</t>
    </r>
    <r>
      <rPr>
        <sz val="11"/>
        <rFont val="Calibri"/>
        <family val="2"/>
        <scheme val="minor"/>
      </rPr>
      <t>.m</t>
    </r>
    <r>
      <rPr>
        <vertAlign val="superscript"/>
        <sz val="11"/>
        <rFont val="Calibri"/>
        <family val="2"/>
        <scheme val="minor"/>
      </rPr>
      <t>-2</t>
    </r>
  </si>
  <si>
    <r>
      <t>c</t>
    </r>
    <r>
      <rPr>
        <vertAlign val="subscript"/>
        <sz val="11"/>
        <rFont val="Calibri"/>
        <family val="2"/>
        <scheme val="minor"/>
      </rPr>
      <t>ft,m</t>
    </r>
  </si>
  <si>
    <t>Conversion coefficient between foot and meters</t>
  </si>
  <si>
    <r>
      <t>ft.m</t>
    </r>
    <r>
      <rPr>
        <vertAlign val="superscript"/>
        <sz val="11"/>
        <rFont val="Calibri"/>
        <family val="2"/>
        <scheme val="minor"/>
      </rPr>
      <t>-1</t>
    </r>
  </si>
  <si>
    <t>Standard enthalpy of phosphoric acid</t>
  </si>
  <si>
    <r>
      <t>dH</t>
    </r>
    <r>
      <rPr>
        <vertAlign val="subscript"/>
        <sz val="11"/>
        <rFont val="Calibri"/>
        <family val="2"/>
        <scheme val="minor"/>
      </rPr>
      <t>diss,Prop</t>
    </r>
  </si>
  <si>
    <t>Standard enthalpy change of propionate dissociation</t>
  </si>
  <si>
    <t>NIST</t>
  </si>
  <si>
    <r>
      <t>dH</t>
    </r>
    <r>
      <rPr>
        <vertAlign val="subscript"/>
        <sz val="11"/>
        <rFont val="Calibri"/>
        <family val="2"/>
        <scheme val="minor"/>
      </rPr>
      <t>diss,But</t>
    </r>
  </si>
  <si>
    <t>Standard enthalpy change of butyrate dissociation</t>
  </si>
  <si>
    <r>
      <t>dH</t>
    </r>
    <r>
      <rPr>
        <vertAlign val="subscript"/>
        <sz val="11"/>
        <rFont val="Calibri"/>
        <family val="2"/>
        <scheme val="minor"/>
      </rPr>
      <t>diss,Val</t>
    </r>
  </si>
  <si>
    <t>Standard enthalpy change of valerate dissociation</t>
  </si>
  <si>
    <r>
      <t>D</t>
    </r>
    <r>
      <rPr>
        <vertAlign val="subscript"/>
        <sz val="11"/>
        <rFont val="Calibri"/>
        <family val="2"/>
        <charset val="238"/>
        <scheme val="minor"/>
      </rPr>
      <t>SNH2OH</t>
    </r>
  </si>
  <si>
    <t>Diffusion coefficient of NH2OH</t>
  </si>
  <si>
    <r>
      <t>D</t>
    </r>
    <r>
      <rPr>
        <vertAlign val="subscript"/>
        <sz val="11"/>
        <rFont val="Calibri"/>
        <family val="2"/>
        <charset val="238"/>
        <scheme val="minor"/>
      </rPr>
      <t>SNO</t>
    </r>
  </si>
  <si>
    <r>
      <t>D</t>
    </r>
    <r>
      <rPr>
        <vertAlign val="subscript"/>
        <sz val="11"/>
        <rFont val="Calibri"/>
        <family val="2"/>
        <charset val="238"/>
        <scheme val="minor"/>
      </rPr>
      <t>SN2O</t>
    </r>
  </si>
  <si>
    <t>Diffusion coefficient of N2O</t>
  </si>
  <si>
    <r>
      <t>D</t>
    </r>
    <r>
      <rPr>
        <vertAlign val="subscript"/>
        <sz val="11"/>
        <rFont val="Calibri"/>
        <family val="2"/>
        <charset val="238"/>
        <scheme val="minor"/>
      </rPr>
      <t>SO</t>
    </r>
  </si>
  <si>
    <r>
      <t>D</t>
    </r>
    <r>
      <rPr>
        <vertAlign val="subscript"/>
        <sz val="11"/>
        <rFont val="Calibri"/>
        <family val="2"/>
        <charset val="238"/>
        <scheme val="minor"/>
      </rPr>
      <t>SHCO</t>
    </r>
  </si>
  <si>
    <r>
      <t>q</t>
    </r>
    <r>
      <rPr>
        <vertAlign val="subscript"/>
        <sz val="11"/>
        <rFont val="Calibri"/>
        <family val="2"/>
        <scheme val="minor"/>
      </rPr>
      <t>BSH,PREC</t>
    </r>
  </si>
  <si>
    <r>
      <t>q</t>
    </r>
    <r>
      <rPr>
        <vertAlign val="subscript"/>
        <sz val="11"/>
        <rFont val="Calibri"/>
        <family val="2"/>
        <scheme val="minor"/>
      </rPr>
      <t>BSH,DISS</t>
    </r>
  </si>
  <si>
    <t>Rate of brushite dissolution</t>
  </si>
  <si>
    <r>
      <t>Minh</t>
    </r>
    <r>
      <rPr>
        <vertAlign val="subscript"/>
        <sz val="11"/>
        <rFont val="Calibri"/>
        <family val="2"/>
      </rPr>
      <t>SNOx,KNOx,AOB</t>
    </r>
  </si>
  <si>
    <r>
      <t>Minh(S</t>
    </r>
    <r>
      <rPr>
        <vertAlign val="subscript"/>
        <sz val="11"/>
        <rFont val="Calibri"/>
        <family val="2"/>
      </rPr>
      <t>NOx</t>
    </r>
    <r>
      <rPr>
        <sz val="11"/>
        <rFont val="Calibri"/>
        <family val="2"/>
      </rPr>
      <t>;K</t>
    </r>
    <r>
      <rPr>
        <vertAlign val="subscript"/>
        <sz val="11"/>
        <rFont val="Calibri"/>
        <family val="2"/>
      </rPr>
      <t>NOx,AOB</t>
    </r>
    <r>
      <rPr>
        <sz val="11"/>
        <rFont val="Calibri"/>
        <family val="2"/>
      </rPr>
      <t>)</t>
    </r>
  </si>
  <si>
    <r>
      <t>Minh(S</t>
    </r>
    <r>
      <rPr>
        <vertAlign val="subscript"/>
        <sz val="11"/>
        <rFont val="Calibri"/>
        <family val="2"/>
      </rPr>
      <t>NOx</t>
    </r>
    <r>
      <rPr>
        <sz val="11"/>
        <rFont val="Calibri"/>
        <family val="2"/>
      </rPr>
      <t>;K</t>
    </r>
    <r>
      <rPr>
        <vertAlign val="subscript"/>
        <sz val="11"/>
        <rFont val="Calibri"/>
        <family val="2"/>
      </rPr>
      <t>NOx,NOB</t>
    </r>
    <r>
      <rPr>
        <sz val="11"/>
        <rFont val="Calibri"/>
        <family val="2"/>
      </rPr>
      <t>)</t>
    </r>
  </si>
  <si>
    <r>
      <t>Msat(S</t>
    </r>
    <r>
      <rPr>
        <vertAlign val="subscript"/>
        <sz val="11"/>
        <rFont val="Calibri"/>
        <family val="2"/>
      </rPr>
      <t>NOx</t>
    </r>
    <r>
      <rPr>
        <sz val="11"/>
        <rFont val="Calibri"/>
        <family val="2"/>
      </rPr>
      <t>;K</t>
    </r>
    <r>
      <rPr>
        <vertAlign val="subscript"/>
        <sz val="11"/>
        <rFont val="Calibri"/>
        <family val="2"/>
      </rPr>
      <t>NOx,NOB</t>
    </r>
    <r>
      <rPr>
        <sz val="11"/>
        <rFont val="Calibri"/>
        <family val="2"/>
      </rPr>
      <t>)</t>
    </r>
  </si>
  <si>
    <r>
      <t>Minh</t>
    </r>
    <r>
      <rPr>
        <vertAlign val="subscript"/>
        <sz val="11"/>
        <rFont val="Calibri"/>
        <family val="2"/>
      </rPr>
      <t>SNOx,KNOx,NOB</t>
    </r>
  </si>
  <si>
    <r>
      <t>Msat</t>
    </r>
    <r>
      <rPr>
        <vertAlign val="subscript"/>
        <sz val="11"/>
        <rFont val="Calibri"/>
        <family val="2"/>
      </rPr>
      <t>SNOx,KNOx,NOB</t>
    </r>
  </si>
  <si>
    <r>
      <t>Msat</t>
    </r>
    <r>
      <rPr>
        <vertAlign val="subscript"/>
        <sz val="11"/>
        <rFont val="Calibri"/>
        <family val="2"/>
      </rPr>
      <t>SNOx,KNOx,AMX</t>
    </r>
  </si>
  <si>
    <r>
      <t>Msat(S</t>
    </r>
    <r>
      <rPr>
        <vertAlign val="subscript"/>
        <sz val="11"/>
        <rFont val="Calibri"/>
        <family val="2"/>
      </rPr>
      <t>NOx</t>
    </r>
    <r>
      <rPr>
        <sz val="11"/>
        <rFont val="Calibri"/>
        <family val="2"/>
      </rPr>
      <t>;K</t>
    </r>
    <r>
      <rPr>
        <vertAlign val="subscript"/>
        <sz val="11"/>
        <rFont val="Calibri"/>
        <family val="2"/>
      </rPr>
      <t>NOx,AMX</t>
    </r>
    <r>
      <rPr>
        <sz val="11"/>
        <rFont val="Calibri"/>
        <family val="2"/>
      </rPr>
      <t>)</t>
    </r>
  </si>
  <si>
    <r>
      <t>Minh(S</t>
    </r>
    <r>
      <rPr>
        <vertAlign val="subscript"/>
        <sz val="11"/>
        <rFont val="Calibri"/>
        <family val="2"/>
      </rPr>
      <t>NOx</t>
    </r>
    <r>
      <rPr>
        <sz val="11"/>
        <rFont val="Calibri"/>
        <family val="2"/>
      </rPr>
      <t>;K</t>
    </r>
    <r>
      <rPr>
        <vertAlign val="subscript"/>
        <sz val="11"/>
        <rFont val="Calibri"/>
        <family val="2"/>
      </rPr>
      <t>NOx,AMX</t>
    </r>
    <r>
      <rPr>
        <sz val="11"/>
        <rFont val="Calibri"/>
        <family val="2"/>
      </rPr>
      <t>)</t>
    </r>
  </si>
  <si>
    <r>
      <t>Minh</t>
    </r>
    <r>
      <rPr>
        <vertAlign val="subscript"/>
        <sz val="11"/>
        <rFont val="Calibri"/>
        <family val="2"/>
      </rPr>
      <t>SNOx,KNOx,AMX</t>
    </r>
  </si>
  <si>
    <r>
      <t>Msat</t>
    </r>
    <r>
      <rPr>
        <vertAlign val="subscript"/>
        <sz val="11"/>
        <rFont val="Calibri"/>
        <family val="2"/>
      </rPr>
      <t>SNOx,KNOx,AOB</t>
    </r>
  </si>
  <si>
    <r>
      <t>Msat(S</t>
    </r>
    <r>
      <rPr>
        <vertAlign val="subscript"/>
        <sz val="11"/>
        <rFont val="Calibri"/>
        <family val="2"/>
      </rPr>
      <t>NOx</t>
    </r>
    <r>
      <rPr>
        <sz val="11"/>
        <rFont val="Calibri"/>
        <family val="2"/>
      </rPr>
      <t>;K</t>
    </r>
    <r>
      <rPr>
        <vertAlign val="subscript"/>
        <sz val="11"/>
        <rFont val="Calibri"/>
        <family val="2"/>
      </rPr>
      <t>NOx,AOB</t>
    </r>
    <r>
      <rPr>
        <sz val="11"/>
        <rFont val="Calibri"/>
        <family val="2"/>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</si>
  <si>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NOx,AMETO</t>
    </r>
    <r>
      <rPr>
        <sz val="11"/>
        <rFont val="Calibri"/>
        <family val="2"/>
        <scheme val="minor"/>
      </rPr>
      <t>)</t>
    </r>
  </si>
  <si>
    <r>
      <t>Msat(S</t>
    </r>
    <r>
      <rPr>
        <vertAlign val="subscript"/>
        <sz val="11"/>
        <rFont val="Calibri"/>
        <family val="2"/>
      </rPr>
      <t>NOx</t>
    </r>
    <r>
      <rPr>
        <sz val="11"/>
        <rFont val="Calibri"/>
        <family val="2"/>
      </rPr>
      <t>;K</t>
    </r>
    <r>
      <rPr>
        <vertAlign val="subscript"/>
        <sz val="11"/>
        <rFont val="Calibri"/>
        <family val="2"/>
      </rPr>
      <t>NOx,AMETO</t>
    </r>
    <r>
      <rPr>
        <sz val="11"/>
        <rFont val="Calibri"/>
        <family val="2"/>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</si>
  <si>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NOx,HMETO</t>
    </r>
    <r>
      <rPr>
        <sz val="11"/>
        <rFont val="Calibri"/>
        <family val="2"/>
        <scheme val="minor"/>
      </rPr>
      <t>)</t>
    </r>
  </si>
  <si>
    <r>
      <t>Msat(S</t>
    </r>
    <r>
      <rPr>
        <vertAlign val="subscript"/>
        <sz val="11"/>
        <rFont val="Calibri"/>
        <family val="2"/>
      </rPr>
      <t>NOx</t>
    </r>
    <r>
      <rPr>
        <sz val="11"/>
        <rFont val="Calibri"/>
        <family val="2"/>
      </rPr>
      <t>;K</t>
    </r>
    <r>
      <rPr>
        <vertAlign val="subscript"/>
        <sz val="11"/>
        <rFont val="Calibri"/>
        <family val="2"/>
      </rPr>
      <t>NOx,HMETO</t>
    </r>
    <r>
      <rPr>
        <sz val="11"/>
        <rFont val="Calibri"/>
        <family val="2"/>
      </rPr>
      <t>)</t>
    </r>
  </si>
  <si>
    <r>
      <t>MRsat(C</t>
    </r>
    <r>
      <rPr>
        <vertAlign val="subscript"/>
        <sz val="11"/>
        <rFont val="Calibri"/>
        <family val="2"/>
        <scheme val="minor"/>
      </rPr>
      <t>B</t>
    </r>
    <r>
      <rPr>
        <sz val="11"/>
        <rFont val="Calibri"/>
        <family val="2"/>
        <scheme val="minor"/>
      </rPr>
      <t>;X</t>
    </r>
    <r>
      <rPr>
        <vertAlign val="subscript"/>
        <sz val="11"/>
        <rFont val="Calibri"/>
        <family val="2"/>
        <scheme val="minor"/>
      </rPr>
      <t>BIO</t>
    </r>
    <r>
      <rPr>
        <sz val="11"/>
        <rFont val="Calibri"/>
        <family val="2"/>
        <scheme val="minor"/>
      </rPr>
      <t>;K</t>
    </r>
    <r>
      <rPr>
        <vertAlign val="subscript"/>
        <sz val="11"/>
        <rFont val="Calibri"/>
        <family val="2"/>
        <scheme val="minor"/>
      </rPr>
      <t>FLOC</t>
    </r>
    <r>
      <rPr>
        <sz val="11"/>
        <rFont val="Calibri"/>
        <family val="2"/>
        <scheme val="minor"/>
      </rPr>
      <t>)</t>
    </r>
  </si>
  <si>
    <r>
      <t>MRsat(C</t>
    </r>
    <r>
      <rPr>
        <vertAlign val="subscript"/>
        <sz val="11"/>
        <rFont val="Calibri"/>
        <family val="2"/>
        <scheme val="minor"/>
      </rPr>
      <t>U</t>
    </r>
    <r>
      <rPr>
        <sz val="11"/>
        <rFont val="Calibri"/>
        <family val="2"/>
        <scheme val="minor"/>
      </rPr>
      <t>;X</t>
    </r>
    <r>
      <rPr>
        <vertAlign val="subscript"/>
        <sz val="11"/>
        <rFont val="Calibri"/>
        <family val="2"/>
        <scheme val="minor"/>
      </rPr>
      <t>BIO</t>
    </r>
    <r>
      <rPr>
        <sz val="11"/>
        <rFont val="Calibri"/>
        <family val="2"/>
        <scheme val="minor"/>
      </rPr>
      <t>;K</t>
    </r>
    <r>
      <rPr>
        <vertAlign val="subscript"/>
        <sz val="11"/>
        <rFont val="Calibri"/>
        <family val="2"/>
        <scheme val="minor"/>
      </rPr>
      <t>FLOC</t>
    </r>
    <r>
      <rPr>
        <sz val="11"/>
        <rFont val="Calibri"/>
        <family val="2"/>
        <scheme val="minor"/>
      </rPr>
      <t>)</t>
    </r>
  </si>
  <si>
    <r>
      <t>MRsat(X</t>
    </r>
    <r>
      <rPr>
        <vertAlign val="subscript"/>
        <sz val="11"/>
        <rFont val="Calibri"/>
        <family val="2"/>
        <scheme val="minor"/>
      </rPr>
      <t>B</t>
    </r>
    <r>
      <rPr>
        <sz val="11"/>
        <rFont val="Calibri"/>
        <family val="2"/>
        <scheme val="minor"/>
      </rPr>
      <t>;X</t>
    </r>
    <r>
      <rPr>
        <vertAlign val="subscript"/>
        <sz val="11"/>
        <rFont val="Calibri"/>
        <family val="2"/>
        <scheme val="minor"/>
      </rPr>
      <t>BIO</t>
    </r>
    <r>
      <rPr>
        <sz val="11"/>
        <rFont val="Calibri"/>
        <family val="2"/>
        <scheme val="minor"/>
      </rPr>
      <t>;K</t>
    </r>
    <r>
      <rPr>
        <vertAlign val="subscript"/>
        <sz val="11"/>
        <rFont val="Calibri"/>
        <family val="2"/>
        <scheme val="minor"/>
      </rPr>
      <t>HYD</t>
    </r>
    <r>
      <rPr>
        <sz val="11"/>
        <rFont val="Calibri"/>
        <family val="2"/>
        <scheme val="minor"/>
      </rPr>
      <t>)</t>
    </r>
  </si>
  <si>
    <r>
      <t>MRsat(X</t>
    </r>
    <r>
      <rPr>
        <vertAlign val="subscript"/>
        <sz val="11"/>
        <rFont val="Calibri"/>
        <family val="2"/>
        <scheme val="minor"/>
      </rPr>
      <t>E,ana</t>
    </r>
    <r>
      <rPr>
        <sz val="11"/>
        <rFont val="Calibri"/>
        <family val="2"/>
        <scheme val="minor"/>
      </rPr>
      <t>;X</t>
    </r>
    <r>
      <rPr>
        <vertAlign val="subscript"/>
        <sz val="11"/>
        <rFont val="Calibri"/>
        <family val="2"/>
        <scheme val="minor"/>
      </rPr>
      <t>BIO</t>
    </r>
    <r>
      <rPr>
        <sz val="11"/>
        <rFont val="Calibri"/>
        <family val="2"/>
        <scheme val="minor"/>
      </rPr>
      <t>;K</t>
    </r>
    <r>
      <rPr>
        <vertAlign val="subscript"/>
        <sz val="11"/>
        <rFont val="Calibri"/>
        <family val="2"/>
        <scheme val="minor"/>
      </rPr>
      <t>HYD</t>
    </r>
    <r>
      <rPr>
        <sz val="11"/>
        <rFont val="Calibri"/>
        <family val="2"/>
        <scheme val="minor"/>
      </rPr>
      <t>)</t>
    </r>
  </si>
  <si>
    <t>HAO kinetics</t>
  </si>
  <si>
    <r>
      <t>q</t>
    </r>
    <r>
      <rPr>
        <vertAlign val="subscript"/>
        <sz val="11"/>
        <rFont val="Calibri"/>
        <family val="2"/>
        <scheme val="minor"/>
      </rPr>
      <t>HAOH,AGING</t>
    </r>
  </si>
  <si>
    <r>
      <t>Rate of X</t>
    </r>
    <r>
      <rPr>
        <vertAlign val="subscript"/>
        <sz val="11"/>
        <color rgb="FF000000"/>
        <rFont val="Calibri"/>
        <family val="2"/>
        <scheme val="minor"/>
      </rPr>
      <t>HAO,H</t>
    </r>
    <r>
      <rPr>
        <sz val="11"/>
        <color rgb="FF000000"/>
        <rFont val="Calibri"/>
        <family val="2"/>
        <charset val="238"/>
        <scheme val="minor"/>
      </rPr>
      <t xml:space="preserve"> aging</t>
    </r>
  </si>
  <si>
    <r>
      <t>q</t>
    </r>
    <r>
      <rPr>
        <vertAlign val="subscript"/>
        <sz val="11"/>
        <rFont val="Calibri"/>
        <family val="2"/>
        <scheme val="minor"/>
      </rPr>
      <t>HAOL,AGING</t>
    </r>
  </si>
  <si>
    <r>
      <t>Rate of X</t>
    </r>
    <r>
      <rPr>
        <vertAlign val="subscript"/>
        <sz val="11"/>
        <color rgb="FF000000"/>
        <rFont val="Calibri"/>
        <family val="2"/>
        <scheme val="minor"/>
      </rPr>
      <t>HAO,L</t>
    </r>
    <r>
      <rPr>
        <sz val="11"/>
        <color rgb="FF000000"/>
        <rFont val="Calibri"/>
        <family val="2"/>
        <charset val="238"/>
        <scheme val="minor"/>
      </rPr>
      <t xml:space="preserve"> aging</t>
    </r>
  </si>
  <si>
    <r>
      <t>q</t>
    </r>
    <r>
      <rPr>
        <vertAlign val="subscript"/>
        <sz val="11"/>
        <rFont val="Calibri"/>
        <family val="2"/>
        <scheme val="minor"/>
      </rPr>
      <t>P,HAO,COPREC</t>
    </r>
  </si>
  <si>
    <r>
      <t>Rate of P binding and coprecipitation on X</t>
    </r>
    <r>
      <rPr>
        <vertAlign val="subscript"/>
        <sz val="11"/>
        <rFont val="Calibri"/>
        <family val="2"/>
        <scheme val="minor"/>
      </rPr>
      <t>HAO,H</t>
    </r>
  </si>
  <si>
    <r>
      <t>q</t>
    </r>
    <r>
      <rPr>
        <vertAlign val="subscript"/>
        <sz val="11"/>
        <rFont val="Calibri"/>
        <family val="2"/>
        <scheme val="minor"/>
      </rPr>
      <t>P,HAO,BIND</t>
    </r>
  </si>
  <si>
    <r>
      <t>Rate of P binding on X</t>
    </r>
    <r>
      <rPr>
        <vertAlign val="subscript"/>
        <sz val="11"/>
        <rFont val="Calibri"/>
        <family val="2"/>
        <scheme val="minor"/>
      </rPr>
      <t>HAO,L</t>
    </r>
  </si>
  <si>
    <r>
      <t>q</t>
    </r>
    <r>
      <rPr>
        <vertAlign val="subscript"/>
        <sz val="11"/>
        <rFont val="Calibri"/>
        <family val="2"/>
        <scheme val="minor"/>
      </rPr>
      <t>HAOH,DESORP</t>
    </r>
  </si>
  <si>
    <r>
      <t>Rate of X</t>
    </r>
    <r>
      <rPr>
        <vertAlign val="subscript"/>
        <sz val="11"/>
        <color rgb="FF000000"/>
        <rFont val="Calibri"/>
        <family val="2"/>
        <scheme val="minor"/>
      </rPr>
      <t>HAO,H,P</t>
    </r>
    <r>
      <rPr>
        <sz val="11"/>
        <color rgb="FF000000"/>
        <rFont val="Calibri"/>
        <family val="2"/>
        <charset val="238"/>
        <scheme val="minor"/>
      </rPr>
      <t xml:space="preserve"> desorption</t>
    </r>
  </si>
  <si>
    <r>
      <t>q</t>
    </r>
    <r>
      <rPr>
        <vertAlign val="subscript"/>
        <sz val="11"/>
        <rFont val="Calibri"/>
        <family val="2"/>
        <scheme val="minor"/>
      </rPr>
      <t>HAOL,DESORP</t>
    </r>
  </si>
  <si>
    <r>
      <t>Rate of X</t>
    </r>
    <r>
      <rPr>
        <vertAlign val="subscript"/>
        <sz val="11"/>
        <color rgb="FF000000"/>
        <rFont val="Calibri"/>
        <family val="2"/>
        <scheme val="minor"/>
      </rPr>
      <t>HAO,L,P</t>
    </r>
    <r>
      <rPr>
        <sz val="11"/>
        <color rgb="FF000000"/>
        <rFont val="Calibri"/>
        <family val="2"/>
        <charset val="238"/>
        <scheme val="minor"/>
      </rPr>
      <t xml:space="preserve"> desorption</t>
    </r>
  </si>
  <si>
    <r>
      <t>q</t>
    </r>
    <r>
      <rPr>
        <vertAlign val="subscript"/>
        <sz val="11"/>
        <rFont val="Calibri"/>
        <family val="2"/>
        <scheme val="minor"/>
      </rPr>
      <t>HAO,DISS</t>
    </r>
  </si>
  <si>
    <r>
      <t>Rate of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r>
      <rPr>
        <sz val="11"/>
        <color rgb="FF000000"/>
        <rFont val="Calibri"/>
        <family val="2"/>
        <charset val="238"/>
        <scheme val="minor"/>
      </rPr>
      <t xml:space="preserve"> redissolution</t>
    </r>
  </si>
  <si>
    <r>
      <t>K</t>
    </r>
    <r>
      <rPr>
        <vertAlign val="subscript"/>
        <sz val="11"/>
        <rFont val="Calibri"/>
        <family val="2"/>
        <scheme val="minor"/>
      </rPr>
      <t>P,HAO,BIND</t>
    </r>
  </si>
  <si>
    <r>
      <t>Half-saturation of PO</t>
    </r>
    <r>
      <rPr>
        <vertAlign val="subscript"/>
        <sz val="11"/>
        <color rgb="FF000000"/>
        <rFont val="Calibri"/>
        <family val="2"/>
        <scheme val="minor"/>
      </rPr>
      <t>4</t>
    </r>
    <r>
      <rPr>
        <sz val="11"/>
        <color rgb="FF000000"/>
        <rFont val="Calibri"/>
        <family val="2"/>
        <charset val="238"/>
        <scheme val="minor"/>
      </rPr>
      <t xml:space="preserve"> for binding on HAO</t>
    </r>
  </si>
  <si>
    <r>
      <t>Ki</t>
    </r>
    <r>
      <rPr>
        <vertAlign val="subscript"/>
        <sz val="11"/>
        <rFont val="Calibri"/>
        <family val="2"/>
        <scheme val="minor"/>
      </rPr>
      <t>P,HAO,DISS</t>
    </r>
  </si>
  <si>
    <r>
      <t>Half-inhibition of PO</t>
    </r>
    <r>
      <rPr>
        <vertAlign val="subscript"/>
        <sz val="11"/>
        <color rgb="FF000000"/>
        <rFont val="Calibri"/>
        <family val="2"/>
        <scheme val="minor"/>
      </rPr>
      <t>4</t>
    </r>
    <r>
      <rPr>
        <sz val="11"/>
        <color rgb="FF000000"/>
        <rFont val="Calibri"/>
        <family val="2"/>
        <charset val="238"/>
        <scheme val="minor"/>
      </rPr>
      <t xml:space="preserve"> in HAO redissolution</t>
    </r>
  </si>
  <si>
    <r>
      <t>Ki</t>
    </r>
    <r>
      <rPr>
        <vertAlign val="subscript"/>
        <sz val="11"/>
        <rFont val="Calibri"/>
        <family val="2"/>
        <scheme val="minor"/>
      </rPr>
      <t>P,HAO,DESORP</t>
    </r>
  </si>
  <si>
    <r>
      <t>Half-inhibition of PO</t>
    </r>
    <r>
      <rPr>
        <vertAlign val="subscript"/>
        <sz val="11"/>
        <color rgb="FF000000"/>
        <rFont val="Calibri"/>
        <family val="2"/>
        <scheme val="minor"/>
      </rPr>
      <t>4</t>
    </r>
    <r>
      <rPr>
        <sz val="11"/>
        <color rgb="FF000000"/>
        <rFont val="Calibri"/>
        <family val="2"/>
        <charset val="238"/>
        <scheme val="minor"/>
      </rPr>
      <t xml:space="preserve"> in HAO desorption</t>
    </r>
  </si>
  <si>
    <r>
      <t>K</t>
    </r>
    <r>
      <rPr>
        <vertAlign val="subscript"/>
        <sz val="11"/>
        <color indexed="8"/>
        <rFont val="Calibri"/>
        <family val="2"/>
        <scheme val="minor"/>
      </rPr>
      <t>BSH,DISS</t>
    </r>
  </si>
  <si>
    <t>Half-saturation of brushite redissolution</t>
  </si>
  <si>
    <r>
      <t>θ</t>
    </r>
    <r>
      <rPr>
        <vertAlign val="subscript"/>
        <sz val="11"/>
        <color indexed="8"/>
        <rFont val="Calibri"/>
        <family val="2"/>
        <scheme val="minor"/>
      </rPr>
      <t>µ,CASTO</t>
    </r>
  </si>
  <si>
    <t>Arrhenius coefficient for CASTO growth</t>
  </si>
  <si>
    <r>
      <t>θ</t>
    </r>
    <r>
      <rPr>
        <vertAlign val="subscript"/>
        <sz val="11"/>
        <color indexed="8"/>
        <rFont val="Calibri"/>
        <family val="2"/>
        <scheme val="minor"/>
      </rPr>
      <t>q,PAO,PP</t>
    </r>
  </si>
  <si>
    <t>Arrhenius coefficient for PP storage</t>
  </si>
  <si>
    <r>
      <t>-EEQ</t>
    </r>
    <r>
      <rPr>
        <vertAlign val="subscript"/>
        <sz val="11"/>
        <rFont val="Calibri"/>
        <family val="2"/>
      </rPr>
      <t>NO2</t>
    </r>
    <r>
      <rPr>
        <sz val="11"/>
        <rFont val="Calibri"/>
        <family val="2"/>
      </rPr>
      <t>*X</t>
    </r>
    <r>
      <rPr>
        <vertAlign val="subscript"/>
        <sz val="11"/>
        <rFont val="Calibri"/>
        <family val="2"/>
      </rPr>
      <t>CASTO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</si>
  <si>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CASTO</t>
    </r>
    <r>
      <rPr>
        <sz val="11"/>
        <rFont val="Calibri"/>
        <family val="2"/>
      </rPr>
      <t>/X</t>
    </r>
    <r>
      <rPr>
        <vertAlign val="subscript"/>
        <sz val="11"/>
        <rFont val="Calibri"/>
        <family val="2"/>
      </rPr>
      <t>BIO</t>
    </r>
  </si>
  <si>
    <t>r36</t>
  </si>
  <si>
    <t>r37</t>
  </si>
  <si>
    <t>r38</t>
  </si>
  <si>
    <t>r39</t>
  </si>
  <si>
    <t>r40</t>
  </si>
  <si>
    <t>r41</t>
  </si>
  <si>
    <t>r42</t>
  </si>
  <si>
    <t>r43</t>
  </si>
  <si>
    <t>r44</t>
  </si>
  <si>
    <t>r83</t>
  </si>
  <si>
    <t>r107</t>
  </si>
  <si>
    <t>r108</t>
  </si>
  <si>
    <r>
      <t>pH</t>
    </r>
    <r>
      <rPr>
        <vertAlign val="subscript"/>
        <sz val="11"/>
        <rFont val="Calibri"/>
        <family val="2"/>
        <scheme val="minor"/>
      </rPr>
      <t>field</t>
    </r>
  </si>
  <si>
    <t>pH in process unit</t>
  </si>
  <si>
    <r>
      <t>-(v40_S</t>
    </r>
    <r>
      <rPr>
        <vertAlign val="subscript"/>
        <sz val="11"/>
        <rFont val="Calibri"/>
        <family val="2"/>
        <scheme val="minor"/>
      </rPr>
      <t>O2</t>
    </r>
    <r>
      <rPr>
        <sz val="11"/>
        <rFont val="Calibri"/>
        <family val="2"/>
        <scheme val="minor"/>
      </rPr>
      <t>*r40+v41_S</t>
    </r>
    <r>
      <rPr>
        <vertAlign val="subscript"/>
        <sz val="11"/>
        <rFont val="Calibri"/>
        <family val="2"/>
        <scheme val="minor"/>
      </rPr>
      <t>O2</t>
    </r>
    <r>
      <rPr>
        <sz val="11"/>
        <rFont val="Calibri"/>
        <family val="2"/>
        <scheme val="minor"/>
      </rPr>
      <t>*r41+v42_S</t>
    </r>
    <r>
      <rPr>
        <vertAlign val="subscript"/>
        <sz val="11"/>
        <rFont val="Calibri"/>
        <family val="2"/>
        <scheme val="minor"/>
      </rPr>
      <t>O2</t>
    </r>
    <r>
      <rPr>
        <sz val="11"/>
        <rFont val="Calibri"/>
        <family val="2"/>
        <scheme val="minor"/>
      </rPr>
      <t>*r42+v47_S</t>
    </r>
    <r>
      <rPr>
        <vertAlign val="subscript"/>
        <sz val="11"/>
        <rFont val="Calibri"/>
        <family val="2"/>
        <scheme val="minor"/>
      </rPr>
      <t>O2</t>
    </r>
    <r>
      <rPr>
        <sz val="11"/>
        <rFont val="Calibri"/>
        <family val="2"/>
        <scheme val="minor"/>
      </rPr>
      <t>*r47)</t>
    </r>
  </si>
  <si>
    <r>
      <t>v43_S</t>
    </r>
    <r>
      <rPr>
        <vertAlign val="subscript"/>
        <sz val="11"/>
        <rFont val="Calibri"/>
        <family val="2"/>
        <scheme val="minor"/>
      </rPr>
      <t>N2O</t>
    </r>
    <r>
      <rPr>
        <sz val="11"/>
        <rFont val="Calibri"/>
        <family val="2"/>
        <scheme val="minor"/>
      </rPr>
      <t>*r43</t>
    </r>
  </si>
  <si>
    <r>
      <t>v44_S</t>
    </r>
    <r>
      <rPr>
        <vertAlign val="subscript"/>
        <sz val="11"/>
        <rFont val="Calibri"/>
        <family val="2"/>
        <scheme val="minor"/>
      </rPr>
      <t>N2O</t>
    </r>
    <r>
      <rPr>
        <sz val="11"/>
        <rFont val="Calibri"/>
        <family val="2"/>
        <scheme val="minor"/>
      </rPr>
      <t>*r44</t>
    </r>
  </si>
  <si>
    <t>-Damp(chargebalance)</t>
  </si>
  <si>
    <t>Cooments</t>
  </si>
  <si>
    <t>If(x&lt;0;-Log10(-x+1);Log10(x+1))</t>
  </si>
  <si>
    <r>
      <t>Henry</t>
    </r>
    <r>
      <rPr>
        <vertAlign val="subscript"/>
        <sz val="11"/>
        <color theme="1"/>
        <rFont val="Calibri"/>
        <family val="2"/>
        <scheme val="minor"/>
      </rPr>
      <t>GNH3</t>
    </r>
    <r>
      <rPr>
        <sz val="11"/>
        <color indexed="8"/>
        <rFont val="Calibri"/>
        <family val="2"/>
      </rPr>
      <t>(T)</t>
    </r>
  </si>
  <si>
    <r>
      <t>Temperature dependent Henry coefficient for NH</t>
    </r>
    <r>
      <rPr>
        <vertAlign val="subscript"/>
        <sz val="11"/>
        <color theme="1"/>
        <rFont val="Calibri"/>
        <family val="2"/>
        <scheme val="minor"/>
      </rPr>
      <t>3</t>
    </r>
  </si>
  <si>
    <r>
      <t>Henry</t>
    </r>
    <r>
      <rPr>
        <vertAlign val="subscript"/>
        <sz val="11"/>
        <color theme="1"/>
        <rFont val="Calibri"/>
        <family val="2"/>
        <scheme val="minor"/>
      </rPr>
      <t>GNH3_25</t>
    </r>
    <r>
      <rPr>
        <sz val="11"/>
        <color indexed="8"/>
        <rFont val="Calibri"/>
        <family val="2"/>
      </rPr>
      <t>*Exp(Henry</t>
    </r>
    <r>
      <rPr>
        <vertAlign val="subscript"/>
        <sz val="11"/>
        <color theme="1"/>
        <rFont val="Calibri"/>
        <family val="2"/>
        <scheme val="minor"/>
      </rPr>
      <t>GNH3_dt</t>
    </r>
    <r>
      <rPr>
        <sz val="11"/>
        <color indexed="8"/>
        <rFont val="Calibri"/>
        <family val="2"/>
      </rPr>
      <t>*((1/T)-(1/298.15)))</t>
    </r>
  </si>
  <si>
    <r>
      <t>Henry</t>
    </r>
    <r>
      <rPr>
        <vertAlign val="subscript"/>
        <sz val="11"/>
        <color theme="1"/>
        <rFont val="Calibri"/>
        <family val="2"/>
        <scheme val="minor"/>
      </rPr>
      <t>GH2S</t>
    </r>
    <r>
      <rPr>
        <sz val="11"/>
        <color indexed="8"/>
        <rFont val="Calibri"/>
        <family val="2"/>
      </rPr>
      <t>(T)</t>
    </r>
  </si>
  <si>
    <r>
      <t>Temperature dependent Henry coefficient for H</t>
    </r>
    <r>
      <rPr>
        <vertAlign val="subscript"/>
        <sz val="11"/>
        <rFont val="Calibri"/>
        <family val="2"/>
        <scheme val="minor"/>
      </rPr>
      <t>2</t>
    </r>
    <r>
      <rPr>
        <sz val="11"/>
        <rFont val="Calibri"/>
        <family val="2"/>
        <scheme val="minor"/>
      </rPr>
      <t>S</t>
    </r>
  </si>
  <si>
    <r>
      <t>Henry</t>
    </r>
    <r>
      <rPr>
        <vertAlign val="subscript"/>
        <sz val="11"/>
        <color theme="1"/>
        <rFont val="Calibri"/>
        <family val="2"/>
        <scheme val="minor"/>
      </rPr>
      <t>GH2S_25</t>
    </r>
    <r>
      <rPr>
        <sz val="11"/>
        <color indexed="8"/>
        <rFont val="Calibri"/>
        <family val="2"/>
      </rPr>
      <t>*Exp(Henry</t>
    </r>
    <r>
      <rPr>
        <vertAlign val="subscript"/>
        <sz val="11"/>
        <color theme="1"/>
        <rFont val="Calibri"/>
        <family val="2"/>
        <scheme val="minor"/>
      </rPr>
      <t>GH2S_dt</t>
    </r>
    <r>
      <rPr>
        <sz val="11"/>
        <color indexed="8"/>
        <rFont val="Calibri"/>
        <family val="2"/>
      </rPr>
      <t>*((1/T)-(1/298.15)))</t>
    </r>
  </si>
  <si>
    <t>if (x &lt; Sumo__DampingLimit &amp;&amp; dx &lt; 0.0 &amp;&amp; fabs(dx/x) &gt; Sumo__DerivToStateRatioLimit)
{
     Real x_d = 1/((1+exp(-Sumo__DampingStrength/(Sumo__DampingLimit)*
                      (x - Sumo__DampingLimit/2.0))));
    return x_d*dx;
}
else return dx;</t>
  </si>
  <si>
    <t>MinElemIndex([] x)</t>
  </si>
  <si>
    <t>Index of element with minimum value in 'x'</t>
    <phoneticPr fontId="0"/>
  </si>
  <si>
    <t>return std::distance(x.data, std::min_element(x.data, x.data+x.size))+1;</t>
    <phoneticPr fontId="0"/>
  </si>
  <si>
    <t>Real sum = 0.0;
for( int i = 0; i &lt; y.size; ++i )
{
  if( y(i) == z ) sum += x(i);
}
return sum;</t>
  </si>
  <si>
    <t>STRING If(BOOL a; STRING b; STRING c)</t>
  </si>
  <si>
    <t>STRING</t>
  </si>
  <si>
    <t>Real sum = 0.0;
for( int i = 0; i &lt; x.size; ++i )
{
  sum += x(i);
}
return sum/x.size;</t>
  </si>
  <si>
    <t>Average([] x; INT start; INT end)</t>
  </si>
  <si>
    <t>Average of array elements between indices 'start' and 'end'</t>
  </si>
  <si>
    <t>Real sum = 0.0;
if (end &gt; x.size)
{
    return -9999.9;
}
if (start &gt; end)
{
    return -9999.9;
}
if (start == end &amp;&amp; start &lt; x.size)
{
    return x(start);
}
for(int i = start; i &lt; end; ++i)
{
  sum += x(i);
}
return sum/(end - start);</t>
  </si>
  <si>
    <t>Real m = x(0);
for( int i = 1; i &lt; x.size; ++i )
{
    m = max( m, x(i) );
}
return m;</t>
  </si>
  <si>
    <t>Real m = x(0);
for( int i = 1; i &lt; x.size; ++i )
{
    m = min( m, x(i) );
}
return m;</t>
  </si>
  <si>
    <t>Real sum = 0.0;
for( int i = 0; i &lt;= x.size; ++i )
{
  sum += x(i);
}
return sum;</t>
  </si>
  <si>
    <t>MoveAndPrepend([] x; y)</t>
  </si>
  <si>
    <t>Move the array content 'to the right' and insert a new value to array beginning</t>
  </si>
  <si>
    <t>for( int i = x.size-1; i &gt;= 1; --i )
{
  x(i) = x(i-1);
}
static int j = 0;
x(0) = y;
return j++;</t>
  </si>
  <si>
    <t>MoveAndAppend([] x; y)</t>
  </si>
  <si>
    <t>Move the array content 'to the left' and insert a new value to array end</t>
  </si>
  <si>
    <t>for( int i = 0; i &lt;= x.size-1; ++i )
{
  x(i) = x(i+1);
}
x(x.size-1) = y;
return 0;</t>
  </si>
  <si>
    <t>PAO (Phosphate accumulating organisms) fraction of CASTO</t>
  </si>
  <si>
    <t>GAO (Glycogen accumulating organisms) fraction of CASTO</t>
  </si>
  <si>
    <t>SV group</t>
  </si>
  <si>
    <t>Biomass</t>
  </si>
  <si>
    <t>O2</t>
  </si>
  <si>
    <t>TIC</t>
  </si>
  <si>
    <t>TSS</t>
  </si>
  <si>
    <t>MJ</t>
  </si>
  <si>
    <t>ALPHA</t>
  </si>
  <si>
    <t>IS input</t>
  </si>
  <si>
    <t>Advanced</t>
  </si>
  <si>
    <t>Non-pHSet; IS</t>
  </si>
  <si>
    <t>IS calculation</t>
  </si>
  <si>
    <r>
      <t>IS</t>
    </r>
    <r>
      <rPr>
        <vertAlign val="subscript"/>
        <sz val="11"/>
        <rFont val="Calibri"/>
        <family val="2"/>
        <scheme val="minor"/>
      </rPr>
      <t>input,AS</t>
    </r>
  </si>
  <si>
    <r>
      <t>IS</t>
    </r>
    <r>
      <rPr>
        <vertAlign val="subscript"/>
        <sz val="11"/>
        <rFont val="Calibri"/>
        <family val="2"/>
        <scheme val="minor"/>
      </rPr>
      <t>input,DIG</t>
    </r>
  </si>
  <si>
    <r>
      <t>IS</t>
    </r>
    <r>
      <rPr>
        <vertAlign val="subscript"/>
        <sz val="11"/>
        <color theme="1"/>
        <rFont val="Calibri"/>
        <family val="2"/>
        <scheme val="minor"/>
      </rPr>
      <t>input,AS</t>
    </r>
  </si>
  <si>
    <r>
      <t>IS</t>
    </r>
    <r>
      <rPr>
        <vertAlign val="subscript"/>
        <sz val="11"/>
        <color theme="1"/>
        <rFont val="Calibri"/>
        <family val="2"/>
        <scheme val="minor"/>
      </rPr>
      <t>input,DIG</t>
    </r>
  </si>
  <si>
    <t>pH; Non-IS; Non-Input; Digester</t>
  </si>
  <si>
    <r>
      <t>IS</t>
    </r>
    <r>
      <rPr>
        <vertAlign val="subscript"/>
        <sz val="11"/>
        <color theme="1"/>
        <rFont val="Calibri"/>
        <family val="2"/>
        <scheme val="minor"/>
      </rPr>
      <t>input,sidestream</t>
    </r>
  </si>
  <si>
    <t>Ionic strength input for sidestream</t>
  </si>
  <si>
    <t>Ionic strength input for activated sludge</t>
  </si>
  <si>
    <t>Ionic strength input for digesters</t>
  </si>
  <si>
    <r>
      <t>IS</t>
    </r>
    <r>
      <rPr>
        <vertAlign val="subscript"/>
        <sz val="11"/>
        <rFont val="Calibri"/>
        <family val="2"/>
        <scheme val="minor"/>
      </rPr>
      <t>input,sidestream</t>
    </r>
  </si>
  <si>
    <t>pH; Non-IS; Non-Input; Sidestream</t>
  </si>
  <si>
    <t>pH; Non-IS; Non-Input; Non-Digester; Non-Sidestream</t>
  </si>
  <si>
    <t>pH; Non-IS; Input; Non-Digester; Non-Sidestream; Non-pHSet</t>
  </si>
  <si>
    <t>pH; Non-IS; Input; Digester; Non-pHSet</t>
  </si>
  <si>
    <t>pH; Non-IS; Input; Sidestream; Non-pHSet</t>
  </si>
  <si>
    <t>previously 0.03</t>
  </si>
  <si>
    <t>previously 0.05</t>
  </si>
  <si>
    <t>previously 0.005</t>
  </si>
  <si>
    <r>
      <t>S</t>
    </r>
    <r>
      <rPr>
        <vertAlign val="subscript"/>
        <sz val="11"/>
        <rFont val="Calibri"/>
        <family val="2"/>
        <scheme val="minor"/>
      </rPr>
      <t>U,N</t>
    </r>
  </si>
  <si>
    <t>Soluble unbiodegradable organic nitrogen</t>
  </si>
  <si>
    <r>
      <t>S</t>
    </r>
    <r>
      <rPr>
        <vertAlign val="subscript"/>
        <sz val="11"/>
        <rFont val="Calibri"/>
        <family val="2"/>
      </rPr>
      <t>U</t>
    </r>
    <r>
      <rPr>
        <sz val="11"/>
        <rFont val="Calibri"/>
        <family val="2"/>
      </rPr>
      <t xml:space="preserve"> *i</t>
    </r>
    <r>
      <rPr>
        <vertAlign val="subscript"/>
        <sz val="11"/>
        <rFont val="Calibri"/>
        <family val="2"/>
      </rPr>
      <t>N,SU</t>
    </r>
  </si>
  <si>
    <r>
      <t>Logsatswitch(ORP; Logsat</t>
    </r>
    <r>
      <rPr>
        <vertAlign val="subscript"/>
        <sz val="11"/>
        <rFont val="Calibri"/>
        <family val="2"/>
      </rPr>
      <t>ORP,GAO,Half,T</t>
    </r>
    <r>
      <rPr>
        <sz val="11"/>
        <rFont val="Calibri"/>
        <family val="2"/>
      </rPr>
      <t>; Logsat</t>
    </r>
    <r>
      <rPr>
        <vertAlign val="subscript"/>
        <sz val="11"/>
        <rFont val="Calibri"/>
        <family val="2"/>
      </rPr>
      <t>ORP,GAO,Slope</t>
    </r>
    <r>
      <rPr>
        <sz val="11"/>
        <rFont val="Calibri"/>
        <family val="2"/>
      </rPr>
      <t>)</t>
    </r>
  </si>
  <si>
    <r>
      <t>Loginhswitch(ORP; Logsat</t>
    </r>
    <r>
      <rPr>
        <vertAlign val="subscript"/>
        <sz val="11"/>
        <rFont val="Calibri"/>
        <family val="2"/>
      </rPr>
      <t>ORP,HFO,Half</t>
    </r>
    <r>
      <rPr>
        <sz val="11"/>
        <rFont val="Calibri"/>
        <family val="2"/>
      </rPr>
      <t>; Logsat</t>
    </r>
    <r>
      <rPr>
        <vertAlign val="subscript"/>
        <sz val="11"/>
        <rFont val="Calibri"/>
        <family val="2"/>
      </rPr>
      <t>ORP,HFO,Slope</t>
    </r>
    <r>
      <rPr>
        <sz val="11"/>
        <rFont val="Calibri"/>
        <family val="2"/>
      </rPr>
      <t>)</t>
    </r>
  </si>
  <si>
    <r>
      <t>Loginhswitch(ORP; Logsat</t>
    </r>
    <r>
      <rPr>
        <vertAlign val="subscript"/>
        <sz val="11"/>
        <rFont val="Calibri"/>
        <family val="2"/>
      </rPr>
      <t>ORP,PAO,Half</t>
    </r>
    <r>
      <rPr>
        <sz val="11"/>
        <rFont val="Calibri"/>
        <family val="2"/>
      </rPr>
      <t>; Logsat</t>
    </r>
    <r>
      <rPr>
        <vertAlign val="subscript"/>
        <sz val="11"/>
        <rFont val="Calibri"/>
        <family val="2"/>
      </rPr>
      <t>ORP,PAO,Slope</t>
    </r>
    <r>
      <rPr>
        <sz val="11"/>
        <rFont val="Calibri"/>
        <family val="2"/>
      </rPr>
      <t>)</t>
    </r>
  </si>
  <si>
    <t>Bellopt(var; xopt; whalf; slope)</t>
  </si>
  <si>
    <t>Bell-shaped filtering function</t>
  </si>
  <si>
    <t>1 / (1 + Pow(Abs((var-xopt)/whalf),slope))</t>
  </si>
  <si>
    <t>Logsatswitch(var; halfval; slope)</t>
  </si>
  <si>
    <t>Logistic saturation switch</t>
  </si>
  <si>
    <t>Loginhswitch(var; halfval; slope)</t>
  </si>
  <si>
    <t>Logistic inhibition switch</t>
  </si>
  <si>
    <t>g COD.m-3</t>
  </si>
  <si>
    <t>Half-saturation of readily biodegradable substrate in fermentation by OHOs in digester (AS)</t>
  </si>
  <si>
    <t>1 gO2/m3 in Pocquet et al., 2016</t>
  </si>
  <si>
    <t>0.6 g O2/m3 in Pocquet et al., 2016</t>
  </si>
  <si>
    <t>0.9 g N/m3 in Pocquet et al., 2016</t>
  </si>
  <si>
    <r>
      <t>Logrange</t>
    </r>
    <r>
      <rPr>
        <vertAlign val="subscript"/>
        <sz val="11"/>
        <rFont val="Calibri"/>
        <family val="2"/>
        <charset val="238"/>
        <scheme val="minor"/>
      </rPr>
      <t>VFA,FERM,AS</t>
    </r>
  </si>
  <si>
    <t>Effective range of logistic switch for VFA fermentation by OHOs (AS)</t>
  </si>
  <si>
    <t>define range in percentage of half-saturation value</t>
  </si>
  <si>
    <r>
      <t>Logrange</t>
    </r>
    <r>
      <rPr>
        <vertAlign val="subscript"/>
        <sz val="11"/>
        <rFont val="Calibri"/>
        <family val="2"/>
        <scheme val="minor"/>
      </rPr>
      <t>PO4,PAO,AS,sat</t>
    </r>
  </si>
  <si>
    <r>
      <t>Effective range of logistic switch for PO</t>
    </r>
    <r>
      <rPr>
        <vertAlign val="subscript"/>
        <sz val="11"/>
        <rFont val="Calibri"/>
        <family val="2"/>
        <charset val="238"/>
        <scheme val="minor"/>
      </rPr>
      <t>4</t>
    </r>
    <r>
      <rPr>
        <sz val="11"/>
        <rFont val="Calibri"/>
        <family val="2"/>
        <scheme val="minor"/>
      </rPr>
      <t xml:space="preserve"> uptake by PAOs</t>
    </r>
  </si>
  <si>
    <r>
      <t>Logrange</t>
    </r>
    <r>
      <rPr>
        <vertAlign val="subscript"/>
        <sz val="11"/>
        <rFont val="Calibri"/>
        <family val="2"/>
        <charset val="238"/>
        <scheme val="minor"/>
      </rPr>
      <t>PP,PAO,AS,sat</t>
    </r>
  </si>
  <si>
    <t>Effective range of logistic switch for PP cleavage by PAOs</t>
  </si>
  <si>
    <r>
      <t>Logrange</t>
    </r>
    <r>
      <rPr>
        <vertAlign val="subscript"/>
        <sz val="11"/>
        <rFont val="Calibri"/>
        <family val="2"/>
        <charset val="238"/>
        <scheme val="minor"/>
      </rPr>
      <t>PP,PAO,inh</t>
    </r>
  </si>
  <si>
    <t>Effective range of logistic switch for PP/PAO inhibition term</t>
  </si>
  <si>
    <t>define range in percentage of half-inhibition value</t>
  </si>
  <si>
    <r>
      <t>Logrange</t>
    </r>
    <r>
      <rPr>
        <vertAlign val="subscript"/>
        <sz val="11"/>
        <rFont val="Calibri"/>
        <family val="2"/>
        <charset val="238"/>
        <scheme val="minor"/>
      </rPr>
      <t>PHA,PAO,inh</t>
    </r>
  </si>
  <si>
    <t>Effective range of logistic switch for PHA/PAO inhibition term</t>
  </si>
  <si>
    <r>
      <t>Logrange</t>
    </r>
    <r>
      <rPr>
        <vertAlign val="subscript"/>
        <sz val="11"/>
        <rFont val="Calibri"/>
        <family val="2"/>
        <charset val="238"/>
        <scheme val="minor"/>
      </rPr>
      <t>GLY,GAO,inh</t>
    </r>
  </si>
  <si>
    <t>Effective range of logistic switch for GLY/GAO inhibition term</t>
  </si>
  <si>
    <r>
      <t>Logrange</t>
    </r>
    <r>
      <rPr>
        <vertAlign val="subscript"/>
        <sz val="11"/>
        <rFont val="Calibri"/>
        <family val="2"/>
        <charset val="238"/>
        <scheme val="minor"/>
      </rPr>
      <t>CO2,AOB,AS</t>
    </r>
  </si>
  <si>
    <r>
      <t>Effective range of CO</t>
    </r>
    <r>
      <rPr>
        <vertAlign val="subscript"/>
        <sz val="11"/>
        <rFont val="Calibri"/>
        <family val="2"/>
        <charset val="238"/>
        <scheme val="minor"/>
      </rPr>
      <t>2</t>
    </r>
    <r>
      <rPr>
        <sz val="11"/>
        <rFont val="Calibri"/>
        <family val="2"/>
        <scheme val="minor"/>
      </rPr>
      <t xml:space="preserve"> logistic switch for AOBs (AS)</t>
    </r>
  </si>
  <si>
    <r>
      <t>Logrange</t>
    </r>
    <r>
      <rPr>
        <vertAlign val="subscript"/>
        <sz val="11"/>
        <rFont val="Calibri"/>
        <family val="2"/>
        <charset val="238"/>
        <scheme val="minor"/>
      </rPr>
      <t>CO2,AOB,sidestream</t>
    </r>
  </si>
  <si>
    <r>
      <t>Effective range of CO</t>
    </r>
    <r>
      <rPr>
        <vertAlign val="subscript"/>
        <sz val="11"/>
        <rFont val="Calibri"/>
        <family val="2"/>
        <charset val="238"/>
        <scheme val="minor"/>
      </rPr>
      <t>2</t>
    </r>
    <r>
      <rPr>
        <sz val="11"/>
        <rFont val="Calibri"/>
        <family val="2"/>
        <scheme val="minor"/>
      </rPr>
      <t xml:space="preserve"> logistic switch for AOBs (Sidestream)</t>
    </r>
  </si>
  <si>
    <r>
      <t>Logrange</t>
    </r>
    <r>
      <rPr>
        <vertAlign val="subscript"/>
        <sz val="11"/>
        <rFont val="Calibri"/>
        <family val="2"/>
        <charset val="238"/>
        <scheme val="minor"/>
      </rPr>
      <t>CO2,AOB,pH,AS</t>
    </r>
  </si>
  <si>
    <t>Effective range of bicarbonate logistic switch for AOBs (AS)</t>
  </si>
  <si>
    <r>
      <t>Logrange</t>
    </r>
    <r>
      <rPr>
        <vertAlign val="subscript"/>
        <sz val="11"/>
        <rFont val="Calibri"/>
        <family val="2"/>
        <charset val="238"/>
        <scheme val="minor"/>
      </rPr>
      <t>CO2,AOB,pH,sidestream</t>
    </r>
  </si>
  <si>
    <t>Effective range of bicarbonate logistic switch for AOBs (Sidestream)</t>
  </si>
  <si>
    <r>
      <t>Logrange</t>
    </r>
    <r>
      <rPr>
        <vertAlign val="subscript"/>
        <sz val="11"/>
        <color indexed="8"/>
        <rFont val="Calibri"/>
        <family val="2"/>
        <charset val="238"/>
        <scheme val="minor"/>
      </rPr>
      <t>CO2,NOB,AS</t>
    </r>
  </si>
  <si>
    <r>
      <t>Effective range of CO</t>
    </r>
    <r>
      <rPr>
        <vertAlign val="subscript"/>
        <sz val="11"/>
        <color indexed="8"/>
        <rFont val="Calibri"/>
        <family val="2"/>
        <charset val="238"/>
        <scheme val="minor"/>
      </rPr>
      <t>2</t>
    </r>
    <r>
      <rPr>
        <sz val="11"/>
        <color indexed="8"/>
        <rFont val="Calibri"/>
        <family val="2"/>
        <scheme val="minor"/>
      </rPr>
      <t xml:space="preserve"> logistic switch for NOBs (AS)</t>
    </r>
  </si>
  <si>
    <r>
      <t>Logrange</t>
    </r>
    <r>
      <rPr>
        <vertAlign val="subscript"/>
        <sz val="11"/>
        <color indexed="8"/>
        <rFont val="Calibri"/>
        <family val="2"/>
        <charset val="238"/>
        <scheme val="minor"/>
      </rPr>
      <t>CO2,NOB,pH,AS</t>
    </r>
  </si>
  <si>
    <t>Effective range of bicarbonate logistic switch for NOBs (AS)</t>
  </si>
  <si>
    <r>
      <t>Logrange</t>
    </r>
    <r>
      <rPr>
        <vertAlign val="subscript"/>
        <sz val="11"/>
        <color indexed="8"/>
        <rFont val="Calibri"/>
        <family val="2"/>
        <charset val="238"/>
        <scheme val="minor"/>
      </rPr>
      <t>CO2,AMX,AS</t>
    </r>
  </si>
  <si>
    <r>
      <t>Effective range of CO</t>
    </r>
    <r>
      <rPr>
        <vertAlign val="subscript"/>
        <sz val="11"/>
        <color indexed="8"/>
        <rFont val="Calibri"/>
        <family val="2"/>
        <charset val="238"/>
        <scheme val="minor"/>
      </rPr>
      <t>2</t>
    </r>
    <r>
      <rPr>
        <sz val="11"/>
        <color indexed="8"/>
        <rFont val="Calibri"/>
        <family val="2"/>
        <scheme val="minor"/>
      </rPr>
      <t xml:space="preserve"> logistic switch for AMX (AS)</t>
    </r>
  </si>
  <si>
    <r>
      <t>Logrange</t>
    </r>
    <r>
      <rPr>
        <vertAlign val="subscript"/>
        <sz val="11"/>
        <rFont val="Calibri"/>
        <family val="2"/>
        <charset val="238"/>
        <scheme val="minor"/>
      </rPr>
      <t>CO2,AMX,pH,AS</t>
    </r>
  </si>
  <si>
    <t>Effective range of bicarbonate logistic switch for AMX (AS)</t>
  </si>
  <si>
    <r>
      <t>Logrange</t>
    </r>
    <r>
      <rPr>
        <vertAlign val="subscript"/>
        <sz val="11"/>
        <rFont val="Calibri"/>
        <family val="2"/>
        <charset val="238"/>
        <scheme val="minor"/>
      </rPr>
      <t>P,HFO,DISS</t>
    </r>
  </si>
  <si>
    <t>Effective range of logistic switch for HFO redissolution</t>
  </si>
  <si>
    <r>
      <t>Logrange</t>
    </r>
    <r>
      <rPr>
        <vertAlign val="subscript"/>
        <sz val="11"/>
        <rFont val="Calibri"/>
        <family val="2"/>
        <charset val="238"/>
        <scheme val="minor"/>
      </rPr>
      <t>P,HAO,DISS</t>
    </r>
  </si>
  <si>
    <t>Effective range of logistic switch for HAO redissolution</t>
  </si>
  <si>
    <r>
      <t>Ki</t>
    </r>
    <r>
      <rPr>
        <vertAlign val="subscript"/>
        <sz val="11"/>
        <rFont val="Calibri"/>
        <family val="2"/>
        <scheme val="minor"/>
      </rPr>
      <t>P,HFO,DISS</t>
    </r>
  </si>
  <si>
    <t>var / (var + halfval * Exp((halfval - var) * slope))</t>
  </si>
  <si>
    <t>1 - var / (var + halfval * Exp((halfval - var) * slope))</t>
  </si>
  <si>
    <r>
      <t>Loginh</t>
    </r>
    <r>
      <rPr>
        <vertAlign val="subscript"/>
        <sz val="11"/>
        <rFont val="Calibri"/>
        <family val="2"/>
        <scheme val="minor"/>
      </rPr>
      <t>SPO4,KiP,HFO,DISS</t>
    </r>
  </si>
  <si>
    <r>
      <t>q</t>
    </r>
    <r>
      <rPr>
        <vertAlign val="subscript"/>
        <sz val="11"/>
        <rFont val="Calibri"/>
        <family val="2"/>
      </rPr>
      <t>HFO,DISS</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)*Loginh</t>
    </r>
    <r>
      <rPr>
        <vertAlign val="subscript"/>
        <sz val="11"/>
        <rFont val="Calibri"/>
        <family val="2"/>
      </rPr>
      <t>SPO4,KiP,HFO,DISS</t>
    </r>
  </si>
  <si>
    <t>Slope calculations for logistic saturation/inhibition functions</t>
  </si>
  <si>
    <r>
      <t>Logslope</t>
    </r>
    <r>
      <rPr>
        <vertAlign val="subscript"/>
        <sz val="11"/>
        <rFont val="Calibri"/>
        <family val="2"/>
        <scheme val="minor"/>
      </rPr>
      <t>CO2,AOB</t>
    </r>
  </si>
  <si>
    <r>
      <t>Logistic slope of CO</t>
    </r>
    <r>
      <rPr>
        <vertAlign val="subscript"/>
        <sz val="11"/>
        <color rgb="FF000000"/>
        <rFont val="Calibri"/>
        <family val="2"/>
        <scheme val="minor"/>
      </rPr>
      <t>2</t>
    </r>
    <r>
      <rPr>
        <sz val="11"/>
        <color rgb="FF000000"/>
        <rFont val="Calibri"/>
        <family val="2"/>
        <charset val="238"/>
        <scheme val="minor"/>
      </rPr>
      <t xml:space="preserve"> for AOBs in AS</t>
    </r>
  </si>
  <si>
    <r>
      <t>m</t>
    </r>
    <r>
      <rPr>
        <vertAlign val="superscript"/>
        <sz val="11"/>
        <rFont val="Calibri"/>
        <family val="2"/>
        <charset val="238"/>
        <scheme val="minor"/>
      </rPr>
      <t>3</t>
    </r>
    <r>
      <rPr>
        <sz val="11"/>
        <rFont val="Calibri"/>
        <family val="2"/>
        <scheme val="minor"/>
      </rPr>
      <t>.g TIC</t>
    </r>
    <r>
      <rPr>
        <vertAlign val="superscript"/>
        <sz val="11"/>
        <rFont val="Calibri"/>
        <family val="2"/>
        <scheme val="minor"/>
      </rPr>
      <t>-1</t>
    </r>
  </si>
  <si>
    <r>
      <t>Logistic slope of CO</t>
    </r>
    <r>
      <rPr>
        <vertAlign val="subscript"/>
        <sz val="11"/>
        <color rgb="FF000000"/>
        <rFont val="Calibri"/>
        <family val="2"/>
        <scheme val="minor"/>
      </rPr>
      <t>2</t>
    </r>
    <r>
      <rPr>
        <sz val="11"/>
        <color rgb="FF000000"/>
        <rFont val="Calibri"/>
        <family val="2"/>
        <charset val="238"/>
        <scheme val="minor"/>
      </rPr>
      <t xml:space="preserve"> for AOBs in sidestream</t>
    </r>
  </si>
  <si>
    <r>
      <t>Logslope</t>
    </r>
    <r>
      <rPr>
        <vertAlign val="subscript"/>
        <sz val="11"/>
        <rFont val="Calibri"/>
        <family val="2"/>
        <scheme val="minor"/>
      </rPr>
      <t>CO2,AOB,pH</t>
    </r>
  </si>
  <si>
    <r>
      <t>Logistic slope of bicarbonate</t>
    </r>
    <r>
      <rPr>
        <sz val="11"/>
        <color rgb="FF000000"/>
        <rFont val="Calibri"/>
        <family val="2"/>
        <charset val="238"/>
        <scheme val="minor"/>
      </rPr>
      <t xml:space="preserve"> for AOBs in AS</t>
    </r>
  </si>
  <si>
    <r>
      <t>L.mol [HCO</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</si>
  <si>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r>
      <t>Logistic slope of bicarbonate</t>
    </r>
    <r>
      <rPr>
        <sz val="11"/>
        <color rgb="FF000000"/>
        <rFont val="Calibri"/>
        <family val="2"/>
        <charset val="238"/>
        <scheme val="minor"/>
      </rPr>
      <t xml:space="preserve"> for AOBs in sidestream</t>
    </r>
  </si>
  <si>
    <r>
      <t>Logslope</t>
    </r>
    <r>
      <rPr>
        <vertAlign val="subscript"/>
        <sz val="11"/>
        <rFont val="Calibri"/>
        <family val="2"/>
        <charset val="238"/>
        <scheme val="minor"/>
      </rPr>
      <t>CO2,NOB</t>
    </r>
  </si>
  <si>
    <r>
      <t>Logistic slope of CO</t>
    </r>
    <r>
      <rPr>
        <vertAlign val="subscript"/>
        <sz val="11"/>
        <rFont val="Calibri"/>
        <family val="2"/>
        <charset val="238"/>
      </rPr>
      <t>2</t>
    </r>
    <r>
      <rPr>
        <sz val="11"/>
        <rFont val="Calibri"/>
        <family val="2"/>
      </rPr>
      <t xml:space="preserve"> for NOBs in AS</t>
    </r>
  </si>
  <si>
    <r>
      <t>m</t>
    </r>
    <r>
      <rPr>
        <vertAlign val="superscript"/>
        <sz val="11"/>
        <rFont val="Calibri"/>
        <family val="2"/>
        <charset val="238"/>
        <scheme val="minor"/>
      </rPr>
      <t>3</t>
    </r>
    <r>
      <rPr>
        <sz val="11"/>
        <rFont val="Calibri"/>
        <family val="2"/>
        <scheme val="minor"/>
      </rPr>
      <t>.g CO</t>
    </r>
    <r>
      <rPr>
        <vertAlign val="subscript"/>
        <sz val="11"/>
        <rFont val="Calibri"/>
        <family val="2"/>
        <scheme val="minor"/>
      </rPr>
      <t>2</t>
    </r>
    <r>
      <rPr>
        <vertAlign val="superscript"/>
        <sz val="11"/>
        <rFont val="Calibri"/>
        <family val="2"/>
        <scheme val="minor"/>
      </rPr>
      <t>-1</t>
    </r>
  </si>
  <si>
    <r>
      <t>Logslope</t>
    </r>
    <r>
      <rPr>
        <vertAlign val="subscript"/>
        <sz val="11"/>
        <rFont val="Calibri"/>
        <family val="2"/>
        <charset val="238"/>
        <scheme val="minor"/>
      </rPr>
      <t>CO2,NOB,pH</t>
    </r>
  </si>
  <si>
    <t>Logistic slope of bicarbonate for NOBs in AS</t>
  </si>
  <si>
    <r>
      <t>Logslope</t>
    </r>
    <r>
      <rPr>
        <vertAlign val="subscript"/>
        <sz val="11"/>
        <rFont val="Calibri"/>
        <family val="2"/>
        <scheme val="minor"/>
      </rPr>
      <t>CO2,AMX</t>
    </r>
  </si>
  <si>
    <r>
      <t>Logistic slope of CO</t>
    </r>
    <r>
      <rPr>
        <vertAlign val="subscript"/>
        <sz val="11"/>
        <color rgb="FF000000"/>
        <rFont val="Calibri"/>
        <family val="2"/>
        <scheme val="minor"/>
      </rPr>
      <t>2</t>
    </r>
    <r>
      <rPr>
        <sz val="11"/>
        <color rgb="FF000000"/>
        <rFont val="Calibri"/>
        <family val="2"/>
        <charset val="238"/>
        <scheme val="minor"/>
      </rPr>
      <t xml:space="preserve"> for AMX in AS</t>
    </r>
  </si>
  <si>
    <r>
      <t>Logslope</t>
    </r>
    <r>
      <rPr>
        <vertAlign val="subscript"/>
        <sz val="11"/>
        <rFont val="Calibri"/>
        <family val="2"/>
        <scheme val="minor"/>
      </rPr>
      <t>CO2,AMX,pH</t>
    </r>
  </si>
  <si>
    <r>
      <t>Logistic slope of bicarbonate</t>
    </r>
    <r>
      <rPr>
        <sz val="11"/>
        <color rgb="FF000000"/>
        <rFont val="Calibri"/>
        <family val="2"/>
        <charset val="238"/>
        <scheme val="minor"/>
      </rPr>
      <t xml:space="preserve"> for AMX in AS</t>
    </r>
  </si>
  <si>
    <r>
      <t>Logslope</t>
    </r>
    <r>
      <rPr>
        <vertAlign val="subscript"/>
        <sz val="11"/>
        <rFont val="Calibri"/>
        <family val="2"/>
        <charset val="238"/>
        <scheme val="minor"/>
      </rPr>
      <t>VFA,FERM</t>
    </r>
  </si>
  <si>
    <t>Logistic slope of VFA fermentation switch for OHOs in AS</t>
  </si>
  <si>
    <r>
      <t>m</t>
    </r>
    <r>
      <rPr>
        <vertAlign val="superscript"/>
        <sz val="11"/>
        <rFont val="Calibri"/>
        <family val="2"/>
        <charset val="238"/>
        <scheme val="minor"/>
      </rPr>
      <t>3</t>
    </r>
    <r>
      <rPr>
        <sz val="11"/>
        <rFont val="Calibri"/>
        <family val="2"/>
        <scheme val="minor"/>
      </rPr>
      <t>.g COD</t>
    </r>
    <r>
      <rPr>
        <vertAlign val="superscript"/>
        <sz val="11"/>
        <rFont val="Calibri"/>
        <family val="2"/>
        <charset val="238"/>
        <scheme val="minor"/>
      </rPr>
      <t>-1</t>
    </r>
  </si>
  <si>
    <t>Logistic slope of VFA fermentation switch for OHOs in biofilm</t>
  </si>
  <si>
    <r>
      <t>Logslope</t>
    </r>
    <r>
      <rPr>
        <vertAlign val="subscript"/>
        <sz val="11"/>
        <rFont val="Calibri"/>
        <family val="2"/>
        <charset val="238"/>
        <scheme val="minor"/>
      </rPr>
      <t>PO4,PAO,sat</t>
    </r>
  </si>
  <si>
    <r>
      <t>Logistic slope of PO</t>
    </r>
    <r>
      <rPr>
        <vertAlign val="subscript"/>
        <sz val="11"/>
        <rFont val="Calibri"/>
        <family val="2"/>
        <charset val="238"/>
        <scheme val="minor"/>
      </rPr>
      <t>4</t>
    </r>
    <r>
      <rPr>
        <sz val="11"/>
        <rFont val="Calibri"/>
        <family val="2"/>
        <scheme val="minor"/>
      </rPr>
      <t xml:space="preserve"> uptake switch for PAOs in AS</t>
    </r>
  </si>
  <si>
    <r>
      <t>m</t>
    </r>
    <r>
      <rPr>
        <vertAlign val="superscript"/>
        <sz val="11"/>
        <rFont val="Calibri"/>
        <family val="2"/>
        <charset val="238"/>
        <scheme val="minor"/>
      </rPr>
      <t>3</t>
    </r>
    <r>
      <rPr>
        <sz val="11"/>
        <rFont val="Calibri"/>
        <family val="2"/>
        <scheme val="minor"/>
      </rPr>
      <t>.g P</t>
    </r>
    <r>
      <rPr>
        <vertAlign val="superscript"/>
        <sz val="11"/>
        <rFont val="Calibri"/>
        <family val="2"/>
        <charset val="238"/>
        <scheme val="minor"/>
      </rPr>
      <t>-1</t>
    </r>
  </si>
  <si>
    <r>
      <t>Logistic slope of PO</t>
    </r>
    <r>
      <rPr>
        <vertAlign val="subscript"/>
        <sz val="11"/>
        <rFont val="Calibri"/>
        <family val="2"/>
        <charset val="238"/>
        <scheme val="minor"/>
      </rPr>
      <t>4</t>
    </r>
    <r>
      <rPr>
        <sz val="11"/>
        <rFont val="Calibri"/>
        <family val="2"/>
        <scheme val="minor"/>
      </rPr>
      <t xml:space="preserve"> uptake switch for PAOs in biofilm</t>
    </r>
  </si>
  <si>
    <r>
      <t>Logslope</t>
    </r>
    <r>
      <rPr>
        <vertAlign val="subscript"/>
        <sz val="11"/>
        <rFont val="Calibri"/>
        <family val="2"/>
        <charset val="238"/>
        <scheme val="minor"/>
      </rPr>
      <t>PP,PAO,sat</t>
    </r>
  </si>
  <si>
    <t>Logistic slope of PP cleavage switch for PAOs in AS</t>
  </si>
  <si>
    <t>Logistic slope of PP cleavage switch for PAOs in biofilm</t>
  </si>
  <si>
    <r>
      <t>Logslope</t>
    </r>
    <r>
      <rPr>
        <vertAlign val="subscript"/>
        <sz val="11"/>
        <rFont val="Calibri"/>
        <family val="2"/>
        <charset val="238"/>
        <scheme val="minor"/>
      </rPr>
      <t>PHA,PAO,inh</t>
    </r>
  </si>
  <si>
    <t>Logistic slope of inhibition term for PHA/PAO</t>
  </si>
  <si>
    <r>
      <t>Logslope</t>
    </r>
    <r>
      <rPr>
        <vertAlign val="subscript"/>
        <sz val="11"/>
        <rFont val="Calibri"/>
        <family val="2"/>
        <charset val="238"/>
        <scheme val="minor"/>
      </rPr>
      <t>PP,PAO,inh</t>
    </r>
  </si>
  <si>
    <t>Logistic slope of inhibition term for PP/PAO</t>
  </si>
  <si>
    <r>
      <t>Logslope</t>
    </r>
    <r>
      <rPr>
        <vertAlign val="subscript"/>
        <sz val="11"/>
        <rFont val="Calibri"/>
        <family val="2"/>
        <charset val="238"/>
        <scheme val="minor"/>
      </rPr>
      <t>GLY,GAO,inh</t>
    </r>
  </si>
  <si>
    <t>Logistic slope of inhibition term for GLY/GAO</t>
  </si>
  <si>
    <r>
      <t>Logslope</t>
    </r>
    <r>
      <rPr>
        <vertAlign val="subscript"/>
        <sz val="11"/>
        <rFont val="Calibri"/>
        <family val="2"/>
        <charset val="238"/>
        <scheme val="minor"/>
      </rPr>
      <t>P,HFO,DISS</t>
    </r>
  </si>
  <si>
    <r>
      <t>Logistic slope of PO</t>
    </r>
    <r>
      <rPr>
        <vertAlign val="subscript"/>
        <sz val="11"/>
        <rFont val="Calibri"/>
        <family val="2"/>
        <charset val="238"/>
        <scheme val="minor"/>
      </rPr>
      <t>4</t>
    </r>
    <r>
      <rPr>
        <sz val="11"/>
        <rFont val="Calibri"/>
        <family val="2"/>
        <scheme val="minor"/>
      </rPr>
      <t xml:space="preserve"> in HFO redissolution</t>
    </r>
  </si>
  <si>
    <r>
      <t>Logslope</t>
    </r>
    <r>
      <rPr>
        <vertAlign val="subscript"/>
        <sz val="11"/>
        <rFont val="Calibri"/>
        <family val="2"/>
        <charset val="238"/>
        <scheme val="minor"/>
      </rPr>
      <t>P,HAO,DISS</t>
    </r>
  </si>
  <si>
    <r>
      <t>Logistic slope of PO</t>
    </r>
    <r>
      <rPr>
        <vertAlign val="subscript"/>
        <sz val="11"/>
        <rFont val="Calibri"/>
        <family val="2"/>
        <charset val="238"/>
        <scheme val="minor"/>
      </rPr>
      <t>4</t>
    </r>
    <r>
      <rPr>
        <sz val="11"/>
        <rFont val="Calibri"/>
        <family val="2"/>
        <scheme val="minor"/>
      </rPr>
      <t xml:space="preserve"> in HAO redissolution</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</si>
  <si>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CO2,AOB,pH</t>
    </r>
    <r>
      <rPr>
        <sz val="11"/>
        <rFont val="Calibri"/>
        <family val="2"/>
        <scheme val="minor"/>
      </rPr>
      <t>;  Logslope</t>
    </r>
    <r>
      <rPr>
        <vertAlign val="subscript"/>
        <sz val="11"/>
        <rFont val="Calibri"/>
        <family val="2"/>
        <charset val="238"/>
        <scheme val="minor"/>
      </rPr>
      <t>CO2,AOB,pH</t>
    </r>
    <r>
      <rPr>
        <sz val="11"/>
        <rFont val="Calibri"/>
        <family val="2"/>
        <scheme val="minor"/>
      </rPr>
      <t>)</t>
    </r>
  </si>
  <si>
    <r>
      <t>Logsat(S</t>
    </r>
    <r>
      <rPr>
        <vertAlign val="subscript"/>
        <sz val="11"/>
        <rFont val="Calibri"/>
        <family val="2"/>
        <scheme val="minor"/>
      </rPr>
      <t>CO2</t>
    </r>
    <r>
      <rPr>
        <sz val="11"/>
        <rFont val="Calibri"/>
        <family val="2"/>
        <scheme val="minor"/>
      </rPr>
      <t>; K</t>
    </r>
    <r>
      <rPr>
        <vertAlign val="subscript"/>
        <sz val="11"/>
        <rFont val="Calibri"/>
        <family val="2"/>
        <scheme val="minor"/>
      </rPr>
      <t>CO2,AOB</t>
    </r>
    <r>
      <rPr>
        <sz val="11"/>
        <rFont val="Calibri"/>
        <family val="2"/>
        <scheme val="minor"/>
      </rPr>
      <t>; Logslope</t>
    </r>
    <r>
      <rPr>
        <vertAlign val="subscript"/>
        <sz val="11"/>
        <rFont val="Calibri"/>
        <family val="2"/>
        <charset val="238"/>
        <scheme val="minor"/>
      </rPr>
      <t>CO2,AOB</t>
    </r>
    <r>
      <rPr>
        <sz val="11"/>
        <rFont val="Calibri"/>
        <family val="2"/>
        <scheme val="minor"/>
      </rPr>
      <t>)</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</si>
  <si>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CO2,NOB,pH</t>
    </r>
    <r>
      <rPr>
        <sz val="11"/>
        <rFont val="Calibri"/>
        <family val="2"/>
        <scheme val="minor"/>
      </rPr>
      <t>; Logslope</t>
    </r>
    <r>
      <rPr>
        <vertAlign val="subscript"/>
        <sz val="11"/>
        <rFont val="Calibri"/>
        <family val="2"/>
        <charset val="238"/>
        <scheme val="minor"/>
      </rPr>
      <t>CO2,NOB,pH</t>
    </r>
    <r>
      <rPr>
        <sz val="11"/>
        <rFont val="Calibri"/>
        <family val="2"/>
        <scheme val="minor"/>
      </rPr>
      <t>)</t>
    </r>
  </si>
  <si>
    <r>
      <t>Logsat(S</t>
    </r>
    <r>
      <rPr>
        <vertAlign val="subscript"/>
        <sz val="11"/>
        <rFont val="Calibri"/>
        <family val="2"/>
        <scheme val="minor"/>
      </rPr>
      <t>CO2</t>
    </r>
    <r>
      <rPr>
        <sz val="11"/>
        <rFont val="Calibri"/>
        <family val="2"/>
        <scheme val="minor"/>
      </rPr>
      <t>; K</t>
    </r>
    <r>
      <rPr>
        <vertAlign val="subscript"/>
        <sz val="11"/>
        <rFont val="Calibri"/>
        <family val="2"/>
        <scheme val="minor"/>
      </rPr>
      <t>CO2,NOB</t>
    </r>
    <r>
      <rPr>
        <sz val="11"/>
        <rFont val="Calibri"/>
        <family val="2"/>
        <scheme val="minor"/>
      </rPr>
      <t>; Logslope</t>
    </r>
    <r>
      <rPr>
        <vertAlign val="subscript"/>
        <sz val="11"/>
        <rFont val="Calibri"/>
        <family val="2"/>
        <charset val="238"/>
        <scheme val="minor"/>
      </rPr>
      <t>CO2,NOB</t>
    </r>
    <r>
      <rPr>
        <sz val="11"/>
        <rFont val="Calibri"/>
        <family val="2"/>
        <scheme val="minor"/>
      </rPr>
      <t>)</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</si>
  <si>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CO2,AMX,pH</t>
    </r>
    <r>
      <rPr>
        <sz val="11"/>
        <rFont val="Calibri"/>
        <family val="2"/>
        <scheme val="minor"/>
      </rPr>
      <t>; Logslope</t>
    </r>
    <r>
      <rPr>
        <vertAlign val="subscript"/>
        <sz val="11"/>
        <rFont val="Calibri"/>
        <family val="2"/>
        <charset val="238"/>
        <scheme val="minor"/>
      </rPr>
      <t>CO2,AMX,pH</t>
    </r>
    <r>
      <rPr>
        <sz val="11"/>
        <rFont val="Calibri"/>
        <family val="2"/>
        <scheme val="minor"/>
      </rPr>
      <t>)</t>
    </r>
  </si>
  <si>
    <r>
      <t>Logsat(S</t>
    </r>
    <r>
      <rPr>
        <vertAlign val="subscript"/>
        <sz val="11"/>
        <rFont val="Calibri"/>
        <family val="2"/>
        <scheme val="minor"/>
      </rPr>
      <t>CO2</t>
    </r>
    <r>
      <rPr>
        <sz val="11"/>
        <rFont val="Calibri"/>
        <family val="2"/>
        <scheme val="minor"/>
      </rPr>
      <t>; K</t>
    </r>
    <r>
      <rPr>
        <vertAlign val="subscript"/>
        <sz val="11"/>
        <rFont val="Calibri"/>
        <family val="2"/>
        <scheme val="minor"/>
      </rPr>
      <t>CO2,AMX</t>
    </r>
    <r>
      <rPr>
        <sz val="11"/>
        <rFont val="Calibri"/>
        <family val="2"/>
        <scheme val="minor"/>
      </rPr>
      <t>; Logslope</t>
    </r>
    <r>
      <rPr>
        <vertAlign val="subscript"/>
        <sz val="11"/>
        <rFont val="Calibri"/>
        <family val="2"/>
        <charset val="238"/>
        <scheme val="minor"/>
      </rPr>
      <t>CO2,AMX</t>
    </r>
    <r>
      <rPr>
        <sz val="11"/>
        <rFont val="Calibri"/>
        <family val="2"/>
        <scheme val="minor"/>
      </rPr>
      <t>)</t>
    </r>
  </si>
  <si>
    <r>
      <t>Logsat(S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</si>
  <si>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Loginh(S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</si>
  <si>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PO4,PAO,sat</t>
    </r>
    <r>
      <rPr>
        <sz val="11"/>
        <rFont val="Calibri"/>
        <family val="2"/>
        <scheme val="minor"/>
      </rPr>
      <t>)</t>
    </r>
  </si>
  <si>
    <r>
      <t>Logsat(X</t>
    </r>
    <r>
      <rPr>
        <vertAlign val="subscript"/>
        <sz val="11"/>
        <rFont val="Calibri"/>
        <family val="2"/>
        <scheme val="minor"/>
      </rPr>
      <t>PP</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PP,PAO,sat</t>
    </r>
    <r>
      <rPr>
        <sz val="11"/>
        <rFont val="Calibri"/>
        <family val="2"/>
        <scheme val="minor"/>
      </rPr>
      <t>)</t>
    </r>
  </si>
  <si>
    <r>
      <t>Loginh(X</t>
    </r>
    <r>
      <rPr>
        <vertAlign val="subscript"/>
        <sz val="11"/>
        <rFont val="Calibri"/>
        <family val="2"/>
        <charset val="238"/>
        <scheme val="minor"/>
      </rPr>
      <t>PHA</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PHA,PAO,max</t>
    </r>
    <r>
      <rPr>
        <sz val="11"/>
        <rFont val="Calibri"/>
        <family val="2"/>
        <scheme val="minor"/>
      </rPr>
      <t>; Logslope</t>
    </r>
    <r>
      <rPr>
        <vertAlign val="subscript"/>
        <sz val="11"/>
        <rFont val="Calibri"/>
        <family val="2"/>
        <charset val="238"/>
        <scheme val="minor"/>
      </rPr>
      <t>PHA,PAO,inh</t>
    </r>
    <r>
      <rPr>
        <sz val="11"/>
        <rFont val="Calibri"/>
        <family val="2"/>
        <scheme val="minor"/>
      </rPr>
      <t>)</t>
    </r>
  </si>
  <si>
    <r>
      <t>Loginh(X</t>
    </r>
    <r>
      <rPr>
        <vertAlign val="subscript"/>
        <sz val="11"/>
        <rFont val="Calibri"/>
        <family val="2"/>
        <charset val="238"/>
        <scheme val="minor"/>
      </rPr>
      <t>PP</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PP,PAO,max</t>
    </r>
    <r>
      <rPr>
        <sz val="11"/>
        <rFont val="Calibri"/>
        <family val="2"/>
        <scheme val="minor"/>
      </rPr>
      <t>; Logslope</t>
    </r>
    <r>
      <rPr>
        <vertAlign val="subscript"/>
        <sz val="11"/>
        <rFont val="Calibri"/>
        <family val="2"/>
        <charset val="238"/>
        <scheme val="minor"/>
      </rPr>
      <t>PP,PAO,inh</t>
    </r>
    <r>
      <rPr>
        <sz val="11"/>
        <rFont val="Calibri"/>
        <family val="2"/>
        <scheme val="minor"/>
      </rPr>
      <t>)</t>
    </r>
  </si>
  <si>
    <r>
      <t>Loginh(X</t>
    </r>
    <r>
      <rPr>
        <vertAlign val="subscript"/>
        <sz val="11"/>
        <rFont val="Calibri"/>
        <family val="2"/>
        <charset val="238"/>
        <scheme val="minor"/>
      </rPr>
      <t>GLY</t>
    </r>
    <r>
      <rPr>
        <sz val="11"/>
        <rFont val="Calibri"/>
        <family val="2"/>
        <scheme val="minor"/>
      </rPr>
      <t>/X</t>
    </r>
    <r>
      <rPr>
        <vertAlign val="subscript"/>
        <sz val="11"/>
        <rFont val="Calibri"/>
        <family val="2"/>
        <charset val="238"/>
        <scheme val="minor"/>
      </rPr>
      <t>GAO</t>
    </r>
    <r>
      <rPr>
        <sz val="11"/>
        <rFont val="Calibri"/>
        <family val="2"/>
        <scheme val="minor"/>
      </rPr>
      <t>; Ki</t>
    </r>
    <r>
      <rPr>
        <vertAlign val="subscript"/>
        <sz val="11"/>
        <rFont val="Calibri"/>
        <family val="2"/>
        <charset val="238"/>
        <scheme val="minor"/>
      </rPr>
      <t>GLY,GAO,max</t>
    </r>
    <r>
      <rPr>
        <sz val="11"/>
        <rFont val="Calibri"/>
        <family val="2"/>
        <scheme val="minor"/>
      </rPr>
      <t>; Logslope</t>
    </r>
    <r>
      <rPr>
        <vertAlign val="subscript"/>
        <sz val="11"/>
        <rFont val="Calibri"/>
        <family val="2"/>
        <charset val="238"/>
        <scheme val="minor"/>
      </rPr>
      <t>GLY,GAO,inh</t>
    </r>
    <r>
      <rPr>
        <sz val="11"/>
        <rFont val="Calibri"/>
        <family val="2"/>
        <scheme val="minor"/>
      </rPr>
      <t>)</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</si>
  <si>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P,HFO,DISS</t>
    </r>
    <r>
      <rPr>
        <sz val="11"/>
        <rFont val="Calibri"/>
        <family val="2"/>
        <scheme val="minor"/>
      </rPr>
      <t>;Logslope</t>
    </r>
    <r>
      <rPr>
        <vertAlign val="subscript"/>
        <sz val="11"/>
        <rFont val="Calibri"/>
        <family val="2"/>
        <charset val="238"/>
        <scheme val="minor"/>
      </rPr>
      <t>P,HFO,DISS</t>
    </r>
    <r>
      <rPr>
        <sz val="11"/>
        <rFont val="Calibri"/>
        <family val="2"/>
        <scheme val="minor"/>
      </rPr>
      <t>)</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</si>
  <si>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P,HAO,DISS</t>
    </r>
    <r>
      <rPr>
        <sz val="11"/>
        <rFont val="Calibri"/>
        <family val="2"/>
        <scheme val="minor"/>
      </rPr>
      <t>;Logslope</t>
    </r>
    <r>
      <rPr>
        <vertAlign val="subscript"/>
        <sz val="11"/>
        <rFont val="Calibri"/>
        <family val="2"/>
        <charset val="238"/>
        <scheme val="minor"/>
      </rPr>
      <t>P,HAO,DISS</t>
    </r>
    <r>
      <rPr>
        <sz val="11"/>
        <rFont val="Calibri"/>
        <family val="2"/>
        <scheme val="minor"/>
      </rPr>
      <t>)</t>
    </r>
  </si>
  <si>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charset val="238"/>
        <scheme val="minor"/>
      </rPr>
      <t>-1</t>
    </r>
  </si>
  <si>
    <r>
      <t>µ</t>
    </r>
    <r>
      <rPr>
        <vertAlign val="subscript"/>
        <sz val="11"/>
        <color rgb="FF000000"/>
        <rFont val="Calibri"/>
        <family val="2"/>
        <scheme val="minor"/>
      </rPr>
      <t>AOB,T</t>
    </r>
    <r>
      <rPr>
        <sz val="11"/>
        <color indexed="8"/>
        <rFont val="Calibri"/>
        <family val="2"/>
        <scheme val="minor"/>
      </rPr>
      <t>/Y</t>
    </r>
    <r>
      <rPr>
        <vertAlign val="subscript"/>
        <sz val="11"/>
        <color rgb="FF000000"/>
        <rFont val="Calibri"/>
        <family val="2"/>
        <scheme val="minor"/>
      </rPr>
      <t>AOB</t>
    </r>
    <r>
      <rPr>
        <sz val="11"/>
        <color indexed="8"/>
        <rFont val="Calibri"/>
        <family val="2"/>
        <scheme val="minor"/>
      </rPr>
      <t>*X</t>
    </r>
    <r>
      <rPr>
        <vertAlign val="subscript"/>
        <sz val="11"/>
        <color rgb="FF000000"/>
        <rFont val="Calibri"/>
        <family val="2"/>
        <scheme val="minor"/>
      </rPr>
      <t>AOB</t>
    </r>
    <r>
      <rPr>
        <sz val="11"/>
        <color indexed="8"/>
        <rFont val="Calibri"/>
        <family val="2"/>
        <scheme val="minor"/>
      </rPr>
      <t>*Msat</t>
    </r>
    <r>
      <rPr>
        <vertAlign val="subscript"/>
        <sz val="11"/>
        <color rgb="FF000000"/>
        <rFont val="Calibri"/>
        <family val="2"/>
        <scheme val="minor"/>
      </rPr>
      <t>SO2,KO2,NHx,AOB</t>
    </r>
    <r>
      <rPr>
        <sz val="11"/>
        <color indexed="8"/>
        <rFont val="Calibri"/>
        <family val="2"/>
        <scheme val="minor"/>
      </rPr>
      <t>*Msat</t>
    </r>
    <r>
      <rPr>
        <vertAlign val="subscript"/>
        <sz val="11"/>
        <color rgb="FF000000"/>
        <rFont val="Calibri"/>
        <family val="2"/>
        <scheme val="minor"/>
      </rPr>
      <t>SNHx,KNHx,NH2OH,AOB</t>
    </r>
  </si>
  <si>
    <r>
      <t>µ</t>
    </r>
    <r>
      <rPr>
        <vertAlign val="subscript"/>
        <sz val="11"/>
        <rFont val="Calibri"/>
        <family val="2"/>
      </rPr>
      <t>AOB,T</t>
    </r>
    <r>
      <rPr>
        <sz val="11"/>
        <rFont val="Calibri"/>
        <family val="2"/>
      </rPr>
      <t>/Y</t>
    </r>
    <r>
      <rPr>
        <vertAlign val="subscript"/>
        <sz val="11"/>
        <rFont val="Calibri"/>
        <family val="2"/>
      </rPr>
      <t>AOB</t>
    </r>
    <r>
      <rPr>
        <sz val="11"/>
        <rFont val="Calibri"/>
        <family val="2"/>
      </rPr>
      <t>*X</t>
    </r>
    <r>
      <rPr>
        <vertAlign val="subscript"/>
        <sz val="11"/>
        <rFont val="Calibri"/>
        <family val="2"/>
      </rPr>
      <t>AOB</t>
    </r>
    <r>
      <rPr>
        <sz val="11"/>
        <rFont val="Calibri"/>
        <family val="2"/>
      </rPr>
      <t>*Msat</t>
    </r>
    <r>
      <rPr>
        <vertAlign val="subscript"/>
        <sz val="11"/>
        <rFont val="Calibri"/>
        <family val="2"/>
      </rPr>
      <t>SO2,KO2,NH2OH,AOB</t>
    </r>
    <r>
      <rPr>
        <sz val="11"/>
        <rFont val="Calibri"/>
        <family val="2"/>
      </rPr>
      <t>*Msat</t>
    </r>
    <r>
      <rPr>
        <vertAlign val="subscript"/>
        <sz val="11"/>
        <rFont val="Calibri"/>
        <family val="2"/>
      </rPr>
      <t>SNO,KNO,NO2,AOB</t>
    </r>
  </si>
  <si>
    <t>Non-Sidestream; Non-pH</t>
  </si>
  <si>
    <t>Non-Sidestream; pH</t>
  </si>
  <si>
    <t>Logisticslope(halfval; range)</t>
  </si>
  <si>
    <t>Slope for logistic saturation and inhibition functions</t>
  </si>
  <si>
    <t>(-1)*(2 / (halfval * range)) * Ln((1/19) * (1 + (1/2) * (halfval * range / halfval)))</t>
  </si>
  <si>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t>
    </r>
    <r>
      <rPr>
        <sz val="11"/>
        <rFont val="Calibri"/>
        <family val="2"/>
        <scheme val="minor"/>
      </rPr>
      <t xml:space="preserve"> / f</t>
    </r>
    <r>
      <rPr>
        <vertAlign val="subscript"/>
        <sz val="11"/>
        <rFont val="Calibri"/>
        <family val="2"/>
        <scheme val="minor"/>
      </rPr>
      <t>KS</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</si>
  <si>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t>
    </r>
    <r>
      <rPr>
        <sz val="11"/>
        <rFont val="Calibri"/>
        <family val="2"/>
        <scheme val="minor"/>
      </rPr>
      <t xml:space="preserve"> / f</t>
    </r>
    <r>
      <rPr>
        <vertAlign val="subscript"/>
        <sz val="11"/>
        <rFont val="Calibri"/>
        <family val="2"/>
        <scheme val="minor"/>
      </rPr>
      <t>KS</t>
    </r>
  </si>
  <si>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t>
    </r>
    <r>
      <rPr>
        <sz val="11"/>
        <rFont val="Calibri"/>
        <family val="2"/>
        <scheme val="minor"/>
      </rPr>
      <t xml:space="preserve"> / f</t>
    </r>
    <r>
      <rPr>
        <vertAlign val="subscript"/>
        <sz val="11"/>
        <rFont val="Calibri"/>
        <family val="2"/>
        <scheme val="minor"/>
      </rPr>
      <t>KS</t>
    </r>
  </si>
  <si>
    <t>based on the 95% percentile of the saturation function</t>
  </si>
  <si>
    <r>
      <t>Logisticslope(Ki</t>
    </r>
    <r>
      <rPr>
        <vertAlign val="subscript"/>
        <sz val="11"/>
        <rFont val="Calibri"/>
        <family val="2"/>
        <charset val="238"/>
        <scheme val="minor"/>
      </rPr>
      <t>P,HAO,DISS</t>
    </r>
    <r>
      <rPr>
        <sz val="11"/>
        <rFont val="Calibri"/>
        <family val="2"/>
        <scheme val="minor"/>
      </rPr>
      <t>; Logrange</t>
    </r>
    <r>
      <rPr>
        <vertAlign val="subscript"/>
        <sz val="11"/>
        <rFont val="Calibri"/>
        <family val="2"/>
        <charset val="238"/>
        <scheme val="minor"/>
      </rPr>
      <t>P,HAO,DISS</t>
    </r>
    <r>
      <rPr>
        <sz val="11"/>
        <rFont val="Calibri"/>
        <family val="2"/>
        <scheme val="minor"/>
      </rPr>
      <t>)</t>
    </r>
  </si>
  <si>
    <r>
      <t>Logisticslope(Ki</t>
    </r>
    <r>
      <rPr>
        <vertAlign val="subscript"/>
        <sz val="11"/>
        <rFont val="Calibri"/>
        <family val="2"/>
        <charset val="238"/>
        <scheme val="minor"/>
      </rPr>
      <t>P,HFO,DISS</t>
    </r>
    <r>
      <rPr>
        <sz val="11"/>
        <rFont val="Calibri"/>
        <family val="2"/>
        <scheme val="minor"/>
      </rPr>
      <t>; Logrange</t>
    </r>
    <r>
      <rPr>
        <vertAlign val="subscript"/>
        <sz val="11"/>
        <rFont val="Calibri"/>
        <family val="2"/>
        <charset val="238"/>
        <scheme val="minor"/>
      </rPr>
      <t>P,HFO,DISS</t>
    </r>
    <r>
      <rPr>
        <sz val="11"/>
        <rFont val="Calibri"/>
        <family val="2"/>
        <scheme val="minor"/>
      </rPr>
      <t>)</t>
    </r>
  </si>
  <si>
    <r>
      <t>Logisticslope(Ki</t>
    </r>
    <r>
      <rPr>
        <vertAlign val="subscript"/>
        <sz val="11"/>
        <rFont val="Calibri"/>
        <family val="2"/>
        <charset val="238"/>
        <scheme val="minor"/>
      </rPr>
      <t>GLY,GAO,max</t>
    </r>
    <r>
      <rPr>
        <sz val="11"/>
        <rFont val="Calibri"/>
        <family val="2"/>
        <scheme val="minor"/>
      </rPr>
      <t>; Logrange</t>
    </r>
    <r>
      <rPr>
        <vertAlign val="subscript"/>
        <sz val="11"/>
        <rFont val="Calibri"/>
        <family val="2"/>
        <charset val="238"/>
        <scheme val="minor"/>
      </rPr>
      <t>GLY,GAO,inh</t>
    </r>
    <r>
      <rPr>
        <sz val="11"/>
        <rFont val="Calibri"/>
        <family val="2"/>
        <scheme val="minor"/>
      </rPr>
      <t>)</t>
    </r>
  </si>
  <si>
    <r>
      <t>Logisticslope(Ki</t>
    </r>
    <r>
      <rPr>
        <vertAlign val="subscript"/>
        <sz val="11"/>
        <rFont val="Calibri"/>
        <family val="2"/>
        <charset val="238"/>
        <scheme val="minor"/>
      </rPr>
      <t>PP,PAO,max</t>
    </r>
    <r>
      <rPr>
        <sz val="11"/>
        <rFont val="Calibri"/>
        <family val="2"/>
        <scheme val="minor"/>
      </rPr>
      <t>; Logrange</t>
    </r>
    <r>
      <rPr>
        <vertAlign val="subscript"/>
        <sz val="11"/>
        <rFont val="Calibri"/>
        <family val="2"/>
        <charset val="238"/>
        <scheme val="minor"/>
      </rPr>
      <t>PP,PAO,inh</t>
    </r>
    <r>
      <rPr>
        <sz val="11"/>
        <rFont val="Calibri"/>
        <family val="2"/>
        <scheme val="minor"/>
      </rPr>
      <t>)</t>
    </r>
  </si>
  <si>
    <r>
      <t>Logisticslope(Ki</t>
    </r>
    <r>
      <rPr>
        <vertAlign val="subscript"/>
        <sz val="11"/>
        <rFont val="Calibri"/>
        <family val="2"/>
        <charset val="238"/>
        <scheme val="minor"/>
      </rPr>
      <t>PHA,PAO,max</t>
    </r>
    <r>
      <rPr>
        <sz val="11"/>
        <rFont val="Calibri"/>
        <family val="2"/>
        <scheme val="minor"/>
      </rPr>
      <t>; Logrange</t>
    </r>
    <r>
      <rPr>
        <vertAlign val="subscript"/>
        <sz val="11"/>
        <rFont val="Calibri"/>
        <family val="2"/>
        <charset val="238"/>
        <scheme val="minor"/>
      </rPr>
      <t>PHA,PAO,inh</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</si>
  <si>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</si>
  <si>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t>
    </r>
  </si>
  <si>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t>
    </r>
  </si>
  <si>
    <r>
      <t>Logisticslope(K</t>
    </r>
    <r>
      <rPr>
        <vertAlign val="subscript"/>
        <sz val="11"/>
        <rFont val="Calibri"/>
        <family val="2"/>
        <charset val="238"/>
        <scheme val="minor"/>
      </rPr>
      <t>CO2,AMX,pH,AS</t>
    </r>
    <r>
      <rPr>
        <sz val="11"/>
        <rFont val="Calibri"/>
        <family val="2"/>
        <scheme val="minor"/>
      </rPr>
      <t>; Logrange</t>
    </r>
    <r>
      <rPr>
        <vertAlign val="subscript"/>
        <sz val="11"/>
        <rFont val="Calibri"/>
        <family val="2"/>
        <charset val="238"/>
        <scheme val="minor"/>
      </rPr>
      <t>CO2,AMX,pH,AS</t>
    </r>
    <r>
      <rPr>
        <sz val="11"/>
        <rFont val="Calibri"/>
        <family val="2"/>
        <scheme val="minor"/>
      </rPr>
      <t>)</t>
    </r>
  </si>
  <si>
    <r>
      <t>Logisticslope(K</t>
    </r>
    <r>
      <rPr>
        <vertAlign val="subscript"/>
        <sz val="11"/>
        <rFont val="Calibri"/>
        <family val="2"/>
        <charset val="238"/>
        <scheme val="minor"/>
      </rPr>
      <t>CO2,AMX,AS</t>
    </r>
    <r>
      <rPr>
        <sz val="11"/>
        <rFont val="Calibri"/>
        <family val="2"/>
        <scheme val="minor"/>
      </rPr>
      <t>; Logrange</t>
    </r>
    <r>
      <rPr>
        <vertAlign val="subscript"/>
        <sz val="11"/>
        <rFont val="Calibri"/>
        <family val="2"/>
        <charset val="238"/>
        <scheme val="minor"/>
      </rPr>
      <t>CO2,AMX,AS</t>
    </r>
    <r>
      <rPr>
        <sz val="11"/>
        <rFont val="Calibri"/>
        <family val="2"/>
        <scheme val="minor"/>
      </rPr>
      <t>)</t>
    </r>
  </si>
  <si>
    <r>
      <t>Logisticslope(K</t>
    </r>
    <r>
      <rPr>
        <vertAlign val="subscript"/>
        <sz val="11"/>
        <rFont val="Calibri"/>
        <family val="2"/>
        <charset val="238"/>
        <scheme val="minor"/>
      </rPr>
      <t>CO2,AOB,AS</t>
    </r>
    <r>
      <rPr>
        <sz val="11"/>
        <rFont val="Calibri"/>
        <family val="2"/>
        <scheme val="minor"/>
      </rPr>
      <t>; Logrange</t>
    </r>
    <r>
      <rPr>
        <vertAlign val="subscript"/>
        <sz val="11"/>
        <rFont val="Calibri"/>
        <family val="2"/>
        <charset val="238"/>
        <scheme val="minor"/>
      </rPr>
      <t>CO2,AOB,AS</t>
    </r>
    <r>
      <rPr>
        <sz val="11"/>
        <rFont val="Calibri"/>
        <family val="2"/>
        <scheme val="minor"/>
      </rPr>
      <t>)</t>
    </r>
  </si>
  <si>
    <r>
      <t>Logisticslope(K</t>
    </r>
    <r>
      <rPr>
        <vertAlign val="subscript"/>
        <sz val="11"/>
        <rFont val="Calibri"/>
        <family val="2"/>
        <charset val="238"/>
        <scheme val="minor"/>
      </rPr>
      <t>CO2,AOB,sidestream</t>
    </r>
    <r>
      <rPr>
        <sz val="11"/>
        <rFont val="Calibri"/>
        <family val="2"/>
        <scheme val="minor"/>
      </rPr>
      <t>; Logrange</t>
    </r>
    <r>
      <rPr>
        <vertAlign val="subscript"/>
        <sz val="11"/>
        <rFont val="Calibri"/>
        <family val="2"/>
        <charset val="238"/>
        <scheme val="minor"/>
      </rPr>
      <t>CO2,AOB,sidestream</t>
    </r>
    <r>
      <rPr>
        <sz val="11"/>
        <rFont val="Calibri"/>
        <family val="2"/>
        <scheme val="minor"/>
      </rPr>
      <t>)</t>
    </r>
  </si>
  <si>
    <r>
      <t>Logisticslope(K</t>
    </r>
    <r>
      <rPr>
        <vertAlign val="subscript"/>
        <sz val="11"/>
        <rFont val="Calibri"/>
        <family val="2"/>
        <charset val="238"/>
        <scheme val="minor"/>
      </rPr>
      <t>CO2,AOB,pH,AS</t>
    </r>
    <r>
      <rPr>
        <sz val="11"/>
        <rFont val="Calibri"/>
        <family val="2"/>
        <scheme val="minor"/>
      </rPr>
      <t>; Logrange</t>
    </r>
    <r>
      <rPr>
        <vertAlign val="subscript"/>
        <sz val="11"/>
        <rFont val="Calibri"/>
        <family val="2"/>
        <charset val="238"/>
        <scheme val="minor"/>
      </rPr>
      <t>CO2,AOB,pH,AS</t>
    </r>
    <r>
      <rPr>
        <sz val="11"/>
        <rFont val="Calibri"/>
        <family val="2"/>
        <scheme val="minor"/>
      </rPr>
      <t>)</t>
    </r>
  </si>
  <si>
    <r>
      <t>Logisticslope(K</t>
    </r>
    <r>
      <rPr>
        <vertAlign val="subscript"/>
        <sz val="11"/>
        <rFont val="Calibri"/>
        <family val="2"/>
        <charset val="238"/>
        <scheme val="minor"/>
      </rPr>
      <t>CO2,AOB,pH,sidestream</t>
    </r>
    <r>
      <rPr>
        <sz val="11"/>
        <rFont val="Calibri"/>
        <family val="2"/>
        <scheme val="minor"/>
      </rPr>
      <t>; Logrange</t>
    </r>
    <r>
      <rPr>
        <vertAlign val="subscript"/>
        <sz val="11"/>
        <rFont val="Calibri"/>
        <family val="2"/>
        <charset val="238"/>
        <scheme val="minor"/>
      </rPr>
      <t>CO2,AOB,pH,sidestream</t>
    </r>
    <r>
      <rPr>
        <sz val="11"/>
        <rFont val="Calibri"/>
        <family val="2"/>
        <scheme val="minor"/>
      </rPr>
      <t>)</t>
    </r>
  </si>
  <si>
    <r>
      <t>Logisticslope(K</t>
    </r>
    <r>
      <rPr>
        <vertAlign val="subscript"/>
        <sz val="11"/>
        <rFont val="Calibri"/>
        <family val="2"/>
        <charset val="238"/>
        <scheme val="minor"/>
      </rPr>
      <t>CO2,NOB,AS</t>
    </r>
    <r>
      <rPr>
        <sz val="11"/>
        <rFont val="Calibri"/>
        <family val="2"/>
        <scheme val="minor"/>
      </rPr>
      <t>; Logrange</t>
    </r>
    <r>
      <rPr>
        <vertAlign val="subscript"/>
        <sz val="11"/>
        <rFont val="Calibri"/>
        <family val="2"/>
        <charset val="238"/>
        <scheme val="minor"/>
      </rPr>
      <t>CO2,NOB,AS</t>
    </r>
    <r>
      <rPr>
        <sz val="11"/>
        <rFont val="Calibri"/>
        <family val="2"/>
        <scheme val="minor"/>
      </rPr>
      <t>)</t>
    </r>
  </si>
  <si>
    <r>
      <t>Logisticslope(K</t>
    </r>
    <r>
      <rPr>
        <vertAlign val="subscript"/>
        <sz val="11"/>
        <rFont val="Calibri"/>
        <family val="2"/>
        <charset val="238"/>
        <scheme val="minor"/>
      </rPr>
      <t>CO2,NOB,pH,AS</t>
    </r>
    <r>
      <rPr>
        <sz val="11"/>
        <rFont val="Calibri"/>
        <family val="2"/>
        <scheme val="minor"/>
      </rPr>
      <t>; Logrange</t>
    </r>
    <r>
      <rPr>
        <vertAlign val="subscript"/>
        <sz val="11"/>
        <rFont val="Calibri"/>
        <family val="2"/>
        <charset val="238"/>
        <scheme val="minor"/>
      </rPr>
      <t>CO2,NOB,pH,AS</t>
    </r>
    <r>
      <rPr>
        <sz val="11"/>
        <rFont val="Calibri"/>
        <family val="2"/>
        <scheme val="minor"/>
      </rPr>
      <t>)</t>
    </r>
  </si>
  <si>
    <r>
      <rPr>
        <sz val="11"/>
        <color indexed="8"/>
        <rFont val="Calibri"/>
        <family val="2"/>
      </rPr>
      <t>ƞ</t>
    </r>
    <r>
      <rPr>
        <vertAlign val="subscript"/>
        <sz val="11"/>
        <color rgb="FF000000"/>
        <rFont val="Calibri"/>
        <family val="2"/>
        <scheme val="minor"/>
      </rPr>
      <t>AOB,NO,N2O</t>
    </r>
  </si>
  <si>
    <r>
      <t>ƞ</t>
    </r>
    <r>
      <rPr>
        <vertAlign val="subscript"/>
        <sz val="11"/>
        <color rgb="FF000000"/>
        <rFont val="Calibri"/>
        <family val="2"/>
        <scheme val="minor"/>
      </rPr>
      <t>AOB,NO2,N2O</t>
    </r>
  </si>
  <si>
    <t>(0.005 in Mampaey et al., 2019) (0.0015 d-1 in Pocquet et al., 2016)</t>
  </si>
  <si>
    <t>(0.065 d-1 in Mampaey et al., 2019) (0.25 d-1 in Pocquet et al., 2016)</t>
  </si>
  <si>
    <r>
      <t>µ</t>
    </r>
    <r>
      <rPr>
        <vertAlign val="subscript"/>
        <sz val="11"/>
        <rFont val="Calibri"/>
        <family val="2"/>
      </rPr>
      <t>AOB,T</t>
    </r>
    <r>
      <rPr>
        <sz val="11"/>
        <rFont val="Calibri"/>
        <family val="2"/>
      </rPr>
      <t>/Y</t>
    </r>
    <r>
      <rPr>
        <vertAlign val="subscript"/>
        <sz val="11"/>
        <rFont val="Calibri"/>
        <family val="2"/>
      </rPr>
      <t>AOB</t>
    </r>
    <r>
      <rPr>
        <sz val="11"/>
        <rFont val="Calibri"/>
        <family val="2"/>
      </rPr>
      <t>*ƞ</t>
    </r>
    <r>
      <rPr>
        <vertAlign val="subscript"/>
        <sz val="11"/>
        <rFont val="Calibri"/>
        <family val="2"/>
      </rPr>
      <t>AOB,NO,N2O</t>
    </r>
    <r>
      <rPr>
        <sz val="11"/>
        <rFont val="Calibri"/>
        <family val="2"/>
        <scheme val="minor"/>
      </rPr>
      <t>*X</t>
    </r>
    <r>
      <rPr>
        <vertAlign val="subscript"/>
        <sz val="11"/>
        <rFont val="Calibri"/>
        <family val="2"/>
        <scheme val="minor"/>
      </rPr>
      <t>AOB</t>
    </r>
    <r>
      <rPr>
        <sz val="11"/>
        <rFont val="Calibri"/>
        <family val="2"/>
        <scheme val="minor"/>
      </rPr>
      <t>*Msat</t>
    </r>
    <r>
      <rPr>
        <vertAlign val="subscript"/>
        <sz val="11"/>
        <rFont val="Calibri"/>
        <family val="2"/>
        <scheme val="minor"/>
      </rPr>
      <t>SNH2OH,KNH2OH,AOB</t>
    </r>
    <r>
      <rPr>
        <sz val="11"/>
        <rFont val="Calibri"/>
        <family val="2"/>
        <scheme val="minor"/>
      </rPr>
      <t>*Msat</t>
    </r>
    <r>
      <rPr>
        <vertAlign val="subscript"/>
        <sz val="11"/>
        <rFont val="Calibri"/>
        <family val="2"/>
        <scheme val="minor"/>
      </rPr>
      <t>SNO,KNO,N2O,AOB</t>
    </r>
  </si>
  <si>
    <r>
      <t>µ</t>
    </r>
    <r>
      <rPr>
        <vertAlign val="subscript"/>
        <sz val="11"/>
        <rFont val="Calibri"/>
        <family val="2"/>
      </rPr>
      <t>AOB,T</t>
    </r>
    <r>
      <rPr>
        <sz val="11"/>
        <rFont val="Calibri"/>
        <family val="2"/>
      </rPr>
      <t>/Y</t>
    </r>
    <r>
      <rPr>
        <vertAlign val="subscript"/>
        <sz val="11"/>
        <rFont val="Calibri"/>
        <family val="2"/>
      </rPr>
      <t>AOB</t>
    </r>
    <r>
      <rPr>
        <sz val="11"/>
        <rFont val="Calibri"/>
        <family val="2"/>
      </rPr>
      <t>*ƞ</t>
    </r>
    <r>
      <rPr>
        <vertAlign val="subscript"/>
        <sz val="11"/>
        <rFont val="Calibri"/>
        <family val="2"/>
      </rPr>
      <t>AOB,NO2,N2O</t>
    </r>
    <r>
      <rPr>
        <sz val="11"/>
        <rFont val="Calibri"/>
        <family val="2"/>
      </rPr>
      <t>*</t>
    </r>
    <r>
      <rPr>
        <sz val="11"/>
        <rFont val="Calibri"/>
        <family val="2"/>
        <scheme val="minor"/>
      </rPr>
      <t>X</t>
    </r>
    <r>
      <rPr>
        <vertAlign val="subscript"/>
        <sz val="11"/>
        <rFont val="Calibri"/>
        <family val="2"/>
        <scheme val="minor"/>
      </rPr>
      <t>AOB</t>
    </r>
    <r>
      <rPr>
        <sz val="11"/>
        <rFont val="Calibri"/>
        <family val="2"/>
        <scheme val="minor"/>
      </rPr>
      <t>*Msat</t>
    </r>
    <r>
      <rPr>
        <vertAlign val="subscript"/>
        <sz val="11"/>
        <rFont val="Calibri"/>
        <family val="2"/>
        <scheme val="minor"/>
      </rPr>
      <t>SNH2OH,KNH2OH,AOB</t>
    </r>
    <r>
      <rPr>
        <sz val="11"/>
        <rFont val="Calibri"/>
        <family val="2"/>
      </rPr>
      <t>*Msat</t>
    </r>
    <r>
      <rPr>
        <vertAlign val="subscript"/>
        <sz val="11"/>
        <rFont val="Calibri"/>
        <family val="2"/>
      </rPr>
      <t>SHNO2,KHNO2,AOB</t>
    </r>
    <r>
      <rPr>
        <sz val="11"/>
        <rFont val="Calibri"/>
        <family val="2"/>
      </rPr>
      <t>*Minh</t>
    </r>
    <r>
      <rPr>
        <vertAlign val="subscript"/>
        <sz val="11"/>
        <rFont val="Calibri"/>
        <family val="2"/>
      </rPr>
      <t>SO2,KiO2,AOB</t>
    </r>
  </si>
  <si>
    <t>Reduction factor for NO reduction to N2O by AOBs (NN pathway)</t>
  </si>
  <si>
    <t>Reduction factor for HNO2 reduction to N2O by AOBs (ND pathway)</t>
  </si>
  <si>
    <t>(0.125 g N.m-3 in Mampaey et al. 2019) (0.2 g N.m-3 in Pocquet et al., 2016; 0.7 g N.m-3 for SNHx in Sumo2)</t>
  </si>
  <si>
    <t>(0.002 g N/m3 in Mampaey et al., 2019) (0.0003 g N/m3 in Pocquet et al., 2016)</t>
  </si>
  <si>
    <t>(0.1 g O2/m3 in Mampaey et al., 2019) (0.8 g O2/m3 in Pocquet et al., 2016)</t>
  </si>
  <si>
    <r>
      <t>S</t>
    </r>
    <r>
      <rPr>
        <b/>
        <vertAlign val="subscript"/>
        <sz val="11"/>
        <rFont val="Calibri"/>
        <family val="2"/>
        <scheme val="minor"/>
      </rPr>
      <t>NO,AOB</t>
    </r>
  </si>
  <si>
    <r>
      <t>S</t>
    </r>
    <r>
      <rPr>
        <b/>
        <vertAlign val="subscript"/>
        <sz val="11"/>
        <rFont val="Calibri"/>
        <family val="2"/>
        <scheme val="minor"/>
      </rPr>
      <t>NO,OHO</t>
    </r>
  </si>
  <si>
    <t>Nitric oxide of AOB (NO)</t>
  </si>
  <si>
    <t>Nitric oxide of OHO (NO)</t>
  </si>
  <si>
    <r>
      <t>Hsat(S</t>
    </r>
    <r>
      <rPr>
        <vertAlign val="subscript"/>
        <sz val="11"/>
        <rFont val="Calibri"/>
        <family val="2"/>
      </rPr>
      <t>NO,OHO</t>
    </r>
    <r>
      <rPr>
        <sz val="11"/>
        <rFont val="Calibri"/>
        <family val="2"/>
      </rPr>
      <t>;K</t>
    </r>
    <r>
      <rPr>
        <vertAlign val="subscript"/>
        <sz val="11"/>
        <rFont val="Calibri"/>
        <family val="2"/>
      </rPr>
      <t>NO,OHO</t>
    </r>
    <r>
      <rPr>
        <sz val="11"/>
        <rFont val="Calibri"/>
        <family val="2"/>
      </rPr>
      <t>;Ki</t>
    </r>
    <r>
      <rPr>
        <vertAlign val="subscript"/>
        <sz val="11"/>
        <rFont val="Calibri"/>
        <family val="2"/>
      </rPr>
      <t>NO,OHO,NO,AS</t>
    </r>
    <r>
      <rPr>
        <sz val="11"/>
        <rFont val="Calibri"/>
        <family val="2"/>
      </rPr>
      <t>)</t>
    </r>
  </si>
  <si>
    <r>
      <t>Minh(S</t>
    </r>
    <r>
      <rPr>
        <vertAlign val="subscript"/>
        <sz val="11"/>
        <rFont val="Calibri"/>
        <family val="2"/>
        <scheme val="minor"/>
      </rPr>
      <t>NO,OHO</t>
    </r>
    <r>
      <rPr>
        <sz val="11"/>
        <rFont val="Calibri"/>
        <family val="2"/>
        <scheme val="minor"/>
      </rPr>
      <t>;Ki</t>
    </r>
    <r>
      <rPr>
        <vertAlign val="subscript"/>
        <sz val="11"/>
        <rFont val="Calibri"/>
        <family val="2"/>
        <scheme val="minor"/>
      </rPr>
      <t>NO,OHO,NO2</t>
    </r>
    <r>
      <rPr>
        <sz val="11"/>
        <rFont val="Calibri"/>
        <family val="2"/>
        <scheme val="minor"/>
      </rPr>
      <t>)</t>
    </r>
  </si>
  <si>
    <r>
      <t>Minh(S</t>
    </r>
    <r>
      <rPr>
        <vertAlign val="subscript"/>
        <sz val="11"/>
        <rFont val="Calibri"/>
        <family val="2"/>
        <scheme val="minor"/>
      </rPr>
      <t>NO,OHO</t>
    </r>
    <r>
      <rPr>
        <sz val="11"/>
        <rFont val="Calibri"/>
        <family val="2"/>
        <scheme val="minor"/>
      </rPr>
      <t>;Ki</t>
    </r>
    <r>
      <rPr>
        <vertAlign val="subscript"/>
        <sz val="11"/>
        <rFont val="Calibri"/>
        <family val="2"/>
        <scheme val="minor"/>
      </rPr>
      <t>NO,OHO,N2O</t>
    </r>
    <r>
      <rPr>
        <sz val="11"/>
        <rFont val="Calibri"/>
        <family val="2"/>
        <scheme val="minor"/>
      </rPr>
      <t>)</t>
    </r>
  </si>
  <si>
    <r>
      <t>Msat(S</t>
    </r>
    <r>
      <rPr>
        <vertAlign val="subscript"/>
        <sz val="11"/>
        <rFont val="Calibri"/>
        <family val="2"/>
        <scheme val="minor"/>
      </rPr>
      <t>NO,AOB</t>
    </r>
    <r>
      <rPr>
        <sz val="11"/>
        <rFont val="Calibri"/>
        <family val="2"/>
        <scheme val="minor"/>
      </rPr>
      <t>;K</t>
    </r>
    <r>
      <rPr>
        <vertAlign val="subscript"/>
        <sz val="11"/>
        <rFont val="Calibri"/>
        <family val="2"/>
      </rPr>
      <t>NO,NO2,AOB</t>
    </r>
    <r>
      <rPr>
        <sz val="11"/>
        <rFont val="Calibri"/>
        <family val="2"/>
        <scheme val="minor"/>
      </rPr>
      <t>)</t>
    </r>
  </si>
  <si>
    <r>
      <t>Msat(S</t>
    </r>
    <r>
      <rPr>
        <vertAlign val="subscript"/>
        <sz val="11"/>
        <rFont val="Calibri"/>
        <family val="2"/>
        <scheme val="minor"/>
      </rPr>
      <t>NO,AOB</t>
    </r>
    <r>
      <rPr>
        <sz val="11"/>
        <rFont val="Calibri"/>
        <family val="2"/>
        <scheme val="minor"/>
      </rPr>
      <t>;K</t>
    </r>
    <r>
      <rPr>
        <vertAlign val="subscript"/>
        <sz val="11"/>
        <rFont val="Calibri"/>
        <family val="2"/>
      </rPr>
      <t>NO,N2O,AOB</t>
    </r>
    <r>
      <rPr>
        <sz val="11"/>
        <rFont val="Calibri"/>
        <family val="2"/>
        <scheme val="minor"/>
      </rPr>
      <t>)</t>
    </r>
  </si>
  <si>
    <r>
      <t>S</t>
    </r>
    <r>
      <rPr>
        <vertAlign val="subscript"/>
        <sz val="11"/>
        <rFont val="Calibri"/>
        <family val="2"/>
        <charset val="238"/>
      </rPr>
      <t>NO,OHO</t>
    </r>
    <r>
      <rPr>
        <sz val="11"/>
        <rFont val="Calibri"/>
        <family val="2"/>
      </rPr>
      <t xml:space="preserve"> + S</t>
    </r>
    <r>
      <rPr>
        <vertAlign val="subscript"/>
        <sz val="11"/>
        <rFont val="Calibri"/>
        <family val="2"/>
      </rPr>
      <t>NO,AOB</t>
    </r>
  </si>
  <si>
    <r>
      <t>Nitric oxide (NO</t>
    </r>
    <r>
      <rPr>
        <sz val="11"/>
        <color rgb="FF000000"/>
        <rFont val="Calibri"/>
        <family val="2"/>
        <charset val="238"/>
        <scheme val="minor"/>
      </rPr>
      <t>)</t>
    </r>
  </si>
  <si>
    <r>
      <t>S</t>
    </r>
    <r>
      <rPr>
        <vertAlign val="subscript"/>
        <sz val="11"/>
        <rFont val="Calibri"/>
        <family val="2"/>
      </rPr>
      <t>NO</t>
    </r>
  </si>
  <si>
    <t>N2OPR_denit + N2OPR_nit</t>
  </si>
  <si>
    <t>N2OPR_NN + N2OPR_ND</t>
  </si>
  <si>
    <r>
      <t>Max(0;v4_S</t>
    </r>
    <r>
      <rPr>
        <vertAlign val="subscript"/>
        <sz val="11"/>
        <rFont val="Calibri"/>
        <family val="2"/>
        <scheme val="minor"/>
      </rPr>
      <t>N2O</t>
    </r>
    <r>
      <rPr>
        <sz val="11"/>
        <rFont val="Calibri"/>
        <family val="2"/>
        <scheme val="minor"/>
      </rPr>
      <t>*r4+v9_S</t>
    </r>
    <r>
      <rPr>
        <vertAlign val="subscript"/>
        <sz val="11"/>
        <rFont val="Calibri"/>
        <family val="2"/>
        <scheme val="minor"/>
      </rPr>
      <t>N2O</t>
    </r>
    <r>
      <rPr>
        <sz val="11"/>
        <rFont val="Calibri"/>
        <family val="2"/>
        <scheme val="minor"/>
      </rPr>
      <t>*r9+v5_S</t>
    </r>
    <r>
      <rPr>
        <vertAlign val="subscript"/>
        <sz val="11"/>
        <rFont val="Calibri"/>
        <family val="2"/>
        <scheme val="minor"/>
      </rPr>
      <t>N2O</t>
    </r>
    <r>
      <rPr>
        <sz val="11"/>
        <rFont val="Calibri"/>
        <family val="2"/>
        <scheme val="minor"/>
      </rPr>
      <t>*r5+v10_S</t>
    </r>
    <r>
      <rPr>
        <vertAlign val="subscript"/>
        <sz val="11"/>
        <rFont val="Calibri"/>
        <family val="2"/>
        <scheme val="minor"/>
      </rPr>
      <t>N2O</t>
    </r>
    <r>
      <rPr>
        <sz val="11"/>
        <rFont val="Calibri"/>
        <family val="2"/>
        <scheme val="minor"/>
      </rPr>
      <t>*r10)</t>
    </r>
  </si>
  <si>
    <r>
      <t>-(v73_S</t>
    </r>
    <r>
      <rPr>
        <vertAlign val="subscript"/>
        <sz val="11"/>
        <rFont val="Calibri"/>
        <family val="2"/>
        <scheme val="minor"/>
      </rPr>
      <t>PO4</t>
    </r>
    <r>
      <rPr>
        <sz val="11"/>
        <rFont val="Calibri"/>
        <family val="2"/>
        <scheme val="minor"/>
      </rPr>
      <t>*r73+v74_S</t>
    </r>
    <r>
      <rPr>
        <vertAlign val="subscript"/>
        <sz val="11"/>
        <rFont val="Calibri"/>
        <family val="2"/>
        <scheme val="minor"/>
      </rPr>
      <t>PO4</t>
    </r>
    <r>
      <rPr>
        <sz val="11"/>
        <rFont val="Calibri"/>
        <family val="2"/>
        <scheme val="minor"/>
      </rPr>
      <t>*r74+v82_S</t>
    </r>
    <r>
      <rPr>
        <vertAlign val="subscript"/>
        <sz val="11"/>
        <rFont val="Calibri"/>
        <family val="2"/>
        <scheme val="minor"/>
      </rPr>
      <t>PO4</t>
    </r>
    <r>
      <rPr>
        <sz val="11"/>
        <rFont val="Calibri"/>
        <family val="2"/>
        <scheme val="minor"/>
      </rPr>
      <t>*r82+v83_S</t>
    </r>
    <r>
      <rPr>
        <vertAlign val="subscript"/>
        <sz val="11"/>
        <rFont val="Calibri"/>
        <family val="2"/>
        <scheme val="minor"/>
      </rPr>
      <t>PO4</t>
    </r>
    <r>
      <rPr>
        <sz val="11"/>
        <rFont val="Calibri"/>
        <family val="2"/>
        <scheme val="minor"/>
      </rPr>
      <t>*r83+v88_SPO4*r88+v89_S</t>
    </r>
    <r>
      <rPr>
        <vertAlign val="subscript"/>
        <sz val="11"/>
        <rFont val="Calibri"/>
        <family val="2"/>
        <scheme val="minor"/>
      </rPr>
      <t>PO4</t>
    </r>
    <r>
      <rPr>
        <sz val="11"/>
        <rFont val="Calibri"/>
        <family val="2"/>
        <scheme val="minor"/>
      </rPr>
      <t>*r89+v90_S</t>
    </r>
    <r>
      <rPr>
        <vertAlign val="subscript"/>
        <sz val="11"/>
        <rFont val="Calibri"/>
        <family val="2"/>
        <scheme val="minor"/>
      </rPr>
      <t>PO4</t>
    </r>
    <r>
      <rPr>
        <sz val="11"/>
        <rFont val="Calibri"/>
        <family val="2"/>
        <scheme val="minor"/>
      </rPr>
      <t>*r90+v91_SPO4*r91)</t>
    </r>
  </si>
  <si>
    <t>N2OUR_denit</t>
  </si>
  <si>
    <t>N2O uptake rate in denitrification (N2OUR_denit)</t>
  </si>
  <si>
    <r>
      <t>Max(0;-(v4_S</t>
    </r>
    <r>
      <rPr>
        <vertAlign val="subscript"/>
        <sz val="11"/>
        <rFont val="Calibri"/>
        <family val="2"/>
        <scheme val="minor"/>
      </rPr>
      <t>N2O</t>
    </r>
    <r>
      <rPr>
        <sz val="11"/>
        <rFont val="Calibri"/>
        <family val="2"/>
        <scheme val="minor"/>
      </rPr>
      <t>*r4+v9_S</t>
    </r>
    <r>
      <rPr>
        <vertAlign val="subscript"/>
        <sz val="11"/>
        <rFont val="Calibri"/>
        <family val="2"/>
        <scheme val="minor"/>
      </rPr>
      <t>N2O</t>
    </r>
    <r>
      <rPr>
        <sz val="11"/>
        <rFont val="Calibri"/>
        <family val="2"/>
        <scheme val="minor"/>
      </rPr>
      <t>*r9+v5_S</t>
    </r>
    <r>
      <rPr>
        <vertAlign val="subscript"/>
        <sz val="11"/>
        <rFont val="Calibri"/>
        <family val="2"/>
        <scheme val="minor"/>
      </rPr>
      <t>N2O</t>
    </r>
    <r>
      <rPr>
        <sz val="11"/>
        <rFont val="Calibri"/>
        <family val="2"/>
        <scheme val="minor"/>
      </rPr>
      <t>*r5+v10_S</t>
    </r>
    <r>
      <rPr>
        <vertAlign val="subscript"/>
        <sz val="11"/>
        <rFont val="Calibri"/>
        <family val="2"/>
        <scheme val="minor"/>
      </rPr>
      <t>N2O</t>
    </r>
    <r>
      <rPr>
        <sz val="11"/>
        <rFont val="Calibri"/>
        <family val="2"/>
        <scheme val="minor"/>
      </rPr>
      <t>*r10))</t>
    </r>
  </si>
  <si>
    <r>
      <t>S</t>
    </r>
    <r>
      <rPr>
        <vertAlign val="subscript"/>
        <sz val="11"/>
        <rFont val="Calibri"/>
        <family val="2"/>
      </rPr>
      <t>NO,AOB</t>
    </r>
    <r>
      <rPr>
        <sz val="11"/>
        <rFont val="Calibri"/>
        <family val="2"/>
      </rPr>
      <t>/S</t>
    </r>
    <r>
      <rPr>
        <vertAlign val="subscript"/>
        <sz val="11"/>
        <rFont val="Calibri"/>
        <family val="2"/>
      </rPr>
      <t>NO</t>
    </r>
  </si>
  <si>
    <r>
      <t>S</t>
    </r>
    <r>
      <rPr>
        <vertAlign val="subscript"/>
        <sz val="11"/>
        <rFont val="Calibri"/>
        <family val="2"/>
      </rPr>
      <t>NO,OHO</t>
    </r>
    <r>
      <rPr>
        <sz val="11"/>
        <rFont val="Calibri"/>
        <family val="2"/>
      </rPr>
      <t>/S</t>
    </r>
    <r>
      <rPr>
        <vertAlign val="subscript"/>
        <sz val="11"/>
        <rFont val="Calibri"/>
        <family val="2"/>
      </rPr>
      <t>NO</t>
    </r>
  </si>
  <si>
    <r>
      <t>S</t>
    </r>
    <r>
      <rPr>
        <vertAlign val="subscript"/>
        <sz val="11"/>
        <rFont val="Calibri"/>
        <family val="2"/>
        <charset val="238"/>
      </rPr>
      <t>NO2</t>
    </r>
    <r>
      <rPr>
        <sz val="11"/>
        <rFont val="Calibri"/>
        <family val="2"/>
      </rPr>
      <t xml:space="preserve"> + S</t>
    </r>
    <r>
      <rPr>
        <vertAlign val="subscript"/>
        <sz val="11"/>
        <rFont val="Calibri"/>
        <family val="2"/>
        <charset val="238"/>
      </rPr>
      <t>NO3</t>
    </r>
  </si>
  <si>
    <r>
      <t>T</t>
    </r>
    <r>
      <rPr>
        <vertAlign val="subscript"/>
        <sz val="11"/>
        <rFont val="Calibri"/>
        <family val="2"/>
        <scheme val="minor"/>
      </rPr>
      <t>KN</t>
    </r>
    <r>
      <rPr>
        <sz val="11"/>
        <rFont val="Calibri"/>
        <family val="2"/>
        <scheme val="minor"/>
      </rPr>
      <t xml:space="preserve"> + S</t>
    </r>
    <r>
      <rPr>
        <vertAlign val="subscript"/>
        <sz val="11"/>
        <rFont val="Calibri"/>
        <family val="2"/>
        <scheme val="minor"/>
      </rPr>
      <t>NH2OH</t>
    </r>
    <r>
      <rPr>
        <sz val="11"/>
        <rFont val="Calibri"/>
        <family val="2"/>
        <scheme val="minor"/>
      </rPr>
      <t xml:space="preserve"> + S</t>
    </r>
    <r>
      <rPr>
        <vertAlign val="subscript"/>
        <sz val="11"/>
        <rFont val="Calibri"/>
        <family val="2"/>
        <scheme val="minor"/>
      </rPr>
      <t>NO</t>
    </r>
    <r>
      <rPr>
        <sz val="11"/>
        <rFont val="Calibri"/>
        <family val="2"/>
        <scheme val="minor"/>
      </rPr>
      <t xml:space="preserve"> + S</t>
    </r>
    <r>
      <rPr>
        <vertAlign val="subscript"/>
        <sz val="11"/>
        <rFont val="Calibri"/>
        <family val="2"/>
        <scheme val="minor"/>
      </rPr>
      <t>NOx</t>
    </r>
  </si>
  <si>
    <r>
      <t>T</t>
    </r>
    <r>
      <rPr>
        <vertAlign val="subscript"/>
        <sz val="11"/>
        <rFont val="Calibri"/>
        <family val="2"/>
        <charset val="238"/>
        <scheme val="minor"/>
      </rPr>
      <t>KN,B</t>
    </r>
  </si>
  <si>
    <t>Total organic Kjeldahl nitrogen</t>
  </si>
  <si>
    <r>
      <t>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BIO</t>
    </r>
  </si>
  <si>
    <r>
      <t>T</t>
    </r>
    <r>
      <rPr>
        <vertAlign val="subscript"/>
        <sz val="11"/>
        <rFont val="Calibri"/>
        <family val="2"/>
        <charset val="238"/>
      </rPr>
      <t>IN</t>
    </r>
  </si>
  <si>
    <t>Total inorganic nitrogen</t>
  </si>
  <si>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NOx</t>
    </r>
    <r>
      <rPr>
        <sz val="11"/>
        <rFont val="Calibri"/>
        <family val="2"/>
        <scheme val="minor"/>
      </rPr>
      <t>+ S</t>
    </r>
    <r>
      <rPr>
        <vertAlign val="subscript"/>
        <sz val="11"/>
        <rFont val="Calibri"/>
        <family val="2"/>
        <scheme val="minor"/>
      </rPr>
      <t>NH2OH</t>
    </r>
    <r>
      <rPr>
        <sz val="11"/>
        <rFont val="Calibri"/>
        <family val="2"/>
        <scheme val="minor"/>
      </rPr>
      <t xml:space="preserve"> + S</t>
    </r>
    <r>
      <rPr>
        <vertAlign val="subscript"/>
        <sz val="11"/>
        <rFont val="Calibri"/>
        <family val="2"/>
        <scheme val="minor"/>
      </rPr>
      <t>NO</t>
    </r>
  </si>
  <si>
    <r>
      <t>Ki</t>
    </r>
    <r>
      <rPr>
        <vertAlign val="subscript"/>
        <sz val="11"/>
        <rFont val="Calibri"/>
        <family val="2"/>
        <scheme val="minor"/>
      </rPr>
      <t>NHx,AMETO,AS</t>
    </r>
  </si>
  <si>
    <r>
      <t>Half-inhibition of SNHx</t>
    </r>
    <r>
      <rPr>
        <sz val="11"/>
        <color rgb="FF000000"/>
        <rFont val="Calibri"/>
        <family val="2"/>
        <charset val="238"/>
        <scheme val="minor"/>
      </rPr>
      <t xml:space="preserve"> for AMETOs (AS)</t>
    </r>
  </si>
  <si>
    <r>
      <t>Ki</t>
    </r>
    <r>
      <rPr>
        <vertAlign val="subscript"/>
        <sz val="11"/>
        <rFont val="Calibri"/>
        <family val="2"/>
        <scheme val="minor"/>
      </rPr>
      <t>NH3,AMETO,pH,AS</t>
    </r>
  </si>
  <si>
    <r>
      <t>Half-inhibition of NH3</t>
    </r>
    <r>
      <rPr>
        <sz val="11"/>
        <color rgb="FF000000"/>
        <rFont val="Calibri"/>
        <family val="2"/>
        <charset val="238"/>
        <scheme val="minor"/>
      </rPr>
      <t xml:space="preserve"> for AMETOs (AS)</t>
    </r>
  </si>
  <si>
    <r>
      <t>Logrange</t>
    </r>
    <r>
      <rPr>
        <vertAlign val="subscript"/>
        <sz val="11"/>
        <rFont val="Calibri"/>
        <family val="2"/>
        <charset val="238"/>
        <scheme val="minor"/>
      </rPr>
      <t>NH3,AMETO</t>
    </r>
  </si>
  <si>
    <t>Effective range of NH3 logistic switch for AMETOs</t>
  </si>
  <si>
    <t>A_MP/M_MBSH</t>
  </si>
  <si>
    <r>
      <t>Ki</t>
    </r>
    <r>
      <rPr>
        <vertAlign val="subscript"/>
        <sz val="11"/>
        <rFont val="Calibri"/>
        <family val="2"/>
        <scheme val="minor"/>
      </rPr>
      <t>NHx,AMETO</t>
    </r>
  </si>
  <si>
    <r>
      <t>Ki</t>
    </r>
    <r>
      <rPr>
        <vertAlign val="subscript"/>
        <sz val="11"/>
        <rFont val="Calibri"/>
        <family val="2"/>
        <scheme val="minor"/>
      </rPr>
      <t>NHx,AMETO,AS</t>
    </r>
    <r>
      <rPr>
        <sz val="11"/>
        <rFont val="Calibri"/>
        <family val="2"/>
        <scheme val="minor"/>
      </rPr>
      <t>*f</t>
    </r>
    <r>
      <rPr>
        <vertAlign val="subscript"/>
        <sz val="11"/>
        <rFont val="Calibri"/>
        <family val="2"/>
        <scheme val="minor"/>
      </rPr>
      <t>KS</t>
    </r>
  </si>
  <si>
    <r>
      <t>Ki</t>
    </r>
    <r>
      <rPr>
        <vertAlign val="subscript"/>
        <sz val="11"/>
        <rFont val="Calibri"/>
        <family val="2"/>
        <scheme val="minor"/>
      </rPr>
      <t>NH3,AMETO,pH</t>
    </r>
  </si>
  <si>
    <r>
      <t>Ki</t>
    </r>
    <r>
      <rPr>
        <vertAlign val="subscript"/>
        <sz val="11"/>
        <rFont val="Calibri"/>
        <family val="2"/>
        <scheme val="minor"/>
      </rPr>
      <t>NH3,AMETO,pH,AS</t>
    </r>
    <r>
      <rPr>
        <sz val="11"/>
        <rFont val="Calibri"/>
        <family val="2"/>
        <scheme val="minor"/>
      </rPr>
      <t>*f</t>
    </r>
    <r>
      <rPr>
        <vertAlign val="subscript"/>
        <sz val="11"/>
        <rFont val="Calibri"/>
        <family val="2"/>
        <scheme val="minor"/>
      </rPr>
      <t>KS</t>
    </r>
  </si>
  <si>
    <r>
      <t>Half-inhibition of S</t>
    </r>
    <r>
      <rPr>
        <vertAlign val="subscript"/>
        <sz val="11"/>
        <rFont val="Calibri"/>
        <family val="2"/>
        <scheme val="minor"/>
      </rPr>
      <t>NHx</t>
    </r>
    <r>
      <rPr>
        <sz val="11"/>
        <color rgb="FF000000"/>
        <rFont val="Calibri"/>
        <family val="2"/>
        <charset val="238"/>
        <scheme val="minor"/>
      </rPr>
      <t xml:space="preserve"> for AMETOs (AS)</t>
    </r>
  </si>
  <si>
    <r>
      <t>Half-inhibition of NH</t>
    </r>
    <r>
      <rPr>
        <vertAlign val="subscript"/>
        <sz val="11"/>
        <rFont val="Calibri"/>
        <family val="2"/>
        <scheme val="minor"/>
      </rPr>
      <t>3</t>
    </r>
    <r>
      <rPr>
        <sz val="11"/>
        <color rgb="FF000000"/>
        <rFont val="Calibri"/>
        <family val="2"/>
        <charset val="238"/>
        <scheme val="minor"/>
      </rPr>
      <t xml:space="preserve"> for AMETOs (AS)</t>
    </r>
  </si>
  <si>
    <r>
      <t>Logslope</t>
    </r>
    <r>
      <rPr>
        <vertAlign val="subscript"/>
        <sz val="11"/>
        <rFont val="Calibri"/>
        <family val="2"/>
        <scheme val="minor"/>
      </rPr>
      <t>NHx,AMETO</t>
    </r>
  </si>
  <si>
    <r>
      <t>Logistic slope of NH</t>
    </r>
    <r>
      <rPr>
        <vertAlign val="subscript"/>
        <sz val="11"/>
        <rFont val="Calibri"/>
        <family val="2"/>
        <scheme val="minor"/>
      </rPr>
      <t>x</t>
    </r>
    <r>
      <rPr>
        <sz val="11"/>
        <color rgb="FF000000"/>
        <rFont val="Calibri"/>
        <family val="2"/>
        <charset val="238"/>
        <scheme val="minor"/>
      </rPr>
      <t xml:space="preserve"> for AMETOs</t>
    </r>
  </si>
  <si>
    <r>
      <t>Logisticslope(Ki</t>
    </r>
    <r>
      <rPr>
        <vertAlign val="subscript"/>
        <sz val="11"/>
        <rFont val="Calibri"/>
        <family val="2"/>
        <charset val="238"/>
        <scheme val="minor"/>
      </rPr>
      <t>NHx,AMETO;</t>
    </r>
    <r>
      <rPr>
        <sz val="11"/>
        <rFont val="Calibri"/>
        <family val="2"/>
        <scheme val="minor"/>
      </rPr>
      <t xml:space="preserve"> Logrange</t>
    </r>
    <r>
      <rPr>
        <vertAlign val="subscript"/>
        <sz val="11"/>
        <rFont val="Calibri"/>
        <family val="2"/>
        <charset val="238"/>
        <scheme val="minor"/>
      </rPr>
      <t>NH3,AMETO</t>
    </r>
    <r>
      <rPr>
        <sz val="11"/>
        <rFont val="Calibri"/>
        <family val="2"/>
        <scheme val="minor"/>
      </rPr>
      <t>)</t>
    </r>
  </si>
  <si>
    <r>
      <t>m</t>
    </r>
    <r>
      <rPr>
        <vertAlign val="superscript"/>
        <sz val="11"/>
        <rFont val="Calibri"/>
        <family val="2"/>
        <charset val="238"/>
        <scheme val="minor"/>
      </rPr>
      <t>3</t>
    </r>
    <r>
      <rPr>
        <sz val="11"/>
        <rFont val="Calibri"/>
        <family val="2"/>
        <scheme val="minor"/>
      </rPr>
      <t>.g N</t>
    </r>
    <r>
      <rPr>
        <vertAlign val="superscript"/>
        <sz val="11"/>
        <rFont val="Calibri"/>
        <family val="2"/>
        <scheme val="minor"/>
      </rPr>
      <t>-1</t>
    </r>
  </si>
  <si>
    <r>
      <t>Logslope</t>
    </r>
    <r>
      <rPr>
        <vertAlign val="subscript"/>
        <sz val="11"/>
        <rFont val="Calibri"/>
        <family val="2"/>
        <scheme val="minor"/>
      </rPr>
      <t>NH3,AMETO,pH</t>
    </r>
  </si>
  <si>
    <r>
      <t>Logistic slope of NH</t>
    </r>
    <r>
      <rPr>
        <vertAlign val="subscript"/>
        <sz val="11"/>
        <rFont val="Calibri"/>
        <family val="2"/>
        <scheme val="minor"/>
      </rPr>
      <t>3</t>
    </r>
    <r>
      <rPr>
        <sz val="11"/>
        <color rgb="FF000000"/>
        <rFont val="Calibri"/>
        <family val="2"/>
        <charset val="238"/>
        <scheme val="minor"/>
      </rPr>
      <t xml:space="preserve"> for AMETOs</t>
    </r>
  </si>
  <si>
    <r>
      <t>Logisticslope(Ki</t>
    </r>
    <r>
      <rPr>
        <vertAlign val="subscript"/>
        <sz val="11"/>
        <rFont val="Calibri"/>
        <family val="2"/>
        <charset val="238"/>
        <scheme val="minor"/>
      </rPr>
      <t>NH3,AMETO,pH;</t>
    </r>
    <r>
      <rPr>
        <sz val="11"/>
        <rFont val="Calibri"/>
        <family val="2"/>
        <scheme val="minor"/>
      </rPr>
      <t xml:space="preserve"> Logrange</t>
    </r>
    <r>
      <rPr>
        <vertAlign val="subscript"/>
        <sz val="11"/>
        <rFont val="Calibri"/>
        <family val="2"/>
        <charset val="238"/>
        <scheme val="minor"/>
      </rPr>
      <t>NH3,AMETO</t>
    </r>
    <r>
      <rPr>
        <sz val="11"/>
        <rFont val="Calibri"/>
        <family val="2"/>
        <scheme val="minor"/>
      </rPr>
      <t>)</t>
    </r>
  </si>
  <si>
    <r>
      <t>L.mol [NH</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</si>
  <si>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r>
      <t>LoginhpH</t>
    </r>
    <r>
      <rPr>
        <vertAlign val="subscript"/>
        <sz val="11"/>
        <rFont val="Calibri"/>
        <family val="2"/>
        <scheme val="minor"/>
      </rPr>
      <t>NH3,AMETO</t>
    </r>
  </si>
  <si>
    <r>
      <t>Logistic inhibition term for NHx</t>
    </r>
    <r>
      <rPr>
        <sz val="11"/>
        <color rgb="FF000000"/>
        <rFont val="Calibri"/>
        <family val="2"/>
        <charset val="238"/>
        <scheme val="minor"/>
      </rPr>
      <t>/NH</t>
    </r>
    <r>
      <rPr>
        <vertAlign val="subscript"/>
        <sz val="11"/>
        <color rgb="FF000000"/>
        <rFont val="Calibri"/>
        <family val="2"/>
        <scheme val="minor"/>
      </rPr>
      <t>3</t>
    </r>
    <r>
      <rPr>
        <sz val="11"/>
        <color rgb="FF000000"/>
        <rFont val="Calibri"/>
        <family val="2"/>
        <charset val="238"/>
        <scheme val="minor"/>
      </rPr>
      <t xml:space="preserve"> (AMETO)</t>
    </r>
  </si>
  <si>
    <r>
      <t>Loginh([NH</t>
    </r>
    <r>
      <rPr>
        <vertAlign val="subscript"/>
        <sz val="11"/>
        <rFont val="Calibri"/>
        <family val="2"/>
        <scheme val="minor"/>
      </rPr>
      <t>3</t>
    </r>
    <r>
      <rPr>
        <sz val="11"/>
        <rFont val="Calibri"/>
        <family val="2"/>
        <scheme val="minor"/>
      </rPr>
      <t>]; Ki</t>
    </r>
    <r>
      <rPr>
        <vertAlign val="subscript"/>
        <sz val="11"/>
        <rFont val="Calibri"/>
        <family val="2"/>
        <scheme val="minor"/>
      </rPr>
      <t>NH3,AMETO,pH</t>
    </r>
    <r>
      <rPr>
        <sz val="11"/>
        <rFont val="Calibri"/>
        <family val="2"/>
        <scheme val="minor"/>
      </rPr>
      <t>; Logslope</t>
    </r>
    <r>
      <rPr>
        <vertAlign val="subscript"/>
        <sz val="11"/>
        <rFont val="Calibri"/>
        <family val="2"/>
        <charset val="238"/>
        <scheme val="minor"/>
      </rPr>
      <t>NH3,AMETO,pH</t>
    </r>
    <r>
      <rPr>
        <sz val="11"/>
        <rFont val="Calibri"/>
        <family val="2"/>
        <scheme val="minor"/>
      </rPr>
      <t>)</t>
    </r>
  </si>
  <si>
    <r>
      <t>Loginh(S</t>
    </r>
    <r>
      <rPr>
        <vertAlign val="subscript"/>
        <sz val="11"/>
        <rFont val="Calibri"/>
        <family val="2"/>
        <scheme val="minor"/>
      </rPr>
      <t>NHx</t>
    </r>
    <r>
      <rPr>
        <sz val="11"/>
        <rFont val="Calibri"/>
        <family val="2"/>
        <scheme val="minor"/>
      </rPr>
      <t>; Ki</t>
    </r>
    <r>
      <rPr>
        <vertAlign val="subscript"/>
        <sz val="11"/>
        <rFont val="Calibri"/>
        <family val="2"/>
        <scheme val="minor"/>
      </rPr>
      <t>NHx,AMETO</t>
    </r>
    <r>
      <rPr>
        <sz val="11"/>
        <rFont val="Calibri"/>
        <family val="2"/>
        <scheme val="minor"/>
      </rPr>
      <t>; Logslope</t>
    </r>
    <r>
      <rPr>
        <vertAlign val="subscript"/>
        <sz val="11"/>
        <rFont val="Calibri"/>
        <family val="2"/>
        <charset val="238"/>
        <scheme val="minor"/>
      </rPr>
      <t>NHx,AMETO</t>
    </r>
    <r>
      <rPr>
        <sz val="11"/>
        <rFont val="Calibri"/>
        <family val="2"/>
        <scheme val="minor"/>
      </rPr>
      <t>)</t>
    </r>
  </si>
  <si>
    <r>
      <t>µ</t>
    </r>
    <r>
      <rPr>
        <vertAlign val="subscript"/>
        <sz val="11"/>
        <rFont val="Calibri"/>
        <family val="2"/>
      </rPr>
      <t>AMETO,T</t>
    </r>
    <r>
      <rPr>
        <sz val="11"/>
        <rFont val="Calibri"/>
        <family val="2"/>
      </rPr>
      <t>*X</t>
    </r>
    <r>
      <rPr>
        <vertAlign val="subscript"/>
        <sz val="11"/>
        <rFont val="Calibri"/>
        <family val="2"/>
      </rPr>
      <t>AMETO</t>
    </r>
    <r>
      <rPr>
        <sz val="11"/>
        <rFont val="Calibri"/>
        <family val="2"/>
      </rPr>
      <t>*Hsat</t>
    </r>
    <r>
      <rPr>
        <vertAlign val="subscript"/>
        <sz val="11"/>
        <rFont val="Calibri"/>
        <family val="2"/>
      </rPr>
      <t>SVFA,AMETO</t>
    </r>
    <r>
      <rPr>
        <sz val="11"/>
        <rFont val="Calibri"/>
        <family val="2"/>
      </rPr>
      <t>*Minh</t>
    </r>
    <r>
      <rPr>
        <vertAlign val="subscript"/>
        <sz val="11"/>
        <rFont val="Calibri"/>
        <family val="2"/>
      </rPr>
      <t>SO2,KiO2,AMETO</t>
    </r>
    <r>
      <rPr>
        <sz val="11"/>
        <rFont val="Calibri"/>
        <family val="2"/>
      </rPr>
      <t>*Minh</t>
    </r>
    <r>
      <rPr>
        <vertAlign val="subscript"/>
        <sz val="11"/>
        <rFont val="Calibri"/>
        <family val="2"/>
      </rPr>
      <t>SNOx,KNO3,AMETO</t>
    </r>
    <r>
      <rPr>
        <sz val="11"/>
        <rFont val="Calibri"/>
        <family val="2"/>
      </rPr>
      <t>*LoginhpH</t>
    </r>
    <r>
      <rPr>
        <vertAlign val="subscript"/>
        <sz val="11"/>
        <rFont val="Calibri"/>
        <family val="2"/>
      </rPr>
      <t>NH3,AMETO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pH,AMETO</t>
    </r>
  </si>
  <si>
    <t>Atmosphere composition</t>
  </si>
  <si>
    <r>
      <t>K</t>
    </r>
    <r>
      <rPr>
        <vertAlign val="subscript"/>
        <sz val="11"/>
        <rFont val="Calibri"/>
        <family val="2"/>
        <scheme val="minor"/>
      </rPr>
      <t>Prop,param</t>
    </r>
  </si>
  <si>
    <r>
      <t>D</t>
    </r>
    <r>
      <rPr>
        <vertAlign val="subscript"/>
        <sz val="11"/>
        <rFont val="Calibri"/>
        <family val="2"/>
        <charset val="238"/>
        <scheme val="minor"/>
      </rPr>
      <t>SALPHA</t>
    </r>
  </si>
  <si>
    <t>Diffusion coefficient of alpha indicator</t>
  </si>
  <si>
    <r>
      <t>D</t>
    </r>
    <r>
      <rPr>
        <vertAlign val="subscript"/>
        <sz val="11"/>
        <rFont val="Calibri"/>
        <family val="2"/>
        <charset val="238"/>
        <scheme val="minor"/>
      </rPr>
      <t>SNOx</t>
    </r>
  </si>
  <si>
    <t>Input</t>
  </si>
  <si>
    <t>SOTECorr_cdisc</t>
  </si>
  <si>
    <t>SOTECorr_mdisc</t>
  </si>
  <si>
    <t>SOTECorr_pdisc</t>
  </si>
  <si>
    <t>SOTECorr_cdome</t>
  </si>
  <si>
    <t>SOTECorr_mtube</t>
  </si>
  <si>
    <t>SOTEFixed_fine</t>
  </si>
  <si>
    <t>PondWaterColumn</t>
  </si>
  <si>
    <t>PondSediments</t>
  </si>
  <si>
    <t>Chemical sulfur reactions</t>
  </si>
  <si>
    <r>
      <t>q</t>
    </r>
    <r>
      <rPr>
        <vertAlign val="subscript"/>
        <sz val="11"/>
        <rFont val="Calibri"/>
        <family val="2"/>
        <scheme val="minor"/>
      </rPr>
      <t>H2S,OX</t>
    </r>
  </si>
  <si>
    <r>
      <t>Rate of H</t>
    </r>
    <r>
      <rPr>
        <vertAlign val="subscript"/>
        <sz val="11"/>
        <color rgb="FF000000"/>
        <rFont val="Calibri"/>
        <family val="2"/>
        <scheme val="minor"/>
      </rPr>
      <t>2</t>
    </r>
    <r>
      <rPr>
        <sz val="11"/>
        <color rgb="FF000000"/>
        <rFont val="Calibri"/>
        <family val="2"/>
        <charset val="238"/>
        <scheme val="minor"/>
      </rPr>
      <t>S oxidation</t>
    </r>
  </si>
  <si>
    <r>
      <t>q</t>
    </r>
    <r>
      <rPr>
        <vertAlign val="subscript"/>
        <sz val="11"/>
        <rFont val="Calibri"/>
        <family val="2"/>
        <scheme val="minor"/>
      </rPr>
      <t>S,OX</t>
    </r>
  </si>
  <si>
    <t>Rate of S oxidation</t>
  </si>
  <si>
    <t>Acidoclastic sulfate-reducing organism kinetics (ASRO)</t>
  </si>
  <si>
    <r>
      <t>µ</t>
    </r>
    <r>
      <rPr>
        <vertAlign val="subscript"/>
        <sz val="11"/>
        <rFont val="Calibri"/>
        <family val="2"/>
        <scheme val="minor"/>
      </rPr>
      <t>ASRO</t>
    </r>
  </si>
  <si>
    <t>Maximum specific growth rate of ASROs</t>
  </si>
  <si>
    <r>
      <t>b</t>
    </r>
    <r>
      <rPr>
        <vertAlign val="subscript"/>
        <sz val="11"/>
        <rFont val="Calibri"/>
        <family val="2"/>
        <scheme val="minor"/>
      </rPr>
      <t>ASRO</t>
    </r>
  </si>
  <si>
    <t>Decay rate of ASROs</t>
  </si>
  <si>
    <r>
      <t>K</t>
    </r>
    <r>
      <rPr>
        <vertAlign val="subscript"/>
        <sz val="11"/>
        <rFont val="Calibri"/>
        <family val="2"/>
        <scheme val="minor"/>
      </rPr>
      <t>VFA,ASRO,AS</t>
    </r>
  </si>
  <si>
    <t>Half-saturation of VFA for ASROs (AS)</t>
  </si>
  <si>
    <r>
      <t>K</t>
    </r>
    <r>
      <rPr>
        <vertAlign val="subscript"/>
        <sz val="11"/>
        <rFont val="Calibri"/>
        <family val="2"/>
        <scheme val="minor"/>
      </rPr>
      <t>SO4,ASRO,AS</t>
    </r>
  </si>
  <si>
    <r>
      <t>Half-saturation of SO</t>
    </r>
    <r>
      <rPr>
        <vertAlign val="subscript"/>
        <sz val="11"/>
        <color rgb="FF000000"/>
        <rFont val="Calibri"/>
        <family val="2"/>
        <scheme val="minor"/>
      </rPr>
      <t>4</t>
    </r>
    <r>
      <rPr>
        <sz val="11"/>
        <color rgb="FF000000"/>
        <rFont val="Calibri"/>
        <family val="2"/>
        <charset val="238"/>
        <scheme val="minor"/>
      </rPr>
      <t xml:space="preserve"> for ASROs (AS)</t>
    </r>
  </si>
  <si>
    <r>
      <t>g S</t>
    </r>
    <r>
      <rPr>
        <sz val="11"/>
        <rFont val="Calibri"/>
        <family val="2"/>
        <scheme val="minor"/>
      </rPr>
      <t>.m</t>
    </r>
    <r>
      <rPr>
        <vertAlign val="superscript"/>
        <sz val="11"/>
        <rFont val="Calibri"/>
        <family val="2"/>
        <scheme val="minor"/>
      </rPr>
      <t>-3</t>
    </r>
  </si>
  <si>
    <r>
      <t>Ki</t>
    </r>
    <r>
      <rPr>
        <vertAlign val="subscript"/>
        <sz val="11"/>
        <rFont val="Calibri"/>
        <family val="2"/>
        <scheme val="minor"/>
      </rPr>
      <t>H2S,ASRO,AS</t>
    </r>
  </si>
  <si>
    <r>
      <t>Half-inhibition of H</t>
    </r>
    <r>
      <rPr>
        <vertAlign val="subscript"/>
        <sz val="11"/>
        <color rgb="FF000000"/>
        <rFont val="Calibri"/>
        <family val="2"/>
        <scheme val="minor"/>
      </rPr>
      <t>2</t>
    </r>
    <r>
      <rPr>
        <sz val="11"/>
        <color rgb="FF000000"/>
        <rFont val="Calibri"/>
        <family val="2"/>
        <charset val="238"/>
        <scheme val="minor"/>
      </rPr>
      <t>S for ASROs (AS)</t>
    </r>
  </si>
  <si>
    <r>
      <t>Ki</t>
    </r>
    <r>
      <rPr>
        <vertAlign val="subscript"/>
        <sz val="11"/>
        <color indexed="8"/>
        <rFont val="Calibri"/>
        <family val="2"/>
        <scheme val="minor"/>
      </rPr>
      <t>O2,ASRO,AS</t>
    </r>
  </si>
  <si>
    <r>
      <t>Half-inhibition of O</t>
    </r>
    <r>
      <rPr>
        <vertAlign val="subscript"/>
        <sz val="11"/>
        <color rgb="FF000000"/>
        <rFont val="Calibri"/>
        <family val="2"/>
        <scheme val="minor"/>
      </rPr>
      <t>2</t>
    </r>
    <r>
      <rPr>
        <sz val="11"/>
        <color rgb="FF000000"/>
        <rFont val="Calibri"/>
        <family val="2"/>
        <charset val="238"/>
        <scheme val="minor"/>
      </rPr>
      <t xml:space="preserve"> for ASROs (AS)</t>
    </r>
  </si>
  <si>
    <r>
      <t>K</t>
    </r>
    <r>
      <rPr>
        <vertAlign val="subscript"/>
        <sz val="11"/>
        <color indexed="8"/>
        <rFont val="Calibri"/>
        <family val="2"/>
        <scheme val="minor"/>
      </rPr>
      <t>NOx,ASRO,AS</t>
    </r>
  </si>
  <si>
    <r>
      <t>Half-saturation of NO</t>
    </r>
    <r>
      <rPr>
        <vertAlign val="subscript"/>
        <sz val="11"/>
        <color rgb="FF000000"/>
        <rFont val="Calibri"/>
        <family val="2"/>
        <scheme val="minor"/>
      </rPr>
      <t>x</t>
    </r>
    <r>
      <rPr>
        <sz val="11"/>
        <color rgb="FF000000"/>
        <rFont val="Calibri"/>
        <family val="2"/>
        <charset val="238"/>
        <scheme val="minor"/>
      </rPr>
      <t xml:space="preserve"> for ASROs (AS)</t>
    </r>
  </si>
  <si>
    <t>Hydrogenotrophic sulfate-reducing organism kinetics (HSRO)</t>
  </si>
  <si>
    <r>
      <t>µ</t>
    </r>
    <r>
      <rPr>
        <vertAlign val="subscript"/>
        <sz val="11"/>
        <rFont val="Calibri"/>
        <family val="2"/>
        <scheme val="minor"/>
      </rPr>
      <t>HSRO</t>
    </r>
  </si>
  <si>
    <t>Maximum specific growth rate of HSROs</t>
  </si>
  <si>
    <r>
      <t>b</t>
    </r>
    <r>
      <rPr>
        <vertAlign val="subscript"/>
        <sz val="11"/>
        <rFont val="Calibri"/>
        <family val="2"/>
        <scheme val="minor"/>
      </rPr>
      <t>HSRO</t>
    </r>
  </si>
  <si>
    <t>Decay rate of HSROs</t>
  </si>
  <si>
    <r>
      <t>K</t>
    </r>
    <r>
      <rPr>
        <vertAlign val="subscript"/>
        <sz val="11"/>
        <rFont val="Calibri"/>
        <family val="2"/>
        <scheme val="minor"/>
      </rPr>
      <t>H2,HSRO,AS</t>
    </r>
  </si>
  <si>
    <r>
      <t>Half-saturation of H</t>
    </r>
    <r>
      <rPr>
        <vertAlign val="subscript"/>
        <sz val="11"/>
        <color rgb="FF000000"/>
        <rFont val="Calibri"/>
        <family val="2"/>
        <scheme val="minor"/>
      </rPr>
      <t>2</t>
    </r>
    <r>
      <rPr>
        <sz val="11"/>
        <color rgb="FF000000"/>
        <rFont val="Calibri"/>
        <family val="2"/>
        <charset val="238"/>
        <scheme val="minor"/>
      </rPr>
      <t xml:space="preserve"> for HSROs (AS)</t>
    </r>
  </si>
  <si>
    <r>
      <t>K</t>
    </r>
    <r>
      <rPr>
        <vertAlign val="subscript"/>
        <sz val="11"/>
        <rFont val="Calibri"/>
        <family val="2"/>
        <scheme val="minor"/>
      </rPr>
      <t>SO4,HSRO,AS</t>
    </r>
  </si>
  <si>
    <r>
      <t>Half-saturation of SO</t>
    </r>
    <r>
      <rPr>
        <vertAlign val="subscript"/>
        <sz val="11"/>
        <color rgb="FF000000"/>
        <rFont val="Calibri"/>
        <family val="2"/>
        <scheme val="minor"/>
      </rPr>
      <t>4</t>
    </r>
    <r>
      <rPr>
        <sz val="11"/>
        <color rgb="FF000000"/>
        <rFont val="Calibri"/>
        <family val="2"/>
        <charset val="238"/>
        <scheme val="minor"/>
      </rPr>
      <t xml:space="preserve"> for HSROs (AS)</t>
    </r>
  </si>
  <si>
    <r>
      <t>Ki</t>
    </r>
    <r>
      <rPr>
        <vertAlign val="subscript"/>
        <sz val="11"/>
        <rFont val="Calibri"/>
        <family val="2"/>
        <scheme val="minor"/>
      </rPr>
      <t>H2S,HSRO,AS</t>
    </r>
  </si>
  <si>
    <r>
      <t>Half-inhibition of H</t>
    </r>
    <r>
      <rPr>
        <vertAlign val="subscript"/>
        <sz val="11"/>
        <color rgb="FF000000"/>
        <rFont val="Calibri"/>
        <family val="2"/>
        <scheme val="minor"/>
      </rPr>
      <t>2</t>
    </r>
    <r>
      <rPr>
        <sz val="11"/>
        <color rgb="FF000000"/>
        <rFont val="Calibri"/>
        <family val="2"/>
        <charset val="238"/>
        <scheme val="minor"/>
      </rPr>
      <t>S for HSROs (AS)</t>
    </r>
  </si>
  <si>
    <r>
      <t>Ki</t>
    </r>
    <r>
      <rPr>
        <vertAlign val="subscript"/>
        <sz val="11"/>
        <color indexed="8"/>
        <rFont val="Calibri"/>
        <family val="2"/>
        <scheme val="minor"/>
      </rPr>
      <t>O2,HSRO,AS</t>
    </r>
  </si>
  <si>
    <r>
      <t>Half-inhibition of O</t>
    </r>
    <r>
      <rPr>
        <vertAlign val="subscript"/>
        <sz val="11"/>
        <color rgb="FF000000"/>
        <rFont val="Calibri"/>
        <family val="2"/>
        <scheme val="minor"/>
      </rPr>
      <t>2</t>
    </r>
    <r>
      <rPr>
        <sz val="11"/>
        <color rgb="FF000000"/>
        <rFont val="Calibri"/>
        <family val="2"/>
        <charset val="238"/>
        <scheme val="minor"/>
      </rPr>
      <t xml:space="preserve"> for HSROs (AS)</t>
    </r>
  </si>
  <si>
    <r>
      <t>K</t>
    </r>
    <r>
      <rPr>
        <vertAlign val="subscript"/>
        <sz val="11"/>
        <color indexed="8"/>
        <rFont val="Calibri"/>
        <family val="2"/>
        <scheme val="minor"/>
      </rPr>
      <t>NOx,HSRO,AS</t>
    </r>
  </si>
  <si>
    <r>
      <t>Half-saturation of NO</t>
    </r>
    <r>
      <rPr>
        <vertAlign val="subscript"/>
        <sz val="11"/>
        <color rgb="FF000000"/>
        <rFont val="Calibri"/>
        <family val="2"/>
        <scheme val="minor"/>
      </rPr>
      <t>x</t>
    </r>
    <r>
      <rPr>
        <sz val="11"/>
        <color rgb="FF000000"/>
        <rFont val="Calibri"/>
        <family val="2"/>
        <charset val="238"/>
        <scheme val="minor"/>
      </rPr>
      <t xml:space="preserve"> for HSROs (AS)</t>
    </r>
  </si>
  <si>
    <t>Sulfur-oxidizing organism kinetics (SOO)</t>
  </si>
  <si>
    <r>
      <t>µ</t>
    </r>
    <r>
      <rPr>
        <vertAlign val="subscript"/>
        <sz val="11"/>
        <rFont val="Calibri"/>
        <family val="2"/>
        <scheme val="minor"/>
      </rPr>
      <t>SOO,H2S</t>
    </r>
  </si>
  <si>
    <t>Maximum specific growth rate of SOOs on H2S</t>
  </si>
  <si>
    <r>
      <t>µ</t>
    </r>
    <r>
      <rPr>
        <vertAlign val="subscript"/>
        <sz val="11"/>
        <rFont val="Calibri"/>
        <family val="2"/>
        <scheme val="minor"/>
      </rPr>
      <t>SOO,S</t>
    </r>
  </si>
  <si>
    <t>Maximum specific growth rate of SOOs on S</t>
  </si>
  <si>
    <r>
      <t>b</t>
    </r>
    <r>
      <rPr>
        <vertAlign val="subscript"/>
        <sz val="11"/>
        <rFont val="Calibri"/>
        <family val="2"/>
        <scheme val="minor"/>
      </rPr>
      <t>SOO</t>
    </r>
  </si>
  <si>
    <t>Decay rate of SOOs</t>
  </si>
  <si>
    <r>
      <t>K</t>
    </r>
    <r>
      <rPr>
        <vertAlign val="subscript"/>
        <sz val="11"/>
        <rFont val="Calibri"/>
        <family val="2"/>
        <scheme val="minor"/>
      </rPr>
      <t>O2,H2S,SOO,AS</t>
    </r>
  </si>
  <si>
    <r>
      <t>Half-saturation of O</t>
    </r>
    <r>
      <rPr>
        <vertAlign val="subscript"/>
        <sz val="11"/>
        <color rgb="FF000000"/>
        <rFont val="Calibri"/>
        <family val="2"/>
        <scheme val="minor"/>
      </rPr>
      <t>2</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oxidation for SOOs (AS)</t>
    </r>
  </si>
  <si>
    <r>
      <t>K</t>
    </r>
    <r>
      <rPr>
        <vertAlign val="subscript"/>
        <sz val="11"/>
        <rFont val="Calibri"/>
        <family val="2"/>
        <scheme val="minor"/>
      </rPr>
      <t>NO2,H2S,SOO,AS</t>
    </r>
  </si>
  <si>
    <r>
      <t>Half-saturation of NO</t>
    </r>
    <r>
      <rPr>
        <vertAlign val="subscript"/>
        <sz val="11"/>
        <color rgb="FF000000"/>
        <rFont val="Calibri"/>
        <family val="2"/>
        <scheme val="minor"/>
      </rPr>
      <t>2</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for SOOs (AS)</t>
    </r>
  </si>
  <si>
    <r>
      <t>K</t>
    </r>
    <r>
      <rPr>
        <vertAlign val="subscript"/>
        <sz val="11"/>
        <rFont val="Calibri"/>
        <family val="2"/>
        <scheme val="minor"/>
      </rPr>
      <t>NO3,H2S,SOO,AS</t>
    </r>
  </si>
  <si>
    <r>
      <t>Half-saturation of NO</t>
    </r>
    <r>
      <rPr>
        <vertAlign val="subscript"/>
        <sz val="11"/>
        <color rgb="FF000000"/>
        <rFont val="Calibri"/>
        <family val="2"/>
        <scheme val="minor"/>
      </rPr>
      <t>3</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for SOOs (AS)</t>
    </r>
  </si>
  <si>
    <r>
      <t>K</t>
    </r>
    <r>
      <rPr>
        <vertAlign val="subscript"/>
        <sz val="11"/>
        <rFont val="Calibri"/>
        <family val="2"/>
        <scheme val="minor"/>
      </rPr>
      <t>O2,S,SOO,AS</t>
    </r>
  </si>
  <si>
    <r>
      <t>Half-saturation of O</t>
    </r>
    <r>
      <rPr>
        <vertAlign val="subscript"/>
        <sz val="11"/>
        <color rgb="FF000000"/>
        <rFont val="Calibri"/>
        <family val="2"/>
        <scheme val="minor"/>
      </rPr>
      <t>2</t>
    </r>
    <r>
      <rPr>
        <sz val="11"/>
        <color rgb="FF000000"/>
        <rFont val="Calibri"/>
        <family val="2"/>
        <charset val="238"/>
        <scheme val="minor"/>
      </rPr>
      <t xml:space="preserve"> for S oxidation for SOOs (AS)</t>
    </r>
  </si>
  <si>
    <r>
      <t>K</t>
    </r>
    <r>
      <rPr>
        <vertAlign val="subscript"/>
        <sz val="11"/>
        <rFont val="Calibri"/>
        <family val="2"/>
        <scheme val="minor"/>
      </rPr>
      <t>NO2,S,SOO,AS</t>
    </r>
  </si>
  <si>
    <r>
      <t>Half-saturation of NO</t>
    </r>
    <r>
      <rPr>
        <vertAlign val="subscript"/>
        <sz val="11"/>
        <color rgb="FF000000"/>
        <rFont val="Calibri"/>
        <family val="2"/>
        <scheme val="minor"/>
      </rPr>
      <t>2</t>
    </r>
    <r>
      <rPr>
        <sz val="11"/>
        <color rgb="FF000000"/>
        <rFont val="Calibri"/>
        <family val="2"/>
        <charset val="238"/>
        <scheme val="minor"/>
      </rPr>
      <t xml:space="preserve"> for S oxidation for SOOs (AS)</t>
    </r>
  </si>
  <si>
    <r>
      <t>K</t>
    </r>
    <r>
      <rPr>
        <vertAlign val="subscript"/>
        <sz val="11"/>
        <rFont val="Calibri"/>
        <family val="2"/>
        <scheme val="minor"/>
      </rPr>
      <t>NO3,S,SOO,AS</t>
    </r>
  </si>
  <si>
    <r>
      <t>Half-saturation of NO</t>
    </r>
    <r>
      <rPr>
        <vertAlign val="subscript"/>
        <sz val="11"/>
        <color rgb="FF000000"/>
        <rFont val="Calibri"/>
        <family val="2"/>
        <scheme val="minor"/>
      </rPr>
      <t>3</t>
    </r>
    <r>
      <rPr>
        <sz val="11"/>
        <color rgb="FF000000"/>
        <rFont val="Calibri"/>
        <family val="2"/>
        <charset val="238"/>
        <scheme val="minor"/>
      </rPr>
      <t xml:space="preserve"> for S oxidation for SOOs (AS)</t>
    </r>
  </si>
  <si>
    <r>
      <t>K</t>
    </r>
    <r>
      <rPr>
        <vertAlign val="subscript"/>
        <sz val="11"/>
        <rFont val="Calibri"/>
        <family val="2"/>
        <scheme val="minor"/>
      </rPr>
      <t>H2S,SOO,AS</t>
    </r>
  </si>
  <si>
    <r>
      <t>Half-saturation of H</t>
    </r>
    <r>
      <rPr>
        <vertAlign val="subscript"/>
        <sz val="11"/>
        <color rgb="FF000000"/>
        <rFont val="Calibri"/>
        <family val="2"/>
        <scheme val="minor"/>
      </rPr>
      <t>2</t>
    </r>
    <r>
      <rPr>
        <sz val="11"/>
        <color rgb="FF000000"/>
        <rFont val="Calibri"/>
        <family val="2"/>
        <charset val="238"/>
        <scheme val="minor"/>
      </rPr>
      <t>S for SOOs (AS)</t>
    </r>
  </si>
  <si>
    <r>
      <t>g S.m</t>
    </r>
    <r>
      <rPr>
        <vertAlign val="superscript"/>
        <sz val="11"/>
        <rFont val="Calibri"/>
        <family val="2"/>
        <scheme val="minor"/>
      </rPr>
      <t>-3</t>
    </r>
  </si>
  <si>
    <r>
      <t>Ki</t>
    </r>
    <r>
      <rPr>
        <vertAlign val="subscript"/>
        <sz val="11"/>
        <rFont val="Calibri"/>
        <family val="2"/>
        <scheme val="minor"/>
      </rPr>
      <t>H2S,SOO,AS</t>
    </r>
  </si>
  <si>
    <r>
      <t>Half-inhibition of H</t>
    </r>
    <r>
      <rPr>
        <vertAlign val="subscript"/>
        <sz val="11"/>
        <color rgb="FF000000"/>
        <rFont val="Calibri"/>
        <family val="2"/>
        <scheme val="minor"/>
      </rPr>
      <t>2</t>
    </r>
    <r>
      <rPr>
        <sz val="11"/>
        <color rgb="FF000000"/>
        <rFont val="Calibri"/>
        <family val="2"/>
        <charset val="238"/>
        <scheme val="minor"/>
      </rPr>
      <t>S for SOOs (AS)</t>
    </r>
  </si>
  <si>
    <r>
      <t>K</t>
    </r>
    <r>
      <rPr>
        <vertAlign val="subscript"/>
        <sz val="11"/>
        <rFont val="Calibri"/>
        <family val="2"/>
        <scheme val="minor"/>
      </rPr>
      <t>S,SOO,AS</t>
    </r>
  </si>
  <si>
    <t>Half-saturation of S for SOOs (AS)</t>
  </si>
  <si>
    <r>
      <t>q</t>
    </r>
    <r>
      <rPr>
        <vertAlign val="subscript"/>
        <sz val="11"/>
        <rFont val="Calibri"/>
        <family val="2"/>
        <scheme val="minor"/>
      </rPr>
      <t>FeS,PREC</t>
    </r>
  </si>
  <si>
    <t>Rate of FeS precipitation</t>
  </si>
  <si>
    <r>
      <t>q</t>
    </r>
    <r>
      <rPr>
        <vertAlign val="subscript"/>
        <sz val="11"/>
        <rFont val="Calibri"/>
        <family val="2"/>
        <scheme val="minor"/>
      </rPr>
      <t>FeS,DISS</t>
    </r>
  </si>
  <si>
    <t>Rate of FeS dissolution</t>
  </si>
  <si>
    <r>
      <t>K</t>
    </r>
    <r>
      <rPr>
        <vertAlign val="subscript"/>
        <sz val="11"/>
        <color indexed="8"/>
        <rFont val="Calibri"/>
        <family val="2"/>
        <scheme val="minor"/>
      </rPr>
      <t>FeS,DISS</t>
    </r>
  </si>
  <si>
    <t>Half-inhibition of FeS redissolution</t>
  </si>
  <si>
    <r>
      <rPr>
        <sz val="11"/>
        <color indexed="8"/>
        <rFont val="Calibri"/>
        <family val="2"/>
        <scheme val="minor"/>
      </rPr>
      <t>q</t>
    </r>
    <r>
      <rPr>
        <vertAlign val="subscript"/>
        <sz val="11"/>
        <color indexed="8"/>
        <rFont val="Calibri"/>
        <family val="2"/>
        <scheme val="minor"/>
      </rPr>
      <t>HFO,H2S,RED</t>
    </r>
  </si>
  <si>
    <r>
      <t>Rate of HFO reduction with H</t>
    </r>
    <r>
      <rPr>
        <vertAlign val="subscript"/>
        <sz val="11"/>
        <rFont val="Calibri"/>
        <family val="2"/>
        <charset val="238"/>
        <scheme val="minor"/>
      </rPr>
      <t>2</t>
    </r>
    <r>
      <rPr>
        <sz val="11"/>
        <rFont val="Calibri"/>
        <family val="2"/>
        <scheme val="minor"/>
      </rPr>
      <t>S</t>
    </r>
  </si>
  <si>
    <r>
      <t>q</t>
    </r>
    <r>
      <rPr>
        <vertAlign val="subscript"/>
        <sz val="11"/>
        <color indexed="8"/>
        <rFont val="Calibri"/>
        <family val="2"/>
        <scheme val="minor"/>
      </rPr>
      <t>FeS,OX</t>
    </r>
  </si>
  <si>
    <t>Rate of FeS oxidation</t>
  </si>
  <si>
    <r>
      <t>Ki</t>
    </r>
    <r>
      <rPr>
        <vertAlign val="subscript"/>
        <sz val="11"/>
        <rFont val="Calibri"/>
        <family val="2"/>
        <scheme val="minor"/>
      </rPr>
      <t>SO4,RED</t>
    </r>
  </si>
  <si>
    <r>
      <t>Half-inhibition of SO</t>
    </r>
    <r>
      <rPr>
        <vertAlign val="subscript"/>
        <sz val="11"/>
        <color rgb="FF000000"/>
        <rFont val="Calibri"/>
        <family val="2"/>
        <scheme val="minor"/>
      </rPr>
      <t>4</t>
    </r>
    <r>
      <rPr>
        <sz val="11"/>
        <color rgb="FF000000"/>
        <rFont val="Calibri"/>
        <family val="2"/>
        <charset val="238"/>
        <scheme val="minor"/>
      </rPr>
      <t xml:space="preserve"> in HFO reduction with SO</t>
    </r>
    <r>
      <rPr>
        <vertAlign val="subscript"/>
        <sz val="11"/>
        <color rgb="FF000000"/>
        <rFont val="Calibri"/>
        <family val="2"/>
        <scheme val="minor"/>
      </rPr>
      <t>4</t>
    </r>
  </si>
  <si>
    <t>Methyl mercaptan index kinetics</t>
  </si>
  <si>
    <r>
      <t>q</t>
    </r>
    <r>
      <rPr>
        <vertAlign val="subscript"/>
        <sz val="11"/>
        <rFont val="Calibri"/>
        <family val="2"/>
        <scheme val="minor"/>
      </rPr>
      <t>MM,PROD</t>
    </r>
  </si>
  <si>
    <t>Rate of methyl mercaptan production</t>
  </si>
  <si>
    <r>
      <t>q</t>
    </r>
    <r>
      <rPr>
        <vertAlign val="subscript"/>
        <sz val="11"/>
        <rFont val="Calibri"/>
        <family val="2"/>
        <scheme val="minor"/>
      </rPr>
      <t>MM,DEGR</t>
    </r>
  </si>
  <si>
    <t>Rate of methyl mercaptan degradation</t>
  </si>
  <si>
    <r>
      <t>K</t>
    </r>
    <r>
      <rPr>
        <vertAlign val="subscript"/>
        <sz val="11"/>
        <rFont val="Calibri"/>
        <family val="2"/>
        <scheme val="minor"/>
      </rPr>
      <t>TKN,B</t>
    </r>
  </si>
  <si>
    <t>Half-saturation of organic TKN</t>
  </si>
  <si>
    <r>
      <t>K</t>
    </r>
    <r>
      <rPr>
        <vertAlign val="subscript"/>
        <sz val="11"/>
        <rFont val="Calibri"/>
        <family val="2"/>
        <scheme val="minor"/>
      </rPr>
      <t>scaling</t>
    </r>
  </si>
  <si>
    <t>Scaling factor for odor index</t>
  </si>
  <si>
    <r>
      <t>k</t>
    </r>
    <r>
      <rPr>
        <vertAlign val="subscript"/>
        <sz val="11"/>
        <rFont val="Calibri"/>
        <family val="2"/>
        <scheme val="minor"/>
      </rPr>
      <t>transfer,MM</t>
    </r>
  </si>
  <si>
    <t>Transfer term for methyl mercaptan stripping</t>
  </si>
  <si>
    <r>
      <t>d.m</t>
    </r>
    <r>
      <rPr>
        <vertAlign val="superscript"/>
        <sz val="11"/>
        <rFont val="Calibri"/>
        <family val="2"/>
        <scheme val="minor"/>
      </rPr>
      <t>-3</t>
    </r>
  </si>
  <si>
    <r>
      <t>G</t>
    </r>
    <r>
      <rPr>
        <vertAlign val="subscript"/>
        <sz val="11"/>
        <rFont val="Calibri"/>
        <family val="2"/>
        <scheme val="minor"/>
      </rPr>
      <t>H2S,odor,lim</t>
    </r>
  </si>
  <si>
    <r>
      <t>Gas concentration limit for H</t>
    </r>
    <r>
      <rPr>
        <vertAlign val="subscript"/>
        <sz val="11"/>
        <color rgb="FF000000"/>
        <rFont val="Calibri"/>
        <family val="2"/>
        <scheme val="minor"/>
      </rPr>
      <t>2</t>
    </r>
    <r>
      <rPr>
        <sz val="11"/>
        <color rgb="FF000000"/>
        <rFont val="Calibri"/>
        <family val="2"/>
        <charset val="238"/>
        <scheme val="minor"/>
      </rPr>
      <t>S</t>
    </r>
  </si>
  <si>
    <r>
      <t>r</t>
    </r>
    <r>
      <rPr>
        <vertAlign val="subscript"/>
        <sz val="11"/>
        <rFont val="Calibri"/>
        <family val="2"/>
        <scheme val="minor"/>
      </rPr>
      <t>transfer,MM,lim</t>
    </r>
  </si>
  <si>
    <t>Transfer limit for methyl mercaptan stripping</t>
  </si>
  <si>
    <r>
      <t>n</t>
    </r>
    <r>
      <rPr>
        <vertAlign val="subscript"/>
        <sz val="11"/>
        <rFont val="Calibri"/>
        <family val="2"/>
        <scheme val="minor"/>
      </rPr>
      <t>H2S,odor</t>
    </r>
  </si>
  <si>
    <r>
      <t>Contribution of H</t>
    </r>
    <r>
      <rPr>
        <vertAlign val="subscript"/>
        <sz val="11"/>
        <color rgb="FF000000"/>
        <rFont val="Calibri"/>
        <family val="2"/>
        <scheme val="minor"/>
      </rPr>
      <t>2</t>
    </r>
    <r>
      <rPr>
        <sz val="11"/>
        <color rgb="FF000000"/>
        <rFont val="Calibri"/>
        <family val="2"/>
        <charset val="238"/>
        <scheme val="minor"/>
      </rPr>
      <t>S to the odor index</t>
    </r>
  </si>
  <si>
    <r>
      <t>Logsat</t>
    </r>
    <r>
      <rPr>
        <vertAlign val="subscript"/>
        <sz val="11"/>
        <rFont val="Calibri"/>
        <family val="2"/>
        <scheme val="minor"/>
      </rPr>
      <t>ORP,MM,Half</t>
    </r>
  </si>
  <si>
    <t>Logistic half-saturation of ORP switching in MM degradation</t>
  </si>
  <si>
    <r>
      <rPr>
        <sz val="11"/>
        <color indexed="8"/>
        <rFont val="Calibri"/>
        <family val="2"/>
        <scheme val="minor"/>
      </rPr>
      <t>Logsat</t>
    </r>
    <r>
      <rPr>
        <vertAlign val="subscript"/>
        <sz val="11"/>
        <rFont val="Calibri"/>
        <family val="2"/>
        <scheme val="minor"/>
      </rPr>
      <t>ORP,MM,Slope</t>
    </r>
  </si>
  <si>
    <t>Logistic slope of ORP switching in MM degradation</t>
  </si>
  <si>
    <r>
      <t>K</t>
    </r>
    <r>
      <rPr>
        <vertAlign val="subscript"/>
        <sz val="11"/>
        <rFont val="Calibri"/>
        <family val="2"/>
        <scheme val="minor"/>
      </rPr>
      <t>SO4,BIO,AS</t>
    </r>
  </si>
  <si>
    <r>
      <t>Half-saturation of SO</t>
    </r>
    <r>
      <rPr>
        <vertAlign val="subscript"/>
        <sz val="11"/>
        <color rgb="FF000000"/>
        <rFont val="Calibri"/>
        <family val="2"/>
        <scheme val="minor"/>
      </rPr>
      <t>4</t>
    </r>
    <r>
      <rPr>
        <sz val="11"/>
        <color rgb="FF000000"/>
        <rFont val="Calibri"/>
        <family val="2"/>
        <charset val="238"/>
        <scheme val="minor"/>
      </rPr>
      <t xml:space="preserve"> as nutrient for biomasses (AS)</t>
    </r>
  </si>
  <si>
    <r>
      <t>Ki</t>
    </r>
    <r>
      <rPr>
        <vertAlign val="subscript"/>
        <sz val="11"/>
        <color indexed="8"/>
        <rFont val="Calibri"/>
        <family val="2"/>
        <scheme val="minor"/>
      </rPr>
      <t>SO4,ASSIM,AS</t>
    </r>
  </si>
  <si>
    <r>
      <t>Half-inhibition of SO</t>
    </r>
    <r>
      <rPr>
        <vertAlign val="subscript"/>
        <sz val="11"/>
        <color rgb="FF000000"/>
        <rFont val="Calibri"/>
        <family val="2"/>
        <scheme val="minor"/>
      </rPr>
      <t>4</t>
    </r>
    <r>
      <rPr>
        <sz val="11"/>
        <color rgb="FF000000"/>
        <rFont val="Calibri"/>
        <family val="2"/>
        <charset val="238"/>
        <scheme val="minor"/>
      </rPr>
      <t xml:space="preserve"> in H</t>
    </r>
    <r>
      <rPr>
        <vertAlign val="subscript"/>
        <sz val="11"/>
        <color rgb="FF000000"/>
        <rFont val="Calibri"/>
        <family val="2"/>
        <scheme val="minor"/>
      </rPr>
      <t>2</t>
    </r>
    <r>
      <rPr>
        <sz val="11"/>
        <color rgb="FF000000"/>
        <rFont val="Calibri"/>
        <family val="2"/>
        <charset val="238"/>
        <scheme val="minor"/>
      </rPr>
      <t>S assimilative oxidation (AS)</t>
    </r>
  </si>
  <si>
    <r>
      <t>g S.m</t>
    </r>
    <r>
      <rPr>
        <vertAlign val="superscript"/>
        <sz val="11"/>
        <color indexed="8"/>
        <rFont val="Calibri"/>
        <family val="2"/>
        <scheme val="minor"/>
      </rPr>
      <t>-3</t>
    </r>
  </si>
  <si>
    <r>
      <t>K</t>
    </r>
    <r>
      <rPr>
        <vertAlign val="subscript"/>
        <sz val="11"/>
        <color indexed="8"/>
        <rFont val="Calibri"/>
        <family val="2"/>
        <scheme val="minor"/>
      </rPr>
      <t>H2S,ASSIM,AS</t>
    </r>
  </si>
  <si>
    <r>
      <t>Half-saturation of H</t>
    </r>
    <r>
      <rPr>
        <vertAlign val="subscript"/>
        <sz val="11"/>
        <color rgb="FF000000"/>
        <rFont val="Calibri"/>
        <family val="2"/>
        <scheme val="minor"/>
      </rPr>
      <t>2</t>
    </r>
    <r>
      <rPr>
        <sz val="11"/>
        <color rgb="FF000000"/>
        <rFont val="Calibri"/>
        <family val="2"/>
        <charset val="238"/>
        <scheme val="minor"/>
      </rPr>
      <t>S in H</t>
    </r>
    <r>
      <rPr>
        <vertAlign val="subscript"/>
        <sz val="11"/>
        <color rgb="FF000000"/>
        <rFont val="Calibri"/>
        <family val="2"/>
        <scheme val="minor"/>
      </rPr>
      <t>2</t>
    </r>
    <r>
      <rPr>
        <sz val="11"/>
        <color rgb="FF000000"/>
        <rFont val="Calibri"/>
        <family val="2"/>
        <charset val="238"/>
        <scheme val="minor"/>
      </rPr>
      <t>S assimilative oxidation (AS)</t>
    </r>
  </si>
  <si>
    <r>
      <t>θ</t>
    </r>
    <r>
      <rPr>
        <vertAlign val="subscript"/>
        <sz val="11"/>
        <rFont val="Calibri"/>
        <family val="2"/>
        <scheme val="minor"/>
      </rPr>
      <t>µ,ASRO</t>
    </r>
  </si>
  <si>
    <t>Arrhenius coefficient for ASRO growth</t>
  </si>
  <si>
    <r>
      <t>θ</t>
    </r>
    <r>
      <rPr>
        <vertAlign val="subscript"/>
        <sz val="11"/>
        <rFont val="Calibri"/>
        <family val="2"/>
        <scheme val="minor"/>
      </rPr>
      <t>µ,HSRO</t>
    </r>
  </si>
  <si>
    <t>Arrhenius coefficient for HSRO growth</t>
  </si>
  <si>
    <r>
      <t>θ</t>
    </r>
    <r>
      <rPr>
        <vertAlign val="subscript"/>
        <sz val="11"/>
        <rFont val="Calibri"/>
        <family val="2"/>
        <scheme val="minor"/>
      </rPr>
      <t>b,ASRO</t>
    </r>
  </si>
  <si>
    <t>Arrhenius coefficient for ASRO decay</t>
  </si>
  <si>
    <r>
      <t>θ</t>
    </r>
    <r>
      <rPr>
        <vertAlign val="subscript"/>
        <sz val="11"/>
        <rFont val="Calibri"/>
        <family val="2"/>
        <scheme val="minor"/>
      </rPr>
      <t>b,HSRO</t>
    </r>
  </si>
  <si>
    <t>Arrhenius coefficient for HSRO decay</t>
  </si>
  <si>
    <r>
      <t>θ</t>
    </r>
    <r>
      <rPr>
        <vertAlign val="subscript"/>
        <sz val="11"/>
        <rFont val="Calibri"/>
        <family val="2"/>
        <scheme val="minor"/>
      </rPr>
      <t>µ,SOO,H2S</t>
    </r>
  </si>
  <si>
    <t>Arrhenius coefficient for SOO growth on H2S</t>
  </si>
  <si>
    <r>
      <t>θ</t>
    </r>
    <r>
      <rPr>
        <vertAlign val="subscript"/>
        <sz val="11"/>
        <rFont val="Calibri"/>
        <family val="2"/>
        <scheme val="minor"/>
      </rPr>
      <t>µ,SOO,S</t>
    </r>
  </si>
  <si>
    <t>Arrhenius coefficient for SOO growth on S</t>
  </si>
  <si>
    <r>
      <t>θ</t>
    </r>
    <r>
      <rPr>
        <vertAlign val="subscript"/>
        <sz val="11"/>
        <rFont val="Calibri"/>
        <family val="2"/>
        <scheme val="minor"/>
      </rPr>
      <t>b,SOO</t>
    </r>
  </si>
  <si>
    <t>Arrhenius coefficient for SOO decay</t>
  </si>
  <si>
    <r>
      <t>θ</t>
    </r>
    <r>
      <rPr>
        <vertAlign val="subscript"/>
        <sz val="11"/>
        <color indexed="8"/>
        <rFont val="Calibri"/>
        <family val="2"/>
        <scheme val="minor"/>
      </rPr>
      <t>q,FeS,OX</t>
    </r>
  </si>
  <si>
    <t>Arrhenius coefficient for ferrous iron sulfide oxidation kinetics</t>
  </si>
  <si>
    <r>
      <t>θ</t>
    </r>
    <r>
      <rPr>
        <vertAlign val="subscript"/>
        <sz val="11"/>
        <color indexed="8"/>
        <rFont val="Calibri"/>
        <family val="2"/>
        <scheme val="minor"/>
      </rPr>
      <t>q,HFO,H2S,RED</t>
    </r>
  </si>
  <si>
    <t>Arrhenius coefficient for ferric iron reduction with sulfide kinetics</t>
  </si>
  <si>
    <r>
      <t>Y</t>
    </r>
    <r>
      <rPr>
        <vertAlign val="subscript"/>
        <sz val="11"/>
        <color indexed="8"/>
        <rFont val="Calibri"/>
        <family val="2"/>
        <charset val="238"/>
      </rPr>
      <t>SOO,H2S,ox</t>
    </r>
  </si>
  <si>
    <t>Yield of SOOs on H2S under aerobic conditions</t>
  </si>
  <si>
    <r>
      <t>g X</t>
    </r>
    <r>
      <rPr>
        <vertAlign val="subscript"/>
        <sz val="11"/>
        <rFont val="Calibri"/>
        <family val="2"/>
        <scheme val="minor"/>
      </rPr>
      <t>SOO</t>
    </r>
    <r>
      <rPr>
        <sz val="11"/>
        <rFont val="Calibri"/>
        <family val="2"/>
        <scheme val="minor"/>
      </rPr>
      <t>.g S</t>
    </r>
    <r>
      <rPr>
        <vertAlign val="superscript"/>
        <sz val="11"/>
        <rFont val="Calibri"/>
        <family val="2"/>
        <scheme val="minor"/>
      </rPr>
      <t>-1</t>
    </r>
  </si>
  <si>
    <t>Munz et al., 2009</t>
  </si>
  <si>
    <r>
      <t>Y</t>
    </r>
    <r>
      <rPr>
        <vertAlign val="subscript"/>
        <sz val="11"/>
        <color indexed="8"/>
        <rFont val="Calibri"/>
        <family val="2"/>
        <charset val="238"/>
      </rPr>
      <t>SOO,H2S,anox</t>
    </r>
  </si>
  <si>
    <t>Yield of SOOs on H2S under anoxic conditions</t>
  </si>
  <si>
    <t>Mora et al., 2014</t>
  </si>
  <si>
    <r>
      <t>Y</t>
    </r>
    <r>
      <rPr>
        <vertAlign val="subscript"/>
        <sz val="11"/>
        <color indexed="8"/>
        <rFont val="Calibri"/>
        <family val="2"/>
        <charset val="238"/>
      </rPr>
      <t>SOO,S,ox</t>
    </r>
  </si>
  <si>
    <t>Yield of SOOs on S under aerobic conditions</t>
  </si>
  <si>
    <r>
      <t>Y</t>
    </r>
    <r>
      <rPr>
        <vertAlign val="subscript"/>
        <sz val="11"/>
        <color indexed="8"/>
        <rFont val="Calibri"/>
        <family val="2"/>
        <charset val="238"/>
      </rPr>
      <t>SOO,S,anox</t>
    </r>
  </si>
  <si>
    <t>Yield of SOOs on S under anoxic conditions</t>
  </si>
  <si>
    <r>
      <t>Y</t>
    </r>
    <r>
      <rPr>
        <vertAlign val="subscript"/>
        <sz val="11"/>
        <color indexed="8"/>
        <rFont val="Calibri"/>
        <family val="2"/>
        <charset val="238"/>
      </rPr>
      <t>ASRO</t>
    </r>
  </si>
  <si>
    <t>Yield of ASROs on VFA</t>
  </si>
  <si>
    <r>
      <t>g X</t>
    </r>
    <r>
      <rPr>
        <vertAlign val="subscript"/>
        <sz val="11"/>
        <rFont val="Calibri"/>
        <family val="2"/>
        <scheme val="minor"/>
      </rPr>
      <t>ASRO</t>
    </r>
    <r>
      <rPr>
        <sz val="11"/>
        <rFont val="Calibri"/>
        <family val="2"/>
        <scheme val="minor"/>
      </rPr>
      <t>.g S</t>
    </r>
    <r>
      <rPr>
        <vertAlign val="subscript"/>
        <sz val="11"/>
        <rFont val="Calibri"/>
        <family val="2"/>
        <scheme val="minor"/>
      </rPr>
      <t>VFA</t>
    </r>
    <r>
      <rPr>
        <vertAlign val="superscript"/>
        <sz val="11"/>
        <rFont val="Calibri"/>
        <family val="2"/>
        <scheme val="minor"/>
      </rPr>
      <t>-1</t>
    </r>
  </si>
  <si>
    <t>Barrera et al. (2015)</t>
  </si>
  <si>
    <r>
      <t>Y</t>
    </r>
    <r>
      <rPr>
        <vertAlign val="subscript"/>
        <sz val="11"/>
        <color indexed="8"/>
        <rFont val="Calibri"/>
        <family val="2"/>
        <charset val="238"/>
      </rPr>
      <t>HSRO</t>
    </r>
  </si>
  <si>
    <r>
      <t>Yield of HSROs on H</t>
    </r>
    <r>
      <rPr>
        <vertAlign val="subscript"/>
        <sz val="11"/>
        <color rgb="FF000000"/>
        <rFont val="Calibri"/>
        <family val="2"/>
        <scheme val="minor"/>
      </rPr>
      <t>2</t>
    </r>
  </si>
  <si>
    <r>
      <t>g X</t>
    </r>
    <r>
      <rPr>
        <vertAlign val="subscript"/>
        <sz val="11"/>
        <rFont val="Calibri"/>
        <family val="2"/>
        <scheme val="minor"/>
      </rPr>
      <t>ASRO</t>
    </r>
    <r>
      <rPr>
        <sz val="11"/>
        <rFont val="Calibri"/>
        <family val="2"/>
        <scheme val="minor"/>
      </rPr>
      <t>.g S</t>
    </r>
    <r>
      <rPr>
        <vertAlign val="subscript"/>
        <sz val="11"/>
        <rFont val="Calibri"/>
        <family val="2"/>
        <scheme val="minor"/>
      </rPr>
      <t>H2</t>
    </r>
    <r>
      <rPr>
        <vertAlign val="superscript"/>
        <sz val="11"/>
        <rFont val="Calibri"/>
        <family val="2"/>
        <scheme val="minor"/>
      </rPr>
      <t>-1</t>
    </r>
  </si>
  <si>
    <r>
      <t>i</t>
    </r>
    <r>
      <rPr>
        <vertAlign val="subscript"/>
        <sz val="11"/>
        <rFont val="Calibri"/>
        <family val="2"/>
        <scheme val="minor"/>
      </rPr>
      <t>S,BIO</t>
    </r>
  </si>
  <si>
    <t>S content of biomasses</t>
  </si>
  <si>
    <r>
      <t>g S.g COD</t>
    </r>
    <r>
      <rPr>
        <vertAlign val="superscript"/>
        <sz val="11"/>
        <rFont val="Calibri"/>
        <family val="2"/>
        <scheme val="minor"/>
      </rPr>
      <t>-1</t>
    </r>
  </si>
  <si>
    <r>
      <t>i</t>
    </r>
    <r>
      <rPr>
        <vertAlign val="subscript"/>
        <sz val="11"/>
        <rFont val="Calibri"/>
        <family val="2"/>
        <scheme val="minor"/>
      </rPr>
      <t>S,SB</t>
    </r>
  </si>
  <si>
    <t>S content of soluble biodegradable substrate</t>
  </si>
  <si>
    <r>
      <t>i</t>
    </r>
    <r>
      <rPr>
        <vertAlign val="subscript"/>
        <sz val="11"/>
        <rFont val="Calibri"/>
        <family val="2"/>
        <scheme val="minor"/>
      </rPr>
      <t>S,SU</t>
    </r>
  </si>
  <si>
    <t>S content of soluble unbiodegradable organics</t>
  </si>
  <si>
    <r>
      <t>i</t>
    </r>
    <r>
      <rPr>
        <vertAlign val="subscript"/>
        <sz val="11"/>
        <rFont val="Calibri"/>
        <family val="2"/>
        <scheme val="minor"/>
      </rPr>
      <t>S,CB</t>
    </r>
  </si>
  <si>
    <t>S content of colloidal biodegradable substrate</t>
  </si>
  <si>
    <r>
      <t>i</t>
    </r>
    <r>
      <rPr>
        <vertAlign val="subscript"/>
        <sz val="11"/>
        <rFont val="Calibri"/>
        <family val="2"/>
        <scheme val="minor"/>
      </rPr>
      <t>S,CU</t>
    </r>
  </si>
  <si>
    <t>S content of colloidal unbiodegradable organics</t>
  </si>
  <si>
    <r>
      <t>i</t>
    </r>
    <r>
      <rPr>
        <vertAlign val="subscript"/>
        <sz val="11"/>
        <rFont val="Calibri"/>
        <family val="2"/>
        <scheme val="minor"/>
      </rPr>
      <t>S,XB</t>
    </r>
  </si>
  <si>
    <t>S content of particulatel biodegradable substrate</t>
  </si>
  <si>
    <r>
      <t>i</t>
    </r>
    <r>
      <rPr>
        <vertAlign val="subscript"/>
        <sz val="11"/>
        <rFont val="Calibri"/>
        <family val="2"/>
        <scheme val="minor"/>
      </rPr>
      <t>S,XU</t>
    </r>
  </si>
  <si>
    <t>S content of particulate unbiodegradable organics</t>
  </si>
  <si>
    <r>
      <t>i</t>
    </r>
    <r>
      <rPr>
        <vertAlign val="subscript"/>
        <sz val="11"/>
        <rFont val="Calibri"/>
        <family val="2"/>
        <scheme val="minor"/>
      </rPr>
      <t>S,FeS</t>
    </r>
  </si>
  <si>
    <t>S content of FeS</t>
  </si>
  <si>
    <r>
      <t>g S.g TSS</t>
    </r>
    <r>
      <rPr>
        <vertAlign val="superscript"/>
        <sz val="11"/>
        <rFont val="Calibri"/>
        <family val="2"/>
        <scheme val="minor"/>
      </rPr>
      <t>-1</t>
    </r>
  </si>
  <si>
    <r>
      <t>f</t>
    </r>
    <r>
      <rPr>
        <vertAlign val="subscript"/>
        <sz val="11"/>
        <rFont val="Calibri"/>
        <family val="2"/>
        <scheme val="minor"/>
      </rPr>
      <t>kL,GH2S</t>
    </r>
  </si>
  <si>
    <r>
      <t>Correction factor for mass transfer of H</t>
    </r>
    <r>
      <rPr>
        <vertAlign val="subscript"/>
        <sz val="11"/>
        <color rgb="FF000000"/>
        <rFont val="Calibri"/>
        <family val="2"/>
        <scheme val="minor"/>
      </rPr>
      <t>2</t>
    </r>
    <r>
      <rPr>
        <sz val="11"/>
        <color rgb="FF000000"/>
        <rFont val="Calibri"/>
        <family val="2"/>
        <charset val="238"/>
        <scheme val="minor"/>
      </rPr>
      <t>S</t>
    </r>
  </si>
  <si>
    <r>
      <t>K</t>
    </r>
    <r>
      <rPr>
        <vertAlign val="subscript"/>
        <sz val="11"/>
        <rFont val="Calibri"/>
        <family val="2"/>
        <scheme val="minor"/>
      </rPr>
      <t>ORP,H2,CH4,H2S</t>
    </r>
  </si>
  <si>
    <t>Half-saturation of dissolved hydrogen, methane and hydrogen sulfide for anaerobic ORP</t>
  </si>
  <si>
    <r>
      <t>G</t>
    </r>
    <r>
      <rPr>
        <vertAlign val="subscript"/>
        <sz val="11"/>
        <rFont val="Calibri"/>
        <family val="2"/>
        <charset val="238"/>
      </rPr>
      <t>H2S</t>
    </r>
  </si>
  <si>
    <t>Hydrogen sulfide (H2S) reference percentage</t>
  </si>
  <si>
    <r>
      <t>[H</t>
    </r>
    <r>
      <rPr>
        <b/>
        <vertAlign val="subscript"/>
        <sz val="11"/>
        <rFont val="Calibri"/>
        <family val="2"/>
      </rPr>
      <t>2</t>
    </r>
    <r>
      <rPr>
        <b/>
        <sz val="11"/>
        <rFont val="Calibri"/>
        <family val="2"/>
      </rPr>
      <t>SO</t>
    </r>
    <r>
      <rPr>
        <b/>
        <vertAlign val="subscript"/>
        <sz val="11"/>
        <rFont val="Calibri"/>
        <family val="2"/>
      </rPr>
      <t>4</t>
    </r>
    <r>
      <rPr>
        <b/>
        <sz val="11"/>
        <rFont val="Calibri"/>
        <family val="2"/>
      </rPr>
      <t>]</t>
    </r>
  </si>
  <si>
    <t>Sulfuric acid</t>
  </si>
  <si>
    <r>
      <t>f(S</t>
    </r>
    <r>
      <rPr>
        <vertAlign val="subscript"/>
        <sz val="11"/>
        <rFont val="Calibri"/>
        <family val="2"/>
      </rPr>
      <t>H2SO4</t>
    </r>
    <r>
      <rPr>
        <sz val="11"/>
        <rFont val="Calibri"/>
        <family val="2"/>
      </rPr>
      <t>); pH</t>
    </r>
  </si>
  <si>
    <r>
      <t>[HSO</t>
    </r>
    <r>
      <rPr>
        <b/>
        <vertAlign val="subscript"/>
        <sz val="11"/>
        <rFont val="Calibri"/>
        <family val="2"/>
      </rPr>
      <t>4</t>
    </r>
    <r>
      <rPr>
        <b/>
        <vertAlign val="superscript"/>
        <sz val="11"/>
        <rFont val="Calibri"/>
        <family val="2"/>
      </rPr>
      <t>-</t>
    </r>
    <r>
      <rPr>
        <b/>
        <sz val="11"/>
        <rFont val="Calibri"/>
        <family val="2"/>
      </rPr>
      <t>]</t>
    </r>
  </si>
  <si>
    <t>Hydrosulfate ion</t>
  </si>
  <si>
    <r>
      <t>[SO</t>
    </r>
    <r>
      <rPr>
        <b/>
        <vertAlign val="subscript"/>
        <sz val="11"/>
        <rFont val="Calibri"/>
        <family val="2"/>
      </rPr>
      <t>4</t>
    </r>
    <r>
      <rPr>
        <b/>
        <vertAlign val="superscript"/>
        <sz val="11"/>
        <rFont val="Calibri"/>
        <family val="2"/>
      </rPr>
      <t>2-</t>
    </r>
    <r>
      <rPr>
        <b/>
        <sz val="11"/>
        <rFont val="Calibri"/>
        <family val="2"/>
      </rPr>
      <t>]</t>
    </r>
  </si>
  <si>
    <t>Sulfate</t>
  </si>
  <si>
    <r>
      <t>[H</t>
    </r>
    <r>
      <rPr>
        <b/>
        <vertAlign val="subscript"/>
        <sz val="11"/>
        <rFont val="Calibri"/>
        <family val="2"/>
      </rPr>
      <t>2</t>
    </r>
    <r>
      <rPr>
        <b/>
        <sz val="11"/>
        <rFont val="Calibri"/>
        <family val="2"/>
      </rPr>
      <t>S]</t>
    </r>
  </si>
  <si>
    <t>Hydrogen sulfide</t>
  </si>
  <si>
    <r>
      <t>f(S</t>
    </r>
    <r>
      <rPr>
        <vertAlign val="subscript"/>
        <sz val="11"/>
        <rFont val="Calibri"/>
        <family val="2"/>
      </rPr>
      <t>H2S</t>
    </r>
    <r>
      <rPr>
        <sz val="11"/>
        <rFont val="Calibri"/>
        <family val="2"/>
      </rPr>
      <t>); pH</t>
    </r>
  </si>
  <si>
    <r>
      <t>[HS</t>
    </r>
    <r>
      <rPr>
        <b/>
        <vertAlign val="superscript"/>
        <sz val="11"/>
        <rFont val="Calibri"/>
        <family val="2"/>
      </rPr>
      <t>-</t>
    </r>
    <r>
      <rPr>
        <b/>
        <sz val="11"/>
        <rFont val="Calibri"/>
        <family val="2"/>
      </rPr>
      <t>]</t>
    </r>
  </si>
  <si>
    <t>Bisulfide ion</t>
  </si>
  <si>
    <r>
      <t>[S</t>
    </r>
    <r>
      <rPr>
        <b/>
        <vertAlign val="superscript"/>
        <sz val="11"/>
        <rFont val="Calibri"/>
        <family val="2"/>
      </rPr>
      <t>2-</t>
    </r>
    <r>
      <rPr>
        <b/>
        <sz val="11"/>
        <rFont val="Calibri"/>
        <family val="2"/>
      </rPr>
      <t>]</t>
    </r>
  </si>
  <si>
    <t>Sulfide ion</t>
  </si>
  <si>
    <r>
      <t>X</t>
    </r>
    <r>
      <rPr>
        <b/>
        <vertAlign val="subscript"/>
        <sz val="11"/>
        <rFont val="Calibri"/>
        <family val="2"/>
        <charset val="238"/>
        <scheme val="minor"/>
      </rPr>
      <t>ASRO</t>
    </r>
  </si>
  <si>
    <t>Acidoclastic sulfate-reducing organisms (ASRO)</t>
  </si>
  <si>
    <r>
      <t>X</t>
    </r>
    <r>
      <rPr>
        <b/>
        <vertAlign val="subscript"/>
        <sz val="11"/>
        <rFont val="Calibri"/>
        <family val="2"/>
        <charset val="238"/>
        <scheme val="minor"/>
      </rPr>
      <t>HSRO</t>
    </r>
  </si>
  <si>
    <t>Hydrogenotrophic sulfate-reducing organisms (HSRO)</t>
  </si>
  <si>
    <r>
      <t>X</t>
    </r>
    <r>
      <rPr>
        <b/>
        <vertAlign val="subscript"/>
        <sz val="11"/>
        <rFont val="Calibri"/>
        <family val="2"/>
        <charset val="238"/>
        <scheme val="minor"/>
      </rPr>
      <t>SOO</t>
    </r>
  </si>
  <si>
    <t>Sulfur-oxidizing organisms (SOO)</t>
  </si>
  <si>
    <r>
      <t>S</t>
    </r>
    <r>
      <rPr>
        <b/>
        <vertAlign val="subscript"/>
        <sz val="11"/>
        <rFont val="Calibri"/>
        <family val="2"/>
      </rPr>
      <t>H2S</t>
    </r>
  </si>
  <si>
    <r>
      <t>Hydrogen sulfide (H</t>
    </r>
    <r>
      <rPr>
        <vertAlign val="subscript"/>
        <sz val="11"/>
        <color rgb="FF000000"/>
        <rFont val="Calibri"/>
        <family val="2"/>
        <scheme val="minor"/>
      </rPr>
      <t>2</t>
    </r>
    <r>
      <rPr>
        <sz val="11"/>
        <color rgb="FF000000"/>
        <rFont val="Calibri"/>
        <family val="2"/>
        <charset val="238"/>
        <scheme val="minor"/>
      </rPr>
      <t>S)</t>
    </r>
  </si>
  <si>
    <r>
      <t>g S.m</t>
    </r>
    <r>
      <rPr>
        <vertAlign val="superscript"/>
        <sz val="11"/>
        <rFont val="Calibri"/>
        <family val="2"/>
      </rPr>
      <t>-3</t>
    </r>
  </si>
  <si>
    <r>
      <t>S</t>
    </r>
    <r>
      <rPr>
        <b/>
        <vertAlign val="subscript"/>
        <sz val="11"/>
        <rFont val="Calibri"/>
        <family val="2"/>
      </rPr>
      <t>SO4</t>
    </r>
  </si>
  <si>
    <r>
      <t>Sulfate (SO</t>
    </r>
    <r>
      <rPr>
        <vertAlign val="subscript"/>
        <sz val="11"/>
        <color rgb="FF000000"/>
        <rFont val="Calibri"/>
        <family val="2"/>
        <scheme val="minor"/>
      </rPr>
      <t>4</t>
    </r>
    <r>
      <rPr>
        <sz val="11"/>
        <color rgb="FF000000"/>
        <rFont val="Calibri"/>
        <family val="2"/>
        <charset val="238"/>
        <scheme val="minor"/>
      </rPr>
      <t>)</t>
    </r>
  </si>
  <si>
    <r>
      <t>X</t>
    </r>
    <r>
      <rPr>
        <b/>
        <vertAlign val="subscript"/>
        <sz val="11"/>
        <rFont val="Calibri"/>
        <family val="2"/>
        <charset val="238"/>
        <scheme val="minor"/>
      </rPr>
      <t>S</t>
    </r>
  </si>
  <si>
    <t>Particulate elemental sulfur (S)</t>
  </si>
  <si>
    <r>
      <t>X</t>
    </r>
    <r>
      <rPr>
        <b/>
        <vertAlign val="subscript"/>
        <sz val="11"/>
        <rFont val="Calibri"/>
        <family val="2"/>
        <charset val="238"/>
        <scheme val="minor"/>
      </rPr>
      <t>FeS</t>
    </r>
  </si>
  <si>
    <t>Iron sulfide (FeS)</t>
  </si>
  <si>
    <r>
      <t>G</t>
    </r>
    <r>
      <rPr>
        <b/>
        <vertAlign val="subscript"/>
        <sz val="11"/>
        <rFont val="Calibri"/>
        <family val="2"/>
      </rPr>
      <t>H2S,atm</t>
    </r>
  </si>
  <si>
    <r>
      <t>Hydrogen sulfide gas (H</t>
    </r>
    <r>
      <rPr>
        <vertAlign val="subscript"/>
        <sz val="11"/>
        <color rgb="FF000000"/>
        <rFont val="Calibri"/>
        <family val="2"/>
        <scheme val="minor"/>
      </rPr>
      <t>2</t>
    </r>
    <r>
      <rPr>
        <sz val="11"/>
        <color rgb="FF000000"/>
        <rFont val="Calibri"/>
        <family val="2"/>
        <charset val="238"/>
        <scheme val="minor"/>
      </rPr>
      <t>S)</t>
    </r>
  </si>
  <si>
    <r>
      <t>S</t>
    </r>
    <r>
      <rPr>
        <b/>
        <vertAlign val="subscript"/>
        <sz val="11"/>
        <rFont val="Calibri"/>
        <family val="2"/>
      </rPr>
      <t>MM,index</t>
    </r>
  </si>
  <si>
    <t>Methyl mercaptan production index</t>
  </si>
  <si>
    <t>MM</t>
  </si>
  <si>
    <r>
      <t>G</t>
    </r>
    <r>
      <rPr>
        <b/>
        <vertAlign val="subscript"/>
        <sz val="11"/>
        <rFont val="Calibri"/>
        <family val="2"/>
      </rPr>
      <t>H2S</t>
    </r>
  </si>
  <si>
    <r>
      <t>g S.m</t>
    </r>
    <r>
      <rPr>
        <vertAlign val="superscript"/>
        <sz val="11"/>
        <color theme="1"/>
        <rFont val="Calibri"/>
        <family val="2"/>
        <scheme val="minor"/>
      </rPr>
      <t>-3</t>
    </r>
  </si>
  <si>
    <r>
      <t>T</t>
    </r>
    <r>
      <rPr>
        <vertAlign val="subscript"/>
        <sz val="11"/>
        <rFont val="Calibri"/>
        <family val="2"/>
        <scheme val="minor"/>
      </rPr>
      <t>S</t>
    </r>
  </si>
  <si>
    <t>Total sulfur</t>
  </si>
  <si>
    <r>
      <t>i</t>
    </r>
    <r>
      <rPr>
        <vertAlign val="subscript"/>
        <sz val="11"/>
        <rFont val="Calibri"/>
        <family val="2"/>
        <scheme val="minor"/>
      </rPr>
      <t>S,BIO</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 i</t>
    </r>
    <r>
      <rPr>
        <vertAlign val="subscript"/>
        <sz val="11"/>
        <rFont val="Calibri"/>
        <family val="2"/>
        <scheme val="minor"/>
      </rPr>
      <t>S,SB</t>
    </r>
    <r>
      <rPr>
        <sz val="11"/>
        <rFont val="Calibri"/>
        <family val="2"/>
        <scheme val="minor"/>
      </rPr>
      <t>*S</t>
    </r>
    <r>
      <rPr>
        <vertAlign val="subscript"/>
        <sz val="11"/>
        <rFont val="Calibri"/>
        <family val="2"/>
        <scheme val="minor"/>
      </rPr>
      <t>B</t>
    </r>
    <r>
      <rPr>
        <sz val="11"/>
        <rFont val="Calibri"/>
        <family val="2"/>
        <scheme val="minor"/>
      </rPr>
      <t>+i</t>
    </r>
    <r>
      <rPr>
        <vertAlign val="subscript"/>
        <sz val="11"/>
        <rFont val="Calibri"/>
        <family val="2"/>
        <scheme val="minor"/>
      </rPr>
      <t>S,CB</t>
    </r>
    <r>
      <rPr>
        <sz val="11"/>
        <rFont val="Calibri"/>
        <family val="2"/>
        <scheme val="minor"/>
      </rPr>
      <t>*C</t>
    </r>
    <r>
      <rPr>
        <vertAlign val="subscript"/>
        <sz val="11"/>
        <rFont val="Calibri"/>
        <family val="2"/>
        <scheme val="minor"/>
      </rPr>
      <t>B</t>
    </r>
    <r>
      <rPr>
        <sz val="11"/>
        <rFont val="Calibri"/>
        <family val="2"/>
        <scheme val="minor"/>
      </rPr>
      <t>+i</t>
    </r>
    <r>
      <rPr>
        <vertAlign val="subscript"/>
        <sz val="11"/>
        <rFont val="Calibri"/>
        <family val="2"/>
        <scheme val="minor"/>
      </rPr>
      <t>S,XB</t>
    </r>
    <r>
      <rPr>
        <sz val="11"/>
        <rFont val="Calibri"/>
        <family val="2"/>
        <scheme val="minor"/>
      </rPr>
      <t>*X</t>
    </r>
    <r>
      <rPr>
        <vertAlign val="subscript"/>
        <sz val="11"/>
        <rFont val="Calibri"/>
        <family val="2"/>
        <scheme val="minor"/>
      </rPr>
      <t>B</t>
    </r>
    <r>
      <rPr>
        <sz val="11"/>
        <rFont val="Calibri"/>
        <family val="2"/>
        <scheme val="minor"/>
      </rPr>
      <t>+i</t>
    </r>
    <r>
      <rPr>
        <vertAlign val="subscript"/>
        <sz val="11"/>
        <rFont val="Calibri"/>
        <family val="2"/>
        <scheme val="minor"/>
      </rPr>
      <t>S,SU</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S,XU</t>
    </r>
    <r>
      <rPr>
        <sz val="11"/>
        <rFont val="Calibri"/>
        <family val="2"/>
        <scheme val="minor"/>
      </rPr>
      <t>*X</t>
    </r>
    <r>
      <rPr>
        <vertAlign val="subscript"/>
        <sz val="11"/>
        <rFont val="Calibri"/>
        <family val="2"/>
        <scheme val="minor"/>
      </rPr>
      <t>U</t>
    </r>
    <r>
      <rPr>
        <sz val="11"/>
        <rFont val="Calibri"/>
        <family val="2"/>
        <scheme val="minor"/>
      </rPr>
      <t>+i</t>
    </r>
    <r>
      <rPr>
        <vertAlign val="subscript"/>
        <sz val="11"/>
        <rFont val="Calibri"/>
        <family val="2"/>
        <scheme val="minor"/>
      </rPr>
      <t>S,CU</t>
    </r>
    <r>
      <rPr>
        <sz val="11"/>
        <rFont val="Calibri"/>
        <family val="2"/>
        <scheme val="minor"/>
      </rPr>
      <t>*C</t>
    </r>
    <r>
      <rPr>
        <vertAlign val="subscript"/>
        <sz val="11"/>
        <rFont val="Calibri"/>
        <family val="2"/>
        <scheme val="minor"/>
      </rPr>
      <t>U</t>
    </r>
    <r>
      <rPr>
        <sz val="11"/>
        <rFont val="Calibri"/>
        <family val="2"/>
        <scheme val="minor"/>
      </rPr>
      <t xml:space="preserve"> + i</t>
    </r>
    <r>
      <rPr>
        <vertAlign val="subscript"/>
        <sz val="11"/>
        <rFont val="Calibri"/>
        <family val="2"/>
        <scheme val="minor"/>
      </rPr>
      <t>S,FeS</t>
    </r>
    <r>
      <rPr>
        <sz val="11"/>
        <rFont val="Calibri"/>
        <family val="2"/>
        <scheme val="minor"/>
      </rPr>
      <t>*X</t>
    </r>
    <r>
      <rPr>
        <vertAlign val="subscript"/>
        <sz val="11"/>
        <rFont val="Calibri"/>
        <family val="2"/>
        <scheme val="minor"/>
      </rPr>
      <t>FeS</t>
    </r>
    <r>
      <rPr>
        <sz val="11"/>
        <rFont val="Calibri"/>
        <family val="2"/>
        <scheme val="minor"/>
      </rPr>
      <t xml:space="preserve"> + S</t>
    </r>
    <r>
      <rPr>
        <vertAlign val="subscript"/>
        <sz val="11"/>
        <rFont val="Calibri"/>
        <family val="2"/>
        <scheme val="minor"/>
      </rPr>
      <t>H2S</t>
    </r>
    <r>
      <rPr>
        <sz val="11"/>
        <rFont val="Calibri"/>
        <family val="2"/>
        <scheme val="minor"/>
      </rPr>
      <t xml:space="preserve"> + S</t>
    </r>
    <r>
      <rPr>
        <vertAlign val="subscript"/>
        <sz val="11"/>
        <rFont val="Calibri"/>
        <family val="2"/>
        <scheme val="minor"/>
      </rPr>
      <t>SO4</t>
    </r>
    <r>
      <rPr>
        <sz val="11"/>
        <rFont val="Calibri"/>
        <family val="2"/>
        <scheme val="minor"/>
      </rPr>
      <t xml:space="preserve"> + X</t>
    </r>
    <r>
      <rPr>
        <vertAlign val="subscript"/>
        <sz val="11"/>
        <rFont val="Calibri"/>
        <family val="2"/>
        <scheme val="minor"/>
      </rPr>
      <t>S</t>
    </r>
  </si>
  <si>
    <r>
      <t>S</t>
    </r>
    <r>
      <rPr>
        <vertAlign val="subscript"/>
        <sz val="11"/>
        <rFont val="Calibri"/>
        <family val="2"/>
      </rPr>
      <t>H2,CH4,H2S</t>
    </r>
  </si>
  <si>
    <t>Combined concentration of hydrogen, methane and hydrogen sulfide in COD</t>
  </si>
  <si>
    <r>
      <t>S</t>
    </r>
    <r>
      <rPr>
        <vertAlign val="subscript"/>
        <sz val="11"/>
        <rFont val="Calibri"/>
        <family val="2"/>
        <scheme val="minor"/>
      </rPr>
      <t>H2</t>
    </r>
    <r>
      <rPr>
        <sz val="11"/>
        <rFont val="Calibri"/>
        <family val="2"/>
        <scheme val="minor"/>
      </rPr>
      <t xml:space="preserve"> + S</t>
    </r>
    <r>
      <rPr>
        <vertAlign val="subscript"/>
        <sz val="11"/>
        <rFont val="Calibri"/>
        <family val="2"/>
        <scheme val="minor"/>
      </rPr>
      <t>CH4</t>
    </r>
    <r>
      <rPr>
        <sz val="11"/>
        <rFont val="Calibri"/>
        <family val="2"/>
        <charset val="238"/>
        <scheme val="minor"/>
      </rPr>
      <t xml:space="preserve"> + S</t>
    </r>
    <r>
      <rPr>
        <vertAlign val="subscript"/>
        <sz val="11"/>
        <rFont val="Calibri"/>
        <family val="2"/>
        <scheme val="minor"/>
      </rPr>
      <t>H2S</t>
    </r>
  </si>
  <si>
    <r>
      <t>ORP</t>
    </r>
    <r>
      <rPr>
        <vertAlign val="subscript"/>
        <sz val="11"/>
        <rFont val="Calibri"/>
        <family val="2"/>
      </rPr>
      <t>H2,CH4,H2S</t>
    </r>
  </si>
  <si>
    <t>Oxidation-reduction potential due to dissolved hydrogen, methane and hydrogen sulfide (anaerobic)</t>
  </si>
  <si>
    <r>
      <t>ORP</t>
    </r>
    <r>
      <rPr>
        <vertAlign val="subscript"/>
        <sz val="11"/>
        <rFont val="Calibri"/>
        <family val="2"/>
        <scheme val="minor"/>
      </rPr>
      <t xml:space="preserve">base </t>
    </r>
    <r>
      <rPr>
        <sz val="11"/>
        <rFont val="Calibri"/>
        <family val="2"/>
        <scheme val="minor"/>
      </rPr>
      <t>* (S</t>
    </r>
    <r>
      <rPr>
        <vertAlign val="subscript"/>
        <sz val="11"/>
        <rFont val="Calibri"/>
        <family val="2"/>
        <scheme val="minor"/>
      </rPr>
      <t>H2,CH4,H2S</t>
    </r>
    <r>
      <rPr>
        <sz val="11"/>
        <rFont val="Calibri"/>
        <family val="2"/>
        <scheme val="minor"/>
      </rPr>
      <t>)/(K</t>
    </r>
    <r>
      <rPr>
        <vertAlign val="subscript"/>
        <sz val="11"/>
        <rFont val="Calibri"/>
        <family val="2"/>
        <scheme val="minor"/>
      </rPr>
      <t xml:space="preserve">ORP,H2,CH4,H2S </t>
    </r>
    <r>
      <rPr>
        <sz val="11"/>
        <rFont val="Calibri"/>
        <family val="2"/>
        <scheme val="minor"/>
      </rPr>
      <t>+ S</t>
    </r>
    <r>
      <rPr>
        <vertAlign val="subscript"/>
        <sz val="11"/>
        <rFont val="Calibri"/>
        <family val="2"/>
        <scheme val="minor"/>
      </rPr>
      <t>H2,CH4,H2S</t>
    </r>
    <r>
      <rPr>
        <sz val="11"/>
        <rFont val="Calibri"/>
        <family val="2"/>
        <scheme val="minor"/>
      </rPr>
      <t>)</t>
    </r>
  </si>
  <si>
    <r>
      <t>Max(ORP</t>
    </r>
    <r>
      <rPr>
        <vertAlign val="subscript"/>
        <sz val="11"/>
        <rFont val="Calibri"/>
        <family val="2"/>
        <scheme val="minor"/>
      </rPr>
      <t>O2;</t>
    </r>
    <r>
      <rPr>
        <sz val="11"/>
        <rFont val="Calibri"/>
        <family val="2"/>
        <scheme val="minor"/>
      </rPr>
      <t>ORP</t>
    </r>
    <r>
      <rPr>
        <vertAlign val="subscript"/>
        <sz val="11"/>
        <rFont val="Calibri"/>
        <family val="2"/>
        <scheme val="minor"/>
      </rPr>
      <t>NOx;</t>
    </r>
    <r>
      <rPr>
        <sz val="11"/>
        <rFont val="Calibri"/>
        <family val="2"/>
        <scheme val="minor"/>
      </rPr>
      <t>ORP</t>
    </r>
    <r>
      <rPr>
        <vertAlign val="subscript"/>
        <sz val="11"/>
        <rFont val="Calibri"/>
        <family val="2"/>
        <scheme val="minor"/>
      </rPr>
      <t>H2,CH4,H2S</t>
    </r>
    <r>
      <rPr>
        <sz val="11"/>
        <rFont val="Calibri"/>
        <family val="2"/>
        <scheme val="minor"/>
      </rPr>
      <t>)</t>
    </r>
  </si>
  <si>
    <r>
      <t>Loginh</t>
    </r>
    <r>
      <rPr>
        <vertAlign val="subscript"/>
        <sz val="11"/>
        <rFont val="Calibri"/>
        <family val="2"/>
      </rPr>
      <t>ORP,MM</t>
    </r>
  </si>
  <si>
    <t>ORP switch of MM degradation</t>
  </si>
  <si>
    <r>
      <t>Loginhswitch(ORP; Logsat</t>
    </r>
    <r>
      <rPr>
        <vertAlign val="subscript"/>
        <sz val="11"/>
        <rFont val="Calibri"/>
        <family val="2"/>
      </rPr>
      <t>ORP,MM,Half</t>
    </r>
    <r>
      <rPr>
        <sz val="11"/>
        <rFont val="Calibri"/>
        <family val="2"/>
      </rPr>
      <t>; Logsat</t>
    </r>
    <r>
      <rPr>
        <vertAlign val="subscript"/>
        <sz val="11"/>
        <rFont val="Calibri"/>
        <family val="2"/>
      </rPr>
      <t>ORP,MM,Slope</t>
    </r>
    <r>
      <rPr>
        <sz val="11"/>
        <rFont val="Calibri"/>
        <family val="2"/>
      </rPr>
      <t>)</t>
    </r>
  </si>
  <si>
    <t>Odor index calculation</t>
  </si>
  <si>
    <r>
      <t>Odor</t>
    </r>
    <r>
      <rPr>
        <vertAlign val="subscript"/>
        <sz val="11"/>
        <rFont val="Calibri"/>
        <family val="2"/>
        <scheme val="minor"/>
      </rPr>
      <t>H2S</t>
    </r>
  </si>
  <si>
    <t>Odor index of H2S</t>
  </si>
  <si>
    <r>
      <t>Min(Max(G</t>
    </r>
    <r>
      <rPr>
        <vertAlign val="subscript"/>
        <sz val="11"/>
        <color indexed="8"/>
        <rFont val="Calibri"/>
        <family val="2"/>
      </rPr>
      <t>H2S</t>
    </r>
    <r>
      <rPr>
        <sz val="11"/>
        <color indexed="8"/>
        <rFont val="Calibri"/>
        <family val="2"/>
      </rPr>
      <t>/G</t>
    </r>
    <r>
      <rPr>
        <vertAlign val="subscript"/>
        <sz val="11"/>
        <color indexed="8"/>
        <rFont val="Calibri"/>
        <family val="2"/>
      </rPr>
      <t>H2S,odor,lim</t>
    </r>
    <r>
      <rPr>
        <sz val="11"/>
        <color indexed="8"/>
        <rFont val="Calibri"/>
        <family val="2"/>
      </rPr>
      <t>;0)*10;10)</t>
    </r>
  </si>
  <si>
    <r>
      <t>Odor</t>
    </r>
    <r>
      <rPr>
        <vertAlign val="subscript"/>
        <sz val="11"/>
        <rFont val="Calibri"/>
        <family val="2"/>
        <scheme val="minor"/>
      </rPr>
      <t>MM</t>
    </r>
  </si>
  <si>
    <t>Odor index of methyl mercaptan</t>
  </si>
  <si>
    <r>
      <t>Min(Max(r120/r</t>
    </r>
    <r>
      <rPr>
        <vertAlign val="subscript"/>
        <sz val="11"/>
        <color indexed="8"/>
        <rFont val="Calibri"/>
        <family val="2"/>
      </rPr>
      <t>transfer,MM,lim</t>
    </r>
    <r>
      <rPr>
        <sz val="11"/>
        <color indexed="8"/>
        <rFont val="Calibri"/>
        <family val="2"/>
      </rPr>
      <t>;0)*10;10)</t>
    </r>
  </si>
  <si>
    <r>
      <t>Odor</t>
    </r>
    <r>
      <rPr>
        <vertAlign val="subscript"/>
        <sz val="11"/>
        <rFont val="Calibri"/>
        <family val="2"/>
        <scheme val="minor"/>
      </rPr>
      <t>index</t>
    </r>
  </si>
  <si>
    <t>Odor index</t>
  </si>
  <si>
    <r>
      <t>n</t>
    </r>
    <r>
      <rPr>
        <vertAlign val="subscript"/>
        <sz val="11"/>
        <color indexed="8"/>
        <rFont val="Calibri"/>
        <family val="2"/>
      </rPr>
      <t>H2S,odor</t>
    </r>
    <r>
      <rPr>
        <sz val="11"/>
        <color indexed="8"/>
        <rFont val="Calibri"/>
        <family val="2"/>
      </rPr>
      <t>*Odor</t>
    </r>
    <r>
      <rPr>
        <vertAlign val="subscript"/>
        <sz val="11"/>
        <color indexed="8"/>
        <rFont val="Calibri"/>
        <family val="2"/>
      </rPr>
      <t>H2S</t>
    </r>
    <r>
      <rPr>
        <sz val="11"/>
        <color indexed="8"/>
        <rFont val="Calibri"/>
        <family val="2"/>
      </rPr>
      <t>+(1-n</t>
    </r>
    <r>
      <rPr>
        <vertAlign val="subscript"/>
        <sz val="11"/>
        <color indexed="8"/>
        <rFont val="Calibri"/>
        <family val="2"/>
      </rPr>
      <t>H2S,odor</t>
    </r>
    <r>
      <rPr>
        <sz val="11"/>
        <color indexed="8"/>
        <rFont val="Calibri"/>
        <family val="2"/>
      </rPr>
      <t>)*Odor</t>
    </r>
    <r>
      <rPr>
        <vertAlign val="subscript"/>
        <sz val="11"/>
        <color indexed="8"/>
        <rFont val="Calibri"/>
        <family val="2"/>
      </rPr>
      <t>MM</t>
    </r>
  </si>
  <si>
    <r>
      <t>PrecipDrivingForce</t>
    </r>
    <r>
      <rPr>
        <vertAlign val="subscript"/>
        <sz val="11"/>
        <color theme="1"/>
        <rFont val="Calibri"/>
        <family val="2"/>
        <scheme val="minor"/>
      </rPr>
      <t>FeS</t>
    </r>
  </si>
  <si>
    <t>Rate expression of FeS precipitation (driving force)</t>
  </si>
  <si>
    <r>
      <t>([Fe</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^(0.5)</t>
    </r>
    <r>
      <rPr>
        <sz val="11"/>
        <color theme="1"/>
        <rFont val="Calibri"/>
        <family val="2"/>
        <scheme val="minor"/>
      </rPr>
      <t xml:space="preserve"> * [HS</t>
    </r>
    <r>
      <rPr>
        <vertAlign val="superscript"/>
        <sz val="11"/>
        <color theme="1"/>
        <rFont val="Calibri"/>
        <family val="2"/>
        <scheme val="minor"/>
      </rPr>
      <t>-</t>
    </r>
    <r>
      <rPr>
        <sz val="11"/>
        <color theme="1"/>
        <rFont val="Calibri"/>
        <family val="2"/>
        <scheme val="minor"/>
      </rPr>
      <t>]</t>
    </r>
    <r>
      <rPr>
        <vertAlign val="superscript"/>
        <sz val="11"/>
        <color theme="1"/>
        <rFont val="Calibri"/>
        <family val="2"/>
        <scheme val="minor"/>
      </rPr>
      <t>^(0.5)</t>
    </r>
    <r>
      <rPr>
        <sz val="11"/>
        <color theme="1"/>
        <rFont val="Calibri"/>
        <family val="2"/>
        <scheme val="minor"/>
      </rPr>
      <t xml:space="preserve"> - K</t>
    </r>
    <r>
      <rPr>
        <vertAlign val="subscript"/>
        <sz val="11"/>
        <color theme="1"/>
        <rFont val="Calibri"/>
        <family val="2"/>
        <scheme val="minor"/>
      </rPr>
      <t>sp,FeS</t>
    </r>
    <r>
      <rPr>
        <vertAlign val="superscript"/>
        <sz val="11"/>
        <color theme="1"/>
        <rFont val="Calibri"/>
        <family val="2"/>
        <scheme val="minor"/>
      </rPr>
      <t>^(0.5)</t>
    </r>
    <r>
      <rPr>
        <sz val="11"/>
        <color theme="1"/>
        <rFont val="Calibri"/>
        <family val="2"/>
        <scheme val="minor"/>
      </rPr>
      <t>)/K</t>
    </r>
    <r>
      <rPr>
        <vertAlign val="subscript"/>
        <sz val="11"/>
        <color theme="1"/>
        <rFont val="Calibri"/>
        <family val="2"/>
        <scheme val="minor"/>
      </rPr>
      <t>sp,FeS</t>
    </r>
    <r>
      <rPr>
        <vertAlign val="superscript"/>
        <sz val="11"/>
        <color theme="1"/>
        <rFont val="Calibri"/>
        <family val="2"/>
        <scheme val="minor"/>
      </rPr>
      <t>^(0.5)</t>
    </r>
  </si>
  <si>
    <r>
      <t>q</t>
    </r>
    <r>
      <rPr>
        <vertAlign val="subscript"/>
        <sz val="11"/>
        <color theme="1"/>
        <rFont val="Calibri"/>
        <family val="2"/>
        <scheme val="minor"/>
      </rPr>
      <t>FeS</t>
    </r>
  </si>
  <si>
    <r>
      <t>If(PrecipDrivingForce</t>
    </r>
    <r>
      <rPr>
        <vertAlign val="subscript"/>
        <sz val="11"/>
        <color theme="1"/>
        <rFont val="Calibri"/>
        <family val="2"/>
        <scheme val="minor"/>
      </rPr>
      <t>FeS</t>
    </r>
    <r>
      <rPr>
        <sz val="11"/>
        <color theme="1"/>
        <rFont val="Calibri"/>
        <family val="2"/>
        <scheme val="minor"/>
      </rPr>
      <t>&gt;0;q</t>
    </r>
    <r>
      <rPr>
        <vertAlign val="subscript"/>
        <sz val="11"/>
        <color theme="1"/>
        <rFont val="Calibri"/>
        <family val="2"/>
        <scheme val="minor"/>
      </rPr>
      <t>FeS,PREC</t>
    </r>
    <r>
      <rPr>
        <sz val="11"/>
        <color theme="1"/>
        <rFont val="Calibri"/>
        <family val="2"/>
        <scheme val="minor"/>
      </rPr>
      <t>;-q</t>
    </r>
    <r>
      <rPr>
        <vertAlign val="subscript"/>
        <sz val="11"/>
        <color theme="1"/>
        <rFont val="Calibri"/>
        <family val="2"/>
        <scheme val="minor"/>
      </rPr>
      <t>FeS,DISS</t>
    </r>
    <r>
      <rPr>
        <sz val="11"/>
        <color theme="1"/>
        <rFont val="Calibri"/>
        <family val="2"/>
        <scheme val="minor"/>
      </rPr>
      <t>*Msat</t>
    </r>
    <r>
      <rPr>
        <vertAlign val="subscript"/>
        <sz val="11"/>
        <color theme="1"/>
        <rFont val="Calibri"/>
        <family val="2"/>
        <scheme val="minor"/>
      </rPr>
      <t>XFeS,KFeS,DISS</t>
    </r>
    <r>
      <rPr>
        <sz val="11"/>
        <color theme="1"/>
        <rFont val="Calibri"/>
        <family val="2"/>
        <scheme val="minor"/>
      </rPr>
      <t>)</t>
    </r>
  </si>
  <si>
    <r>
      <t>ASRO growth - SO</t>
    </r>
    <r>
      <rPr>
        <vertAlign val="subscript"/>
        <sz val="11"/>
        <rFont val="Calibri"/>
        <family val="2"/>
      </rPr>
      <t>4</t>
    </r>
    <r>
      <rPr>
        <sz val="11"/>
        <rFont val="Calibri"/>
        <family val="2"/>
      </rPr>
      <t xml:space="preserve"> reduction with S</t>
    </r>
    <r>
      <rPr>
        <vertAlign val="subscript"/>
        <sz val="11"/>
        <rFont val="Calibri"/>
        <family val="2"/>
      </rPr>
      <t>VFA</t>
    </r>
  </si>
  <si>
    <r>
      <t>-1/ Y</t>
    </r>
    <r>
      <rPr>
        <vertAlign val="subscript"/>
        <sz val="11"/>
        <rFont val="Calibri"/>
        <family val="2"/>
      </rPr>
      <t>ASRO</t>
    </r>
  </si>
  <si>
    <r>
      <t>i</t>
    </r>
    <r>
      <rPr>
        <vertAlign val="subscript"/>
        <sz val="11"/>
        <rFont val="Calibri"/>
        <family val="2"/>
      </rPr>
      <t>CIT,VFA</t>
    </r>
    <r>
      <rPr>
        <sz val="11"/>
        <rFont val="Calibri"/>
        <family val="2"/>
      </rPr>
      <t>/Y</t>
    </r>
    <r>
      <rPr>
        <vertAlign val="subscript"/>
        <sz val="11"/>
        <rFont val="Calibri"/>
        <family val="2"/>
      </rPr>
      <t>ASRO</t>
    </r>
    <r>
      <rPr>
        <sz val="11"/>
        <rFont val="Calibri"/>
        <family val="2"/>
      </rPr>
      <t>-i</t>
    </r>
    <r>
      <rPr>
        <vertAlign val="subscript"/>
        <sz val="11"/>
        <rFont val="Calibri"/>
        <family val="2"/>
      </rPr>
      <t>CIT,BIO</t>
    </r>
  </si>
  <si>
    <r>
      <t>(1-Y</t>
    </r>
    <r>
      <rPr>
        <vertAlign val="subscript"/>
        <sz val="11"/>
        <rFont val="Calibri"/>
        <family val="2"/>
      </rPr>
      <t>ASRO</t>
    </r>
    <r>
      <rPr>
        <sz val="11"/>
        <rFont val="Calibri"/>
        <family val="2"/>
      </rPr>
      <t>)/(EEQ</t>
    </r>
    <r>
      <rPr>
        <vertAlign val="subscript"/>
        <sz val="11"/>
        <rFont val="Calibri"/>
        <family val="2"/>
      </rPr>
      <t>H2S*</t>
    </r>
    <r>
      <rPr>
        <sz val="11"/>
        <rFont val="Calibri"/>
        <family val="2"/>
      </rPr>
      <t>Y</t>
    </r>
    <r>
      <rPr>
        <vertAlign val="subscript"/>
        <sz val="11"/>
        <rFont val="Calibri"/>
        <family val="2"/>
      </rPr>
      <t>ASRO</t>
    </r>
    <r>
      <rPr>
        <sz val="11"/>
        <rFont val="Calibri"/>
        <family val="2"/>
      </rPr>
      <t>)</t>
    </r>
  </si>
  <si>
    <r>
      <t>-(1-Y</t>
    </r>
    <r>
      <rPr>
        <vertAlign val="subscript"/>
        <sz val="11"/>
        <rFont val="Calibri"/>
        <family val="2"/>
      </rPr>
      <t>ASRO</t>
    </r>
    <r>
      <rPr>
        <sz val="11"/>
        <rFont val="Calibri"/>
        <family val="2"/>
      </rPr>
      <t>)/(EEQ</t>
    </r>
    <r>
      <rPr>
        <vertAlign val="subscript"/>
        <sz val="11"/>
        <rFont val="Calibri"/>
        <family val="2"/>
      </rPr>
      <t>H2S*</t>
    </r>
    <r>
      <rPr>
        <sz val="11"/>
        <rFont val="Calibri"/>
        <family val="2"/>
      </rPr>
      <t>Y</t>
    </r>
    <r>
      <rPr>
        <vertAlign val="subscript"/>
        <sz val="11"/>
        <rFont val="Calibri"/>
        <family val="2"/>
      </rPr>
      <t>ASRO</t>
    </r>
    <r>
      <rPr>
        <sz val="11"/>
        <rFont val="Calibri"/>
        <family val="2"/>
      </rPr>
      <t>)-i</t>
    </r>
    <r>
      <rPr>
        <vertAlign val="subscript"/>
        <sz val="11"/>
        <rFont val="Calibri"/>
        <family val="2"/>
      </rPr>
      <t>S,BIO</t>
    </r>
  </si>
  <si>
    <r>
      <t>µ</t>
    </r>
    <r>
      <rPr>
        <vertAlign val="subscript"/>
        <sz val="11"/>
        <rFont val="Calibri"/>
        <family val="2"/>
      </rPr>
      <t>ASRO,T</t>
    </r>
    <r>
      <rPr>
        <sz val="11"/>
        <rFont val="Calibri"/>
        <family val="2"/>
      </rPr>
      <t>*X</t>
    </r>
    <r>
      <rPr>
        <vertAlign val="subscript"/>
        <sz val="11"/>
        <rFont val="Calibri"/>
        <family val="2"/>
      </rPr>
      <t>ASRO</t>
    </r>
    <r>
      <rPr>
        <sz val="11"/>
        <rFont val="Calibri"/>
        <family val="2"/>
      </rPr>
      <t>*Msat</t>
    </r>
    <r>
      <rPr>
        <vertAlign val="subscript"/>
        <sz val="11"/>
        <rFont val="Calibri"/>
        <family val="2"/>
      </rPr>
      <t>SVFA,KVFA,ASRO</t>
    </r>
    <r>
      <rPr>
        <sz val="11"/>
        <rFont val="Calibri"/>
        <family val="2"/>
      </rPr>
      <t>*Msat</t>
    </r>
    <r>
      <rPr>
        <vertAlign val="subscript"/>
        <sz val="11"/>
        <rFont val="Calibri"/>
        <family val="2"/>
      </rPr>
      <t>SO4,KSO4,ASRO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t>
    </r>
    <r>
      <rPr>
        <vertAlign val="subscript"/>
        <sz val="11"/>
        <rFont val="Calibri"/>
        <family val="2"/>
      </rPr>
      <t>H2S,KiH2S,ASRO</t>
    </r>
    <r>
      <rPr>
        <sz val="11"/>
        <rFont val="Calibri"/>
        <family val="2"/>
      </rPr>
      <t>*Minh</t>
    </r>
    <r>
      <rPr>
        <vertAlign val="subscript"/>
        <sz val="11"/>
        <rFont val="Calibri"/>
        <family val="2"/>
      </rPr>
      <t>SNOx,KNOx,ASRO</t>
    </r>
    <r>
      <rPr>
        <sz val="11"/>
        <rFont val="Calibri"/>
        <family val="2"/>
      </rPr>
      <t>*Minh</t>
    </r>
    <r>
      <rPr>
        <vertAlign val="subscript"/>
        <sz val="11"/>
        <rFont val="Calibri"/>
        <family val="2"/>
      </rPr>
      <t>SO2,KiO2,ASRO</t>
    </r>
    <r>
      <rPr>
        <sz val="11"/>
        <rFont val="Calibri"/>
        <family val="2"/>
      </rPr>
      <t>*Bellinh</t>
    </r>
    <r>
      <rPr>
        <vertAlign val="subscript"/>
        <sz val="11"/>
        <rFont val="Calibri"/>
        <family val="2"/>
      </rPr>
      <t>pH</t>
    </r>
  </si>
  <si>
    <t>ASRO decay</t>
  </si>
  <si>
    <r>
      <t>(1-f</t>
    </r>
    <r>
      <rPr>
        <vertAlign val="subscript"/>
        <sz val="11"/>
        <rFont val="Calibri"/>
        <family val="2"/>
      </rPr>
      <t>E</t>
    </r>
    <r>
      <rPr>
        <sz val="11"/>
        <rFont val="Calibri"/>
        <family val="2"/>
      </rPr>
      <t>)*i</t>
    </r>
    <r>
      <rPr>
        <vertAlign val="subscript"/>
        <sz val="11"/>
        <rFont val="Calibri"/>
        <family val="2"/>
      </rPr>
      <t>S,BIO</t>
    </r>
    <r>
      <rPr>
        <sz val="11"/>
        <rFont val="Calibri"/>
        <family val="2"/>
      </rPr>
      <t>-(1-f</t>
    </r>
    <r>
      <rPr>
        <vertAlign val="subscript"/>
        <sz val="11"/>
        <rFont val="Calibri"/>
        <family val="2"/>
      </rPr>
      <t>E</t>
    </r>
    <r>
      <rPr>
        <sz val="11"/>
        <rFont val="Calibri"/>
        <family val="2"/>
      </rPr>
      <t>)*i</t>
    </r>
    <r>
      <rPr>
        <vertAlign val="subscript"/>
        <sz val="11"/>
        <rFont val="Calibri"/>
        <family val="2"/>
      </rPr>
      <t>S,XB</t>
    </r>
  </si>
  <si>
    <r>
      <t>b</t>
    </r>
    <r>
      <rPr>
        <vertAlign val="subscript"/>
        <sz val="11"/>
        <rFont val="Calibri"/>
        <family val="2"/>
      </rPr>
      <t>ASRO,T</t>
    </r>
    <r>
      <rPr>
        <sz val="11"/>
        <rFont val="Calibri"/>
        <family val="2"/>
      </rPr>
      <t>*X</t>
    </r>
    <r>
      <rPr>
        <vertAlign val="subscript"/>
        <sz val="11"/>
        <rFont val="Calibri"/>
        <family val="2"/>
      </rPr>
      <t>ASRO</t>
    </r>
    <r>
      <rPr>
        <sz val="11"/>
        <rFont val="Calibri"/>
        <family val="2"/>
      </rPr>
      <t>*(Msat</t>
    </r>
    <r>
      <rPr>
        <vertAlign val="subscript"/>
        <sz val="11"/>
        <rFont val="Calibri"/>
        <family val="2"/>
      </rPr>
      <t>SO2,KiO2,ASRO</t>
    </r>
    <r>
      <rPr>
        <sz val="11"/>
        <rFont val="Calibri"/>
        <family val="2"/>
      </rPr>
      <t>+Msat</t>
    </r>
    <r>
      <rPr>
        <vertAlign val="subscript"/>
        <sz val="11"/>
        <rFont val="Calibri"/>
        <family val="2"/>
      </rPr>
      <t>SNOx,KNOx,ASRO</t>
    </r>
    <r>
      <rPr>
        <sz val="11"/>
        <rFont val="Calibri"/>
        <family val="2"/>
      </rPr>
      <t>*Minh</t>
    </r>
    <r>
      <rPr>
        <vertAlign val="subscript"/>
        <sz val="11"/>
        <rFont val="Calibri"/>
        <family val="2"/>
      </rPr>
      <t>SO2,KiO2,ASRO</t>
    </r>
    <r>
      <rPr>
        <sz val="11"/>
        <rFont val="Calibri"/>
        <family val="2"/>
      </rPr>
      <t>)</t>
    </r>
  </si>
  <si>
    <t>ASRO anaerobic decay</t>
  </si>
  <si>
    <r>
      <t>b</t>
    </r>
    <r>
      <rPr>
        <vertAlign val="subscript"/>
        <sz val="11"/>
        <rFont val="Calibri"/>
        <family val="2"/>
      </rPr>
      <t>ASRO,T</t>
    </r>
    <r>
      <rPr>
        <sz val="11"/>
        <rFont val="Calibri"/>
        <family val="2"/>
      </rPr>
      <t>*X</t>
    </r>
    <r>
      <rPr>
        <vertAlign val="subscript"/>
        <sz val="11"/>
        <rFont val="Calibri"/>
        <family val="2"/>
      </rPr>
      <t>ASRO</t>
    </r>
    <r>
      <rPr>
        <sz val="11"/>
        <rFont val="Calibri"/>
        <family val="2"/>
      </rPr>
      <t>*(Minh</t>
    </r>
    <r>
      <rPr>
        <vertAlign val="subscript"/>
        <sz val="11"/>
        <rFont val="Calibri"/>
        <family val="2"/>
      </rPr>
      <t>SNOx,KNOx,ASRO</t>
    </r>
    <r>
      <rPr>
        <sz val="11"/>
        <rFont val="Calibri"/>
        <family val="2"/>
      </rPr>
      <t>*Minh</t>
    </r>
    <r>
      <rPr>
        <vertAlign val="subscript"/>
        <sz val="11"/>
        <rFont val="Calibri"/>
        <family val="2"/>
      </rPr>
      <t>SO2,KiO2,ASRO</t>
    </r>
    <r>
      <rPr>
        <sz val="11"/>
        <rFont val="Calibri"/>
        <family val="2"/>
      </rPr>
      <t>)</t>
    </r>
  </si>
  <si>
    <r>
      <t>HSRO growth - SO</t>
    </r>
    <r>
      <rPr>
        <vertAlign val="subscript"/>
        <sz val="11"/>
        <color rgb="FF000000"/>
        <rFont val="Calibri"/>
        <family val="2"/>
        <scheme val="minor"/>
      </rPr>
      <t>4</t>
    </r>
    <r>
      <rPr>
        <sz val="11"/>
        <color rgb="FF000000"/>
        <rFont val="Calibri"/>
        <family val="2"/>
        <charset val="238"/>
        <scheme val="minor"/>
      </rPr>
      <t xml:space="preserve"> reduction with S</t>
    </r>
    <r>
      <rPr>
        <vertAlign val="subscript"/>
        <sz val="11"/>
        <color rgb="FF000000"/>
        <rFont val="Calibri"/>
        <family val="2"/>
        <scheme val="minor"/>
      </rPr>
      <t>H2</t>
    </r>
  </si>
  <si>
    <r>
      <t>-1/ Y</t>
    </r>
    <r>
      <rPr>
        <vertAlign val="subscript"/>
        <sz val="11"/>
        <rFont val="Calibri"/>
        <family val="2"/>
      </rPr>
      <t>HSRO</t>
    </r>
  </si>
  <si>
    <r>
      <t>(1-Y</t>
    </r>
    <r>
      <rPr>
        <vertAlign val="subscript"/>
        <sz val="11"/>
        <rFont val="Calibri"/>
        <family val="2"/>
      </rPr>
      <t>HSRO</t>
    </r>
    <r>
      <rPr>
        <sz val="11"/>
        <rFont val="Calibri"/>
        <family val="2"/>
      </rPr>
      <t>)/(EEQ</t>
    </r>
    <r>
      <rPr>
        <vertAlign val="subscript"/>
        <sz val="11"/>
        <rFont val="Calibri"/>
        <family val="2"/>
      </rPr>
      <t>H2S*</t>
    </r>
    <r>
      <rPr>
        <sz val="11"/>
        <rFont val="Calibri"/>
        <family val="2"/>
      </rPr>
      <t>Y</t>
    </r>
    <r>
      <rPr>
        <vertAlign val="subscript"/>
        <sz val="11"/>
        <rFont val="Calibri"/>
        <family val="2"/>
      </rPr>
      <t>HSRO</t>
    </r>
    <r>
      <rPr>
        <sz val="11"/>
        <rFont val="Calibri"/>
        <family val="2"/>
      </rPr>
      <t>)</t>
    </r>
  </si>
  <si>
    <r>
      <t>-(1-Y</t>
    </r>
    <r>
      <rPr>
        <vertAlign val="subscript"/>
        <sz val="11"/>
        <rFont val="Calibri"/>
        <family val="2"/>
      </rPr>
      <t>HSRO</t>
    </r>
    <r>
      <rPr>
        <sz val="11"/>
        <rFont val="Calibri"/>
        <family val="2"/>
      </rPr>
      <t>)/(EEQ</t>
    </r>
    <r>
      <rPr>
        <vertAlign val="subscript"/>
        <sz val="11"/>
        <rFont val="Calibri"/>
        <family val="2"/>
      </rPr>
      <t>H2S*</t>
    </r>
    <r>
      <rPr>
        <sz val="11"/>
        <rFont val="Calibri"/>
        <family val="2"/>
      </rPr>
      <t>Y</t>
    </r>
    <r>
      <rPr>
        <vertAlign val="subscript"/>
        <sz val="11"/>
        <rFont val="Calibri"/>
        <family val="2"/>
      </rPr>
      <t>HSRO</t>
    </r>
    <r>
      <rPr>
        <sz val="11"/>
        <rFont val="Calibri"/>
        <family val="2"/>
      </rPr>
      <t>)-i</t>
    </r>
    <r>
      <rPr>
        <vertAlign val="subscript"/>
        <sz val="11"/>
        <rFont val="Calibri"/>
        <family val="2"/>
      </rPr>
      <t>S,BIO</t>
    </r>
  </si>
  <si>
    <r>
      <t>µ</t>
    </r>
    <r>
      <rPr>
        <vertAlign val="subscript"/>
        <sz val="11"/>
        <rFont val="Calibri"/>
        <family val="2"/>
      </rPr>
      <t>HSRO,T</t>
    </r>
    <r>
      <rPr>
        <sz val="11"/>
        <rFont val="Calibri"/>
        <family val="2"/>
      </rPr>
      <t>*X</t>
    </r>
    <r>
      <rPr>
        <vertAlign val="subscript"/>
        <sz val="11"/>
        <rFont val="Calibri"/>
        <family val="2"/>
      </rPr>
      <t>HSRO</t>
    </r>
    <r>
      <rPr>
        <sz val="11"/>
        <rFont val="Calibri"/>
        <family val="2"/>
      </rPr>
      <t>*Msat</t>
    </r>
    <r>
      <rPr>
        <vertAlign val="subscript"/>
        <sz val="11"/>
        <rFont val="Calibri"/>
        <family val="2"/>
      </rPr>
      <t>SCO2,KCO2,BIO</t>
    </r>
    <r>
      <rPr>
        <sz val="11"/>
        <rFont val="Calibri"/>
        <family val="2"/>
      </rPr>
      <t>*Msat</t>
    </r>
    <r>
      <rPr>
        <vertAlign val="subscript"/>
        <sz val="11"/>
        <rFont val="Calibri"/>
        <family val="2"/>
      </rPr>
      <t>SH2,KH2,HSRO</t>
    </r>
    <r>
      <rPr>
        <sz val="11"/>
        <rFont val="Calibri"/>
        <family val="2"/>
      </rPr>
      <t>*Msat</t>
    </r>
    <r>
      <rPr>
        <vertAlign val="subscript"/>
        <sz val="11"/>
        <rFont val="Calibri"/>
        <family val="2"/>
      </rPr>
      <t>SO4,KSO4,HSRO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*Minh</t>
    </r>
    <r>
      <rPr>
        <vertAlign val="subscript"/>
        <sz val="11"/>
        <rFont val="Calibri"/>
        <family val="2"/>
      </rPr>
      <t>SNOx,KNOx,HSRO</t>
    </r>
    <r>
      <rPr>
        <sz val="11"/>
        <rFont val="Calibri"/>
        <family val="2"/>
      </rPr>
      <t>*Minh</t>
    </r>
    <r>
      <rPr>
        <vertAlign val="subscript"/>
        <sz val="11"/>
        <rFont val="Calibri"/>
        <family val="2"/>
      </rPr>
      <t>SO2,KiO2,HSRO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r>
      <rPr>
        <sz val="11"/>
        <rFont val="Calibri"/>
        <family val="2"/>
      </rPr>
      <t>*Minh</t>
    </r>
    <r>
      <rPr>
        <vertAlign val="subscript"/>
        <sz val="11"/>
        <rFont val="Calibri"/>
        <family val="2"/>
      </rPr>
      <t>H2S,KiH2S,HSRO</t>
    </r>
  </si>
  <si>
    <t>HSRO decay</t>
  </si>
  <si>
    <r>
      <t>b</t>
    </r>
    <r>
      <rPr>
        <vertAlign val="subscript"/>
        <sz val="11"/>
        <rFont val="Calibri"/>
        <family val="2"/>
      </rPr>
      <t>HSRO,T</t>
    </r>
    <r>
      <rPr>
        <sz val="11"/>
        <rFont val="Calibri"/>
        <family val="2"/>
      </rPr>
      <t>*X</t>
    </r>
    <r>
      <rPr>
        <vertAlign val="subscript"/>
        <sz val="11"/>
        <rFont val="Calibri"/>
        <family val="2"/>
      </rPr>
      <t>HSRO</t>
    </r>
    <r>
      <rPr>
        <sz val="11"/>
        <rFont val="Calibri"/>
        <family val="2"/>
      </rPr>
      <t>*(Msat</t>
    </r>
    <r>
      <rPr>
        <vertAlign val="subscript"/>
        <sz val="11"/>
        <rFont val="Calibri"/>
        <family val="2"/>
      </rPr>
      <t>SO2,KiO2,HSRO</t>
    </r>
    <r>
      <rPr>
        <sz val="11"/>
        <rFont val="Calibri"/>
        <family val="2"/>
      </rPr>
      <t>+Msat</t>
    </r>
    <r>
      <rPr>
        <vertAlign val="subscript"/>
        <sz val="11"/>
        <rFont val="Calibri"/>
        <family val="2"/>
      </rPr>
      <t>SNOx,KNOx,HSRO</t>
    </r>
    <r>
      <rPr>
        <sz val="11"/>
        <rFont val="Calibri"/>
        <family val="2"/>
      </rPr>
      <t>*Minh</t>
    </r>
    <r>
      <rPr>
        <vertAlign val="subscript"/>
        <sz val="11"/>
        <rFont val="Calibri"/>
        <family val="2"/>
      </rPr>
      <t>SO2,KiO2,HSRO</t>
    </r>
    <r>
      <rPr>
        <sz val="11"/>
        <rFont val="Calibri"/>
        <family val="2"/>
      </rPr>
      <t>)</t>
    </r>
  </si>
  <si>
    <t>HSRO anaerobic decay</t>
  </si>
  <si>
    <r>
      <t>b</t>
    </r>
    <r>
      <rPr>
        <vertAlign val="subscript"/>
        <sz val="11"/>
        <rFont val="Calibri"/>
        <family val="2"/>
      </rPr>
      <t>HSRO,T</t>
    </r>
    <r>
      <rPr>
        <sz val="11"/>
        <rFont val="Calibri"/>
        <family val="2"/>
      </rPr>
      <t>*X</t>
    </r>
    <r>
      <rPr>
        <vertAlign val="subscript"/>
        <sz val="11"/>
        <rFont val="Calibri"/>
        <family val="2"/>
      </rPr>
      <t>HSRO</t>
    </r>
    <r>
      <rPr>
        <sz val="11"/>
        <rFont val="Calibri"/>
        <family val="2"/>
      </rPr>
      <t>*(Minh</t>
    </r>
    <r>
      <rPr>
        <vertAlign val="subscript"/>
        <sz val="11"/>
        <rFont val="Calibri"/>
        <family val="2"/>
      </rPr>
      <t>SNOx,KNOx,HSRO</t>
    </r>
    <r>
      <rPr>
        <sz val="11"/>
        <rFont val="Calibri"/>
        <family val="2"/>
      </rPr>
      <t>*Minh</t>
    </r>
    <r>
      <rPr>
        <vertAlign val="subscript"/>
        <sz val="11"/>
        <rFont val="Calibri"/>
        <family val="2"/>
      </rPr>
      <t>SO2,KiO2,HSRO</t>
    </r>
    <r>
      <rPr>
        <sz val="11"/>
        <rFont val="Calibri"/>
        <family val="2"/>
      </rPr>
      <t>)</t>
    </r>
  </si>
  <si>
    <r>
      <t>SOO growth on H</t>
    </r>
    <r>
      <rPr>
        <vertAlign val="subscript"/>
        <sz val="11"/>
        <color rgb="FF000000"/>
        <rFont val="Calibri"/>
        <family val="2"/>
        <scheme val="minor"/>
      </rPr>
      <t>2</t>
    </r>
    <r>
      <rPr>
        <sz val="11"/>
        <color rgb="FF000000"/>
        <rFont val="Calibri"/>
        <family val="2"/>
        <charset val="238"/>
        <scheme val="minor"/>
      </rPr>
      <t>S, O</t>
    </r>
    <r>
      <rPr>
        <vertAlign val="subscript"/>
        <sz val="11"/>
        <color rgb="FF000000"/>
        <rFont val="Calibri"/>
        <family val="2"/>
        <scheme val="minor"/>
      </rPr>
      <t>2</t>
    </r>
  </si>
  <si>
    <r>
      <t>-(EEQ</t>
    </r>
    <r>
      <rPr>
        <vertAlign val="subscript"/>
        <sz val="11"/>
        <rFont val="Calibri"/>
        <family val="2"/>
      </rPr>
      <t>H2S</t>
    </r>
    <r>
      <rPr>
        <sz val="11"/>
        <rFont val="Calibri"/>
        <family val="2"/>
      </rPr>
      <t>-EEQ</t>
    </r>
    <r>
      <rPr>
        <vertAlign val="subscript"/>
        <sz val="11"/>
        <rFont val="Calibri"/>
        <family val="2"/>
      </rPr>
      <t>S</t>
    </r>
    <r>
      <rPr>
        <sz val="11"/>
        <rFont val="Calibri"/>
        <family val="2"/>
      </rPr>
      <t>-Y</t>
    </r>
    <r>
      <rPr>
        <vertAlign val="subscript"/>
        <sz val="11"/>
        <rFont val="Calibri"/>
        <family val="2"/>
      </rPr>
      <t>SOO,H2S,ox</t>
    </r>
    <r>
      <rPr>
        <sz val="11"/>
        <rFont val="Calibri"/>
        <family val="2"/>
      </rPr>
      <t>)/Y</t>
    </r>
    <r>
      <rPr>
        <vertAlign val="subscript"/>
        <sz val="11"/>
        <rFont val="Calibri"/>
        <family val="2"/>
      </rPr>
      <t>SOO,H2S,ox</t>
    </r>
  </si>
  <si>
    <r>
      <t>-1/Y</t>
    </r>
    <r>
      <rPr>
        <vertAlign val="subscript"/>
        <sz val="11"/>
        <rFont val="Calibri"/>
        <family val="2"/>
      </rPr>
      <t>SOO,H2S,ox</t>
    </r>
  </si>
  <si>
    <r>
      <t>-i</t>
    </r>
    <r>
      <rPr>
        <vertAlign val="subscript"/>
        <sz val="11"/>
        <rFont val="Calibri"/>
        <family val="2"/>
      </rPr>
      <t>S,BIO</t>
    </r>
  </si>
  <si>
    <r>
      <t>1/Y</t>
    </r>
    <r>
      <rPr>
        <vertAlign val="subscript"/>
        <sz val="11"/>
        <rFont val="Calibri"/>
        <family val="2"/>
      </rPr>
      <t>SOO,H2S,ox</t>
    </r>
  </si>
  <si>
    <r>
      <t>µ</t>
    </r>
    <r>
      <rPr>
        <vertAlign val="subscript"/>
        <sz val="11"/>
        <rFont val="Calibri"/>
        <family val="2"/>
      </rPr>
      <t>SOO,H2S,T</t>
    </r>
    <r>
      <rPr>
        <sz val="11"/>
        <rFont val="Calibri"/>
        <family val="2"/>
      </rPr>
      <t>*X</t>
    </r>
    <r>
      <rPr>
        <vertAlign val="subscript"/>
        <sz val="11"/>
        <rFont val="Calibri"/>
        <family val="2"/>
      </rPr>
      <t>SOO</t>
    </r>
    <r>
      <rPr>
        <sz val="11"/>
        <rFont val="Calibri"/>
        <family val="2"/>
      </rPr>
      <t>*Msat</t>
    </r>
    <r>
      <rPr>
        <vertAlign val="subscript"/>
        <sz val="11"/>
        <rFont val="Calibri"/>
        <family val="2"/>
      </rPr>
      <t>SCO2,KCO2,BIO</t>
    </r>
    <r>
      <rPr>
        <sz val="11"/>
        <rFont val="Calibri"/>
        <family val="2"/>
      </rPr>
      <t>*Msat</t>
    </r>
    <r>
      <rPr>
        <vertAlign val="subscript"/>
        <sz val="11"/>
        <rFont val="Calibri"/>
        <family val="2"/>
      </rPr>
      <t>SO2,KO2,H2S,SOO</t>
    </r>
    <r>
      <rPr>
        <sz val="11"/>
        <rFont val="Calibri"/>
        <family val="2"/>
      </rPr>
      <t>*Hsat</t>
    </r>
    <r>
      <rPr>
        <vertAlign val="subscript"/>
        <sz val="11"/>
        <rFont val="Calibri"/>
        <family val="2"/>
      </rPr>
      <t>SH2S,KH2S,SOO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</si>
  <si>
    <r>
      <t>SOO growth on H</t>
    </r>
    <r>
      <rPr>
        <vertAlign val="subscript"/>
        <sz val="11"/>
        <color rgb="FF000000"/>
        <rFont val="Calibri"/>
        <family val="2"/>
        <scheme val="minor"/>
      </rPr>
      <t>2</t>
    </r>
    <r>
      <rPr>
        <sz val="11"/>
        <color rgb="FF000000"/>
        <rFont val="Calibri"/>
        <family val="2"/>
        <charset val="238"/>
        <scheme val="minor"/>
      </rPr>
      <t>S, NO</t>
    </r>
    <r>
      <rPr>
        <vertAlign val="subscript"/>
        <sz val="11"/>
        <color rgb="FF000000"/>
        <rFont val="Calibri"/>
        <family val="2"/>
        <scheme val="minor"/>
      </rPr>
      <t>2</t>
    </r>
  </si>
  <si>
    <r>
      <t>-(EEQ</t>
    </r>
    <r>
      <rPr>
        <vertAlign val="subscript"/>
        <sz val="11"/>
        <rFont val="Calibri"/>
        <family val="2"/>
      </rPr>
      <t>H2S</t>
    </r>
    <r>
      <rPr>
        <sz val="11"/>
        <rFont val="Calibri"/>
        <family val="2"/>
      </rPr>
      <t>-EEQ</t>
    </r>
    <r>
      <rPr>
        <vertAlign val="subscript"/>
        <sz val="11"/>
        <rFont val="Calibri"/>
        <family val="2"/>
      </rPr>
      <t>S</t>
    </r>
    <r>
      <rPr>
        <sz val="11"/>
        <rFont val="Calibri"/>
        <family val="2"/>
      </rPr>
      <t>-Y</t>
    </r>
    <r>
      <rPr>
        <vertAlign val="subscript"/>
        <sz val="11"/>
        <rFont val="Calibri"/>
        <family val="2"/>
      </rPr>
      <t>SOO,H2S,anox</t>
    </r>
    <r>
      <rPr>
        <sz val="11"/>
        <rFont val="Calibri"/>
        <family val="2"/>
      </rPr>
      <t>)/(EEQ</t>
    </r>
    <r>
      <rPr>
        <vertAlign val="subscript"/>
        <sz val="11"/>
        <rFont val="Calibri"/>
        <family val="2"/>
      </rPr>
      <t>N2,NO2</t>
    </r>
    <r>
      <rPr>
        <sz val="11"/>
        <rFont val="Calibri"/>
        <family val="2"/>
      </rPr>
      <t>*Y</t>
    </r>
    <r>
      <rPr>
        <vertAlign val="subscript"/>
        <sz val="11"/>
        <rFont val="Calibri"/>
        <family val="2"/>
      </rPr>
      <t>SOO,H2S,anox</t>
    </r>
    <r>
      <rPr>
        <sz val="11"/>
        <rFont val="Calibri"/>
        <family val="2"/>
      </rPr>
      <t>)</t>
    </r>
  </si>
  <si>
    <r>
      <t>(EEQ</t>
    </r>
    <r>
      <rPr>
        <vertAlign val="subscript"/>
        <sz val="11"/>
        <rFont val="Calibri"/>
        <family val="2"/>
      </rPr>
      <t>H2S</t>
    </r>
    <r>
      <rPr>
        <sz val="11"/>
        <rFont val="Calibri"/>
        <family val="2"/>
      </rPr>
      <t>-EEQ</t>
    </r>
    <r>
      <rPr>
        <vertAlign val="subscript"/>
        <sz val="11"/>
        <rFont val="Calibri"/>
        <family val="2"/>
      </rPr>
      <t>S</t>
    </r>
    <r>
      <rPr>
        <sz val="11"/>
        <rFont val="Calibri"/>
        <family val="2"/>
      </rPr>
      <t>-Y</t>
    </r>
    <r>
      <rPr>
        <vertAlign val="subscript"/>
        <sz val="11"/>
        <rFont val="Calibri"/>
        <family val="2"/>
      </rPr>
      <t>SOO,H2S,anox</t>
    </r>
    <r>
      <rPr>
        <sz val="11"/>
        <rFont val="Calibri"/>
        <family val="2"/>
      </rPr>
      <t>)/(EEQ</t>
    </r>
    <r>
      <rPr>
        <vertAlign val="subscript"/>
        <sz val="11"/>
        <rFont val="Calibri"/>
        <family val="2"/>
      </rPr>
      <t>N2,NO2</t>
    </r>
    <r>
      <rPr>
        <sz val="11"/>
        <rFont val="Calibri"/>
        <family val="2"/>
      </rPr>
      <t>*Y</t>
    </r>
    <r>
      <rPr>
        <vertAlign val="subscript"/>
        <sz val="11"/>
        <rFont val="Calibri"/>
        <family val="2"/>
      </rPr>
      <t>SOO,H2S,anox</t>
    </r>
    <r>
      <rPr>
        <sz val="11"/>
        <rFont val="Calibri"/>
        <family val="2"/>
      </rPr>
      <t>)</t>
    </r>
  </si>
  <si>
    <r>
      <t>-1/Y</t>
    </r>
    <r>
      <rPr>
        <vertAlign val="subscript"/>
        <sz val="11"/>
        <rFont val="Calibri"/>
        <family val="2"/>
      </rPr>
      <t>SOO,H2S,anox</t>
    </r>
  </si>
  <si>
    <r>
      <t>1/Y</t>
    </r>
    <r>
      <rPr>
        <vertAlign val="subscript"/>
        <sz val="11"/>
        <rFont val="Calibri"/>
        <family val="2"/>
      </rPr>
      <t>SOO,H2S,anox</t>
    </r>
  </si>
  <si>
    <r>
      <t>µ</t>
    </r>
    <r>
      <rPr>
        <vertAlign val="subscript"/>
        <sz val="11"/>
        <rFont val="Calibri"/>
        <family val="2"/>
      </rPr>
      <t>SOO,H2S,T</t>
    </r>
    <r>
      <rPr>
        <sz val="11"/>
        <rFont val="Calibri"/>
        <family val="2"/>
      </rPr>
      <t>*X</t>
    </r>
    <r>
      <rPr>
        <vertAlign val="subscript"/>
        <sz val="11"/>
        <rFont val="Calibri"/>
        <family val="2"/>
      </rPr>
      <t>SOO</t>
    </r>
    <r>
      <rPr>
        <sz val="11"/>
        <rFont val="Calibri"/>
        <family val="2"/>
      </rPr>
      <t>*Msat</t>
    </r>
    <r>
      <rPr>
        <vertAlign val="subscript"/>
        <sz val="11"/>
        <rFont val="Calibri"/>
        <family val="2"/>
      </rPr>
      <t>SCO2,KCO2,BIO</t>
    </r>
    <r>
      <rPr>
        <sz val="11"/>
        <rFont val="Calibri"/>
        <family val="2"/>
      </rPr>
      <t>*Msat</t>
    </r>
    <r>
      <rPr>
        <vertAlign val="subscript"/>
        <sz val="11"/>
        <rFont val="Calibri"/>
        <family val="2"/>
      </rPr>
      <t>SNO2,KNO2,H2S,SOO</t>
    </r>
    <r>
      <rPr>
        <sz val="11"/>
        <rFont val="Calibri"/>
        <family val="2"/>
      </rPr>
      <t>*Hsat</t>
    </r>
    <r>
      <rPr>
        <vertAlign val="subscript"/>
        <sz val="11"/>
        <rFont val="Calibri"/>
        <family val="2"/>
      </rPr>
      <t>SH2S,KH2S,SOO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*Minh</t>
    </r>
    <r>
      <rPr>
        <vertAlign val="subscript"/>
        <sz val="11"/>
        <rFont val="Calibri"/>
        <family val="2"/>
      </rPr>
      <t>SO2,KO2,H2S,SOO</t>
    </r>
    <r>
      <rPr>
        <sz val="11"/>
        <rFont val="Calibri"/>
        <family val="2"/>
      </rPr>
      <t>*Bellinh</t>
    </r>
    <r>
      <rPr>
        <vertAlign val="subscript"/>
        <sz val="11"/>
        <rFont val="Calibri"/>
        <family val="2"/>
      </rPr>
      <t>pH</t>
    </r>
  </si>
  <si>
    <r>
      <t>SOO growth on H</t>
    </r>
    <r>
      <rPr>
        <vertAlign val="subscript"/>
        <sz val="11"/>
        <color rgb="FF000000"/>
        <rFont val="Calibri"/>
        <family val="2"/>
        <scheme val="minor"/>
      </rPr>
      <t>2</t>
    </r>
    <r>
      <rPr>
        <sz val="11"/>
        <color rgb="FF000000"/>
        <rFont val="Calibri"/>
        <family val="2"/>
        <charset val="238"/>
        <scheme val="minor"/>
      </rPr>
      <t>S, NO</t>
    </r>
    <r>
      <rPr>
        <vertAlign val="subscript"/>
        <sz val="11"/>
        <color rgb="FF000000"/>
        <rFont val="Calibri"/>
        <family val="2"/>
        <scheme val="minor"/>
      </rPr>
      <t>3</t>
    </r>
  </si>
  <si>
    <r>
      <t>(EEQ</t>
    </r>
    <r>
      <rPr>
        <vertAlign val="subscript"/>
        <sz val="11"/>
        <rFont val="Calibri"/>
        <family val="2"/>
      </rPr>
      <t>H2S</t>
    </r>
    <r>
      <rPr>
        <sz val="11"/>
        <rFont val="Calibri"/>
        <family val="2"/>
      </rPr>
      <t>-EEQ</t>
    </r>
    <r>
      <rPr>
        <vertAlign val="subscript"/>
        <sz val="11"/>
        <rFont val="Calibri"/>
        <family val="2"/>
      </rPr>
      <t>S</t>
    </r>
    <r>
      <rPr>
        <sz val="11"/>
        <rFont val="Calibri"/>
        <family val="2"/>
      </rPr>
      <t>-Y</t>
    </r>
    <r>
      <rPr>
        <vertAlign val="subscript"/>
        <sz val="11"/>
        <rFont val="Calibri"/>
        <family val="2"/>
      </rPr>
      <t>SOO,H2S,anox</t>
    </r>
    <r>
      <rPr>
        <sz val="11"/>
        <rFont val="Calibri"/>
        <family val="2"/>
      </rPr>
      <t>)/(EEQ</t>
    </r>
    <r>
      <rPr>
        <vertAlign val="subscript"/>
        <sz val="11"/>
        <rFont val="Calibri"/>
        <family val="2"/>
      </rPr>
      <t>NO2,NO3</t>
    </r>
    <r>
      <rPr>
        <sz val="11"/>
        <rFont val="Calibri"/>
        <family val="2"/>
      </rPr>
      <t>*Y</t>
    </r>
    <r>
      <rPr>
        <vertAlign val="subscript"/>
        <sz val="11"/>
        <rFont val="Calibri"/>
        <family val="2"/>
      </rPr>
      <t>SOO,H2S,anox</t>
    </r>
    <r>
      <rPr>
        <sz val="11"/>
        <rFont val="Calibri"/>
        <family val="2"/>
      </rPr>
      <t>)</t>
    </r>
  </si>
  <si>
    <r>
      <t>-(EEQ</t>
    </r>
    <r>
      <rPr>
        <vertAlign val="subscript"/>
        <sz val="11"/>
        <rFont val="Calibri"/>
        <family val="2"/>
      </rPr>
      <t>H2S</t>
    </r>
    <r>
      <rPr>
        <sz val="11"/>
        <rFont val="Calibri"/>
        <family val="2"/>
      </rPr>
      <t>-EEQ</t>
    </r>
    <r>
      <rPr>
        <vertAlign val="subscript"/>
        <sz val="11"/>
        <rFont val="Calibri"/>
        <family val="2"/>
      </rPr>
      <t>S</t>
    </r>
    <r>
      <rPr>
        <sz val="11"/>
        <rFont val="Calibri"/>
        <family val="2"/>
      </rPr>
      <t>-Y</t>
    </r>
    <r>
      <rPr>
        <vertAlign val="subscript"/>
        <sz val="11"/>
        <rFont val="Calibri"/>
        <family val="2"/>
      </rPr>
      <t>SOO,H2S,anox</t>
    </r>
    <r>
      <rPr>
        <sz val="11"/>
        <rFont val="Calibri"/>
        <family val="2"/>
      </rPr>
      <t>)/(EEQ</t>
    </r>
    <r>
      <rPr>
        <vertAlign val="subscript"/>
        <sz val="11"/>
        <rFont val="Calibri"/>
        <family val="2"/>
      </rPr>
      <t>NO2,NO3</t>
    </r>
    <r>
      <rPr>
        <sz val="11"/>
        <rFont val="Calibri"/>
        <family val="2"/>
      </rPr>
      <t>*Y</t>
    </r>
    <r>
      <rPr>
        <vertAlign val="subscript"/>
        <sz val="11"/>
        <rFont val="Calibri"/>
        <family val="2"/>
      </rPr>
      <t>SOO,H2S,anox</t>
    </r>
    <r>
      <rPr>
        <sz val="11"/>
        <rFont val="Calibri"/>
        <family val="2"/>
      </rPr>
      <t>)</t>
    </r>
  </si>
  <si>
    <r>
      <t>µ</t>
    </r>
    <r>
      <rPr>
        <vertAlign val="subscript"/>
        <sz val="11"/>
        <rFont val="Calibri"/>
        <family val="2"/>
      </rPr>
      <t>SOO,H2S,T</t>
    </r>
    <r>
      <rPr>
        <sz val="11"/>
        <rFont val="Calibri"/>
        <family val="2"/>
      </rPr>
      <t>*X</t>
    </r>
    <r>
      <rPr>
        <vertAlign val="subscript"/>
        <sz val="11"/>
        <rFont val="Calibri"/>
        <family val="2"/>
      </rPr>
      <t>SOO</t>
    </r>
    <r>
      <rPr>
        <sz val="11"/>
        <rFont val="Calibri"/>
        <family val="2"/>
      </rPr>
      <t>*Msat</t>
    </r>
    <r>
      <rPr>
        <vertAlign val="subscript"/>
        <sz val="11"/>
        <rFont val="Calibri"/>
        <family val="2"/>
      </rPr>
      <t>SCO2,KCO2,BIO</t>
    </r>
    <r>
      <rPr>
        <sz val="11"/>
        <rFont val="Calibri"/>
        <family val="2"/>
      </rPr>
      <t>*Msat</t>
    </r>
    <r>
      <rPr>
        <vertAlign val="subscript"/>
        <sz val="11"/>
        <rFont val="Calibri"/>
        <family val="2"/>
      </rPr>
      <t>SNO3,KNO3,H2S,SOO</t>
    </r>
    <r>
      <rPr>
        <sz val="11"/>
        <rFont val="Calibri"/>
        <family val="2"/>
      </rPr>
      <t>*Hsat</t>
    </r>
    <r>
      <rPr>
        <vertAlign val="subscript"/>
        <sz val="11"/>
        <rFont val="Calibri"/>
        <family val="2"/>
      </rPr>
      <t>SH2S,KH2S,SOO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*Minh</t>
    </r>
    <r>
      <rPr>
        <vertAlign val="subscript"/>
        <sz val="11"/>
        <rFont val="Calibri"/>
        <family val="2"/>
      </rPr>
      <t>SO2,KO2,H2S,SOO</t>
    </r>
    <r>
      <rPr>
        <sz val="11"/>
        <rFont val="Calibri"/>
        <family val="2"/>
      </rPr>
      <t>*Minh</t>
    </r>
    <r>
      <rPr>
        <vertAlign val="subscript"/>
        <sz val="11"/>
        <rFont val="Calibri"/>
        <family val="2"/>
      </rPr>
      <t>SNO2,KNO2,H2S,SOO</t>
    </r>
    <r>
      <rPr>
        <sz val="11"/>
        <rFont val="Calibri"/>
        <family val="2"/>
      </rPr>
      <t>*Bellinh</t>
    </r>
    <r>
      <rPr>
        <vertAlign val="subscript"/>
        <sz val="11"/>
        <rFont val="Calibri"/>
        <family val="2"/>
      </rPr>
      <t>pH</t>
    </r>
  </si>
  <si>
    <r>
      <t>SOO growth on S°, O</t>
    </r>
    <r>
      <rPr>
        <vertAlign val="subscript"/>
        <sz val="11"/>
        <color rgb="FF000000"/>
        <rFont val="Calibri"/>
        <family val="2"/>
        <scheme val="minor"/>
      </rPr>
      <t>2</t>
    </r>
  </si>
  <si>
    <r>
      <t>-(EEQ</t>
    </r>
    <r>
      <rPr>
        <vertAlign val="subscript"/>
        <sz val="11"/>
        <rFont val="Calibri"/>
        <family val="2"/>
      </rPr>
      <t>S</t>
    </r>
    <r>
      <rPr>
        <sz val="11"/>
        <rFont val="Calibri"/>
        <family val="2"/>
      </rPr>
      <t>-Y</t>
    </r>
    <r>
      <rPr>
        <vertAlign val="subscript"/>
        <sz val="11"/>
        <rFont val="Calibri"/>
        <family val="2"/>
      </rPr>
      <t>SOO,S,ox</t>
    </r>
    <r>
      <rPr>
        <sz val="11"/>
        <rFont val="Calibri"/>
        <family val="2"/>
      </rPr>
      <t>)/Y</t>
    </r>
    <r>
      <rPr>
        <vertAlign val="subscript"/>
        <sz val="11"/>
        <rFont val="Calibri"/>
        <family val="2"/>
      </rPr>
      <t>SOO,S,ox</t>
    </r>
  </si>
  <si>
    <r>
      <t>1/Y</t>
    </r>
    <r>
      <rPr>
        <vertAlign val="subscript"/>
        <sz val="11"/>
        <rFont val="Calibri"/>
        <family val="2"/>
      </rPr>
      <t>SOO,S,ox</t>
    </r>
    <r>
      <rPr>
        <sz val="11"/>
        <rFont val="Calibri"/>
        <family val="2"/>
      </rPr>
      <t>-i</t>
    </r>
    <r>
      <rPr>
        <vertAlign val="subscript"/>
        <sz val="11"/>
        <rFont val="Calibri"/>
        <family val="2"/>
      </rPr>
      <t>S,BIO</t>
    </r>
  </si>
  <si>
    <r>
      <t>-1/Y</t>
    </r>
    <r>
      <rPr>
        <vertAlign val="subscript"/>
        <sz val="11"/>
        <rFont val="Calibri"/>
        <family val="2"/>
      </rPr>
      <t>SOO,S,ox</t>
    </r>
  </si>
  <si>
    <r>
      <t>µ</t>
    </r>
    <r>
      <rPr>
        <vertAlign val="subscript"/>
        <sz val="11"/>
        <rFont val="Calibri"/>
        <family val="2"/>
      </rPr>
      <t>SOO,S,T</t>
    </r>
    <r>
      <rPr>
        <sz val="11"/>
        <rFont val="Calibri"/>
        <family val="2"/>
      </rPr>
      <t>*X</t>
    </r>
    <r>
      <rPr>
        <vertAlign val="subscript"/>
        <sz val="11"/>
        <rFont val="Calibri"/>
        <family val="2"/>
      </rPr>
      <t>SOO</t>
    </r>
    <r>
      <rPr>
        <sz val="11"/>
        <rFont val="Calibri"/>
        <family val="2"/>
      </rPr>
      <t>*Msat</t>
    </r>
    <r>
      <rPr>
        <vertAlign val="subscript"/>
        <sz val="11"/>
        <rFont val="Calibri"/>
        <family val="2"/>
      </rPr>
      <t>SCO2,KCO2,BIO</t>
    </r>
    <r>
      <rPr>
        <sz val="11"/>
        <rFont val="Calibri"/>
        <family val="2"/>
      </rPr>
      <t>*Msat</t>
    </r>
    <r>
      <rPr>
        <vertAlign val="subscript"/>
        <sz val="11"/>
        <rFont val="Calibri"/>
        <family val="2"/>
      </rPr>
      <t>SO2,KO2,S,SOO</t>
    </r>
    <r>
      <rPr>
        <sz val="11"/>
        <rFont val="Calibri"/>
        <family val="2"/>
      </rPr>
      <t>*Msat</t>
    </r>
    <r>
      <rPr>
        <vertAlign val="subscript"/>
        <sz val="11"/>
        <rFont val="Calibri"/>
        <family val="2"/>
      </rPr>
      <t>XS,KS,SOO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t>
    </r>
    <r>
      <rPr>
        <vertAlign val="subscript"/>
        <sz val="11"/>
        <rFont val="Calibri"/>
        <family val="2"/>
      </rPr>
      <t>SH2S,KiH2S,SOO</t>
    </r>
    <r>
      <rPr>
        <sz val="11"/>
        <rFont val="Calibri"/>
        <family val="2"/>
      </rPr>
      <t>*Bellinh</t>
    </r>
    <r>
      <rPr>
        <vertAlign val="subscript"/>
        <sz val="11"/>
        <rFont val="Calibri"/>
        <family val="2"/>
      </rPr>
      <t>pH</t>
    </r>
  </si>
  <si>
    <r>
      <t>SOO growth on S°, NO</t>
    </r>
    <r>
      <rPr>
        <vertAlign val="subscript"/>
        <sz val="11"/>
        <color rgb="FF000000"/>
        <rFont val="Calibri"/>
        <family val="2"/>
        <scheme val="minor"/>
      </rPr>
      <t>2</t>
    </r>
  </si>
  <si>
    <r>
      <t>-(EEQ</t>
    </r>
    <r>
      <rPr>
        <vertAlign val="subscript"/>
        <sz val="11"/>
        <rFont val="Calibri"/>
        <family val="2"/>
      </rPr>
      <t>S</t>
    </r>
    <r>
      <rPr>
        <sz val="11"/>
        <rFont val="Calibri"/>
        <family val="2"/>
      </rPr>
      <t>-Y</t>
    </r>
    <r>
      <rPr>
        <vertAlign val="subscript"/>
        <sz val="11"/>
        <rFont val="Calibri"/>
        <family val="2"/>
      </rPr>
      <t>SOO,S,anox</t>
    </r>
    <r>
      <rPr>
        <sz val="11"/>
        <rFont val="Calibri"/>
        <family val="2"/>
      </rPr>
      <t>)/(EEQ</t>
    </r>
    <r>
      <rPr>
        <vertAlign val="subscript"/>
        <sz val="11"/>
        <rFont val="Calibri"/>
        <family val="2"/>
      </rPr>
      <t>N2,NO2</t>
    </r>
    <r>
      <rPr>
        <sz val="11"/>
        <rFont val="Calibri"/>
        <family val="2"/>
      </rPr>
      <t>*Y</t>
    </r>
    <r>
      <rPr>
        <vertAlign val="subscript"/>
        <sz val="11"/>
        <rFont val="Calibri"/>
        <family val="2"/>
      </rPr>
      <t>SOO,S,anox</t>
    </r>
    <r>
      <rPr>
        <sz val="11"/>
        <rFont val="Calibri"/>
        <family val="2"/>
      </rPr>
      <t>)</t>
    </r>
  </si>
  <si>
    <r>
      <t>(EEQ</t>
    </r>
    <r>
      <rPr>
        <vertAlign val="subscript"/>
        <sz val="11"/>
        <rFont val="Calibri"/>
        <family val="2"/>
      </rPr>
      <t>S</t>
    </r>
    <r>
      <rPr>
        <sz val="11"/>
        <rFont val="Calibri"/>
        <family val="2"/>
      </rPr>
      <t>-Y</t>
    </r>
    <r>
      <rPr>
        <vertAlign val="subscript"/>
        <sz val="11"/>
        <rFont val="Calibri"/>
        <family val="2"/>
      </rPr>
      <t>SOO,S,anox</t>
    </r>
    <r>
      <rPr>
        <sz val="11"/>
        <rFont val="Calibri"/>
        <family val="2"/>
      </rPr>
      <t>)/(EEQ</t>
    </r>
    <r>
      <rPr>
        <vertAlign val="subscript"/>
        <sz val="11"/>
        <rFont val="Calibri"/>
        <family val="2"/>
      </rPr>
      <t>N2,NO2</t>
    </r>
    <r>
      <rPr>
        <sz val="11"/>
        <rFont val="Calibri"/>
        <family val="2"/>
      </rPr>
      <t>*Y</t>
    </r>
    <r>
      <rPr>
        <vertAlign val="subscript"/>
        <sz val="11"/>
        <rFont val="Calibri"/>
        <family val="2"/>
      </rPr>
      <t>SOO,S,anox</t>
    </r>
    <r>
      <rPr>
        <sz val="11"/>
        <rFont val="Calibri"/>
        <family val="2"/>
      </rPr>
      <t>)</t>
    </r>
  </si>
  <si>
    <r>
      <t>1/Y</t>
    </r>
    <r>
      <rPr>
        <vertAlign val="subscript"/>
        <sz val="11"/>
        <rFont val="Calibri"/>
        <family val="2"/>
      </rPr>
      <t>SOO,S,anox</t>
    </r>
    <r>
      <rPr>
        <sz val="11"/>
        <rFont val="Calibri"/>
        <family val="2"/>
      </rPr>
      <t>-i</t>
    </r>
    <r>
      <rPr>
        <vertAlign val="subscript"/>
        <sz val="11"/>
        <rFont val="Calibri"/>
        <family val="2"/>
      </rPr>
      <t>S,BIO</t>
    </r>
  </si>
  <si>
    <r>
      <t>-1/Y</t>
    </r>
    <r>
      <rPr>
        <vertAlign val="subscript"/>
        <sz val="11"/>
        <rFont val="Calibri"/>
        <family val="2"/>
      </rPr>
      <t>SOO,S,anox</t>
    </r>
  </si>
  <si>
    <r>
      <t>µ</t>
    </r>
    <r>
      <rPr>
        <vertAlign val="subscript"/>
        <sz val="11"/>
        <rFont val="Calibri"/>
        <family val="2"/>
      </rPr>
      <t>SOO,S,T</t>
    </r>
    <r>
      <rPr>
        <sz val="11"/>
        <rFont val="Calibri"/>
        <family val="2"/>
      </rPr>
      <t>*X</t>
    </r>
    <r>
      <rPr>
        <vertAlign val="subscript"/>
        <sz val="11"/>
        <rFont val="Calibri"/>
        <family val="2"/>
      </rPr>
      <t>SOO</t>
    </r>
    <r>
      <rPr>
        <sz val="11"/>
        <rFont val="Calibri"/>
        <family val="2"/>
      </rPr>
      <t>*Msat</t>
    </r>
    <r>
      <rPr>
        <vertAlign val="subscript"/>
        <sz val="11"/>
        <rFont val="Calibri"/>
        <family val="2"/>
      </rPr>
      <t>SCO2,KCO2,BIO</t>
    </r>
    <r>
      <rPr>
        <sz val="11"/>
        <rFont val="Calibri"/>
        <family val="2"/>
      </rPr>
      <t>*Msat</t>
    </r>
    <r>
      <rPr>
        <vertAlign val="subscript"/>
        <sz val="11"/>
        <rFont val="Calibri"/>
        <family val="2"/>
      </rPr>
      <t>SNO2,KNO2,S,SOO</t>
    </r>
    <r>
      <rPr>
        <sz val="11"/>
        <rFont val="Calibri"/>
        <family val="2"/>
      </rPr>
      <t>*Msat</t>
    </r>
    <r>
      <rPr>
        <vertAlign val="subscript"/>
        <sz val="11"/>
        <rFont val="Calibri"/>
        <family val="2"/>
      </rPr>
      <t>XS,KS,SOO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t>
    </r>
    <r>
      <rPr>
        <vertAlign val="subscript"/>
        <sz val="11"/>
        <rFont val="Calibri"/>
        <family val="2"/>
      </rPr>
      <t>SH2S,KiH2S,SOO</t>
    </r>
    <r>
      <rPr>
        <sz val="11"/>
        <rFont val="Calibri"/>
        <family val="2"/>
      </rPr>
      <t>*Minh</t>
    </r>
    <r>
      <rPr>
        <vertAlign val="subscript"/>
        <sz val="11"/>
        <rFont val="Calibri"/>
        <family val="2"/>
      </rPr>
      <t>SO2,KO2,S,SOO</t>
    </r>
    <r>
      <rPr>
        <sz val="11"/>
        <rFont val="Calibri"/>
        <family val="2"/>
      </rPr>
      <t>*Bellinh</t>
    </r>
    <r>
      <rPr>
        <vertAlign val="subscript"/>
        <sz val="11"/>
        <rFont val="Calibri"/>
        <family val="2"/>
      </rPr>
      <t>pH</t>
    </r>
  </si>
  <si>
    <r>
      <t>SOO growth on S°, NO</t>
    </r>
    <r>
      <rPr>
        <vertAlign val="subscript"/>
        <sz val="11"/>
        <color rgb="FF000000"/>
        <rFont val="Calibri"/>
        <family val="2"/>
        <scheme val="minor"/>
      </rPr>
      <t>3</t>
    </r>
  </si>
  <si>
    <r>
      <t>(EEQ</t>
    </r>
    <r>
      <rPr>
        <vertAlign val="subscript"/>
        <sz val="11"/>
        <rFont val="Calibri"/>
        <family val="2"/>
      </rPr>
      <t>S</t>
    </r>
    <r>
      <rPr>
        <sz val="11"/>
        <rFont val="Calibri"/>
        <family val="2"/>
      </rPr>
      <t>-Y</t>
    </r>
    <r>
      <rPr>
        <vertAlign val="subscript"/>
        <sz val="11"/>
        <rFont val="Calibri"/>
        <family val="2"/>
      </rPr>
      <t>SOO,S,anox</t>
    </r>
    <r>
      <rPr>
        <sz val="11"/>
        <rFont val="Calibri"/>
        <family val="2"/>
      </rPr>
      <t>)/(EEQ</t>
    </r>
    <r>
      <rPr>
        <vertAlign val="subscript"/>
        <sz val="11"/>
        <rFont val="Calibri"/>
        <family val="2"/>
      </rPr>
      <t>NO2,NO3</t>
    </r>
    <r>
      <rPr>
        <sz val="11"/>
        <rFont val="Calibri"/>
        <family val="2"/>
      </rPr>
      <t>*Y</t>
    </r>
    <r>
      <rPr>
        <vertAlign val="subscript"/>
        <sz val="11"/>
        <rFont val="Calibri"/>
        <family val="2"/>
      </rPr>
      <t>SOO,S,anox</t>
    </r>
    <r>
      <rPr>
        <sz val="11"/>
        <rFont val="Calibri"/>
        <family val="2"/>
      </rPr>
      <t>)</t>
    </r>
  </si>
  <si>
    <r>
      <t>-(EEQ</t>
    </r>
    <r>
      <rPr>
        <vertAlign val="subscript"/>
        <sz val="11"/>
        <rFont val="Calibri"/>
        <family val="2"/>
      </rPr>
      <t>S</t>
    </r>
    <r>
      <rPr>
        <sz val="11"/>
        <rFont val="Calibri"/>
        <family val="2"/>
      </rPr>
      <t>-Y</t>
    </r>
    <r>
      <rPr>
        <vertAlign val="subscript"/>
        <sz val="11"/>
        <rFont val="Calibri"/>
        <family val="2"/>
      </rPr>
      <t>SOO,S,anox</t>
    </r>
    <r>
      <rPr>
        <sz val="11"/>
        <rFont val="Calibri"/>
        <family val="2"/>
      </rPr>
      <t>)/(EEQ</t>
    </r>
    <r>
      <rPr>
        <vertAlign val="subscript"/>
        <sz val="11"/>
        <rFont val="Calibri"/>
        <family val="2"/>
      </rPr>
      <t>NO2,NO3</t>
    </r>
    <r>
      <rPr>
        <sz val="11"/>
        <rFont val="Calibri"/>
        <family val="2"/>
      </rPr>
      <t>*Y</t>
    </r>
    <r>
      <rPr>
        <vertAlign val="subscript"/>
        <sz val="11"/>
        <rFont val="Calibri"/>
        <family val="2"/>
      </rPr>
      <t>SOO,S,anox</t>
    </r>
    <r>
      <rPr>
        <sz val="11"/>
        <rFont val="Calibri"/>
        <family val="2"/>
      </rPr>
      <t>)</t>
    </r>
  </si>
  <si>
    <r>
      <t>µ</t>
    </r>
    <r>
      <rPr>
        <vertAlign val="subscript"/>
        <sz val="11"/>
        <rFont val="Calibri"/>
        <family val="2"/>
      </rPr>
      <t>SOO,S,T</t>
    </r>
    <r>
      <rPr>
        <sz val="11"/>
        <rFont val="Calibri"/>
        <family val="2"/>
      </rPr>
      <t>*X</t>
    </r>
    <r>
      <rPr>
        <vertAlign val="subscript"/>
        <sz val="11"/>
        <rFont val="Calibri"/>
        <family val="2"/>
      </rPr>
      <t>SOO</t>
    </r>
    <r>
      <rPr>
        <sz val="11"/>
        <rFont val="Calibri"/>
        <family val="2"/>
      </rPr>
      <t>*Msat</t>
    </r>
    <r>
      <rPr>
        <vertAlign val="subscript"/>
        <sz val="11"/>
        <rFont val="Calibri"/>
        <family val="2"/>
      </rPr>
      <t>SCO2,KCO2,BIO</t>
    </r>
    <r>
      <rPr>
        <sz val="11"/>
        <rFont val="Calibri"/>
        <family val="2"/>
      </rPr>
      <t>*Msat</t>
    </r>
    <r>
      <rPr>
        <vertAlign val="subscript"/>
        <sz val="11"/>
        <rFont val="Calibri"/>
        <family val="2"/>
      </rPr>
      <t>SNO3,KNO3,S,SOO</t>
    </r>
    <r>
      <rPr>
        <sz val="11"/>
        <rFont val="Calibri"/>
        <family val="2"/>
      </rPr>
      <t>*Msat</t>
    </r>
    <r>
      <rPr>
        <vertAlign val="subscript"/>
        <sz val="11"/>
        <rFont val="Calibri"/>
        <family val="2"/>
      </rPr>
      <t>XS,KS,SOO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t>
    </r>
    <r>
      <rPr>
        <vertAlign val="subscript"/>
        <sz val="11"/>
        <rFont val="Calibri"/>
        <family val="2"/>
      </rPr>
      <t>SH2S,KiH2S,SOO</t>
    </r>
    <r>
      <rPr>
        <sz val="11"/>
        <rFont val="Calibri"/>
        <family val="2"/>
      </rPr>
      <t>*Minh</t>
    </r>
    <r>
      <rPr>
        <vertAlign val="subscript"/>
        <sz val="11"/>
        <rFont val="Calibri"/>
        <family val="2"/>
      </rPr>
      <t>SO2,KO2,S,SOO</t>
    </r>
    <r>
      <rPr>
        <sz val="11"/>
        <rFont val="Calibri"/>
        <family val="2"/>
      </rPr>
      <t>*Minh</t>
    </r>
    <r>
      <rPr>
        <vertAlign val="subscript"/>
        <sz val="11"/>
        <rFont val="Calibri"/>
        <family val="2"/>
      </rPr>
      <t>SNO2,KNO2,S,SOO</t>
    </r>
    <r>
      <rPr>
        <sz val="11"/>
        <rFont val="Calibri"/>
        <family val="2"/>
      </rPr>
      <t>*Bellinh</t>
    </r>
    <r>
      <rPr>
        <vertAlign val="subscript"/>
        <sz val="11"/>
        <rFont val="Calibri"/>
        <family val="2"/>
      </rPr>
      <t>pH</t>
    </r>
  </si>
  <si>
    <t>SOO decay</t>
  </si>
  <si>
    <r>
      <t>b</t>
    </r>
    <r>
      <rPr>
        <vertAlign val="subscript"/>
        <sz val="11"/>
        <rFont val="Calibri"/>
        <family val="2"/>
      </rPr>
      <t>SOO,T</t>
    </r>
    <r>
      <rPr>
        <sz val="11"/>
        <rFont val="Calibri"/>
        <family val="2"/>
      </rPr>
      <t>*X</t>
    </r>
    <r>
      <rPr>
        <vertAlign val="subscript"/>
        <sz val="11"/>
        <rFont val="Calibri"/>
        <family val="2"/>
      </rPr>
      <t>SOO</t>
    </r>
    <r>
      <rPr>
        <sz val="11"/>
        <rFont val="Calibri"/>
        <family val="2"/>
      </rPr>
      <t>*(Msat</t>
    </r>
    <r>
      <rPr>
        <vertAlign val="subscript"/>
        <sz val="11"/>
        <rFont val="Calibri"/>
        <family val="2"/>
      </rPr>
      <t>SO2,KO2,H2S,SOO</t>
    </r>
    <r>
      <rPr>
        <sz val="11"/>
        <rFont val="Calibri"/>
        <family val="2"/>
      </rPr>
      <t>+Msat</t>
    </r>
    <r>
      <rPr>
        <vertAlign val="subscript"/>
        <sz val="11"/>
        <rFont val="Calibri"/>
        <family val="2"/>
      </rPr>
      <t>SNO2,KNO2,H2S,SOO</t>
    </r>
    <r>
      <rPr>
        <sz val="11"/>
        <rFont val="Calibri"/>
        <family val="2"/>
      </rPr>
      <t>*Minh</t>
    </r>
    <r>
      <rPr>
        <vertAlign val="subscript"/>
        <sz val="11"/>
        <rFont val="Calibri"/>
        <family val="2"/>
      </rPr>
      <t>SO2,KO2,H2S,SOO</t>
    </r>
    <r>
      <rPr>
        <sz val="11"/>
        <rFont val="Calibri"/>
        <family val="2"/>
      </rPr>
      <t>+Msat</t>
    </r>
    <r>
      <rPr>
        <vertAlign val="subscript"/>
        <sz val="11"/>
        <rFont val="Calibri"/>
        <family val="2"/>
      </rPr>
      <t>SNO3,KNO3,H2S,SOO</t>
    </r>
    <r>
      <rPr>
        <sz val="11"/>
        <rFont val="Calibri"/>
        <family val="2"/>
      </rPr>
      <t>*Minh</t>
    </r>
    <r>
      <rPr>
        <vertAlign val="subscript"/>
        <sz val="11"/>
        <rFont val="Calibri"/>
        <family val="2"/>
      </rPr>
      <t>SNO2,KNO2,H2S,SOO</t>
    </r>
    <r>
      <rPr>
        <sz val="11"/>
        <rFont val="Calibri"/>
        <family val="2"/>
      </rPr>
      <t>*Minh</t>
    </r>
    <r>
      <rPr>
        <vertAlign val="subscript"/>
        <sz val="11"/>
        <rFont val="Calibri"/>
        <family val="2"/>
      </rPr>
      <t>SO2,KO2,H2S,SOO</t>
    </r>
    <r>
      <rPr>
        <sz val="11"/>
        <rFont val="Calibri"/>
        <family val="2"/>
      </rPr>
      <t>)</t>
    </r>
  </si>
  <si>
    <t>SOO anaerobic decay</t>
  </si>
  <si>
    <r>
      <t>b</t>
    </r>
    <r>
      <rPr>
        <vertAlign val="subscript"/>
        <sz val="11"/>
        <rFont val="Calibri"/>
        <family val="2"/>
      </rPr>
      <t>SOO,T</t>
    </r>
    <r>
      <rPr>
        <sz val="11"/>
        <rFont val="Calibri"/>
        <family val="2"/>
      </rPr>
      <t>*X</t>
    </r>
    <r>
      <rPr>
        <vertAlign val="subscript"/>
        <sz val="11"/>
        <rFont val="Calibri"/>
        <family val="2"/>
      </rPr>
      <t>SOO</t>
    </r>
    <r>
      <rPr>
        <sz val="11"/>
        <rFont val="Calibri"/>
        <family val="2"/>
      </rPr>
      <t>*Minh</t>
    </r>
    <r>
      <rPr>
        <vertAlign val="subscript"/>
        <sz val="11"/>
        <rFont val="Calibri"/>
        <family val="2"/>
      </rPr>
      <t>SNO2,KNO2,H2S,SOO</t>
    </r>
    <r>
      <rPr>
        <sz val="11"/>
        <rFont val="Calibri"/>
        <family val="2"/>
      </rPr>
      <t>*Minh</t>
    </r>
    <r>
      <rPr>
        <vertAlign val="subscript"/>
        <sz val="11"/>
        <rFont val="Calibri"/>
        <family val="2"/>
      </rPr>
      <t>SNO3,KNO3,H2S,SOO</t>
    </r>
    <r>
      <rPr>
        <sz val="11"/>
        <rFont val="Calibri"/>
        <family val="2"/>
      </rPr>
      <t>*Minh</t>
    </r>
    <r>
      <rPr>
        <vertAlign val="subscript"/>
        <sz val="11"/>
        <rFont val="Calibri"/>
        <family val="2"/>
      </rPr>
      <t>SO2,KO2,H2S,SOO</t>
    </r>
  </si>
  <si>
    <r>
      <t>H</t>
    </r>
    <r>
      <rPr>
        <vertAlign val="subscript"/>
        <sz val="11"/>
        <color rgb="FF000000"/>
        <rFont val="Calibri"/>
        <family val="2"/>
        <scheme val="minor"/>
      </rPr>
      <t>2</t>
    </r>
    <r>
      <rPr>
        <sz val="11"/>
        <color rgb="FF000000"/>
        <rFont val="Calibri"/>
        <family val="2"/>
        <charset val="238"/>
        <scheme val="minor"/>
      </rPr>
      <t>S oxidation to S°</t>
    </r>
  </si>
  <si>
    <r>
      <t>-(EEQ</t>
    </r>
    <r>
      <rPr>
        <vertAlign val="subscript"/>
        <sz val="11"/>
        <rFont val="Calibri"/>
        <family val="2"/>
      </rPr>
      <t>H2S</t>
    </r>
    <r>
      <rPr>
        <sz val="11"/>
        <rFont val="Calibri"/>
        <family val="2"/>
      </rPr>
      <t>-EEQ</t>
    </r>
    <r>
      <rPr>
        <vertAlign val="subscript"/>
        <sz val="11"/>
        <rFont val="Calibri"/>
        <family val="2"/>
      </rPr>
      <t>S</t>
    </r>
    <r>
      <rPr>
        <sz val="11"/>
        <rFont val="Calibri"/>
        <family val="2"/>
      </rPr>
      <t>)</t>
    </r>
  </si>
  <si>
    <r>
      <t>q</t>
    </r>
    <r>
      <rPr>
        <vertAlign val="subscript"/>
        <sz val="11"/>
        <rFont val="Calibri"/>
        <family val="2"/>
      </rPr>
      <t>H2S,OX</t>
    </r>
    <r>
      <rPr>
        <sz val="11"/>
        <rFont val="Calibri"/>
        <family val="2"/>
      </rPr>
      <t>*S</t>
    </r>
    <r>
      <rPr>
        <vertAlign val="subscript"/>
        <sz val="11"/>
        <rFont val="Calibri"/>
        <family val="2"/>
      </rPr>
      <t>H2S</t>
    </r>
    <r>
      <rPr>
        <sz val="11"/>
        <rFont val="Calibri"/>
        <family val="2"/>
      </rPr>
      <t>*Msat</t>
    </r>
    <r>
      <rPr>
        <vertAlign val="subscript"/>
        <sz val="11"/>
        <rFont val="Calibri"/>
        <family val="2"/>
      </rPr>
      <t>SO2,KO2,OHO</t>
    </r>
  </si>
  <si>
    <r>
      <t>S° oxidation to SO</t>
    </r>
    <r>
      <rPr>
        <vertAlign val="subscript"/>
        <sz val="11"/>
        <rFont val="Calibri"/>
        <family val="2"/>
      </rPr>
      <t>4</t>
    </r>
  </si>
  <si>
    <r>
      <t>-EEQ</t>
    </r>
    <r>
      <rPr>
        <vertAlign val="subscript"/>
        <sz val="11"/>
        <rFont val="Calibri"/>
        <family val="2"/>
      </rPr>
      <t>S</t>
    </r>
  </si>
  <si>
    <r>
      <t>q</t>
    </r>
    <r>
      <rPr>
        <vertAlign val="subscript"/>
        <sz val="11"/>
        <rFont val="Calibri"/>
        <family val="2"/>
      </rPr>
      <t>S,OX</t>
    </r>
    <r>
      <rPr>
        <sz val="11"/>
        <rFont val="Calibri"/>
        <family val="2"/>
      </rPr>
      <t>*</t>
    </r>
    <r>
      <rPr>
        <sz val="11"/>
        <rFont val="Calibri"/>
        <family val="2"/>
      </rPr>
      <t>X</t>
    </r>
    <r>
      <rPr>
        <vertAlign val="subscript"/>
        <sz val="11"/>
        <rFont val="Calibri"/>
        <family val="2"/>
      </rPr>
      <t>S</t>
    </r>
    <r>
      <rPr>
        <sz val="11"/>
        <rFont val="Calibri"/>
        <family val="2"/>
      </rPr>
      <t>*Msat</t>
    </r>
    <r>
      <rPr>
        <vertAlign val="subscript"/>
        <sz val="11"/>
        <rFont val="Calibri"/>
        <family val="2"/>
      </rPr>
      <t>SO2,KO2,OHO</t>
    </r>
  </si>
  <si>
    <r>
      <t>H</t>
    </r>
    <r>
      <rPr>
        <vertAlign val="subscript"/>
        <sz val="11"/>
        <color rgb="FF000000"/>
        <rFont val="Calibri"/>
        <family val="2"/>
        <scheme val="minor"/>
      </rPr>
      <t>2</t>
    </r>
    <r>
      <rPr>
        <sz val="11"/>
        <color rgb="FF000000"/>
        <rFont val="Calibri"/>
        <family val="2"/>
        <charset val="238"/>
        <scheme val="minor"/>
      </rPr>
      <t>S assimilative oxidation</t>
    </r>
  </si>
  <si>
    <r>
      <t>EEQ</t>
    </r>
    <r>
      <rPr>
        <vertAlign val="subscript"/>
        <sz val="11"/>
        <rFont val="Calibri"/>
        <family val="2"/>
      </rPr>
      <t>H2S</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</si>
  <si>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SH2S,KH2S,ASSIM</t>
    </r>
    <r>
      <rPr>
        <sz val="11"/>
        <rFont val="Calibri"/>
        <family val="2"/>
      </rPr>
      <t>*Minh</t>
    </r>
    <r>
      <rPr>
        <vertAlign val="subscript"/>
        <sz val="11"/>
        <rFont val="Calibri"/>
        <family val="2"/>
      </rPr>
      <t>SSO4,KiSO4,ASSIM</t>
    </r>
  </si>
  <si>
    <r>
      <t>Reduction of X</t>
    </r>
    <r>
      <rPr>
        <vertAlign val="subscript"/>
        <sz val="11"/>
        <rFont val="Calibri"/>
        <family val="2"/>
      </rPr>
      <t>HFO</t>
    </r>
    <r>
      <rPr>
        <sz val="11"/>
        <rFont val="Calibri"/>
        <family val="2"/>
      </rPr>
      <t xml:space="preserve"> with sulfide</t>
    </r>
  </si>
  <si>
    <r>
      <t>-EEQ</t>
    </r>
    <r>
      <rPr>
        <vertAlign val="subscript"/>
        <sz val="11"/>
        <rFont val="Calibri"/>
        <family val="2"/>
      </rPr>
      <t>Fe2</t>
    </r>
    <r>
      <rPr>
        <sz val="11"/>
        <rFont val="Calibri"/>
        <family val="2"/>
      </rPr>
      <t>/(EEQ</t>
    </r>
    <r>
      <rPr>
        <vertAlign val="subscript"/>
        <sz val="11"/>
        <rFont val="Calibri"/>
        <family val="2"/>
      </rPr>
      <t>H2S</t>
    </r>
    <r>
      <rPr>
        <sz val="11"/>
        <rFont val="Calibri"/>
        <family val="2"/>
      </rPr>
      <t>-EEQ</t>
    </r>
    <r>
      <rPr>
        <vertAlign val="subscript"/>
        <sz val="11"/>
        <rFont val="Calibri"/>
        <family val="2"/>
      </rPr>
      <t>S</t>
    </r>
    <r>
      <rPr>
        <sz val="11"/>
        <rFont val="Calibri"/>
        <family val="2"/>
      </rPr>
      <t>)</t>
    </r>
  </si>
  <si>
    <r>
      <t>EEQ</t>
    </r>
    <r>
      <rPr>
        <vertAlign val="subscript"/>
        <sz val="11"/>
        <rFont val="Calibri"/>
        <family val="2"/>
      </rPr>
      <t>Fe2</t>
    </r>
    <r>
      <rPr>
        <sz val="11"/>
        <rFont val="Calibri"/>
        <family val="2"/>
      </rPr>
      <t>/(EEQ</t>
    </r>
    <r>
      <rPr>
        <vertAlign val="subscript"/>
        <sz val="11"/>
        <rFont val="Calibri"/>
        <family val="2"/>
      </rPr>
      <t>H2S</t>
    </r>
    <r>
      <rPr>
        <sz val="11"/>
        <rFont val="Calibri"/>
        <family val="2"/>
      </rPr>
      <t>-EEQ</t>
    </r>
    <r>
      <rPr>
        <vertAlign val="subscript"/>
        <sz val="11"/>
        <rFont val="Calibri"/>
        <family val="2"/>
      </rPr>
      <t>S</t>
    </r>
    <r>
      <rPr>
        <sz val="11"/>
        <rFont val="Calibri"/>
        <family val="2"/>
      </rPr>
      <t>)</t>
    </r>
  </si>
  <si>
    <r>
      <t>q</t>
    </r>
    <r>
      <rPr>
        <vertAlign val="subscript"/>
        <sz val="11"/>
        <rFont val="Calibri"/>
        <family val="2"/>
      </rPr>
      <t>HFO,H2S,RED,T</t>
    </r>
    <r>
      <rPr>
        <sz val="11"/>
        <rFont val="Calibri"/>
        <family val="2"/>
      </rPr>
      <t xml:space="preserve"> * X</t>
    </r>
    <r>
      <rPr>
        <vertAlign val="subscript"/>
        <sz val="11"/>
        <rFont val="Calibri"/>
        <family val="2"/>
      </rPr>
      <t>HFO</t>
    </r>
    <r>
      <rPr>
        <sz val="11"/>
        <rFont val="Calibri"/>
        <family val="2"/>
      </rPr>
      <t xml:space="preserve"> * 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SSO4,KiSO4,RED</t>
    </r>
    <r>
      <rPr>
        <sz val="11"/>
        <rFont val="Calibri"/>
        <family val="2"/>
      </rPr>
      <t>*Hsat</t>
    </r>
    <r>
      <rPr>
        <vertAlign val="subscript"/>
        <sz val="11"/>
        <rFont val="Calibri"/>
        <family val="2"/>
      </rPr>
      <t>SH2S,KH2S,SOO</t>
    </r>
  </si>
  <si>
    <t>Oxidation of FeS</t>
  </si>
  <si>
    <r>
      <t>-EEQ</t>
    </r>
    <r>
      <rPr>
        <vertAlign val="subscript"/>
        <sz val="11"/>
        <rFont val="Calibri"/>
        <family val="2"/>
      </rPr>
      <t>Fe2</t>
    </r>
    <r>
      <rPr>
        <sz val="11"/>
        <rFont val="Calibri"/>
        <family val="2"/>
      </rPr>
      <t>*AM</t>
    </r>
    <r>
      <rPr>
        <vertAlign val="subscript"/>
        <sz val="11"/>
        <rFont val="Calibri"/>
        <family val="2"/>
      </rPr>
      <t>Fe</t>
    </r>
    <r>
      <rPr>
        <sz val="11"/>
        <rFont val="Calibri"/>
        <family val="2"/>
      </rPr>
      <t>/MM</t>
    </r>
    <r>
      <rPr>
        <vertAlign val="subscript"/>
        <sz val="11"/>
        <rFont val="Calibri"/>
        <family val="2"/>
      </rPr>
      <t>FeS</t>
    </r>
  </si>
  <si>
    <r>
      <t>AM</t>
    </r>
    <r>
      <rPr>
        <vertAlign val="subscript"/>
        <sz val="11"/>
        <rFont val="Calibri"/>
        <family val="2"/>
      </rPr>
      <t>S</t>
    </r>
    <r>
      <rPr>
        <sz val="11"/>
        <rFont val="Calibri"/>
        <family val="2"/>
      </rPr>
      <t>/MM</t>
    </r>
    <r>
      <rPr>
        <vertAlign val="subscript"/>
        <sz val="11"/>
        <rFont val="Calibri"/>
        <family val="2"/>
      </rPr>
      <t>FeS</t>
    </r>
  </si>
  <si>
    <r>
      <t>AM</t>
    </r>
    <r>
      <rPr>
        <vertAlign val="subscript"/>
        <sz val="11"/>
        <rFont val="Calibri"/>
        <family val="2"/>
      </rPr>
      <t>Fe</t>
    </r>
    <r>
      <rPr>
        <sz val="11"/>
        <rFont val="Calibri"/>
        <family val="2"/>
      </rPr>
      <t>/MM</t>
    </r>
    <r>
      <rPr>
        <vertAlign val="subscript"/>
        <sz val="11"/>
        <rFont val="Calibri"/>
        <family val="2"/>
      </rPr>
      <t>FeS</t>
    </r>
  </si>
  <si>
    <r>
      <t>q</t>
    </r>
    <r>
      <rPr>
        <vertAlign val="subscript"/>
        <sz val="11"/>
        <rFont val="Calibri"/>
        <family val="2"/>
      </rPr>
      <t>FeS,OX,T</t>
    </r>
    <r>
      <rPr>
        <sz val="11"/>
        <rFont val="Calibri"/>
        <family val="2"/>
      </rPr>
      <t>*X</t>
    </r>
    <r>
      <rPr>
        <vertAlign val="subscript"/>
        <sz val="11"/>
        <rFont val="Calibri"/>
        <family val="2"/>
      </rPr>
      <t>FeS</t>
    </r>
    <r>
      <rPr>
        <sz val="11"/>
        <rFont val="Calibri"/>
        <family val="2"/>
      </rPr>
      <t>*Msat</t>
    </r>
    <r>
      <rPr>
        <vertAlign val="subscript"/>
        <sz val="11"/>
        <rFont val="Calibri"/>
        <family val="2"/>
      </rPr>
      <t>SO2,KO2,OHO</t>
    </r>
  </si>
  <si>
    <t>Iron sulfide precipitation</t>
  </si>
  <si>
    <r>
      <t>-AM</t>
    </r>
    <r>
      <rPr>
        <vertAlign val="subscript"/>
        <sz val="11"/>
        <rFont val="Calibri"/>
        <family val="2"/>
      </rPr>
      <t>S</t>
    </r>
    <r>
      <rPr>
        <sz val="11"/>
        <rFont val="Calibri"/>
        <family val="2"/>
      </rPr>
      <t>/MM</t>
    </r>
    <r>
      <rPr>
        <vertAlign val="subscript"/>
        <sz val="11"/>
        <rFont val="Calibri"/>
        <family val="2"/>
      </rPr>
      <t>FeS</t>
    </r>
  </si>
  <si>
    <r>
      <t>-AM</t>
    </r>
    <r>
      <rPr>
        <vertAlign val="subscript"/>
        <sz val="11"/>
        <rFont val="Calibri"/>
        <family val="2"/>
      </rPr>
      <t>Fe</t>
    </r>
    <r>
      <rPr>
        <sz val="11"/>
        <rFont val="Calibri"/>
        <family val="2"/>
      </rPr>
      <t>/MM</t>
    </r>
    <r>
      <rPr>
        <vertAlign val="subscript"/>
        <sz val="11"/>
        <rFont val="Calibri"/>
        <family val="2"/>
      </rPr>
      <t>FeS</t>
    </r>
  </si>
  <si>
    <r>
      <t>q</t>
    </r>
    <r>
      <rPr>
        <vertAlign val="subscript"/>
        <sz val="11"/>
        <rFont val="Calibri"/>
        <family val="2"/>
      </rPr>
      <t>FeS</t>
    </r>
    <r>
      <rPr>
        <sz val="11"/>
        <rFont val="Calibri"/>
        <family val="2"/>
      </rPr>
      <t>*PrecipDrivingForce</t>
    </r>
    <r>
      <rPr>
        <vertAlign val="subscript"/>
        <sz val="11"/>
        <rFont val="Calibri"/>
        <family val="2"/>
      </rPr>
      <t>FeS</t>
    </r>
    <r>
      <rPr>
        <vertAlign val="superscript"/>
        <sz val="11"/>
        <rFont val="Calibri"/>
        <family val="2"/>
      </rPr>
      <t>^2</t>
    </r>
  </si>
  <si>
    <t>r111</t>
  </si>
  <si>
    <t>Hydrogen sulfide gas transfer - bubbles</t>
  </si>
  <si>
    <r>
      <t>k</t>
    </r>
    <r>
      <rPr>
        <vertAlign val="subscript"/>
        <sz val="11"/>
        <rFont val="Calibri"/>
        <family val="2"/>
        <scheme val="minor"/>
      </rPr>
      <t>transfer,GH2S,bub</t>
    </r>
  </si>
  <si>
    <t>r118</t>
  </si>
  <si>
    <t>Hydrogen sulfide gas transfer</t>
  </si>
  <si>
    <r>
      <t>k</t>
    </r>
    <r>
      <rPr>
        <vertAlign val="subscript"/>
        <sz val="11"/>
        <rFont val="Calibri"/>
        <family val="2"/>
        <scheme val="minor"/>
      </rPr>
      <t>transfer,GH2S,sur</t>
    </r>
  </si>
  <si>
    <t>r119</t>
  </si>
  <si>
    <t>Methyl mercaptan potential production</t>
  </si>
  <si>
    <r>
      <t>q</t>
    </r>
    <r>
      <rPr>
        <vertAlign val="subscript"/>
        <sz val="11"/>
        <rFont val="Calibri"/>
        <family val="2"/>
      </rPr>
      <t>MM,PROD</t>
    </r>
    <r>
      <rPr>
        <sz val="11"/>
        <rFont val="Calibri"/>
        <family val="2"/>
      </rPr>
      <t>*X</t>
    </r>
    <r>
      <rPr>
        <vertAlign val="subscript"/>
        <sz val="11"/>
        <rFont val="Calibri"/>
        <family val="2"/>
      </rPr>
      <t>BIO</t>
    </r>
    <r>
      <rPr>
        <sz val="11"/>
        <rFont val="Calibri"/>
        <family val="2"/>
      </rPr>
      <t>*((1-S</t>
    </r>
    <r>
      <rPr>
        <vertAlign val="subscript"/>
        <sz val="11"/>
        <rFont val="Calibri"/>
        <family val="2"/>
      </rPr>
      <t>MM,index</t>
    </r>
    <r>
      <rPr>
        <sz val="11"/>
        <rFont val="Calibri"/>
        <family val="2"/>
      </rPr>
      <t>)/(K</t>
    </r>
    <r>
      <rPr>
        <vertAlign val="subscript"/>
        <sz val="11"/>
        <rFont val="Calibri"/>
        <family val="2"/>
      </rPr>
      <t>scaling</t>
    </r>
    <r>
      <rPr>
        <sz val="11"/>
        <rFont val="Calibri"/>
        <family val="2"/>
      </rPr>
      <t>+1-S</t>
    </r>
    <r>
      <rPr>
        <vertAlign val="subscript"/>
        <sz val="11"/>
        <rFont val="Calibri"/>
        <family val="2"/>
      </rPr>
      <t>MM,index</t>
    </r>
    <r>
      <rPr>
        <sz val="11"/>
        <rFont val="Calibri"/>
        <family val="2"/>
      </rPr>
      <t>))*Msat</t>
    </r>
    <r>
      <rPr>
        <vertAlign val="subscript"/>
        <sz val="11"/>
        <rFont val="Calibri"/>
        <family val="2"/>
      </rPr>
      <t>TKNB,KTKNB</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SO2,KO2,OHO</t>
    </r>
  </si>
  <si>
    <t>r120</t>
  </si>
  <si>
    <t>Methyl mercaptan potential degradation</t>
  </si>
  <si>
    <r>
      <t>q</t>
    </r>
    <r>
      <rPr>
        <vertAlign val="subscript"/>
        <sz val="11"/>
        <rFont val="Calibri"/>
        <family val="2"/>
      </rPr>
      <t>MM,DEGR</t>
    </r>
    <r>
      <rPr>
        <sz val="11"/>
        <rFont val="Calibri"/>
        <family val="2"/>
      </rPr>
      <t>*X</t>
    </r>
    <r>
      <rPr>
        <vertAlign val="subscript"/>
        <sz val="11"/>
        <rFont val="Calibri"/>
        <family val="2"/>
      </rPr>
      <t>AMETO</t>
    </r>
    <r>
      <rPr>
        <sz val="11"/>
        <rFont val="Calibri"/>
        <family val="2"/>
      </rPr>
      <t>*(K</t>
    </r>
    <r>
      <rPr>
        <vertAlign val="subscript"/>
        <sz val="11"/>
        <rFont val="Calibri"/>
        <family val="2"/>
      </rPr>
      <t>scaling</t>
    </r>
    <r>
      <rPr>
        <sz val="11"/>
        <rFont val="Calibri"/>
        <family val="2"/>
      </rPr>
      <t>/(K</t>
    </r>
    <r>
      <rPr>
        <vertAlign val="subscript"/>
        <sz val="11"/>
        <rFont val="Calibri"/>
        <family val="2"/>
      </rPr>
      <t>scaling</t>
    </r>
    <r>
      <rPr>
        <sz val="11"/>
        <rFont val="Calibri"/>
        <family val="2"/>
      </rPr>
      <t>+1-S</t>
    </r>
    <r>
      <rPr>
        <vertAlign val="subscript"/>
        <sz val="11"/>
        <rFont val="Calibri"/>
        <family val="2"/>
      </rPr>
      <t>MM,index</t>
    </r>
    <r>
      <rPr>
        <sz val="11"/>
        <rFont val="Calibri"/>
        <family val="2"/>
      </rPr>
      <t>))*Loginh</t>
    </r>
    <r>
      <rPr>
        <vertAlign val="subscript"/>
        <sz val="11"/>
        <rFont val="Calibri"/>
        <family val="2"/>
      </rPr>
      <t>ORP,MM</t>
    </r>
  </si>
  <si>
    <t>r121</t>
  </si>
  <si>
    <t>Methyl mercaptan potential transfer</t>
  </si>
  <si>
    <r>
      <t>AM</t>
    </r>
    <r>
      <rPr>
        <vertAlign val="subscript"/>
        <sz val="11"/>
        <rFont val="Calibri"/>
        <family val="2"/>
      </rPr>
      <t>S</t>
    </r>
    <r>
      <rPr>
        <sz val="11"/>
        <rFont val="Calibri"/>
        <family val="2"/>
      </rPr>
      <t>/MM</t>
    </r>
    <r>
      <rPr>
        <vertAlign val="subscript"/>
        <sz val="11"/>
        <rFont val="Calibri"/>
        <family val="2"/>
      </rPr>
      <t>FeS</t>
    </r>
    <r>
      <rPr>
        <sz val="11"/>
        <rFont val="Calibri"/>
        <family val="2"/>
      </rPr>
      <t>*EEQ</t>
    </r>
    <r>
      <rPr>
        <vertAlign val="subscript"/>
        <sz val="11"/>
        <rFont val="Calibri"/>
        <family val="2"/>
      </rPr>
      <t>H2S</t>
    </r>
    <r>
      <rPr>
        <sz val="11"/>
        <rFont val="Calibri"/>
        <family val="2"/>
      </rPr>
      <t>+AM</t>
    </r>
    <r>
      <rPr>
        <vertAlign val="subscript"/>
        <sz val="11"/>
        <rFont val="Calibri"/>
        <family val="2"/>
      </rPr>
      <t>Fe</t>
    </r>
    <r>
      <rPr>
        <sz val="11"/>
        <rFont val="Calibri"/>
        <family val="2"/>
      </rPr>
      <t>/MM</t>
    </r>
    <r>
      <rPr>
        <vertAlign val="subscript"/>
        <sz val="11"/>
        <rFont val="Calibri"/>
        <family val="2"/>
      </rPr>
      <t>FeS</t>
    </r>
    <r>
      <rPr>
        <sz val="11"/>
        <rFont val="Calibri"/>
        <family val="2"/>
      </rPr>
      <t>*EEQ</t>
    </r>
    <r>
      <rPr>
        <vertAlign val="subscript"/>
        <sz val="11"/>
        <rFont val="Calibri"/>
        <family val="2"/>
      </rPr>
      <t>Fe2</t>
    </r>
  </si>
  <si>
    <r>
      <t>EEQ</t>
    </r>
    <r>
      <rPr>
        <vertAlign val="subscript"/>
        <sz val="11"/>
        <rFont val="Calibri"/>
        <family val="2"/>
        <scheme val="minor"/>
      </rPr>
      <t>H2S</t>
    </r>
    <r>
      <rPr>
        <sz val="11"/>
        <rFont val="Calibri"/>
        <family val="2"/>
        <scheme val="minor"/>
      </rPr>
      <t>/Δ</t>
    </r>
    <r>
      <rPr>
        <vertAlign val="subscript"/>
        <sz val="11"/>
        <rFont val="Calibri"/>
        <family val="2"/>
        <scheme val="minor"/>
      </rPr>
      <t>atm</t>
    </r>
  </si>
  <si>
    <r>
      <t>i</t>
    </r>
    <r>
      <rPr>
        <vertAlign val="subscript"/>
        <sz val="11"/>
        <rFont val="Calibri"/>
        <family val="2"/>
      </rPr>
      <t>S,SB</t>
    </r>
  </si>
  <si>
    <r>
      <t>i</t>
    </r>
    <r>
      <rPr>
        <vertAlign val="subscript"/>
        <sz val="11"/>
        <rFont val="Calibri"/>
        <family val="2"/>
      </rPr>
      <t>S,CB</t>
    </r>
  </si>
  <si>
    <r>
      <t>i</t>
    </r>
    <r>
      <rPr>
        <vertAlign val="subscript"/>
        <sz val="11"/>
        <rFont val="Calibri"/>
        <family val="2"/>
      </rPr>
      <t>S,XB</t>
    </r>
  </si>
  <si>
    <r>
      <t>i</t>
    </r>
    <r>
      <rPr>
        <vertAlign val="subscript"/>
        <sz val="11"/>
        <rFont val="Calibri"/>
        <family val="2"/>
      </rPr>
      <t>S,SU</t>
    </r>
  </si>
  <si>
    <r>
      <t>i</t>
    </r>
    <r>
      <rPr>
        <vertAlign val="subscript"/>
        <sz val="11"/>
        <rFont val="Calibri"/>
        <family val="2"/>
      </rPr>
      <t>S,CU</t>
    </r>
  </si>
  <si>
    <r>
      <t>i</t>
    </r>
    <r>
      <rPr>
        <vertAlign val="subscript"/>
        <sz val="11"/>
        <rFont val="Calibri"/>
        <family val="2"/>
      </rPr>
      <t>S,XU</t>
    </r>
  </si>
  <si>
    <r>
      <t>i</t>
    </r>
    <r>
      <rPr>
        <vertAlign val="subscript"/>
        <sz val="11"/>
        <rFont val="Calibri"/>
        <family val="2"/>
      </rPr>
      <t>S,BIO</t>
    </r>
  </si>
  <si>
    <r>
      <t>[H</t>
    </r>
    <r>
      <rPr>
        <b/>
        <vertAlign val="subscript"/>
        <sz val="11"/>
        <rFont val="Calibri"/>
        <family val="2"/>
        <charset val="238"/>
        <scheme val="minor"/>
      </rPr>
      <t>2</t>
    </r>
    <r>
      <rPr>
        <b/>
        <sz val="11"/>
        <rFont val="Calibri"/>
        <family val="2"/>
        <scheme val="minor"/>
      </rPr>
      <t>SO</t>
    </r>
    <r>
      <rPr>
        <b/>
        <vertAlign val="subscript"/>
        <sz val="11"/>
        <rFont val="Calibri"/>
        <family val="2"/>
      </rPr>
      <t>4</t>
    </r>
    <r>
      <rPr>
        <b/>
        <sz val="11"/>
        <rFont val="Calibri"/>
        <family val="2"/>
      </rPr>
      <t>]</t>
    </r>
  </si>
  <si>
    <r>
      <t>map</t>
    </r>
    <r>
      <rPr>
        <vertAlign val="subscript"/>
        <sz val="11"/>
        <rFont val="Calibri"/>
        <family val="2"/>
      </rPr>
      <t>SO4</t>
    </r>
  </si>
  <si>
    <t>Sulfate fully dissociated</t>
  </si>
  <si>
    <r>
      <t>([H</t>
    </r>
    <r>
      <rPr>
        <vertAlign val="superscript"/>
        <sz val="11"/>
        <rFont val="Calibri"/>
        <family val="2"/>
      </rPr>
      <t>+</t>
    </r>
    <r>
      <rPr>
        <sz val="11"/>
        <rFont val="Calibri"/>
        <family val="2"/>
      </rPr>
      <t>]^2*S</t>
    </r>
    <r>
      <rPr>
        <vertAlign val="subscript"/>
        <sz val="11"/>
        <rFont val="Calibri"/>
        <family val="2"/>
      </rPr>
      <t>SO4</t>
    </r>
    <r>
      <rPr>
        <sz val="11"/>
        <rFont val="Calibri"/>
        <family val="2"/>
      </rPr>
      <t>/(AM</t>
    </r>
    <r>
      <rPr>
        <vertAlign val="subscript"/>
        <sz val="11"/>
        <rFont val="Calibri"/>
        <family val="2"/>
      </rPr>
      <t>S</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SO41</t>
    </r>
    <r>
      <rPr>
        <sz val="11"/>
        <rFont val="Calibri"/>
        <family val="2"/>
      </rPr>
      <t>+K</t>
    </r>
    <r>
      <rPr>
        <vertAlign val="subscript"/>
        <sz val="11"/>
        <rFont val="Calibri"/>
        <family val="2"/>
      </rPr>
      <t>SO41</t>
    </r>
    <r>
      <rPr>
        <sz val="11"/>
        <rFont val="Calibri"/>
        <family val="2"/>
      </rPr>
      <t>* K</t>
    </r>
    <r>
      <rPr>
        <vertAlign val="subscript"/>
        <sz val="11"/>
        <rFont val="Calibri"/>
        <family val="2"/>
      </rPr>
      <t>SO42</t>
    </r>
    <r>
      <rPr>
        <sz val="11"/>
        <rFont val="Calibri"/>
        <family val="2"/>
      </rPr>
      <t>)</t>
    </r>
  </si>
  <si>
    <r>
      <t>([H</t>
    </r>
    <r>
      <rPr>
        <vertAlign val="superscript"/>
        <sz val="11"/>
        <rFont val="Calibri"/>
        <family val="2"/>
      </rPr>
      <t>+</t>
    </r>
    <r>
      <rPr>
        <sz val="11"/>
        <rFont val="Calibri"/>
        <family val="2"/>
      </rPr>
      <t>]*K</t>
    </r>
    <r>
      <rPr>
        <vertAlign val="subscript"/>
        <sz val="11"/>
        <rFont val="Calibri"/>
        <family val="2"/>
      </rPr>
      <t>SO41</t>
    </r>
    <r>
      <rPr>
        <sz val="11"/>
        <rFont val="Calibri"/>
        <family val="2"/>
      </rPr>
      <t>*S</t>
    </r>
    <r>
      <rPr>
        <vertAlign val="subscript"/>
        <sz val="11"/>
        <rFont val="Calibri"/>
        <family val="2"/>
      </rPr>
      <t>SO4</t>
    </r>
    <r>
      <rPr>
        <sz val="11"/>
        <rFont val="Calibri"/>
        <family val="2"/>
      </rPr>
      <t>/(AM</t>
    </r>
    <r>
      <rPr>
        <vertAlign val="subscript"/>
        <sz val="11"/>
        <rFont val="Calibri"/>
        <family val="2"/>
      </rPr>
      <t>S</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SO41</t>
    </r>
    <r>
      <rPr>
        <sz val="11"/>
        <rFont val="Calibri"/>
        <family val="2"/>
      </rPr>
      <t>+K</t>
    </r>
    <r>
      <rPr>
        <vertAlign val="subscript"/>
        <sz val="11"/>
        <rFont val="Calibri"/>
        <family val="2"/>
      </rPr>
      <t>SO41</t>
    </r>
    <r>
      <rPr>
        <sz val="11"/>
        <rFont val="Calibri"/>
        <family val="2"/>
      </rPr>
      <t>*K</t>
    </r>
    <r>
      <rPr>
        <vertAlign val="subscript"/>
        <sz val="11"/>
        <rFont val="Calibri"/>
        <family val="2"/>
      </rPr>
      <t>SO42</t>
    </r>
    <r>
      <rPr>
        <sz val="11"/>
        <rFont val="Calibri"/>
        <family val="2"/>
      </rPr>
      <t>)</t>
    </r>
  </si>
  <si>
    <r>
      <t>(K</t>
    </r>
    <r>
      <rPr>
        <vertAlign val="subscript"/>
        <sz val="11"/>
        <rFont val="Calibri"/>
        <family val="2"/>
        <scheme val="minor"/>
      </rPr>
      <t>SO41</t>
    </r>
    <r>
      <rPr>
        <sz val="11"/>
        <rFont val="Calibri"/>
        <family val="2"/>
        <scheme val="minor"/>
      </rPr>
      <t>*K</t>
    </r>
    <r>
      <rPr>
        <vertAlign val="subscript"/>
        <sz val="11"/>
        <rFont val="Calibri"/>
        <family val="2"/>
        <scheme val="minor"/>
      </rPr>
      <t>SO42</t>
    </r>
    <r>
      <rPr>
        <sz val="11"/>
        <rFont val="Calibri"/>
        <family val="2"/>
        <scheme val="minor"/>
      </rPr>
      <t>*S</t>
    </r>
    <r>
      <rPr>
        <vertAlign val="subscript"/>
        <sz val="11"/>
        <rFont val="Calibri"/>
        <family val="2"/>
        <scheme val="minor"/>
      </rPr>
      <t>SO4</t>
    </r>
    <r>
      <rPr>
        <sz val="11"/>
        <rFont val="Calibri"/>
        <family val="2"/>
        <scheme val="minor"/>
      </rPr>
      <t>/(AM</t>
    </r>
    <r>
      <rPr>
        <vertAlign val="subscript"/>
        <sz val="11"/>
        <rFont val="Calibri"/>
        <family val="2"/>
        <scheme val="minor"/>
      </rPr>
      <t>S</t>
    </r>
    <r>
      <rPr>
        <sz val="11"/>
        <rFont val="Calibri"/>
        <family val="2"/>
        <scheme val="minor"/>
      </rPr>
      <t>*1000))/([H</t>
    </r>
    <r>
      <rPr>
        <vertAlign val="superscript"/>
        <sz val="11"/>
        <rFont val="Calibri"/>
        <family val="2"/>
        <scheme val="minor"/>
      </rPr>
      <t>+</t>
    </r>
    <r>
      <rPr>
        <sz val="11"/>
        <rFont val="Calibri"/>
        <family val="2"/>
        <scheme val="minor"/>
      </rPr>
      <t>]^2+[H</t>
    </r>
    <r>
      <rPr>
        <vertAlign val="superscript"/>
        <sz val="11"/>
        <rFont val="Calibri"/>
        <family val="2"/>
        <scheme val="minor"/>
      </rPr>
      <t>+</t>
    </r>
    <r>
      <rPr>
        <sz val="11"/>
        <rFont val="Calibri"/>
        <family val="2"/>
        <scheme val="minor"/>
      </rPr>
      <t>]*K</t>
    </r>
    <r>
      <rPr>
        <vertAlign val="subscript"/>
        <sz val="11"/>
        <rFont val="Calibri"/>
        <family val="2"/>
        <scheme val="minor"/>
      </rPr>
      <t>SO41</t>
    </r>
    <r>
      <rPr>
        <sz val="11"/>
        <rFont val="Calibri"/>
        <family val="2"/>
        <scheme val="minor"/>
      </rPr>
      <t>+K</t>
    </r>
    <r>
      <rPr>
        <vertAlign val="subscript"/>
        <sz val="11"/>
        <rFont val="Calibri"/>
        <family val="2"/>
        <scheme val="minor"/>
      </rPr>
      <t>SO41</t>
    </r>
    <r>
      <rPr>
        <sz val="11"/>
        <rFont val="Calibri"/>
        <family val="2"/>
        <scheme val="minor"/>
      </rPr>
      <t>*K</t>
    </r>
    <r>
      <rPr>
        <vertAlign val="subscript"/>
        <sz val="11"/>
        <rFont val="Calibri"/>
        <family val="2"/>
        <scheme val="minor"/>
      </rPr>
      <t>SO42</t>
    </r>
    <r>
      <rPr>
        <sz val="11"/>
        <rFont val="Calibri"/>
        <family val="2"/>
        <scheme val="minor"/>
      </rPr>
      <t>)</t>
    </r>
  </si>
  <si>
    <r>
      <t>diss</t>
    </r>
    <r>
      <rPr>
        <vertAlign val="subscript"/>
        <sz val="11"/>
        <rFont val="Calibri"/>
        <family val="2"/>
      </rPr>
      <t>H2S</t>
    </r>
  </si>
  <si>
    <t>Dissociation of hydrogen sulfide</t>
  </si>
  <si>
    <r>
      <t>([H</t>
    </r>
    <r>
      <rPr>
        <vertAlign val="superscript"/>
        <sz val="11"/>
        <rFont val="Calibri"/>
        <family val="2"/>
      </rPr>
      <t>+</t>
    </r>
    <r>
      <rPr>
        <sz val="11"/>
        <rFont val="Calibri"/>
        <family val="2"/>
      </rPr>
      <t>]^2*S</t>
    </r>
    <r>
      <rPr>
        <vertAlign val="subscript"/>
        <sz val="11"/>
        <rFont val="Calibri"/>
        <family val="2"/>
      </rPr>
      <t>H2S</t>
    </r>
    <r>
      <rPr>
        <sz val="11"/>
        <rFont val="Calibri"/>
        <family val="2"/>
      </rPr>
      <t>/(AM</t>
    </r>
    <r>
      <rPr>
        <vertAlign val="subscript"/>
        <sz val="11"/>
        <rFont val="Calibri"/>
        <family val="2"/>
      </rPr>
      <t>S</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S1</t>
    </r>
    <r>
      <rPr>
        <sz val="11"/>
        <rFont val="Calibri"/>
        <family val="2"/>
      </rPr>
      <t>+K</t>
    </r>
    <r>
      <rPr>
        <vertAlign val="subscript"/>
        <sz val="11"/>
        <rFont val="Calibri"/>
        <family val="2"/>
      </rPr>
      <t>S1</t>
    </r>
    <r>
      <rPr>
        <sz val="11"/>
        <rFont val="Calibri"/>
        <family val="2"/>
      </rPr>
      <t>* K</t>
    </r>
    <r>
      <rPr>
        <vertAlign val="subscript"/>
        <sz val="11"/>
        <rFont val="Calibri"/>
        <family val="2"/>
      </rPr>
      <t>S2</t>
    </r>
    <r>
      <rPr>
        <sz val="11"/>
        <rFont val="Calibri"/>
        <family val="2"/>
      </rPr>
      <t>)</t>
    </r>
  </si>
  <si>
    <r>
      <t>([H</t>
    </r>
    <r>
      <rPr>
        <vertAlign val="superscript"/>
        <sz val="11"/>
        <rFont val="Calibri"/>
        <family val="2"/>
      </rPr>
      <t>+</t>
    </r>
    <r>
      <rPr>
        <sz val="11"/>
        <rFont val="Calibri"/>
        <family val="2"/>
      </rPr>
      <t>]*K</t>
    </r>
    <r>
      <rPr>
        <vertAlign val="subscript"/>
        <sz val="11"/>
        <rFont val="Calibri"/>
        <family val="2"/>
      </rPr>
      <t>S1</t>
    </r>
    <r>
      <rPr>
        <sz val="11"/>
        <rFont val="Calibri"/>
        <family val="2"/>
      </rPr>
      <t>*S</t>
    </r>
    <r>
      <rPr>
        <vertAlign val="subscript"/>
        <sz val="11"/>
        <rFont val="Calibri"/>
        <family val="2"/>
      </rPr>
      <t>H2S</t>
    </r>
    <r>
      <rPr>
        <sz val="11"/>
        <rFont val="Calibri"/>
        <family val="2"/>
      </rPr>
      <t>/(AM</t>
    </r>
    <r>
      <rPr>
        <vertAlign val="subscript"/>
        <sz val="11"/>
        <rFont val="Calibri"/>
        <family val="2"/>
      </rPr>
      <t>S</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S1</t>
    </r>
    <r>
      <rPr>
        <sz val="11"/>
        <rFont val="Calibri"/>
        <family val="2"/>
      </rPr>
      <t>+K</t>
    </r>
    <r>
      <rPr>
        <vertAlign val="subscript"/>
        <sz val="11"/>
        <rFont val="Calibri"/>
        <family val="2"/>
      </rPr>
      <t>S1</t>
    </r>
    <r>
      <rPr>
        <sz val="11"/>
        <rFont val="Calibri"/>
        <family val="2"/>
      </rPr>
      <t>*K</t>
    </r>
    <r>
      <rPr>
        <vertAlign val="subscript"/>
        <sz val="11"/>
        <rFont val="Calibri"/>
        <family val="2"/>
      </rPr>
      <t>S2</t>
    </r>
    <r>
      <rPr>
        <sz val="11"/>
        <rFont val="Calibri"/>
        <family val="2"/>
      </rPr>
      <t>)</t>
    </r>
  </si>
  <si>
    <r>
      <t>(K</t>
    </r>
    <r>
      <rPr>
        <vertAlign val="subscript"/>
        <sz val="11"/>
        <rFont val="Calibri"/>
        <family val="2"/>
        <scheme val="minor"/>
      </rPr>
      <t>S1</t>
    </r>
    <r>
      <rPr>
        <sz val="11"/>
        <rFont val="Calibri"/>
        <family val="2"/>
        <scheme val="minor"/>
      </rPr>
      <t>*K</t>
    </r>
    <r>
      <rPr>
        <vertAlign val="subscript"/>
        <sz val="11"/>
        <rFont val="Calibri"/>
        <family val="2"/>
        <scheme val="minor"/>
      </rPr>
      <t>S2</t>
    </r>
    <r>
      <rPr>
        <sz val="11"/>
        <rFont val="Calibri"/>
        <family val="2"/>
        <scheme val="minor"/>
      </rPr>
      <t>*S</t>
    </r>
    <r>
      <rPr>
        <vertAlign val="subscript"/>
        <sz val="11"/>
        <rFont val="Calibri"/>
        <family val="2"/>
        <scheme val="minor"/>
      </rPr>
      <t>H2S</t>
    </r>
    <r>
      <rPr>
        <sz val="11"/>
        <rFont val="Calibri"/>
        <family val="2"/>
        <scheme val="minor"/>
      </rPr>
      <t>/(AM</t>
    </r>
    <r>
      <rPr>
        <vertAlign val="subscript"/>
        <sz val="11"/>
        <rFont val="Calibri"/>
        <family val="2"/>
        <scheme val="minor"/>
      </rPr>
      <t>S</t>
    </r>
    <r>
      <rPr>
        <sz val="11"/>
        <rFont val="Calibri"/>
        <family val="2"/>
        <scheme val="minor"/>
      </rPr>
      <t>*1000))/([H</t>
    </r>
    <r>
      <rPr>
        <vertAlign val="superscript"/>
        <sz val="11"/>
        <rFont val="Calibri"/>
        <family val="2"/>
        <scheme val="minor"/>
      </rPr>
      <t>+</t>
    </r>
    <r>
      <rPr>
        <sz val="11"/>
        <rFont val="Calibri"/>
        <family val="2"/>
        <scheme val="minor"/>
      </rPr>
      <t>]^2+[H</t>
    </r>
    <r>
      <rPr>
        <vertAlign val="superscript"/>
        <sz val="11"/>
        <rFont val="Calibri"/>
        <family val="2"/>
        <scheme val="minor"/>
      </rPr>
      <t>+</t>
    </r>
    <r>
      <rPr>
        <sz val="11"/>
        <rFont val="Calibri"/>
        <family val="2"/>
        <scheme val="minor"/>
      </rPr>
      <t>]*K</t>
    </r>
    <r>
      <rPr>
        <vertAlign val="subscript"/>
        <sz val="11"/>
        <rFont val="Calibri"/>
        <family val="2"/>
        <scheme val="minor"/>
      </rPr>
      <t>S1</t>
    </r>
    <r>
      <rPr>
        <sz val="11"/>
        <rFont val="Calibri"/>
        <family val="2"/>
        <scheme val="minor"/>
      </rPr>
      <t>+K</t>
    </r>
    <r>
      <rPr>
        <vertAlign val="subscript"/>
        <sz val="11"/>
        <rFont val="Calibri"/>
        <family val="2"/>
        <scheme val="minor"/>
      </rPr>
      <t>S1</t>
    </r>
    <r>
      <rPr>
        <sz val="11"/>
        <rFont val="Calibri"/>
        <family val="2"/>
        <scheme val="minor"/>
      </rPr>
      <t>*K</t>
    </r>
    <r>
      <rPr>
        <vertAlign val="subscript"/>
        <sz val="11"/>
        <rFont val="Calibri"/>
        <family val="2"/>
        <scheme val="minor"/>
      </rPr>
      <t>S2</t>
    </r>
    <r>
      <rPr>
        <sz val="11"/>
        <rFont val="Calibri"/>
        <family val="2"/>
        <scheme val="minor"/>
      </rPr>
      <t>)</t>
    </r>
  </si>
  <si>
    <t>Half-saturations for acidoclastic sulfate-reducing organisms (ASRO)</t>
  </si>
  <si>
    <r>
      <t>K</t>
    </r>
    <r>
      <rPr>
        <vertAlign val="subscript"/>
        <sz val="11"/>
        <rFont val="Calibri"/>
        <family val="2"/>
        <scheme val="minor"/>
      </rPr>
      <t>VFA,ASRO</t>
    </r>
  </si>
  <si>
    <t>Half-saturation of VFA for ASROs</t>
  </si>
  <si>
    <r>
      <t>K</t>
    </r>
    <r>
      <rPr>
        <vertAlign val="subscript"/>
        <sz val="11"/>
        <rFont val="Calibri"/>
        <family val="2"/>
        <scheme val="minor"/>
      </rPr>
      <t>VFA,ASRO,AS</t>
    </r>
    <r>
      <rPr>
        <sz val="11"/>
        <rFont val="Calibri"/>
        <family val="2"/>
        <scheme val="minor"/>
      </rPr>
      <t>*f</t>
    </r>
    <r>
      <rPr>
        <vertAlign val="subscript"/>
        <sz val="11"/>
        <rFont val="Calibri"/>
        <family val="2"/>
        <scheme val="minor"/>
      </rPr>
      <t>KS</t>
    </r>
  </si>
  <si>
    <r>
      <t>K</t>
    </r>
    <r>
      <rPr>
        <vertAlign val="subscript"/>
        <sz val="11"/>
        <rFont val="Calibri"/>
        <family val="2"/>
        <scheme val="minor"/>
      </rPr>
      <t>SO4,ASRO</t>
    </r>
  </si>
  <si>
    <r>
      <t>Half-saturation of SO</t>
    </r>
    <r>
      <rPr>
        <vertAlign val="subscript"/>
        <sz val="11"/>
        <color rgb="FF000000"/>
        <rFont val="Calibri"/>
        <family val="2"/>
        <scheme val="minor"/>
      </rPr>
      <t>4</t>
    </r>
    <r>
      <rPr>
        <sz val="11"/>
        <color rgb="FF000000"/>
        <rFont val="Calibri"/>
        <family val="2"/>
        <charset val="238"/>
        <scheme val="minor"/>
      </rPr>
      <t xml:space="preserve"> for ASROs</t>
    </r>
  </si>
  <si>
    <r>
      <t>K</t>
    </r>
    <r>
      <rPr>
        <vertAlign val="subscript"/>
        <sz val="11"/>
        <rFont val="Calibri"/>
        <family val="2"/>
        <scheme val="minor"/>
      </rPr>
      <t>SO4,ASRO,AS</t>
    </r>
    <r>
      <rPr>
        <sz val="11"/>
        <rFont val="Calibri"/>
        <family val="2"/>
        <scheme val="minor"/>
      </rPr>
      <t>*f</t>
    </r>
    <r>
      <rPr>
        <vertAlign val="subscript"/>
        <sz val="11"/>
        <rFont val="Calibri"/>
        <family val="2"/>
        <scheme val="minor"/>
      </rPr>
      <t>KS</t>
    </r>
  </si>
  <si>
    <r>
      <t>Ki</t>
    </r>
    <r>
      <rPr>
        <vertAlign val="subscript"/>
        <sz val="11"/>
        <rFont val="Calibri"/>
        <family val="2"/>
        <scheme val="minor"/>
      </rPr>
      <t>H2S,ASRO</t>
    </r>
  </si>
  <si>
    <r>
      <t>Half-inhibition of H</t>
    </r>
    <r>
      <rPr>
        <vertAlign val="subscript"/>
        <sz val="11"/>
        <color rgb="FF000000"/>
        <rFont val="Calibri"/>
        <family val="2"/>
        <scheme val="minor"/>
      </rPr>
      <t>2</t>
    </r>
    <r>
      <rPr>
        <sz val="11"/>
        <color rgb="FF000000"/>
        <rFont val="Calibri"/>
        <family val="2"/>
        <charset val="238"/>
        <scheme val="minor"/>
      </rPr>
      <t>S for ASROs</t>
    </r>
  </si>
  <si>
    <r>
      <t>Ki</t>
    </r>
    <r>
      <rPr>
        <vertAlign val="subscript"/>
        <sz val="11"/>
        <rFont val="Calibri"/>
        <family val="2"/>
        <scheme val="minor"/>
      </rPr>
      <t>H2S,ASRO,AS</t>
    </r>
    <r>
      <rPr>
        <sz val="11"/>
        <rFont val="Calibri"/>
        <family val="2"/>
        <scheme val="minor"/>
      </rPr>
      <t>*f</t>
    </r>
    <r>
      <rPr>
        <vertAlign val="subscript"/>
        <sz val="11"/>
        <rFont val="Calibri"/>
        <family val="2"/>
        <scheme val="minor"/>
      </rPr>
      <t>KS</t>
    </r>
  </si>
  <si>
    <r>
      <t>Ki</t>
    </r>
    <r>
      <rPr>
        <vertAlign val="subscript"/>
        <sz val="11"/>
        <rFont val="Calibri"/>
        <family val="2"/>
        <scheme val="minor"/>
      </rPr>
      <t>O2,ASRO</t>
    </r>
  </si>
  <si>
    <r>
      <t>Half-inhibition of O</t>
    </r>
    <r>
      <rPr>
        <vertAlign val="subscript"/>
        <sz val="11"/>
        <color rgb="FF000000"/>
        <rFont val="Calibri"/>
        <family val="2"/>
        <scheme val="minor"/>
      </rPr>
      <t>2</t>
    </r>
    <r>
      <rPr>
        <sz val="11"/>
        <color rgb="FF000000"/>
        <rFont val="Calibri"/>
        <family val="2"/>
        <charset val="238"/>
        <scheme val="minor"/>
      </rPr>
      <t xml:space="preserve"> for ASROs</t>
    </r>
  </si>
  <si>
    <r>
      <t>Ki</t>
    </r>
    <r>
      <rPr>
        <vertAlign val="subscript"/>
        <sz val="11"/>
        <rFont val="Calibri"/>
        <family val="2"/>
        <scheme val="minor"/>
      </rPr>
      <t>O2,ASRO,AS</t>
    </r>
  </si>
  <si>
    <r>
      <t>Ki</t>
    </r>
    <r>
      <rPr>
        <vertAlign val="subscript"/>
        <sz val="11"/>
        <rFont val="Calibri"/>
        <family val="2"/>
        <scheme val="minor"/>
      </rPr>
      <t>O2,ASRO,AS</t>
    </r>
    <r>
      <rPr>
        <sz val="11"/>
        <rFont val="Calibri"/>
        <family val="2"/>
        <scheme val="minor"/>
      </rPr>
      <t>*f</t>
    </r>
    <r>
      <rPr>
        <vertAlign val="subscript"/>
        <sz val="11"/>
        <rFont val="Calibri"/>
        <family val="2"/>
        <scheme val="minor"/>
      </rPr>
      <t>KS</t>
    </r>
  </si>
  <si>
    <r>
      <t>K</t>
    </r>
    <r>
      <rPr>
        <vertAlign val="subscript"/>
        <sz val="11"/>
        <rFont val="Calibri"/>
        <family val="2"/>
        <scheme val="minor"/>
      </rPr>
      <t>NOx,ASRO</t>
    </r>
  </si>
  <si>
    <r>
      <t>Half-saturation of NO</t>
    </r>
    <r>
      <rPr>
        <vertAlign val="subscript"/>
        <sz val="11"/>
        <color rgb="FF000000"/>
        <rFont val="Calibri"/>
        <family val="2"/>
        <scheme val="minor"/>
      </rPr>
      <t>x</t>
    </r>
    <r>
      <rPr>
        <sz val="11"/>
        <color rgb="FF000000"/>
        <rFont val="Calibri"/>
        <family val="2"/>
        <charset val="238"/>
        <scheme val="minor"/>
      </rPr>
      <t xml:space="preserve"> for ASROs</t>
    </r>
  </si>
  <si>
    <r>
      <t>K</t>
    </r>
    <r>
      <rPr>
        <vertAlign val="subscript"/>
        <sz val="11"/>
        <rFont val="Calibri"/>
        <family val="2"/>
        <scheme val="minor"/>
      </rPr>
      <t>NOx,ASRO,AS</t>
    </r>
  </si>
  <si>
    <r>
      <t>K</t>
    </r>
    <r>
      <rPr>
        <vertAlign val="subscript"/>
        <sz val="11"/>
        <rFont val="Calibri"/>
        <family val="2"/>
        <scheme val="minor"/>
      </rPr>
      <t>NOx,ASRO,AS</t>
    </r>
    <r>
      <rPr>
        <sz val="11"/>
        <rFont val="Calibri"/>
        <family val="2"/>
        <scheme val="minor"/>
      </rPr>
      <t>*f</t>
    </r>
    <r>
      <rPr>
        <vertAlign val="subscript"/>
        <sz val="11"/>
        <rFont val="Calibri"/>
        <family val="2"/>
        <scheme val="minor"/>
      </rPr>
      <t>KS</t>
    </r>
  </si>
  <si>
    <t>Half-saturations for hydrogenotrophic sulfate-reducing organisms (HSRO)</t>
  </si>
  <si>
    <r>
      <t>K</t>
    </r>
    <r>
      <rPr>
        <vertAlign val="subscript"/>
        <sz val="11"/>
        <rFont val="Calibri"/>
        <family val="2"/>
        <scheme val="minor"/>
      </rPr>
      <t>H2,HSRO</t>
    </r>
  </si>
  <si>
    <r>
      <t>Half-saturation of H</t>
    </r>
    <r>
      <rPr>
        <vertAlign val="subscript"/>
        <sz val="11"/>
        <color rgb="FF000000"/>
        <rFont val="Calibri"/>
        <family val="2"/>
        <scheme val="minor"/>
      </rPr>
      <t>2</t>
    </r>
    <r>
      <rPr>
        <sz val="11"/>
        <color rgb="FF000000"/>
        <rFont val="Calibri"/>
        <family val="2"/>
        <charset val="238"/>
        <scheme val="minor"/>
      </rPr>
      <t xml:space="preserve"> for HSROs</t>
    </r>
  </si>
  <si>
    <r>
      <t>K</t>
    </r>
    <r>
      <rPr>
        <vertAlign val="subscript"/>
        <sz val="11"/>
        <rFont val="Calibri"/>
        <family val="2"/>
        <scheme val="minor"/>
      </rPr>
      <t>H2,HSRO,AS</t>
    </r>
    <r>
      <rPr>
        <sz val="11"/>
        <rFont val="Calibri"/>
        <family val="2"/>
        <scheme val="minor"/>
      </rPr>
      <t>*f</t>
    </r>
    <r>
      <rPr>
        <vertAlign val="subscript"/>
        <sz val="11"/>
        <rFont val="Calibri"/>
        <family val="2"/>
        <scheme val="minor"/>
      </rPr>
      <t>KS</t>
    </r>
  </si>
  <si>
    <r>
      <t>K</t>
    </r>
    <r>
      <rPr>
        <vertAlign val="subscript"/>
        <sz val="11"/>
        <rFont val="Calibri"/>
        <family val="2"/>
        <scheme val="minor"/>
      </rPr>
      <t>SO4,HSRO</t>
    </r>
  </si>
  <si>
    <r>
      <t>Half-saturation of SO</t>
    </r>
    <r>
      <rPr>
        <vertAlign val="subscript"/>
        <sz val="11"/>
        <color rgb="FF000000"/>
        <rFont val="Calibri"/>
        <family val="2"/>
        <scheme val="minor"/>
      </rPr>
      <t>4</t>
    </r>
    <r>
      <rPr>
        <sz val="11"/>
        <color rgb="FF000000"/>
        <rFont val="Calibri"/>
        <family val="2"/>
        <charset val="238"/>
        <scheme val="minor"/>
      </rPr>
      <t xml:space="preserve"> for HSROs</t>
    </r>
  </si>
  <si>
    <r>
      <t>g S. m</t>
    </r>
    <r>
      <rPr>
        <vertAlign val="superscript"/>
        <sz val="11"/>
        <rFont val="Calibri"/>
        <family val="2"/>
        <scheme val="minor"/>
      </rPr>
      <t>-3</t>
    </r>
  </si>
  <si>
    <r>
      <t>K</t>
    </r>
    <r>
      <rPr>
        <vertAlign val="subscript"/>
        <sz val="11"/>
        <rFont val="Calibri"/>
        <family val="2"/>
        <scheme val="minor"/>
      </rPr>
      <t>SO4,HSRO,AS</t>
    </r>
    <r>
      <rPr>
        <sz val="11"/>
        <rFont val="Calibri"/>
        <family val="2"/>
        <scheme val="minor"/>
      </rPr>
      <t>*f</t>
    </r>
    <r>
      <rPr>
        <vertAlign val="subscript"/>
        <sz val="11"/>
        <rFont val="Calibri"/>
        <family val="2"/>
        <scheme val="minor"/>
      </rPr>
      <t>KS</t>
    </r>
  </si>
  <si>
    <r>
      <t>Ki</t>
    </r>
    <r>
      <rPr>
        <vertAlign val="subscript"/>
        <sz val="11"/>
        <rFont val="Calibri"/>
        <family val="2"/>
        <scheme val="minor"/>
      </rPr>
      <t>H2S,HSRO</t>
    </r>
  </si>
  <si>
    <r>
      <t>Half-inhibition of H</t>
    </r>
    <r>
      <rPr>
        <vertAlign val="subscript"/>
        <sz val="11"/>
        <color rgb="FF000000"/>
        <rFont val="Calibri"/>
        <family val="2"/>
        <scheme val="minor"/>
      </rPr>
      <t>2</t>
    </r>
    <r>
      <rPr>
        <sz val="11"/>
        <color rgb="FF000000"/>
        <rFont val="Calibri"/>
        <family val="2"/>
        <charset val="238"/>
        <scheme val="minor"/>
      </rPr>
      <t>S for HSROs</t>
    </r>
  </si>
  <si>
    <r>
      <t>Ki</t>
    </r>
    <r>
      <rPr>
        <vertAlign val="subscript"/>
        <sz val="11"/>
        <rFont val="Calibri"/>
        <family val="2"/>
        <scheme val="minor"/>
      </rPr>
      <t>H2S,HSRO,AS</t>
    </r>
    <r>
      <rPr>
        <sz val="11"/>
        <rFont val="Calibri"/>
        <family val="2"/>
        <scheme val="minor"/>
      </rPr>
      <t>*f</t>
    </r>
    <r>
      <rPr>
        <vertAlign val="subscript"/>
        <sz val="11"/>
        <rFont val="Calibri"/>
        <family val="2"/>
        <scheme val="minor"/>
      </rPr>
      <t>KS</t>
    </r>
  </si>
  <si>
    <r>
      <t>Ki</t>
    </r>
    <r>
      <rPr>
        <vertAlign val="subscript"/>
        <sz val="11"/>
        <rFont val="Calibri"/>
        <family val="2"/>
        <scheme val="minor"/>
      </rPr>
      <t>O2,HSRO</t>
    </r>
  </si>
  <si>
    <r>
      <t>Half-inhibition of O</t>
    </r>
    <r>
      <rPr>
        <vertAlign val="subscript"/>
        <sz val="11"/>
        <color rgb="FF000000"/>
        <rFont val="Calibri"/>
        <family val="2"/>
        <scheme val="minor"/>
      </rPr>
      <t>2</t>
    </r>
    <r>
      <rPr>
        <sz val="11"/>
        <color rgb="FF000000"/>
        <rFont val="Calibri"/>
        <family val="2"/>
        <charset val="238"/>
        <scheme val="minor"/>
      </rPr>
      <t xml:space="preserve"> for HSROs</t>
    </r>
  </si>
  <si>
    <r>
      <t>Ki</t>
    </r>
    <r>
      <rPr>
        <vertAlign val="subscript"/>
        <sz val="11"/>
        <rFont val="Calibri"/>
        <family val="2"/>
        <scheme val="minor"/>
      </rPr>
      <t>O2,HSRO,AS</t>
    </r>
  </si>
  <si>
    <r>
      <t>Ki</t>
    </r>
    <r>
      <rPr>
        <vertAlign val="subscript"/>
        <sz val="11"/>
        <rFont val="Calibri"/>
        <family val="2"/>
        <scheme val="minor"/>
      </rPr>
      <t>O2,HSRO,AS</t>
    </r>
    <r>
      <rPr>
        <sz val="11"/>
        <rFont val="Calibri"/>
        <family val="2"/>
        <scheme val="minor"/>
      </rPr>
      <t>*f</t>
    </r>
    <r>
      <rPr>
        <vertAlign val="subscript"/>
        <sz val="11"/>
        <rFont val="Calibri"/>
        <family val="2"/>
        <scheme val="minor"/>
      </rPr>
      <t>KS</t>
    </r>
  </si>
  <si>
    <r>
      <t>K</t>
    </r>
    <r>
      <rPr>
        <vertAlign val="subscript"/>
        <sz val="11"/>
        <rFont val="Calibri"/>
        <family val="2"/>
        <scheme val="minor"/>
      </rPr>
      <t>NOx,HSRO</t>
    </r>
  </si>
  <si>
    <r>
      <t>Half-saturation of NO</t>
    </r>
    <r>
      <rPr>
        <vertAlign val="subscript"/>
        <sz val="11"/>
        <color rgb="FF000000"/>
        <rFont val="Calibri"/>
        <family val="2"/>
        <scheme val="minor"/>
      </rPr>
      <t>x</t>
    </r>
    <r>
      <rPr>
        <sz val="11"/>
        <color rgb="FF000000"/>
        <rFont val="Calibri"/>
        <family val="2"/>
        <charset val="238"/>
        <scheme val="minor"/>
      </rPr>
      <t xml:space="preserve"> for HSROs</t>
    </r>
  </si>
  <si>
    <r>
      <t>K</t>
    </r>
    <r>
      <rPr>
        <vertAlign val="subscript"/>
        <sz val="11"/>
        <rFont val="Calibri"/>
        <family val="2"/>
        <scheme val="minor"/>
      </rPr>
      <t>NOx,HSRO,AS</t>
    </r>
  </si>
  <si>
    <r>
      <t>K</t>
    </r>
    <r>
      <rPr>
        <vertAlign val="subscript"/>
        <sz val="11"/>
        <rFont val="Calibri"/>
        <family val="2"/>
        <scheme val="minor"/>
      </rPr>
      <t>NOx,HSRO,AS</t>
    </r>
    <r>
      <rPr>
        <sz val="11"/>
        <rFont val="Calibri"/>
        <family val="2"/>
        <scheme val="minor"/>
      </rPr>
      <t>*f</t>
    </r>
    <r>
      <rPr>
        <vertAlign val="subscript"/>
        <sz val="11"/>
        <rFont val="Calibri"/>
        <family val="2"/>
        <scheme val="minor"/>
      </rPr>
      <t>KS</t>
    </r>
  </si>
  <si>
    <t>Half-saturatiosn for sulfur-oxidizing organisms (SOO)</t>
  </si>
  <si>
    <r>
      <t>K</t>
    </r>
    <r>
      <rPr>
        <vertAlign val="subscript"/>
        <sz val="11"/>
        <rFont val="Calibri"/>
        <family val="2"/>
        <scheme val="minor"/>
      </rPr>
      <t>O2,H2S,SOO</t>
    </r>
  </si>
  <si>
    <r>
      <t>Half-saturation of O</t>
    </r>
    <r>
      <rPr>
        <vertAlign val="subscript"/>
        <sz val="11"/>
        <color rgb="FF000000"/>
        <rFont val="Calibri"/>
        <family val="2"/>
        <scheme val="minor"/>
      </rPr>
      <t>2</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oxidation for SOOs</t>
    </r>
  </si>
  <si>
    <r>
      <t>K</t>
    </r>
    <r>
      <rPr>
        <vertAlign val="subscript"/>
        <sz val="11"/>
        <rFont val="Calibri"/>
        <family val="2"/>
        <scheme val="minor"/>
      </rPr>
      <t>O2,H2S,SOO,AS</t>
    </r>
    <r>
      <rPr>
        <sz val="11"/>
        <rFont val="Calibri"/>
        <family val="2"/>
        <scheme val="minor"/>
      </rPr>
      <t>*f</t>
    </r>
    <r>
      <rPr>
        <vertAlign val="subscript"/>
        <sz val="11"/>
        <rFont val="Calibri"/>
        <family val="2"/>
        <scheme val="minor"/>
      </rPr>
      <t>KS</t>
    </r>
  </si>
  <si>
    <r>
      <t>K</t>
    </r>
    <r>
      <rPr>
        <vertAlign val="subscript"/>
        <sz val="11"/>
        <rFont val="Calibri"/>
        <family val="2"/>
        <scheme val="minor"/>
      </rPr>
      <t>NO2,H2S,SOO</t>
    </r>
  </si>
  <si>
    <r>
      <t>Half-saturation of NO</t>
    </r>
    <r>
      <rPr>
        <vertAlign val="subscript"/>
        <sz val="11"/>
        <color rgb="FF000000"/>
        <rFont val="Calibri"/>
        <family val="2"/>
        <scheme val="minor"/>
      </rPr>
      <t>2</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for SOOs</t>
    </r>
  </si>
  <si>
    <r>
      <t>K</t>
    </r>
    <r>
      <rPr>
        <vertAlign val="subscript"/>
        <sz val="11"/>
        <rFont val="Calibri"/>
        <family val="2"/>
        <scheme val="minor"/>
      </rPr>
      <t>NO2,H2S,SOO,AS</t>
    </r>
    <r>
      <rPr>
        <sz val="11"/>
        <rFont val="Calibri"/>
        <family val="2"/>
        <scheme val="minor"/>
      </rPr>
      <t>*f</t>
    </r>
    <r>
      <rPr>
        <vertAlign val="subscript"/>
        <sz val="11"/>
        <rFont val="Calibri"/>
        <family val="2"/>
        <scheme val="minor"/>
      </rPr>
      <t>KS</t>
    </r>
  </si>
  <si>
    <r>
      <t>K</t>
    </r>
    <r>
      <rPr>
        <vertAlign val="subscript"/>
        <sz val="11"/>
        <rFont val="Calibri"/>
        <family val="2"/>
        <scheme val="minor"/>
      </rPr>
      <t>NO3,H2S,SOO</t>
    </r>
  </si>
  <si>
    <r>
      <t>Half-saturation of NO</t>
    </r>
    <r>
      <rPr>
        <vertAlign val="subscript"/>
        <sz val="11"/>
        <color rgb="FF000000"/>
        <rFont val="Calibri"/>
        <family val="2"/>
        <scheme val="minor"/>
      </rPr>
      <t>3</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for SOOs</t>
    </r>
  </si>
  <si>
    <r>
      <t>K</t>
    </r>
    <r>
      <rPr>
        <vertAlign val="subscript"/>
        <sz val="11"/>
        <rFont val="Calibri"/>
        <family val="2"/>
        <scheme val="minor"/>
      </rPr>
      <t>NO3,H2S,SOO,AS</t>
    </r>
    <r>
      <rPr>
        <sz val="11"/>
        <rFont val="Calibri"/>
        <family val="2"/>
        <scheme val="minor"/>
      </rPr>
      <t>*f</t>
    </r>
    <r>
      <rPr>
        <vertAlign val="subscript"/>
        <sz val="11"/>
        <rFont val="Calibri"/>
        <family val="2"/>
        <scheme val="minor"/>
      </rPr>
      <t>KS</t>
    </r>
  </si>
  <si>
    <r>
      <t>K</t>
    </r>
    <r>
      <rPr>
        <vertAlign val="subscript"/>
        <sz val="11"/>
        <rFont val="Calibri"/>
        <family val="2"/>
        <scheme val="minor"/>
      </rPr>
      <t>O2,S,SOO</t>
    </r>
  </si>
  <si>
    <r>
      <t>Half-saturation of O</t>
    </r>
    <r>
      <rPr>
        <vertAlign val="subscript"/>
        <sz val="11"/>
        <color rgb="FF000000"/>
        <rFont val="Calibri"/>
        <family val="2"/>
        <scheme val="minor"/>
      </rPr>
      <t>2</t>
    </r>
    <r>
      <rPr>
        <sz val="11"/>
        <color rgb="FF000000"/>
        <rFont val="Calibri"/>
        <family val="2"/>
        <charset val="238"/>
        <scheme val="minor"/>
      </rPr>
      <t xml:space="preserve"> for S oxidation for SOOs</t>
    </r>
  </si>
  <si>
    <r>
      <t>K</t>
    </r>
    <r>
      <rPr>
        <vertAlign val="subscript"/>
        <sz val="11"/>
        <rFont val="Calibri"/>
        <family val="2"/>
        <scheme val="minor"/>
      </rPr>
      <t>O2,S,SOO,AS</t>
    </r>
    <r>
      <rPr>
        <sz val="11"/>
        <rFont val="Calibri"/>
        <family val="2"/>
        <scheme val="minor"/>
      </rPr>
      <t>*f</t>
    </r>
    <r>
      <rPr>
        <vertAlign val="subscript"/>
        <sz val="11"/>
        <rFont val="Calibri"/>
        <family val="2"/>
        <scheme val="minor"/>
      </rPr>
      <t>KS</t>
    </r>
  </si>
  <si>
    <r>
      <t>K</t>
    </r>
    <r>
      <rPr>
        <vertAlign val="subscript"/>
        <sz val="11"/>
        <rFont val="Calibri"/>
        <family val="2"/>
        <scheme val="minor"/>
      </rPr>
      <t>NO2,S,SOO</t>
    </r>
  </si>
  <si>
    <r>
      <t>Half-saturation of NO</t>
    </r>
    <r>
      <rPr>
        <vertAlign val="subscript"/>
        <sz val="11"/>
        <color rgb="FF000000"/>
        <rFont val="Calibri"/>
        <family val="2"/>
        <scheme val="minor"/>
      </rPr>
      <t>2</t>
    </r>
    <r>
      <rPr>
        <sz val="11"/>
        <color rgb="FF000000"/>
        <rFont val="Calibri"/>
        <family val="2"/>
        <charset val="238"/>
        <scheme val="minor"/>
      </rPr>
      <t xml:space="preserve"> for S oxidation for SOOs</t>
    </r>
  </si>
  <si>
    <r>
      <t>K</t>
    </r>
    <r>
      <rPr>
        <vertAlign val="subscript"/>
        <sz val="11"/>
        <rFont val="Calibri"/>
        <family val="2"/>
        <scheme val="minor"/>
      </rPr>
      <t>NO2,S,SOO,AS</t>
    </r>
    <r>
      <rPr>
        <sz val="11"/>
        <rFont val="Calibri"/>
        <family val="2"/>
        <scheme val="minor"/>
      </rPr>
      <t>*f</t>
    </r>
    <r>
      <rPr>
        <vertAlign val="subscript"/>
        <sz val="11"/>
        <rFont val="Calibri"/>
        <family val="2"/>
        <scheme val="minor"/>
      </rPr>
      <t>KS</t>
    </r>
  </si>
  <si>
    <r>
      <t>K</t>
    </r>
    <r>
      <rPr>
        <vertAlign val="subscript"/>
        <sz val="11"/>
        <rFont val="Calibri"/>
        <family val="2"/>
        <scheme val="minor"/>
      </rPr>
      <t>NO3,S,SOO</t>
    </r>
  </si>
  <si>
    <r>
      <t>Half-saturation of NO</t>
    </r>
    <r>
      <rPr>
        <vertAlign val="subscript"/>
        <sz val="11"/>
        <color rgb="FF000000"/>
        <rFont val="Calibri"/>
        <family val="2"/>
        <scheme val="minor"/>
      </rPr>
      <t>3</t>
    </r>
    <r>
      <rPr>
        <sz val="11"/>
        <color rgb="FF000000"/>
        <rFont val="Calibri"/>
        <family val="2"/>
        <charset val="238"/>
        <scheme val="minor"/>
      </rPr>
      <t xml:space="preserve"> for S oxidation for SOOs</t>
    </r>
  </si>
  <si>
    <r>
      <t>K</t>
    </r>
    <r>
      <rPr>
        <vertAlign val="subscript"/>
        <sz val="11"/>
        <rFont val="Calibri"/>
        <family val="2"/>
        <scheme val="minor"/>
      </rPr>
      <t>NO3,S,SOO,AS</t>
    </r>
    <r>
      <rPr>
        <sz val="11"/>
        <rFont val="Calibri"/>
        <family val="2"/>
        <scheme val="minor"/>
      </rPr>
      <t>*f</t>
    </r>
    <r>
      <rPr>
        <vertAlign val="subscript"/>
        <sz val="11"/>
        <rFont val="Calibri"/>
        <family val="2"/>
        <scheme val="minor"/>
      </rPr>
      <t>KS</t>
    </r>
  </si>
  <si>
    <r>
      <t>K</t>
    </r>
    <r>
      <rPr>
        <vertAlign val="subscript"/>
        <sz val="11"/>
        <rFont val="Calibri"/>
        <family val="2"/>
        <scheme val="minor"/>
      </rPr>
      <t>H2S,SOO</t>
    </r>
  </si>
  <si>
    <r>
      <t>Half-saturation of H</t>
    </r>
    <r>
      <rPr>
        <vertAlign val="subscript"/>
        <sz val="11"/>
        <color rgb="FF000000"/>
        <rFont val="Calibri"/>
        <family val="2"/>
        <scheme val="minor"/>
      </rPr>
      <t>2</t>
    </r>
    <r>
      <rPr>
        <sz val="11"/>
        <color rgb="FF000000"/>
        <rFont val="Calibri"/>
        <family val="2"/>
        <charset val="238"/>
        <scheme val="minor"/>
      </rPr>
      <t>S for SOOs</t>
    </r>
  </si>
  <si>
    <r>
      <t>K</t>
    </r>
    <r>
      <rPr>
        <vertAlign val="subscript"/>
        <sz val="11"/>
        <rFont val="Calibri"/>
        <family val="2"/>
        <scheme val="minor"/>
      </rPr>
      <t>H2S,SOO,AS</t>
    </r>
    <r>
      <rPr>
        <sz val="11"/>
        <rFont val="Calibri"/>
        <family val="2"/>
        <scheme val="minor"/>
      </rPr>
      <t>*f</t>
    </r>
    <r>
      <rPr>
        <vertAlign val="subscript"/>
        <sz val="11"/>
        <rFont val="Calibri"/>
        <family val="2"/>
        <scheme val="minor"/>
      </rPr>
      <t>KS</t>
    </r>
  </si>
  <si>
    <r>
      <t>Ki</t>
    </r>
    <r>
      <rPr>
        <vertAlign val="subscript"/>
        <sz val="11"/>
        <rFont val="Calibri"/>
        <family val="2"/>
        <scheme val="minor"/>
      </rPr>
      <t>H2S,SOO</t>
    </r>
  </si>
  <si>
    <r>
      <t>Half-inhibition of H</t>
    </r>
    <r>
      <rPr>
        <vertAlign val="subscript"/>
        <sz val="11"/>
        <color rgb="FF000000"/>
        <rFont val="Calibri"/>
        <family val="2"/>
        <scheme val="minor"/>
      </rPr>
      <t>2</t>
    </r>
    <r>
      <rPr>
        <sz val="11"/>
        <color rgb="FF000000"/>
        <rFont val="Calibri"/>
        <family val="2"/>
        <charset val="238"/>
        <scheme val="minor"/>
      </rPr>
      <t>S for SOOs</t>
    </r>
  </si>
  <si>
    <r>
      <t>Ki</t>
    </r>
    <r>
      <rPr>
        <vertAlign val="subscript"/>
        <sz val="11"/>
        <rFont val="Calibri"/>
        <family val="2"/>
        <scheme val="minor"/>
      </rPr>
      <t>H2S,SOO,AS</t>
    </r>
    <r>
      <rPr>
        <sz val="11"/>
        <rFont val="Calibri"/>
        <family val="2"/>
        <scheme val="minor"/>
      </rPr>
      <t>*f</t>
    </r>
    <r>
      <rPr>
        <vertAlign val="subscript"/>
        <sz val="11"/>
        <rFont val="Calibri"/>
        <family val="2"/>
        <scheme val="minor"/>
      </rPr>
      <t>KS</t>
    </r>
  </si>
  <si>
    <r>
      <t>K</t>
    </r>
    <r>
      <rPr>
        <vertAlign val="subscript"/>
        <sz val="11"/>
        <rFont val="Calibri"/>
        <family val="2"/>
        <scheme val="minor"/>
      </rPr>
      <t>S,SOO</t>
    </r>
  </si>
  <si>
    <t>Half-saturation of S for SOOs</t>
  </si>
  <si>
    <r>
      <t>K</t>
    </r>
    <r>
      <rPr>
        <vertAlign val="subscript"/>
        <sz val="11"/>
        <rFont val="Calibri"/>
        <family val="2"/>
        <scheme val="minor"/>
      </rPr>
      <t>S,SOO,AS</t>
    </r>
    <r>
      <rPr>
        <sz val="11"/>
        <rFont val="Calibri"/>
        <family val="2"/>
        <scheme val="minor"/>
      </rPr>
      <t>*f</t>
    </r>
    <r>
      <rPr>
        <vertAlign val="subscript"/>
        <sz val="11"/>
        <rFont val="Calibri"/>
        <family val="2"/>
        <scheme val="minor"/>
      </rPr>
      <t>KS</t>
    </r>
  </si>
  <si>
    <r>
      <t>K</t>
    </r>
    <r>
      <rPr>
        <vertAlign val="subscript"/>
        <sz val="11"/>
        <rFont val="Calibri"/>
        <family val="2"/>
        <scheme val="minor"/>
      </rPr>
      <t>SO4,BIO</t>
    </r>
  </si>
  <si>
    <r>
      <t>Half-saturation of SO</t>
    </r>
    <r>
      <rPr>
        <vertAlign val="subscript"/>
        <sz val="11"/>
        <color rgb="FF000000"/>
        <rFont val="Calibri"/>
        <family val="2"/>
        <scheme val="minor"/>
      </rPr>
      <t>4</t>
    </r>
    <r>
      <rPr>
        <sz val="11"/>
        <color rgb="FF000000"/>
        <rFont val="Calibri"/>
        <family val="2"/>
        <charset val="238"/>
        <scheme val="minor"/>
      </rPr>
      <t xml:space="preserve"> as nutrient for biomasses</t>
    </r>
  </si>
  <si>
    <r>
      <t>K</t>
    </r>
    <r>
      <rPr>
        <vertAlign val="subscript"/>
        <sz val="11"/>
        <rFont val="Calibri"/>
        <family val="2"/>
        <scheme val="minor"/>
      </rPr>
      <t>SO4,BIO,AS</t>
    </r>
    <r>
      <rPr>
        <sz val="11"/>
        <rFont val="Calibri"/>
        <family val="2"/>
        <scheme val="minor"/>
      </rPr>
      <t>*f</t>
    </r>
    <r>
      <rPr>
        <vertAlign val="subscript"/>
        <sz val="11"/>
        <rFont val="Calibri"/>
        <family val="2"/>
        <scheme val="minor"/>
      </rPr>
      <t>KS</t>
    </r>
  </si>
  <si>
    <r>
      <t>g S.m</t>
    </r>
    <r>
      <rPr>
        <vertAlign val="superscript"/>
        <sz val="11"/>
        <rFont val="Calibri"/>
        <family val="2"/>
        <scheme val="minor"/>
      </rPr>
      <t>-3</t>
    </r>
    <r>
      <rPr>
        <sz val="11"/>
        <color theme="1"/>
        <rFont val="Calibri"/>
        <family val="2"/>
        <scheme val="minor"/>
      </rPr>
      <t/>
    </r>
  </si>
  <si>
    <r>
      <t>Ki</t>
    </r>
    <r>
      <rPr>
        <vertAlign val="subscript"/>
        <sz val="11"/>
        <rFont val="Calibri"/>
        <family val="2"/>
        <scheme val="minor"/>
      </rPr>
      <t>SO4,ASSIM</t>
    </r>
  </si>
  <si>
    <r>
      <t>Half-inhibition of SO</t>
    </r>
    <r>
      <rPr>
        <vertAlign val="subscript"/>
        <sz val="11"/>
        <color rgb="FF000000"/>
        <rFont val="Calibri"/>
        <family val="2"/>
        <scheme val="minor"/>
      </rPr>
      <t>4</t>
    </r>
    <r>
      <rPr>
        <sz val="11"/>
        <color rgb="FF000000"/>
        <rFont val="Calibri"/>
        <family val="2"/>
        <charset val="238"/>
        <scheme val="minor"/>
      </rPr>
      <t xml:space="preserve"> in H</t>
    </r>
    <r>
      <rPr>
        <vertAlign val="subscript"/>
        <sz val="11"/>
        <color rgb="FF000000"/>
        <rFont val="Calibri"/>
        <family val="2"/>
        <scheme val="minor"/>
      </rPr>
      <t>2</t>
    </r>
    <r>
      <rPr>
        <sz val="11"/>
        <color rgb="FF000000"/>
        <rFont val="Calibri"/>
        <family val="2"/>
        <charset val="238"/>
        <scheme val="minor"/>
      </rPr>
      <t>S assimilative oxidation</t>
    </r>
  </si>
  <si>
    <r>
      <t>Ki</t>
    </r>
    <r>
      <rPr>
        <vertAlign val="subscript"/>
        <sz val="11"/>
        <rFont val="Calibri"/>
        <family val="2"/>
        <scheme val="minor"/>
      </rPr>
      <t>SO4,ASSIM,AS</t>
    </r>
  </si>
  <si>
    <r>
      <t>Ki</t>
    </r>
    <r>
      <rPr>
        <vertAlign val="subscript"/>
        <sz val="11"/>
        <rFont val="Calibri"/>
        <family val="2"/>
        <scheme val="minor"/>
      </rPr>
      <t>SO4,ASSIM,AS</t>
    </r>
    <r>
      <rPr>
        <sz val="11"/>
        <rFont val="Calibri"/>
        <family val="2"/>
        <scheme val="minor"/>
      </rPr>
      <t>*f</t>
    </r>
    <r>
      <rPr>
        <vertAlign val="subscript"/>
        <sz val="11"/>
        <rFont val="Calibri"/>
        <family val="2"/>
        <scheme val="minor"/>
      </rPr>
      <t>KS</t>
    </r>
  </si>
  <si>
    <r>
      <t>K</t>
    </r>
    <r>
      <rPr>
        <vertAlign val="subscript"/>
        <sz val="11"/>
        <rFont val="Calibri"/>
        <family val="2"/>
        <scheme val="minor"/>
      </rPr>
      <t>H2S,ASSIM</t>
    </r>
  </si>
  <si>
    <r>
      <t>Half-saturation of H</t>
    </r>
    <r>
      <rPr>
        <vertAlign val="subscript"/>
        <sz val="11"/>
        <color rgb="FF000000"/>
        <rFont val="Calibri"/>
        <family val="2"/>
        <scheme val="minor"/>
      </rPr>
      <t>2</t>
    </r>
    <r>
      <rPr>
        <sz val="11"/>
        <color rgb="FF000000"/>
        <rFont val="Calibri"/>
        <family val="2"/>
        <charset val="238"/>
        <scheme val="minor"/>
      </rPr>
      <t>S in H</t>
    </r>
    <r>
      <rPr>
        <vertAlign val="subscript"/>
        <sz val="11"/>
        <color rgb="FF000000"/>
        <rFont val="Calibri"/>
        <family val="2"/>
        <scheme val="minor"/>
      </rPr>
      <t>2</t>
    </r>
    <r>
      <rPr>
        <sz val="11"/>
        <color rgb="FF000000"/>
        <rFont val="Calibri"/>
        <family val="2"/>
        <charset val="238"/>
        <scheme val="minor"/>
      </rPr>
      <t>S assimilative oxidation</t>
    </r>
  </si>
  <si>
    <r>
      <t>K</t>
    </r>
    <r>
      <rPr>
        <vertAlign val="subscript"/>
        <sz val="11"/>
        <rFont val="Calibri"/>
        <family val="2"/>
        <scheme val="minor"/>
      </rPr>
      <t>H2S,ASSIM,AS</t>
    </r>
  </si>
  <si>
    <r>
      <t>K</t>
    </r>
    <r>
      <rPr>
        <vertAlign val="subscript"/>
        <sz val="11"/>
        <rFont val="Calibri"/>
        <family val="2"/>
        <scheme val="minor"/>
      </rPr>
      <t>H2S,ASSIM,AS</t>
    </r>
    <r>
      <rPr>
        <sz val="11"/>
        <rFont val="Calibri"/>
        <family val="2"/>
        <scheme val="minor"/>
      </rPr>
      <t>*f</t>
    </r>
    <r>
      <rPr>
        <vertAlign val="subscript"/>
        <sz val="11"/>
        <rFont val="Calibri"/>
        <family val="2"/>
        <scheme val="minor"/>
      </rPr>
      <t>KS</t>
    </r>
  </si>
  <si>
    <r>
      <t>MinhpH</t>
    </r>
    <r>
      <rPr>
        <vertAlign val="subscript"/>
        <sz val="11"/>
        <rFont val="Calibri"/>
        <family val="2"/>
        <scheme val="minor"/>
      </rPr>
      <t>HNO2,AOB</t>
    </r>
  </si>
  <si>
    <t>Inhibition term for nitrous acid (AOB)</t>
  </si>
  <si>
    <r>
      <t>Minh([HNO</t>
    </r>
    <r>
      <rPr>
        <vertAlign val="subscript"/>
        <sz val="11"/>
        <rFont val="Calibri"/>
        <family val="2"/>
        <scheme val="minor"/>
      </rPr>
      <t>2</t>
    </r>
    <r>
      <rPr>
        <sz val="11"/>
        <rFont val="Calibri"/>
        <family val="2"/>
        <scheme val="minor"/>
      </rPr>
      <t>]; Ki</t>
    </r>
    <r>
      <rPr>
        <vertAlign val="subscript"/>
        <sz val="11"/>
        <rFont val="Calibri"/>
        <family val="2"/>
        <scheme val="minor"/>
      </rPr>
      <t>HNO2,AOB,pH</t>
    </r>
    <r>
      <rPr>
        <sz val="11"/>
        <rFont val="Calibri"/>
        <family val="2"/>
        <scheme val="minor"/>
      </rPr>
      <t>)</t>
    </r>
  </si>
  <si>
    <r>
      <t>Msat</t>
    </r>
    <r>
      <rPr>
        <vertAlign val="subscript"/>
        <sz val="11"/>
        <rFont val="Calibri"/>
        <family val="2"/>
        <scheme val="minor"/>
      </rPr>
      <t>SSO4,KSO4,BIO</t>
    </r>
  </si>
  <si>
    <r>
      <t>Saturation term for SO</t>
    </r>
    <r>
      <rPr>
        <vertAlign val="subscript"/>
        <sz val="11"/>
        <color rgb="FF000000"/>
        <rFont val="Calibri"/>
        <family val="2"/>
        <scheme val="minor"/>
      </rPr>
      <t>4</t>
    </r>
    <r>
      <rPr>
        <sz val="11"/>
        <color rgb="FF000000"/>
        <rFont val="Calibri"/>
        <family val="2"/>
        <charset val="238"/>
        <scheme val="minor"/>
      </rPr>
      <t xml:space="preserve"> (biomass)</t>
    </r>
  </si>
  <si>
    <r>
      <t>Msat(S</t>
    </r>
    <r>
      <rPr>
        <vertAlign val="subscript"/>
        <sz val="11"/>
        <rFont val="Calibri"/>
        <family val="2"/>
        <scheme val="minor"/>
      </rPr>
      <t>SO4</t>
    </r>
    <r>
      <rPr>
        <sz val="11"/>
        <rFont val="Calibri"/>
        <family val="2"/>
        <scheme val="minor"/>
      </rPr>
      <t>;K</t>
    </r>
    <r>
      <rPr>
        <vertAlign val="subscript"/>
        <sz val="11"/>
        <rFont val="Calibri"/>
        <family val="2"/>
        <scheme val="minor"/>
      </rPr>
      <t>SO4,BIO</t>
    </r>
    <r>
      <rPr>
        <sz val="11"/>
        <rFont val="Calibri"/>
        <family val="2"/>
        <scheme val="minor"/>
      </rPr>
      <t>)</t>
    </r>
  </si>
  <si>
    <r>
      <t>Minh</t>
    </r>
    <r>
      <rPr>
        <vertAlign val="subscript"/>
        <sz val="11"/>
        <rFont val="Calibri"/>
        <family val="2"/>
        <scheme val="minor"/>
      </rPr>
      <t>H2S,KiH2S,ASRO</t>
    </r>
  </si>
  <si>
    <r>
      <t>Inhibition term for H</t>
    </r>
    <r>
      <rPr>
        <vertAlign val="subscript"/>
        <sz val="11"/>
        <color rgb="FF000000"/>
        <rFont val="Calibri"/>
        <family val="2"/>
        <scheme val="minor"/>
      </rPr>
      <t>2</t>
    </r>
    <r>
      <rPr>
        <sz val="11"/>
        <color rgb="FF000000"/>
        <rFont val="Calibri"/>
        <family val="2"/>
        <charset val="238"/>
        <scheme val="minor"/>
      </rPr>
      <t>S (ASRO)</t>
    </r>
  </si>
  <si>
    <r>
      <t>Minh(S</t>
    </r>
    <r>
      <rPr>
        <vertAlign val="subscript"/>
        <sz val="11"/>
        <rFont val="Calibri"/>
        <family val="2"/>
        <scheme val="minor"/>
      </rPr>
      <t>H2S</t>
    </r>
    <r>
      <rPr>
        <sz val="11"/>
        <rFont val="Calibri"/>
        <family val="2"/>
        <scheme val="minor"/>
      </rPr>
      <t>;Ki</t>
    </r>
    <r>
      <rPr>
        <vertAlign val="subscript"/>
        <sz val="11"/>
        <rFont val="Calibri"/>
        <family val="2"/>
        <scheme val="minor"/>
      </rPr>
      <t>H2S,ASRO</t>
    </r>
    <r>
      <rPr>
        <sz val="11"/>
        <rFont val="Calibri"/>
        <family val="2"/>
        <scheme val="minor"/>
      </rPr>
      <t>)</t>
    </r>
  </si>
  <si>
    <r>
      <t>Msat</t>
    </r>
    <r>
      <rPr>
        <vertAlign val="subscript"/>
        <sz val="11"/>
        <rFont val="Calibri"/>
        <family val="2"/>
        <scheme val="minor"/>
      </rPr>
      <t>SNOx,KNOx,ASRO</t>
    </r>
  </si>
  <si>
    <r>
      <t>Saturation term for NO</t>
    </r>
    <r>
      <rPr>
        <vertAlign val="subscript"/>
        <sz val="11"/>
        <color rgb="FF000000"/>
        <rFont val="Calibri"/>
        <family val="2"/>
        <scheme val="minor"/>
      </rPr>
      <t>x</t>
    </r>
    <r>
      <rPr>
        <sz val="11"/>
        <color rgb="FF000000"/>
        <rFont val="Calibri"/>
        <family val="2"/>
        <charset val="238"/>
        <scheme val="minor"/>
      </rPr>
      <t xml:space="preserve"> (ASRO)</t>
    </r>
  </si>
  <si>
    <r>
      <t>Msat(S</t>
    </r>
    <r>
      <rPr>
        <vertAlign val="subscript"/>
        <sz val="11"/>
        <rFont val="Calibri"/>
        <family val="2"/>
        <scheme val="minor"/>
      </rPr>
      <t>NOx</t>
    </r>
    <r>
      <rPr>
        <sz val="11"/>
        <rFont val="Calibri"/>
        <family val="2"/>
        <scheme val="minor"/>
      </rPr>
      <t>;K</t>
    </r>
    <r>
      <rPr>
        <vertAlign val="subscript"/>
        <sz val="11"/>
        <rFont val="Calibri"/>
        <family val="2"/>
        <scheme val="minor"/>
      </rPr>
      <t>NOx,ASRO</t>
    </r>
    <r>
      <rPr>
        <sz val="11"/>
        <rFont val="Calibri"/>
        <family val="2"/>
        <scheme val="minor"/>
      </rPr>
      <t>)</t>
    </r>
  </si>
  <si>
    <r>
      <t>Minh</t>
    </r>
    <r>
      <rPr>
        <vertAlign val="subscript"/>
        <sz val="11"/>
        <rFont val="Calibri"/>
        <family val="2"/>
        <scheme val="minor"/>
      </rPr>
      <t>SNOx,KNOx,ASRO</t>
    </r>
  </si>
  <si>
    <r>
      <t>Inhibition term for NO</t>
    </r>
    <r>
      <rPr>
        <vertAlign val="subscript"/>
        <sz val="11"/>
        <color rgb="FF000000"/>
        <rFont val="Calibri"/>
        <family val="2"/>
        <scheme val="minor"/>
      </rPr>
      <t>x</t>
    </r>
    <r>
      <rPr>
        <sz val="11"/>
        <color rgb="FF000000"/>
        <rFont val="Calibri"/>
        <family val="2"/>
        <charset val="238"/>
        <scheme val="minor"/>
      </rPr>
      <t xml:space="preserve"> (ASRO)</t>
    </r>
  </si>
  <si>
    <r>
      <t>Minh(S</t>
    </r>
    <r>
      <rPr>
        <vertAlign val="subscript"/>
        <sz val="11"/>
        <rFont val="Calibri"/>
        <family val="2"/>
        <scheme val="minor"/>
      </rPr>
      <t>NOx</t>
    </r>
    <r>
      <rPr>
        <sz val="11"/>
        <rFont val="Calibri"/>
        <family val="2"/>
        <scheme val="minor"/>
      </rPr>
      <t>;K</t>
    </r>
    <r>
      <rPr>
        <vertAlign val="subscript"/>
        <sz val="11"/>
        <rFont val="Calibri"/>
        <family val="2"/>
        <scheme val="minor"/>
      </rPr>
      <t>NOx,ASRO</t>
    </r>
    <r>
      <rPr>
        <sz val="11"/>
        <rFont val="Calibri"/>
        <family val="2"/>
        <scheme val="minor"/>
      </rPr>
      <t>)</t>
    </r>
  </si>
  <si>
    <r>
      <t>Msat</t>
    </r>
    <r>
      <rPr>
        <vertAlign val="subscript"/>
        <sz val="11"/>
        <rFont val="Calibri"/>
        <family val="2"/>
        <scheme val="minor"/>
      </rPr>
      <t>SO2,KiO2,ASRO</t>
    </r>
  </si>
  <si>
    <r>
      <t>Saturation term for O</t>
    </r>
    <r>
      <rPr>
        <vertAlign val="subscript"/>
        <sz val="11"/>
        <color rgb="FF000000"/>
        <rFont val="Calibri"/>
        <family val="2"/>
        <scheme val="minor"/>
      </rPr>
      <t>2</t>
    </r>
    <r>
      <rPr>
        <sz val="11"/>
        <color rgb="FF000000"/>
        <rFont val="Calibri"/>
        <family val="2"/>
        <charset val="238"/>
        <scheme val="minor"/>
      </rPr>
      <t xml:space="preserve"> (ASRO)</t>
    </r>
  </si>
  <si>
    <r>
      <t>Msat(S</t>
    </r>
    <r>
      <rPr>
        <vertAlign val="subscript"/>
        <sz val="11"/>
        <rFont val="Calibri"/>
        <family val="2"/>
        <scheme val="minor"/>
      </rPr>
      <t>O2</t>
    </r>
    <r>
      <rPr>
        <sz val="11"/>
        <rFont val="Calibri"/>
        <family val="2"/>
        <scheme val="minor"/>
      </rPr>
      <t>;Ki</t>
    </r>
    <r>
      <rPr>
        <vertAlign val="subscript"/>
        <sz val="11"/>
        <rFont val="Calibri"/>
        <family val="2"/>
        <scheme val="minor"/>
      </rPr>
      <t>O2,ASRO</t>
    </r>
    <r>
      <rPr>
        <sz val="11"/>
        <rFont val="Calibri"/>
        <family val="2"/>
        <scheme val="minor"/>
      </rPr>
      <t>)</t>
    </r>
  </si>
  <si>
    <r>
      <t>Minh</t>
    </r>
    <r>
      <rPr>
        <vertAlign val="subscript"/>
        <sz val="11"/>
        <rFont val="Calibri"/>
        <family val="2"/>
        <scheme val="minor"/>
      </rPr>
      <t>SO2,KiO2,ASRO</t>
    </r>
  </si>
  <si>
    <r>
      <t>Inhibition term for O</t>
    </r>
    <r>
      <rPr>
        <vertAlign val="subscript"/>
        <sz val="11"/>
        <color rgb="FF000000"/>
        <rFont val="Calibri"/>
        <family val="2"/>
        <scheme val="minor"/>
      </rPr>
      <t>2</t>
    </r>
    <r>
      <rPr>
        <sz val="11"/>
        <color rgb="FF000000"/>
        <rFont val="Calibri"/>
        <family val="2"/>
        <charset val="238"/>
        <scheme val="minor"/>
      </rPr>
      <t xml:space="preserve"> (ASRO)</t>
    </r>
  </si>
  <si>
    <r>
      <t>Minh(S</t>
    </r>
    <r>
      <rPr>
        <vertAlign val="subscript"/>
        <sz val="11"/>
        <rFont val="Calibri"/>
        <family val="2"/>
        <scheme val="minor"/>
      </rPr>
      <t>O2</t>
    </r>
    <r>
      <rPr>
        <sz val="11"/>
        <rFont val="Calibri"/>
        <family val="2"/>
        <scheme val="minor"/>
      </rPr>
      <t>;Ki</t>
    </r>
    <r>
      <rPr>
        <vertAlign val="subscript"/>
        <sz val="11"/>
        <rFont val="Calibri"/>
        <family val="2"/>
        <scheme val="minor"/>
      </rPr>
      <t>O2,ASRO</t>
    </r>
    <r>
      <rPr>
        <sz val="11"/>
        <rFont val="Calibri"/>
        <family val="2"/>
        <scheme val="minor"/>
      </rPr>
      <t>)</t>
    </r>
  </si>
  <si>
    <r>
      <t>Msat</t>
    </r>
    <r>
      <rPr>
        <vertAlign val="subscript"/>
        <sz val="11"/>
        <rFont val="Calibri"/>
        <family val="2"/>
        <scheme val="minor"/>
      </rPr>
      <t>SO4,KSO4,ASRO</t>
    </r>
  </si>
  <si>
    <r>
      <t>Saturation term for SO</t>
    </r>
    <r>
      <rPr>
        <vertAlign val="subscript"/>
        <sz val="11"/>
        <color rgb="FF000000"/>
        <rFont val="Calibri"/>
        <family val="2"/>
        <scheme val="minor"/>
      </rPr>
      <t>4</t>
    </r>
    <r>
      <rPr>
        <sz val="11"/>
        <color rgb="FF000000"/>
        <rFont val="Calibri"/>
        <family val="2"/>
        <charset val="238"/>
        <scheme val="minor"/>
      </rPr>
      <t xml:space="preserve"> (ASRO)</t>
    </r>
  </si>
  <si>
    <r>
      <t>Msat(S</t>
    </r>
    <r>
      <rPr>
        <vertAlign val="subscript"/>
        <sz val="11"/>
        <rFont val="Calibri"/>
        <family val="2"/>
        <scheme val="minor"/>
      </rPr>
      <t>SO4</t>
    </r>
    <r>
      <rPr>
        <sz val="11"/>
        <rFont val="Calibri"/>
        <family val="2"/>
        <scheme val="minor"/>
      </rPr>
      <t>;K</t>
    </r>
    <r>
      <rPr>
        <vertAlign val="subscript"/>
        <sz val="11"/>
        <rFont val="Calibri"/>
        <family val="2"/>
        <scheme val="minor"/>
      </rPr>
      <t>SO4,ASRO</t>
    </r>
    <r>
      <rPr>
        <sz val="11"/>
        <rFont val="Calibri"/>
        <family val="2"/>
        <scheme val="minor"/>
      </rPr>
      <t>)</t>
    </r>
  </si>
  <si>
    <r>
      <t>Msat</t>
    </r>
    <r>
      <rPr>
        <vertAlign val="subscript"/>
        <sz val="11"/>
        <rFont val="Calibri"/>
        <family val="2"/>
        <scheme val="minor"/>
      </rPr>
      <t>SVFA,KVFA,ASRO</t>
    </r>
  </si>
  <si>
    <t>Saturation term for VFA (ASRO)</t>
  </si>
  <si>
    <r>
      <t>Msat(S</t>
    </r>
    <r>
      <rPr>
        <vertAlign val="subscript"/>
        <sz val="11"/>
        <rFont val="Calibri"/>
        <family val="2"/>
        <scheme val="minor"/>
      </rPr>
      <t>VFA</t>
    </r>
    <r>
      <rPr>
        <sz val="11"/>
        <rFont val="Calibri"/>
        <family val="2"/>
        <scheme val="minor"/>
      </rPr>
      <t>;K</t>
    </r>
    <r>
      <rPr>
        <vertAlign val="subscript"/>
        <sz val="11"/>
        <rFont val="Calibri"/>
        <family val="2"/>
        <scheme val="minor"/>
      </rPr>
      <t>VFA,ASRO</t>
    </r>
    <r>
      <rPr>
        <sz val="11"/>
        <rFont val="Calibri"/>
        <family val="2"/>
        <scheme val="minor"/>
      </rPr>
      <t>)</t>
    </r>
  </si>
  <si>
    <r>
      <t>Minh</t>
    </r>
    <r>
      <rPr>
        <vertAlign val="subscript"/>
        <sz val="11"/>
        <rFont val="Calibri"/>
        <family val="2"/>
        <scheme val="minor"/>
      </rPr>
      <t>H2S,KiH2S,HSRO</t>
    </r>
  </si>
  <si>
    <r>
      <t>Inhibition term for H</t>
    </r>
    <r>
      <rPr>
        <vertAlign val="subscript"/>
        <sz val="11"/>
        <color rgb="FF000000"/>
        <rFont val="Calibri"/>
        <family val="2"/>
        <scheme val="minor"/>
      </rPr>
      <t>2</t>
    </r>
    <r>
      <rPr>
        <sz val="11"/>
        <color rgb="FF000000"/>
        <rFont val="Calibri"/>
        <family val="2"/>
        <charset val="238"/>
        <scheme val="minor"/>
      </rPr>
      <t>S (HSRO)</t>
    </r>
  </si>
  <si>
    <r>
      <t>Minh(S</t>
    </r>
    <r>
      <rPr>
        <vertAlign val="subscript"/>
        <sz val="11"/>
        <rFont val="Calibri"/>
        <family val="2"/>
        <scheme val="minor"/>
      </rPr>
      <t>H2S</t>
    </r>
    <r>
      <rPr>
        <sz val="11"/>
        <rFont val="Calibri"/>
        <family val="2"/>
        <scheme val="minor"/>
      </rPr>
      <t>;Ki</t>
    </r>
    <r>
      <rPr>
        <vertAlign val="subscript"/>
        <sz val="11"/>
        <rFont val="Calibri"/>
        <family val="2"/>
        <scheme val="minor"/>
      </rPr>
      <t>H2S,HSRO</t>
    </r>
    <r>
      <rPr>
        <sz val="11"/>
        <rFont val="Calibri"/>
        <family val="2"/>
        <scheme val="minor"/>
      </rPr>
      <t>)</t>
    </r>
  </si>
  <si>
    <r>
      <t>Msat</t>
    </r>
    <r>
      <rPr>
        <vertAlign val="subscript"/>
        <sz val="11"/>
        <rFont val="Calibri"/>
        <family val="2"/>
        <scheme val="minor"/>
      </rPr>
      <t>SNOx,KNOx,HSRO</t>
    </r>
  </si>
  <si>
    <r>
      <t>Saturation term for NO</t>
    </r>
    <r>
      <rPr>
        <vertAlign val="subscript"/>
        <sz val="11"/>
        <color rgb="FF000000"/>
        <rFont val="Calibri"/>
        <family val="2"/>
        <scheme val="minor"/>
      </rPr>
      <t>x</t>
    </r>
    <r>
      <rPr>
        <sz val="11"/>
        <color rgb="FF000000"/>
        <rFont val="Calibri"/>
        <family val="2"/>
        <charset val="238"/>
        <scheme val="minor"/>
      </rPr>
      <t xml:space="preserve"> (HSRO)</t>
    </r>
  </si>
  <si>
    <r>
      <t>Msat(S</t>
    </r>
    <r>
      <rPr>
        <vertAlign val="subscript"/>
        <sz val="11"/>
        <rFont val="Calibri"/>
        <family val="2"/>
        <scheme val="minor"/>
      </rPr>
      <t>NOx</t>
    </r>
    <r>
      <rPr>
        <sz val="11"/>
        <rFont val="Calibri"/>
        <family val="2"/>
        <scheme val="minor"/>
      </rPr>
      <t>;K</t>
    </r>
    <r>
      <rPr>
        <vertAlign val="subscript"/>
        <sz val="11"/>
        <rFont val="Calibri"/>
        <family val="2"/>
        <scheme val="minor"/>
      </rPr>
      <t>NOx,HSRO</t>
    </r>
    <r>
      <rPr>
        <sz val="11"/>
        <rFont val="Calibri"/>
        <family val="2"/>
        <scheme val="minor"/>
      </rPr>
      <t>)</t>
    </r>
  </si>
  <si>
    <r>
      <t>Minh</t>
    </r>
    <r>
      <rPr>
        <vertAlign val="subscript"/>
        <sz val="11"/>
        <rFont val="Calibri"/>
        <family val="2"/>
        <scheme val="minor"/>
      </rPr>
      <t>SNOx,KNOx,HSRO</t>
    </r>
  </si>
  <si>
    <r>
      <t>Inhibition term for NO</t>
    </r>
    <r>
      <rPr>
        <vertAlign val="subscript"/>
        <sz val="11"/>
        <color rgb="FF000000"/>
        <rFont val="Calibri"/>
        <family val="2"/>
        <scheme val="minor"/>
      </rPr>
      <t>x</t>
    </r>
    <r>
      <rPr>
        <sz val="11"/>
        <color rgb="FF000000"/>
        <rFont val="Calibri"/>
        <family val="2"/>
        <charset val="238"/>
        <scheme val="minor"/>
      </rPr>
      <t xml:space="preserve"> (HSRO)</t>
    </r>
  </si>
  <si>
    <r>
      <t>Minh(S</t>
    </r>
    <r>
      <rPr>
        <vertAlign val="subscript"/>
        <sz val="11"/>
        <rFont val="Calibri"/>
        <family val="2"/>
        <scheme val="minor"/>
      </rPr>
      <t>NOx</t>
    </r>
    <r>
      <rPr>
        <sz val="11"/>
        <rFont val="Calibri"/>
        <family val="2"/>
        <scheme val="minor"/>
      </rPr>
      <t>;K</t>
    </r>
    <r>
      <rPr>
        <vertAlign val="subscript"/>
        <sz val="11"/>
        <rFont val="Calibri"/>
        <family val="2"/>
        <scheme val="minor"/>
      </rPr>
      <t>NOx,HSRO</t>
    </r>
    <r>
      <rPr>
        <sz val="11"/>
        <rFont val="Calibri"/>
        <family val="2"/>
        <scheme val="minor"/>
      </rPr>
      <t>)</t>
    </r>
  </si>
  <si>
    <r>
      <t>Msat</t>
    </r>
    <r>
      <rPr>
        <vertAlign val="subscript"/>
        <sz val="11"/>
        <rFont val="Calibri"/>
        <family val="2"/>
        <scheme val="minor"/>
      </rPr>
      <t>SO2,KiO2,HSRO</t>
    </r>
  </si>
  <si>
    <r>
      <t>Saturation term for O</t>
    </r>
    <r>
      <rPr>
        <vertAlign val="subscript"/>
        <sz val="11"/>
        <color rgb="FF000000"/>
        <rFont val="Calibri"/>
        <family val="2"/>
        <scheme val="minor"/>
      </rPr>
      <t>2</t>
    </r>
    <r>
      <rPr>
        <sz val="11"/>
        <color rgb="FF000000"/>
        <rFont val="Calibri"/>
        <family val="2"/>
        <charset val="238"/>
        <scheme val="minor"/>
      </rPr>
      <t xml:space="preserve"> (HSRO)</t>
    </r>
  </si>
  <si>
    <r>
      <t>Msat(S</t>
    </r>
    <r>
      <rPr>
        <vertAlign val="subscript"/>
        <sz val="11"/>
        <rFont val="Calibri"/>
        <family val="2"/>
        <scheme val="minor"/>
      </rPr>
      <t>O2</t>
    </r>
    <r>
      <rPr>
        <sz val="11"/>
        <rFont val="Calibri"/>
        <family val="2"/>
        <scheme val="minor"/>
      </rPr>
      <t>;Ki</t>
    </r>
    <r>
      <rPr>
        <vertAlign val="subscript"/>
        <sz val="11"/>
        <rFont val="Calibri"/>
        <family val="2"/>
        <scheme val="minor"/>
      </rPr>
      <t>O2,HSRO</t>
    </r>
    <r>
      <rPr>
        <sz val="11"/>
        <rFont val="Calibri"/>
        <family val="2"/>
        <scheme val="minor"/>
      </rPr>
      <t>)</t>
    </r>
  </si>
  <si>
    <r>
      <t>Minh</t>
    </r>
    <r>
      <rPr>
        <vertAlign val="subscript"/>
        <sz val="11"/>
        <rFont val="Calibri"/>
        <family val="2"/>
        <scheme val="minor"/>
      </rPr>
      <t>SO2,KiO2,HSRO</t>
    </r>
  </si>
  <si>
    <r>
      <t>Inhibition term for O</t>
    </r>
    <r>
      <rPr>
        <vertAlign val="subscript"/>
        <sz val="11"/>
        <color rgb="FF000000"/>
        <rFont val="Calibri"/>
        <family val="2"/>
        <scheme val="minor"/>
      </rPr>
      <t>2</t>
    </r>
    <r>
      <rPr>
        <sz val="11"/>
        <color rgb="FF000000"/>
        <rFont val="Calibri"/>
        <family val="2"/>
        <charset val="238"/>
        <scheme val="minor"/>
      </rPr>
      <t xml:space="preserve"> (HSRO)</t>
    </r>
  </si>
  <si>
    <r>
      <t>Minh(S</t>
    </r>
    <r>
      <rPr>
        <vertAlign val="subscript"/>
        <sz val="11"/>
        <rFont val="Calibri"/>
        <family val="2"/>
        <scheme val="minor"/>
      </rPr>
      <t>O2</t>
    </r>
    <r>
      <rPr>
        <sz val="11"/>
        <rFont val="Calibri"/>
        <family val="2"/>
        <scheme val="minor"/>
      </rPr>
      <t>;Ki</t>
    </r>
    <r>
      <rPr>
        <vertAlign val="subscript"/>
        <sz val="11"/>
        <rFont val="Calibri"/>
        <family val="2"/>
        <scheme val="minor"/>
      </rPr>
      <t>O2,HSRO</t>
    </r>
    <r>
      <rPr>
        <sz val="11"/>
        <rFont val="Calibri"/>
        <family val="2"/>
        <scheme val="minor"/>
      </rPr>
      <t>)</t>
    </r>
  </si>
  <si>
    <r>
      <t>Msat</t>
    </r>
    <r>
      <rPr>
        <vertAlign val="subscript"/>
        <sz val="11"/>
        <rFont val="Calibri"/>
        <family val="2"/>
        <scheme val="minor"/>
      </rPr>
      <t>SH2,KH2,HSRO</t>
    </r>
  </si>
  <si>
    <r>
      <t>Saturation term for H</t>
    </r>
    <r>
      <rPr>
        <vertAlign val="subscript"/>
        <sz val="11"/>
        <color rgb="FF000000"/>
        <rFont val="Calibri"/>
        <family val="2"/>
        <scheme val="minor"/>
      </rPr>
      <t>2</t>
    </r>
    <r>
      <rPr>
        <sz val="11"/>
        <color rgb="FF000000"/>
        <rFont val="Calibri"/>
        <family val="2"/>
        <charset val="238"/>
        <scheme val="minor"/>
      </rPr>
      <t xml:space="preserve"> (HSRO)</t>
    </r>
  </si>
  <si>
    <r>
      <t>Msat(S</t>
    </r>
    <r>
      <rPr>
        <vertAlign val="subscript"/>
        <sz val="11"/>
        <rFont val="Calibri"/>
        <family val="2"/>
        <scheme val="minor"/>
      </rPr>
      <t>H2</t>
    </r>
    <r>
      <rPr>
        <sz val="11"/>
        <rFont val="Calibri"/>
        <family val="2"/>
        <scheme val="minor"/>
      </rPr>
      <t>;K</t>
    </r>
    <r>
      <rPr>
        <vertAlign val="subscript"/>
        <sz val="11"/>
        <rFont val="Calibri"/>
        <family val="2"/>
        <scheme val="minor"/>
      </rPr>
      <t>H2,HSRO</t>
    </r>
    <r>
      <rPr>
        <sz val="11"/>
        <rFont val="Calibri"/>
        <family val="2"/>
        <scheme val="minor"/>
      </rPr>
      <t>)</t>
    </r>
  </si>
  <si>
    <r>
      <t>Msat</t>
    </r>
    <r>
      <rPr>
        <vertAlign val="subscript"/>
        <sz val="11"/>
        <rFont val="Calibri"/>
        <family val="2"/>
        <scheme val="minor"/>
      </rPr>
      <t>SO4,KSO4,HSRO</t>
    </r>
  </si>
  <si>
    <r>
      <t>Saturation term for SO</t>
    </r>
    <r>
      <rPr>
        <vertAlign val="subscript"/>
        <sz val="11"/>
        <color rgb="FF000000"/>
        <rFont val="Calibri"/>
        <family val="2"/>
        <scheme val="minor"/>
      </rPr>
      <t>4</t>
    </r>
    <r>
      <rPr>
        <sz val="11"/>
        <color rgb="FF000000"/>
        <rFont val="Calibri"/>
        <family val="2"/>
        <charset val="238"/>
        <scheme val="minor"/>
      </rPr>
      <t xml:space="preserve"> (HSRO)</t>
    </r>
  </si>
  <si>
    <r>
      <t>Msat(S</t>
    </r>
    <r>
      <rPr>
        <vertAlign val="subscript"/>
        <sz val="11"/>
        <rFont val="Calibri"/>
        <family val="2"/>
        <scheme val="minor"/>
      </rPr>
      <t>SO4</t>
    </r>
    <r>
      <rPr>
        <sz val="11"/>
        <rFont val="Calibri"/>
        <family val="2"/>
        <scheme val="minor"/>
      </rPr>
      <t>;K</t>
    </r>
    <r>
      <rPr>
        <vertAlign val="subscript"/>
        <sz val="11"/>
        <rFont val="Calibri"/>
        <family val="2"/>
        <scheme val="minor"/>
      </rPr>
      <t>SO4,HSRO</t>
    </r>
    <r>
      <rPr>
        <sz val="11"/>
        <rFont val="Calibri"/>
        <family val="2"/>
        <scheme val="minor"/>
      </rPr>
      <t>)</t>
    </r>
  </si>
  <si>
    <r>
      <t>Hsat</t>
    </r>
    <r>
      <rPr>
        <vertAlign val="subscript"/>
        <sz val="11"/>
        <rFont val="Calibri"/>
        <family val="2"/>
        <scheme val="minor"/>
      </rPr>
      <t>SH2S,KH2S,SOO</t>
    </r>
  </si>
  <si>
    <t>Haldane saturation term for H2S (SOO)</t>
  </si>
  <si>
    <r>
      <t>Hsat(S</t>
    </r>
    <r>
      <rPr>
        <vertAlign val="subscript"/>
        <sz val="11"/>
        <rFont val="Calibri"/>
        <family val="2"/>
        <scheme val="minor"/>
      </rPr>
      <t>H2S</t>
    </r>
    <r>
      <rPr>
        <sz val="11"/>
        <rFont val="Calibri"/>
        <family val="2"/>
        <scheme val="minor"/>
      </rPr>
      <t>;K</t>
    </r>
    <r>
      <rPr>
        <vertAlign val="subscript"/>
        <sz val="11"/>
        <rFont val="Calibri"/>
        <family val="2"/>
        <scheme val="minor"/>
      </rPr>
      <t>H2S,SOO</t>
    </r>
    <r>
      <rPr>
        <sz val="11"/>
        <rFont val="Calibri"/>
        <family val="2"/>
        <scheme val="minor"/>
      </rPr>
      <t>;Ki</t>
    </r>
    <r>
      <rPr>
        <vertAlign val="subscript"/>
        <sz val="11"/>
        <rFont val="Calibri"/>
        <family val="2"/>
        <scheme val="minor"/>
      </rPr>
      <t>H2S,SOO</t>
    </r>
    <r>
      <rPr>
        <sz val="11"/>
        <rFont val="Calibri"/>
        <family val="2"/>
        <scheme val="minor"/>
      </rPr>
      <t>)</t>
    </r>
  </si>
  <si>
    <r>
      <t>Minh</t>
    </r>
    <r>
      <rPr>
        <vertAlign val="subscript"/>
        <sz val="11"/>
        <rFont val="Calibri"/>
        <family val="2"/>
        <scheme val="minor"/>
      </rPr>
      <t>SH2S,KiH2S,SOO</t>
    </r>
  </si>
  <si>
    <r>
      <t>Inhibition term for H</t>
    </r>
    <r>
      <rPr>
        <vertAlign val="subscript"/>
        <sz val="11"/>
        <color rgb="FF000000"/>
        <rFont val="Calibri"/>
        <family val="2"/>
        <scheme val="minor"/>
      </rPr>
      <t>2</t>
    </r>
    <r>
      <rPr>
        <sz val="11"/>
        <color rgb="FF000000"/>
        <rFont val="Calibri"/>
        <family val="2"/>
        <charset val="238"/>
        <scheme val="minor"/>
      </rPr>
      <t>S (SOO)</t>
    </r>
  </si>
  <si>
    <r>
      <t>Minh(S</t>
    </r>
    <r>
      <rPr>
        <vertAlign val="subscript"/>
        <sz val="11"/>
        <rFont val="Calibri"/>
        <family val="2"/>
        <scheme val="minor"/>
      </rPr>
      <t>H2S</t>
    </r>
    <r>
      <rPr>
        <sz val="11"/>
        <rFont val="Calibri"/>
        <family val="2"/>
        <scheme val="minor"/>
      </rPr>
      <t>;Ki</t>
    </r>
    <r>
      <rPr>
        <vertAlign val="subscript"/>
        <sz val="11"/>
        <rFont val="Calibri"/>
        <family val="2"/>
        <scheme val="minor"/>
      </rPr>
      <t>H2S,SOO</t>
    </r>
    <r>
      <rPr>
        <sz val="11"/>
        <rFont val="Calibri"/>
        <family val="2"/>
        <scheme val="minor"/>
      </rPr>
      <t>)</t>
    </r>
  </si>
  <si>
    <r>
      <t>Minh</t>
    </r>
    <r>
      <rPr>
        <vertAlign val="subscript"/>
        <sz val="11"/>
        <rFont val="Calibri"/>
        <family val="2"/>
        <scheme val="minor"/>
      </rPr>
      <t>SNO3,KNO3,H2S,SOO</t>
    </r>
  </si>
  <si>
    <r>
      <t>Inhibition term for NO</t>
    </r>
    <r>
      <rPr>
        <vertAlign val="subscript"/>
        <sz val="11"/>
        <color rgb="FF000000"/>
        <rFont val="Calibri"/>
        <family val="2"/>
        <scheme val="minor"/>
      </rPr>
      <t>3</t>
    </r>
    <r>
      <rPr>
        <sz val="11"/>
        <color rgb="FF000000"/>
        <rFont val="Calibri"/>
        <family val="2"/>
        <charset val="238"/>
        <scheme val="minor"/>
      </rPr>
      <t xml:space="preserve"> in H</t>
    </r>
    <r>
      <rPr>
        <vertAlign val="subscript"/>
        <sz val="11"/>
        <color rgb="FF000000"/>
        <rFont val="Calibri"/>
        <family val="2"/>
        <scheme val="minor"/>
      </rPr>
      <t>2</t>
    </r>
    <r>
      <rPr>
        <sz val="11"/>
        <color rgb="FF000000"/>
        <rFont val="Calibri"/>
        <family val="2"/>
        <charset val="238"/>
        <scheme val="minor"/>
      </rPr>
      <t>S oxidation (SOO)</t>
    </r>
  </si>
  <si>
    <r>
      <t>Minh(S</t>
    </r>
    <r>
      <rPr>
        <vertAlign val="subscript"/>
        <sz val="11"/>
        <rFont val="Calibri"/>
        <family val="2"/>
        <scheme val="minor"/>
      </rPr>
      <t>NO3</t>
    </r>
    <r>
      <rPr>
        <sz val="11"/>
        <rFont val="Calibri"/>
        <family val="2"/>
        <scheme val="minor"/>
      </rPr>
      <t>;K</t>
    </r>
    <r>
      <rPr>
        <vertAlign val="subscript"/>
        <sz val="11"/>
        <rFont val="Calibri"/>
        <family val="2"/>
        <scheme val="minor"/>
      </rPr>
      <t>NO3,H2S,SOO</t>
    </r>
    <r>
      <rPr>
        <sz val="11"/>
        <rFont val="Calibri"/>
        <family val="2"/>
        <scheme val="minor"/>
      </rPr>
      <t>)</t>
    </r>
  </si>
  <si>
    <r>
      <t>Minh</t>
    </r>
    <r>
      <rPr>
        <vertAlign val="subscript"/>
        <sz val="11"/>
        <rFont val="Calibri"/>
        <family val="2"/>
        <scheme val="minor"/>
      </rPr>
      <t>SNO2,KNO2,H2S,SOO</t>
    </r>
  </si>
  <si>
    <r>
      <t>Inhibition term for NO</t>
    </r>
    <r>
      <rPr>
        <vertAlign val="subscript"/>
        <sz val="11"/>
        <color rgb="FF000000"/>
        <rFont val="Calibri"/>
        <family val="2"/>
        <scheme val="minor"/>
      </rPr>
      <t>2</t>
    </r>
    <r>
      <rPr>
        <sz val="11"/>
        <color rgb="FF000000"/>
        <rFont val="Calibri"/>
        <family val="2"/>
        <charset val="238"/>
        <scheme val="minor"/>
      </rPr>
      <t xml:space="preserve"> in H</t>
    </r>
    <r>
      <rPr>
        <vertAlign val="subscript"/>
        <sz val="11"/>
        <color rgb="FF000000"/>
        <rFont val="Calibri"/>
        <family val="2"/>
        <scheme val="minor"/>
      </rPr>
      <t>2</t>
    </r>
    <r>
      <rPr>
        <sz val="11"/>
        <color rgb="FF000000"/>
        <rFont val="Calibri"/>
        <family val="2"/>
        <charset val="238"/>
        <scheme val="minor"/>
      </rPr>
      <t>S oxidation (SOO)</t>
    </r>
  </si>
  <si>
    <r>
      <t>Minh(S</t>
    </r>
    <r>
      <rPr>
        <vertAlign val="subscript"/>
        <sz val="11"/>
        <rFont val="Calibri"/>
        <family val="2"/>
        <scheme val="minor"/>
      </rPr>
      <t>NO2</t>
    </r>
    <r>
      <rPr>
        <sz val="11"/>
        <rFont val="Calibri"/>
        <family val="2"/>
        <scheme val="minor"/>
      </rPr>
      <t>;K</t>
    </r>
    <r>
      <rPr>
        <vertAlign val="subscript"/>
        <sz val="11"/>
        <rFont val="Calibri"/>
        <family val="2"/>
        <scheme val="minor"/>
      </rPr>
      <t>NO2,H2S,SOO</t>
    </r>
    <r>
      <rPr>
        <sz val="11"/>
        <rFont val="Calibri"/>
        <family val="2"/>
        <scheme val="minor"/>
      </rPr>
      <t>)</t>
    </r>
  </si>
  <si>
    <r>
      <t>Minh</t>
    </r>
    <r>
      <rPr>
        <vertAlign val="subscript"/>
        <sz val="11"/>
        <rFont val="Calibri"/>
        <family val="2"/>
        <scheme val="minor"/>
      </rPr>
      <t>SNO2,KNO2,S,SOO</t>
    </r>
  </si>
  <si>
    <r>
      <t>Inhibition term for NO</t>
    </r>
    <r>
      <rPr>
        <vertAlign val="subscript"/>
        <sz val="11"/>
        <color rgb="FF000000"/>
        <rFont val="Calibri"/>
        <family val="2"/>
        <scheme val="minor"/>
      </rPr>
      <t>2</t>
    </r>
    <r>
      <rPr>
        <sz val="11"/>
        <color rgb="FF000000"/>
        <rFont val="Calibri"/>
        <family val="2"/>
        <charset val="238"/>
        <scheme val="minor"/>
      </rPr>
      <t xml:space="preserve"> in S oxidation (SOO)</t>
    </r>
  </si>
  <si>
    <r>
      <t>Minh(S</t>
    </r>
    <r>
      <rPr>
        <vertAlign val="subscript"/>
        <sz val="11"/>
        <rFont val="Calibri"/>
        <family val="2"/>
        <scheme val="minor"/>
      </rPr>
      <t>NO2</t>
    </r>
    <r>
      <rPr>
        <sz val="11"/>
        <rFont val="Calibri"/>
        <family val="2"/>
        <scheme val="minor"/>
      </rPr>
      <t>;K</t>
    </r>
    <r>
      <rPr>
        <vertAlign val="subscript"/>
        <sz val="11"/>
        <rFont val="Calibri"/>
        <family val="2"/>
        <scheme val="minor"/>
      </rPr>
      <t>NO2,S,SOO</t>
    </r>
    <r>
      <rPr>
        <sz val="11"/>
        <rFont val="Calibri"/>
        <family val="2"/>
        <scheme val="minor"/>
      </rPr>
      <t>)</t>
    </r>
  </si>
  <si>
    <r>
      <t>Minh</t>
    </r>
    <r>
      <rPr>
        <vertAlign val="subscript"/>
        <sz val="11"/>
        <rFont val="Calibri"/>
        <family val="2"/>
        <scheme val="minor"/>
      </rPr>
      <t>SO2,KO2,H2S,SOO</t>
    </r>
  </si>
  <si>
    <t xml:space="preserve">Inhibition term for O2 for H2S oxidation (SOO) </t>
  </si>
  <si>
    <r>
      <t>Minh(S</t>
    </r>
    <r>
      <rPr>
        <vertAlign val="subscript"/>
        <sz val="11"/>
        <rFont val="Calibri"/>
        <family val="2"/>
        <scheme val="minor"/>
      </rPr>
      <t>O2</t>
    </r>
    <r>
      <rPr>
        <sz val="11"/>
        <rFont val="Calibri"/>
        <family val="2"/>
        <scheme val="minor"/>
      </rPr>
      <t>;K</t>
    </r>
    <r>
      <rPr>
        <vertAlign val="subscript"/>
        <sz val="11"/>
        <rFont val="Calibri"/>
        <family val="2"/>
        <scheme val="minor"/>
      </rPr>
      <t>O2,H2S,SOO</t>
    </r>
    <r>
      <rPr>
        <sz val="11"/>
        <rFont val="Calibri"/>
        <family val="2"/>
        <scheme val="minor"/>
      </rPr>
      <t>)</t>
    </r>
  </si>
  <si>
    <r>
      <t>Minh</t>
    </r>
    <r>
      <rPr>
        <vertAlign val="subscript"/>
        <sz val="11"/>
        <rFont val="Calibri"/>
        <family val="2"/>
        <scheme val="minor"/>
      </rPr>
      <t>SO2,KO2,S,SOO</t>
    </r>
  </si>
  <si>
    <t xml:space="preserve">Inhibition term for O2 for S oxidation (SOO) </t>
  </si>
  <si>
    <r>
      <t>Minh(S</t>
    </r>
    <r>
      <rPr>
        <vertAlign val="subscript"/>
        <sz val="11"/>
        <rFont val="Calibri"/>
        <family val="2"/>
        <scheme val="minor"/>
      </rPr>
      <t>O2</t>
    </r>
    <r>
      <rPr>
        <sz val="11"/>
        <rFont val="Calibri"/>
        <family val="2"/>
        <scheme val="minor"/>
      </rPr>
      <t>;K</t>
    </r>
    <r>
      <rPr>
        <vertAlign val="subscript"/>
        <sz val="11"/>
        <rFont val="Calibri"/>
        <family val="2"/>
        <scheme val="minor"/>
      </rPr>
      <t>O2,S,SOO</t>
    </r>
    <r>
      <rPr>
        <sz val="11"/>
        <rFont val="Calibri"/>
        <family val="2"/>
        <scheme val="minor"/>
      </rPr>
      <t>)</t>
    </r>
  </si>
  <si>
    <r>
      <t>Msat</t>
    </r>
    <r>
      <rPr>
        <vertAlign val="subscript"/>
        <sz val="11"/>
        <rFont val="Calibri"/>
        <family val="2"/>
        <scheme val="minor"/>
      </rPr>
      <t>SNO2,KNO2,H2S,SOO</t>
    </r>
  </si>
  <si>
    <r>
      <t>Saturation term for NO</t>
    </r>
    <r>
      <rPr>
        <vertAlign val="subscript"/>
        <sz val="11"/>
        <color rgb="FF000000"/>
        <rFont val="Calibri"/>
        <family val="2"/>
        <scheme val="minor"/>
      </rPr>
      <t>2</t>
    </r>
    <r>
      <rPr>
        <sz val="11"/>
        <color rgb="FF000000"/>
        <rFont val="Calibri"/>
        <family val="2"/>
        <charset val="238"/>
        <scheme val="minor"/>
      </rPr>
      <t xml:space="preserve"> in H</t>
    </r>
    <r>
      <rPr>
        <vertAlign val="subscript"/>
        <sz val="11"/>
        <color rgb="FF000000"/>
        <rFont val="Calibri"/>
        <family val="2"/>
        <scheme val="minor"/>
      </rPr>
      <t>2</t>
    </r>
    <r>
      <rPr>
        <sz val="11"/>
        <color rgb="FF000000"/>
        <rFont val="Calibri"/>
        <family val="2"/>
        <charset val="238"/>
        <scheme val="minor"/>
      </rPr>
      <t>S oxidation (SOO)</t>
    </r>
  </si>
  <si>
    <r>
      <t>Msat(S</t>
    </r>
    <r>
      <rPr>
        <vertAlign val="subscript"/>
        <sz val="11"/>
        <rFont val="Calibri"/>
        <family val="2"/>
        <scheme val="minor"/>
      </rPr>
      <t>NO2</t>
    </r>
    <r>
      <rPr>
        <sz val="11"/>
        <rFont val="Calibri"/>
        <family val="2"/>
        <scheme val="minor"/>
      </rPr>
      <t>;K</t>
    </r>
    <r>
      <rPr>
        <vertAlign val="subscript"/>
        <sz val="11"/>
        <rFont val="Calibri"/>
        <family val="2"/>
        <scheme val="minor"/>
      </rPr>
      <t>NO2,H2S,SOO</t>
    </r>
    <r>
      <rPr>
        <sz val="11"/>
        <rFont val="Calibri"/>
        <family val="2"/>
        <scheme val="minor"/>
      </rPr>
      <t>)</t>
    </r>
  </si>
  <si>
    <r>
      <t>Msat</t>
    </r>
    <r>
      <rPr>
        <vertAlign val="subscript"/>
        <sz val="11"/>
        <rFont val="Calibri"/>
        <family val="2"/>
        <scheme val="minor"/>
      </rPr>
      <t>SNO2,KNO2,S,SOO</t>
    </r>
  </si>
  <si>
    <t xml:space="preserve">Saturation term for NO2 in S oxidation (SOO) </t>
  </si>
  <si>
    <r>
      <t>Msat(S</t>
    </r>
    <r>
      <rPr>
        <vertAlign val="subscript"/>
        <sz val="11"/>
        <rFont val="Calibri"/>
        <family val="2"/>
        <scheme val="minor"/>
      </rPr>
      <t>NO2</t>
    </r>
    <r>
      <rPr>
        <sz val="11"/>
        <rFont val="Calibri"/>
        <family val="2"/>
        <scheme val="minor"/>
      </rPr>
      <t>;K</t>
    </r>
    <r>
      <rPr>
        <vertAlign val="subscript"/>
        <sz val="11"/>
        <rFont val="Calibri"/>
        <family val="2"/>
        <scheme val="minor"/>
      </rPr>
      <t>NO2,S,SOO</t>
    </r>
    <r>
      <rPr>
        <sz val="11"/>
        <rFont val="Calibri"/>
        <family val="2"/>
        <scheme val="minor"/>
      </rPr>
      <t>)</t>
    </r>
  </si>
  <si>
    <r>
      <t>Msat</t>
    </r>
    <r>
      <rPr>
        <vertAlign val="subscript"/>
        <sz val="11"/>
        <rFont val="Calibri"/>
        <family val="2"/>
        <scheme val="minor"/>
      </rPr>
      <t>SNO3,KNO3,H2S,SOO</t>
    </r>
  </si>
  <si>
    <r>
      <t>Saturation term for NO</t>
    </r>
    <r>
      <rPr>
        <vertAlign val="subscript"/>
        <sz val="11"/>
        <color rgb="FF000000"/>
        <rFont val="Calibri"/>
        <family val="2"/>
        <scheme val="minor"/>
      </rPr>
      <t>3</t>
    </r>
    <r>
      <rPr>
        <sz val="11"/>
        <color rgb="FF000000"/>
        <rFont val="Calibri"/>
        <family val="2"/>
        <charset val="238"/>
        <scheme val="minor"/>
      </rPr>
      <t xml:space="preserve"> in H</t>
    </r>
    <r>
      <rPr>
        <vertAlign val="subscript"/>
        <sz val="11"/>
        <color rgb="FF000000"/>
        <rFont val="Calibri"/>
        <family val="2"/>
        <scheme val="minor"/>
      </rPr>
      <t>2</t>
    </r>
    <r>
      <rPr>
        <sz val="11"/>
        <color rgb="FF000000"/>
        <rFont val="Calibri"/>
        <family val="2"/>
        <charset val="238"/>
        <scheme val="minor"/>
      </rPr>
      <t>S oxidation (SOO)</t>
    </r>
  </si>
  <si>
    <r>
      <t>Msat(S</t>
    </r>
    <r>
      <rPr>
        <vertAlign val="subscript"/>
        <sz val="11"/>
        <rFont val="Calibri"/>
        <family val="2"/>
        <scheme val="minor"/>
      </rPr>
      <t>NO3</t>
    </r>
    <r>
      <rPr>
        <sz val="11"/>
        <rFont val="Calibri"/>
        <family val="2"/>
        <scheme val="minor"/>
      </rPr>
      <t>;K</t>
    </r>
    <r>
      <rPr>
        <vertAlign val="subscript"/>
        <sz val="11"/>
        <rFont val="Calibri"/>
        <family val="2"/>
        <scheme val="minor"/>
      </rPr>
      <t>NO3,H2S,SOO</t>
    </r>
    <r>
      <rPr>
        <sz val="11"/>
        <rFont val="Calibri"/>
        <family val="2"/>
        <scheme val="minor"/>
      </rPr>
      <t>)</t>
    </r>
  </si>
  <si>
    <r>
      <t>Msat</t>
    </r>
    <r>
      <rPr>
        <vertAlign val="subscript"/>
        <sz val="11"/>
        <rFont val="Calibri"/>
        <family val="2"/>
        <scheme val="minor"/>
      </rPr>
      <t>SNO3,KNO3,S,SOO</t>
    </r>
  </si>
  <si>
    <r>
      <t>Saturation term for NO</t>
    </r>
    <r>
      <rPr>
        <vertAlign val="subscript"/>
        <sz val="11"/>
        <color rgb="FF000000"/>
        <rFont val="Calibri"/>
        <family val="2"/>
        <scheme val="minor"/>
      </rPr>
      <t>3</t>
    </r>
    <r>
      <rPr>
        <sz val="11"/>
        <color rgb="FF000000"/>
        <rFont val="Calibri"/>
        <family val="2"/>
        <charset val="238"/>
        <scheme val="minor"/>
      </rPr>
      <t xml:space="preserve"> in S oxidation (SOO)</t>
    </r>
  </si>
  <si>
    <r>
      <t>Msat(S</t>
    </r>
    <r>
      <rPr>
        <vertAlign val="subscript"/>
        <sz val="11"/>
        <rFont val="Calibri"/>
        <family val="2"/>
        <scheme val="minor"/>
      </rPr>
      <t>NO3</t>
    </r>
    <r>
      <rPr>
        <sz val="11"/>
        <rFont val="Calibri"/>
        <family val="2"/>
        <scheme val="minor"/>
      </rPr>
      <t>;K</t>
    </r>
    <r>
      <rPr>
        <vertAlign val="subscript"/>
        <sz val="11"/>
        <rFont val="Calibri"/>
        <family val="2"/>
        <scheme val="minor"/>
      </rPr>
      <t>NO3,S,SOO</t>
    </r>
    <r>
      <rPr>
        <sz val="11"/>
        <rFont val="Calibri"/>
        <family val="2"/>
        <scheme val="minor"/>
      </rPr>
      <t>)</t>
    </r>
  </si>
  <si>
    <r>
      <t>Msat</t>
    </r>
    <r>
      <rPr>
        <vertAlign val="subscript"/>
        <sz val="11"/>
        <rFont val="Calibri"/>
        <family val="2"/>
        <scheme val="minor"/>
      </rPr>
      <t>SO2,KO2,H2S,SOO</t>
    </r>
  </si>
  <si>
    <r>
      <t>Saturation term for O</t>
    </r>
    <r>
      <rPr>
        <vertAlign val="subscript"/>
        <sz val="11"/>
        <color rgb="FF000000"/>
        <rFont val="Calibri"/>
        <family val="2"/>
        <scheme val="minor"/>
      </rPr>
      <t>2</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oxidation (SOO)</t>
    </r>
  </si>
  <si>
    <r>
      <t>Msat(S</t>
    </r>
    <r>
      <rPr>
        <vertAlign val="subscript"/>
        <sz val="11"/>
        <rFont val="Calibri"/>
        <family val="2"/>
        <scheme val="minor"/>
      </rPr>
      <t>O2</t>
    </r>
    <r>
      <rPr>
        <sz val="11"/>
        <rFont val="Calibri"/>
        <family val="2"/>
        <scheme val="minor"/>
      </rPr>
      <t>;K</t>
    </r>
    <r>
      <rPr>
        <vertAlign val="subscript"/>
        <sz val="11"/>
        <rFont val="Calibri"/>
        <family val="2"/>
        <scheme val="minor"/>
      </rPr>
      <t>O2,H2S,SOO</t>
    </r>
    <r>
      <rPr>
        <sz val="11"/>
        <rFont val="Calibri"/>
        <family val="2"/>
        <scheme val="minor"/>
      </rPr>
      <t>)</t>
    </r>
  </si>
  <si>
    <r>
      <t>Msat</t>
    </r>
    <r>
      <rPr>
        <vertAlign val="subscript"/>
        <sz val="11"/>
        <rFont val="Calibri"/>
        <family val="2"/>
        <scheme val="minor"/>
      </rPr>
      <t>SO2,KO2,S,SOO</t>
    </r>
  </si>
  <si>
    <r>
      <t>Msat(S</t>
    </r>
    <r>
      <rPr>
        <vertAlign val="subscript"/>
        <sz val="11"/>
        <rFont val="Calibri"/>
        <family val="2"/>
        <scheme val="minor"/>
      </rPr>
      <t>O2</t>
    </r>
    <r>
      <rPr>
        <sz val="11"/>
        <rFont val="Calibri"/>
        <family val="2"/>
        <scheme val="minor"/>
      </rPr>
      <t>;K</t>
    </r>
    <r>
      <rPr>
        <vertAlign val="subscript"/>
        <sz val="11"/>
        <rFont val="Calibri"/>
        <family val="2"/>
        <scheme val="minor"/>
      </rPr>
      <t>O2,S,SOO</t>
    </r>
    <r>
      <rPr>
        <sz val="11"/>
        <rFont val="Calibri"/>
        <family val="2"/>
        <scheme val="minor"/>
      </rPr>
      <t>)</t>
    </r>
  </si>
  <si>
    <r>
      <t>Msat</t>
    </r>
    <r>
      <rPr>
        <vertAlign val="subscript"/>
        <sz val="11"/>
        <rFont val="Calibri"/>
        <family val="2"/>
        <scheme val="minor"/>
      </rPr>
      <t>XS,KS,SOO</t>
    </r>
  </si>
  <si>
    <t>Saturation term for S (SOO)</t>
  </si>
  <si>
    <r>
      <t>Msat(X</t>
    </r>
    <r>
      <rPr>
        <vertAlign val="subscript"/>
        <sz val="11"/>
        <rFont val="Calibri"/>
        <family val="2"/>
        <scheme val="minor"/>
      </rPr>
      <t>S</t>
    </r>
    <r>
      <rPr>
        <sz val="11"/>
        <rFont val="Calibri"/>
        <family val="2"/>
        <scheme val="minor"/>
      </rPr>
      <t>;K</t>
    </r>
    <r>
      <rPr>
        <vertAlign val="subscript"/>
        <sz val="11"/>
        <rFont val="Calibri"/>
        <family val="2"/>
        <scheme val="minor"/>
      </rPr>
      <t>S,SOO</t>
    </r>
    <r>
      <rPr>
        <sz val="11"/>
        <rFont val="Calibri"/>
        <family val="2"/>
        <scheme val="minor"/>
      </rPr>
      <t>)</t>
    </r>
  </si>
  <si>
    <r>
      <t>Minh</t>
    </r>
    <r>
      <rPr>
        <vertAlign val="subscript"/>
        <sz val="11"/>
        <rFont val="Calibri"/>
        <family val="2"/>
        <scheme val="minor"/>
      </rPr>
      <t>SSO4,KiSO4,ASSIM</t>
    </r>
  </si>
  <si>
    <r>
      <t>Inhibition term for SO</t>
    </r>
    <r>
      <rPr>
        <vertAlign val="subscript"/>
        <sz val="11"/>
        <color rgb="FF000000"/>
        <rFont val="Calibri"/>
        <family val="2"/>
        <scheme val="minor"/>
      </rPr>
      <t>4</t>
    </r>
    <r>
      <rPr>
        <sz val="11"/>
        <color rgb="FF000000"/>
        <rFont val="Calibri"/>
        <family val="2"/>
        <charset val="238"/>
        <scheme val="minor"/>
      </rPr>
      <t xml:space="preserve"> (assimilative reduction)</t>
    </r>
  </si>
  <si>
    <r>
      <t>Minh(S</t>
    </r>
    <r>
      <rPr>
        <vertAlign val="subscript"/>
        <sz val="11"/>
        <rFont val="Calibri"/>
        <family val="2"/>
        <scheme val="minor"/>
      </rPr>
      <t>SO4</t>
    </r>
    <r>
      <rPr>
        <sz val="11"/>
        <rFont val="Calibri"/>
        <family val="2"/>
        <scheme val="minor"/>
      </rPr>
      <t>;Ki</t>
    </r>
    <r>
      <rPr>
        <vertAlign val="subscript"/>
        <sz val="11"/>
        <rFont val="Calibri"/>
        <family val="2"/>
        <scheme val="minor"/>
      </rPr>
      <t>SO4,ASSIM</t>
    </r>
    <r>
      <rPr>
        <sz val="11"/>
        <rFont val="Calibri"/>
        <family val="2"/>
        <scheme val="minor"/>
      </rPr>
      <t>)</t>
    </r>
  </si>
  <si>
    <r>
      <t>Msat</t>
    </r>
    <r>
      <rPr>
        <vertAlign val="subscript"/>
        <sz val="11"/>
        <rFont val="Calibri"/>
        <family val="2"/>
        <scheme val="minor"/>
      </rPr>
      <t>SH2S,KH2S,ASSIM</t>
    </r>
  </si>
  <si>
    <r>
      <t>Saturation term for H</t>
    </r>
    <r>
      <rPr>
        <vertAlign val="subscript"/>
        <sz val="11"/>
        <color rgb="FF000000"/>
        <rFont val="Calibri"/>
        <family val="2"/>
        <scheme val="minor"/>
      </rPr>
      <t>2</t>
    </r>
    <r>
      <rPr>
        <sz val="11"/>
        <color rgb="FF000000"/>
        <rFont val="Calibri"/>
        <family val="2"/>
        <charset val="238"/>
        <scheme val="minor"/>
      </rPr>
      <t>S (assimilation oxidation)</t>
    </r>
  </si>
  <si>
    <r>
      <t>Msat(S</t>
    </r>
    <r>
      <rPr>
        <vertAlign val="subscript"/>
        <sz val="11"/>
        <rFont val="Calibri"/>
        <family val="2"/>
        <scheme val="minor"/>
      </rPr>
      <t>H2S</t>
    </r>
    <r>
      <rPr>
        <sz val="11"/>
        <rFont val="Calibri"/>
        <family val="2"/>
        <scheme val="minor"/>
      </rPr>
      <t>;K</t>
    </r>
    <r>
      <rPr>
        <vertAlign val="subscript"/>
        <sz val="11"/>
        <rFont val="Calibri"/>
        <family val="2"/>
        <scheme val="minor"/>
      </rPr>
      <t>H2S,ASSIM</t>
    </r>
    <r>
      <rPr>
        <sz val="11"/>
        <rFont val="Calibri"/>
        <family val="2"/>
        <scheme val="minor"/>
      </rPr>
      <t>)</t>
    </r>
  </si>
  <si>
    <r>
      <t>Minh</t>
    </r>
    <r>
      <rPr>
        <vertAlign val="subscript"/>
        <sz val="11"/>
        <rFont val="Calibri"/>
        <family val="2"/>
        <scheme val="minor"/>
      </rPr>
      <t>SSO4,KiSO4,RED</t>
    </r>
  </si>
  <si>
    <r>
      <t>Inhibition term for SO</t>
    </r>
    <r>
      <rPr>
        <vertAlign val="subscript"/>
        <sz val="11"/>
        <color rgb="FF000000"/>
        <rFont val="Calibri"/>
        <family val="2"/>
        <scheme val="minor"/>
      </rPr>
      <t>4</t>
    </r>
    <r>
      <rPr>
        <sz val="11"/>
        <color rgb="FF000000"/>
        <rFont val="Calibri"/>
        <family val="2"/>
        <charset val="238"/>
        <scheme val="minor"/>
      </rPr>
      <t xml:space="preserve"> (HFO reduction)</t>
    </r>
  </si>
  <si>
    <r>
      <t>Minh(S</t>
    </r>
    <r>
      <rPr>
        <vertAlign val="subscript"/>
        <sz val="11"/>
        <rFont val="Calibri"/>
        <family val="2"/>
        <scheme val="minor"/>
      </rPr>
      <t>SO4</t>
    </r>
    <r>
      <rPr>
        <sz val="11"/>
        <rFont val="Calibri"/>
        <family val="2"/>
        <scheme val="minor"/>
      </rPr>
      <t>;Ki</t>
    </r>
    <r>
      <rPr>
        <vertAlign val="subscript"/>
        <sz val="11"/>
        <rFont val="Calibri"/>
        <family val="2"/>
        <scheme val="minor"/>
      </rPr>
      <t>SO4,RED</t>
    </r>
    <r>
      <rPr>
        <sz val="11"/>
        <rFont val="Calibri"/>
        <family val="2"/>
        <scheme val="minor"/>
      </rPr>
      <t>)</t>
    </r>
  </si>
  <si>
    <r>
      <t>Msat</t>
    </r>
    <r>
      <rPr>
        <vertAlign val="subscript"/>
        <sz val="11"/>
        <rFont val="Calibri"/>
        <family val="2"/>
        <scheme val="minor"/>
      </rPr>
      <t>XFeS,KFeS,DISS</t>
    </r>
  </si>
  <si>
    <t>Saturation term for FeS dissolution</t>
  </si>
  <si>
    <r>
      <t>Msat(X</t>
    </r>
    <r>
      <rPr>
        <vertAlign val="subscript"/>
        <sz val="11"/>
        <rFont val="Calibri"/>
        <family val="2"/>
        <scheme val="minor"/>
      </rPr>
      <t>FeS</t>
    </r>
    <r>
      <rPr>
        <sz val="11"/>
        <rFont val="Calibri"/>
        <family val="2"/>
        <scheme val="minor"/>
      </rPr>
      <t>;K</t>
    </r>
    <r>
      <rPr>
        <vertAlign val="subscript"/>
        <sz val="11"/>
        <rFont val="Calibri"/>
        <family val="2"/>
        <scheme val="minor"/>
      </rPr>
      <t>FeS,DISS</t>
    </r>
    <r>
      <rPr>
        <sz val="11"/>
        <rFont val="Calibri"/>
        <family val="2"/>
        <scheme val="minor"/>
      </rPr>
      <t>)</t>
    </r>
  </si>
  <si>
    <r>
      <t>Msat</t>
    </r>
    <r>
      <rPr>
        <vertAlign val="subscript"/>
        <sz val="11"/>
        <rFont val="Calibri"/>
        <family val="2"/>
        <scheme val="minor"/>
      </rPr>
      <t>TKNB,KTKNB</t>
    </r>
  </si>
  <si>
    <t>Saturation term for biodegradable TKN</t>
  </si>
  <si>
    <r>
      <t>Msat(T</t>
    </r>
    <r>
      <rPr>
        <vertAlign val="subscript"/>
        <sz val="11"/>
        <rFont val="Calibri"/>
        <family val="2"/>
        <scheme val="minor"/>
      </rPr>
      <t>KN,B</t>
    </r>
    <r>
      <rPr>
        <sz val="11"/>
        <rFont val="Calibri"/>
        <family val="2"/>
        <scheme val="minor"/>
      </rPr>
      <t>;K</t>
    </r>
    <r>
      <rPr>
        <vertAlign val="subscript"/>
        <sz val="11"/>
        <rFont val="Calibri"/>
        <family val="2"/>
        <scheme val="minor"/>
      </rPr>
      <t>TKN,B</t>
    </r>
    <r>
      <rPr>
        <sz val="11"/>
        <rFont val="Calibri"/>
        <family val="2"/>
        <scheme val="minor"/>
      </rPr>
      <t>)</t>
    </r>
  </si>
  <si>
    <r>
      <t>µ</t>
    </r>
    <r>
      <rPr>
        <vertAlign val="subscript"/>
        <sz val="11"/>
        <rFont val="Calibri"/>
        <family val="2"/>
        <scheme val="minor"/>
      </rPr>
      <t>ASRO,T</t>
    </r>
  </si>
  <si>
    <t>Maximum specific growth rate of ASROs (temperature corrected)</t>
  </si>
  <si>
    <r>
      <t>µ</t>
    </r>
    <r>
      <rPr>
        <vertAlign val="subscript"/>
        <sz val="11"/>
        <rFont val="Calibri"/>
        <family val="2"/>
        <scheme val="minor"/>
      </rPr>
      <t>ASRO</t>
    </r>
    <r>
      <rPr>
        <sz val="11"/>
        <rFont val="Calibri"/>
        <family val="2"/>
        <scheme val="minor"/>
      </rPr>
      <t>*Arrh(θ</t>
    </r>
    <r>
      <rPr>
        <vertAlign val="subscript"/>
        <sz val="11"/>
        <rFont val="Calibri"/>
        <family val="2"/>
        <scheme val="minor"/>
      </rPr>
      <t>µ,ASRO</t>
    </r>
    <r>
      <rPr>
        <sz val="11"/>
        <rFont val="Calibri"/>
        <family val="2"/>
        <scheme val="minor"/>
      </rPr>
      <t>; T; T</t>
    </r>
    <r>
      <rPr>
        <vertAlign val="subscript"/>
        <sz val="11"/>
        <rFont val="Calibri"/>
        <family val="2"/>
        <scheme val="minor"/>
      </rPr>
      <t>base</t>
    </r>
    <r>
      <rPr>
        <sz val="11"/>
        <rFont val="Calibri"/>
        <family val="2"/>
        <scheme val="minor"/>
      </rPr>
      <t>)</t>
    </r>
  </si>
  <si>
    <r>
      <t>µ</t>
    </r>
    <r>
      <rPr>
        <vertAlign val="subscript"/>
        <sz val="11"/>
        <rFont val="Calibri"/>
        <family val="2"/>
        <scheme val="minor"/>
      </rPr>
      <t>HSRO,T</t>
    </r>
  </si>
  <si>
    <t>Maximum specific growth rate of HSROs (temperature corrected)</t>
  </si>
  <si>
    <r>
      <t>µ</t>
    </r>
    <r>
      <rPr>
        <vertAlign val="subscript"/>
        <sz val="11"/>
        <rFont val="Calibri"/>
        <family val="2"/>
        <scheme val="minor"/>
      </rPr>
      <t>HSRO</t>
    </r>
    <r>
      <rPr>
        <sz val="11"/>
        <rFont val="Calibri"/>
        <family val="2"/>
        <scheme val="minor"/>
      </rPr>
      <t>*Arrh(θ</t>
    </r>
    <r>
      <rPr>
        <vertAlign val="subscript"/>
        <sz val="11"/>
        <rFont val="Calibri"/>
        <family val="2"/>
        <scheme val="minor"/>
      </rPr>
      <t>µ,HSRO</t>
    </r>
    <r>
      <rPr>
        <sz val="11"/>
        <rFont val="Calibri"/>
        <family val="2"/>
        <scheme val="minor"/>
      </rPr>
      <t>; T; T</t>
    </r>
    <r>
      <rPr>
        <vertAlign val="subscript"/>
        <sz val="11"/>
        <rFont val="Calibri"/>
        <family val="2"/>
        <scheme val="minor"/>
      </rPr>
      <t>base</t>
    </r>
    <r>
      <rPr>
        <sz val="11"/>
        <rFont val="Calibri"/>
        <family val="2"/>
        <scheme val="minor"/>
      </rPr>
      <t>)</t>
    </r>
  </si>
  <si>
    <r>
      <t>b</t>
    </r>
    <r>
      <rPr>
        <vertAlign val="subscript"/>
        <sz val="11"/>
        <rFont val="Calibri"/>
        <family val="2"/>
        <scheme val="minor"/>
      </rPr>
      <t>ASRO,T</t>
    </r>
  </si>
  <si>
    <t>Decay rate of ASROs (temperature corrected)</t>
  </si>
  <si>
    <r>
      <t>b</t>
    </r>
    <r>
      <rPr>
        <vertAlign val="subscript"/>
        <sz val="11"/>
        <rFont val="Calibri"/>
        <family val="2"/>
        <scheme val="minor"/>
      </rPr>
      <t>ASRO</t>
    </r>
    <r>
      <rPr>
        <sz val="11"/>
        <rFont val="Calibri"/>
        <family val="2"/>
        <scheme val="minor"/>
      </rPr>
      <t>*Arrh(θ</t>
    </r>
    <r>
      <rPr>
        <vertAlign val="subscript"/>
        <sz val="11"/>
        <rFont val="Calibri"/>
        <family val="2"/>
        <scheme val="minor"/>
      </rPr>
      <t>b,ASRO</t>
    </r>
    <r>
      <rPr>
        <sz val="11"/>
        <rFont val="Calibri"/>
        <family val="2"/>
        <scheme val="minor"/>
      </rPr>
      <t>; T; T</t>
    </r>
    <r>
      <rPr>
        <vertAlign val="subscript"/>
        <sz val="11"/>
        <rFont val="Calibri"/>
        <family val="2"/>
        <scheme val="minor"/>
      </rPr>
      <t>base</t>
    </r>
    <r>
      <rPr>
        <sz val="11"/>
        <rFont val="Calibri"/>
        <family val="2"/>
        <scheme val="minor"/>
      </rPr>
      <t>)</t>
    </r>
  </si>
  <si>
    <r>
      <t>b</t>
    </r>
    <r>
      <rPr>
        <vertAlign val="subscript"/>
        <sz val="11"/>
        <rFont val="Calibri"/>
        <family val="2"/>
        <scheme val="minor"/>
      </rPr>
      <t>HSRO,T</t>
    </r>
  </si>
  <si>
    <t>Decay rate of HSROs (temperature corrected)</t>
  </si>
  <si>
    <r>
      <t>b</t>
    </r>
    <r>
      <rPr>
        <vertAlign val="subscript"/>
        <sz val="11"/>
        <rFont val="Calibri"/>
        <family val="2"/>
        <scheme val="minor"/>
      </rPr>
      <t>HSRO</t>
    </r>
    <r>
      <rPr>
        <sz val="11"/>
        <rFont val="Calibri"/>
        <family val="2"/>
        <scheme val="minor"/>
      </rPr>
      <t>*Arrh(θ</t>
    </r>
    <r>
      <rPr>
        <vertAlign val="subscript"/>
        <sz val="11"/>
        <rFont val="Calibri"/>
        <family val="2"/>
        <scheme val="minor"/>
      </rPr>
      <t>b,HSRO</t>
    </r>
    <r>
      <rPr>
        <sz val="11"/>
        <rFont val="Calibri"/>
        <family val="2"/>
        <scheme val="minor"/>
      </rPr>
      <t>; T; T</t>
    </r>
    <r>
      <rPr>
        <vertAlign val="subscript"/>
        <sz val="11"/>
        <rFont val="Calibri"/>
        <family val="2"/>
        <scheme val="minor"/>
      </rPr>
      <t>base</t>
    </r>
    <r>
      <rPr>
        <sz val="11"/>
        <rFont val="Calibri"/>
        <family val="2"/>
        <scheme val="minor"/>
      </rPr>
      <t>)</t>
    </r>
  </si>
  <si>
    <r>
      <t>µ</t>
    </r>
    <r>
      <rPr>
        <vertAlign val="subscript"/>
        <sz val="11"/>
        <rFont val="Calibri"/>
        <family val="2"/>
        <scheme val="minor"/>
      </rPr>
      <t>SOO,H2S,T</t>
    </r>
  </si>
  <si>
    <t>Maximum specific growth rate of SOOs on H2S (temperature corrected)</t>
  </si>
  <si>
    <r>
      <t>µ</t>
    </r>
    <r>
      <rPr>
        <vertAlign val="subscript"/>
        <sz val="11"/>
        <rFont val="Calibri"/>
        <family val="2"/>
        <scheme val="minor"/>
      </rPr>
      <t>SOO,H2S</t>
    </r>
    <r>
      <rPr>
        <sz val="11"/>
        <rFont val="Calibri"/>
        <family val="2"/>
        <scheme val="minor"/>
      </rPr>
      <t>*Arrh(θ</t>
    </r>
    <r>
      <rPr>
        <vertAlign val="subscript"/>
        <sz val="11"/>
        <rFont val="Calibri"/>
        <family val="2"/>
        <scheme val="minor"/>
      </rPr>
      <t>µ,SOO,H2S</t>
    </r>
    <r>
      <rPr>
        <sz val="11"/>
        <rFont val="Calibri"/>
        <family val="2"/>
        <scheme val="minor"/>
      </rPr>
      <t>; T; T</t>
    </r>
    <r>
      <rPr>
        <vertAlign val="subscript"/>
        <sz val="11"/>
        <rFont val="Calibri"/>
        <family val="2"/>
        <scheme val="minor"/>
      </rPr>
      <t>base</t>
    </r>
    <r>
      <rPr>
        <sz val="11"/>
        <rFont val="Calibri"/>
        <family val="2"/>
        <scheme val="minor"/>
      </rPr>
      <t>)</t>
    </r>
  </si>
  <si>
    <r>
      <t>µ</t>
    </r>
    <r>
      <rPr>
        <vertAlign val="subscript"/>
        <sz val="11"/>
        <rFont val="Calibri"/>
        <family val="2"/>
        <scheme val="minor"/>
      </rPr>
      <t>SOO,S,T</t>
    </r>
  </si>
  <si>
    <t>Maximum specific growth rate of SOOs on S (temperature corrected)</t>
  </si>
  <si>
    <r>
      <t>µ</t>
    </r>
    <r>
      <rPr>
        <vertAlign val="subscript"/>
        <sz val="11"/>
        <rFont val="Calibri"/>
        <family val="2"/>
        <scheme val="minor"/>
      </rPr>
      <t>SOO,S</t>
    </r>
    <r>
      <rPr>
        <sz val="11"/>
        <rFont val="Calibri"/>
        <family val="2"/>
        <scheme val="minor"/>
      </rPr>
      <t>*Arrh(θ</t>
    </r>
    <r>
      <rPr>
        <vertAlign val="subscript"/>
        <sz val="11"/>
        <rFont val="Calibri"/>
        <family val="2"/>
        <scheme val="minor"/>
      </rPr>
      <t>µ,SOO,S</t>
    </r>
    <r>
      <rPr>
        <sz val="11"/>
        <rFont val="Calibri"/>
        <family val="2"/>
        <scheme val="minor"/>
      </rPr>
      <t>; T; T</t>
    </r>
    <r>
      <rPr>
        <vertAlign val="subscript"/>
        <sz val="11"/>
        <rFont val="Calibri"/>
        <family val="2"/>
        <scheme val="minor"/>
      </rPr>
      <t>base</t>
    </r>
    <r>
      <rPr>
        <sz val="11"/>
        <rFont val="Calibri"/>
        <family val="2"/>
        <scheme val="minor"/>
      </rPr>
      <t>)</t>
    </r>
  </si>
  <si>
    <r>
      <t>b</t>
    </r>
    <r>
      <rPr>
        <vertAlign val="subscript"/>
        <sz val="11"/>
        <rFont val="Calibri"/>
        <family val="2"/>
        <scheme val="minor"/>
      </rPr>
      <t>SOO,T</t>
    </r>
  </si>
  <si>
    <t>Decay rate of SOOs (temperature corrected)</t>
  </si>
  <si>
    <r>
      <t>b</t>
    </r>
    <r>
      <rPr>
        <vertAlign val="subscript"/>
        <sz val="11"/>
        <rFont val="Calibri"/>
        <family val="2"/>
        <scheme val="minor"/>
      </rPr>
      <t>SOO</t>
    </r>
    <r>
      <rPr>
        <sz val="11"/>
        <rFont val="Calibri"/>
        <family val="2"/>
        <scheme val="minor"/>
      </rPr>
      <t>*Arrh(θ</t>
    </r>
    <r>
      <rPr>
        <vertAlign val="subscript"/>
        <sz val="11"/>
        <rFont val="Calibri"/>
        <family val="2"/>
        <scheme val="minor"/>
      </rPr>
      <t>b,SOO</t>
    </r>
    <r>
      <rPr>
        <sz val="11"/>
        <rFont val="Calibri"/>
        <family val="2"/>
        <scheme val="minor"/>
      </rPr>
      <t>; T; T</t>
    </r>
    <r>
      <rPr>
        <vertAlign val="subscript"/>
        <sz val="11"/>
        <rFont val="Calibri"/>
        <family val="2"/>
        <scheme val="minor"/>
      </rPr>
      <t>base</t>
    </r>
    <r>
      <rPr>
        <sz val="11"/>
        <rFont val="Calibri"/>
        <family val="2"/>
        <scheme val="minor"/>
      </rPr>
      <t>)</t>
    </r>
  </si>
  <si>
    <r>
      <t>q</t>
    </r>
    <r>
      <rPr>
        <vertAlign val="subscript"/>
        <sz val="11"/>
        <color indexed="8"/>
        <rFont val="Calibri"/>
        <family val="2"/>
        <scheme val="minor"/>
      </rPr>
      <t>FeS,OX,T</t>
    </r>
  </si>
  <si>
    <t>Rate of FeS oxidation (temperature corrected)</t>
  </si>
  <si>
    <r>
      <t>q</t>
    </r>
    <r>
      <rPr>
        <vertAlign val="subscript"/>
        <sz val="11"/>
        <color indexed="8"/>
        <rFont val="Calibri"/>
        <family val="2"/>
        <scheme val="minor"/>
      </rPr>
      <t>FeS,OX</t>
    </r>
    <r>
      <rPr>
        <sz val="11"/>
        <color indexed="8"/>
        <rFont val="Calibri"/>
        <family val="2"/>
        <scheme val="minor"/>
      </rPr>
      <t>*Arrh(θ</t>
    </r>
    <r>
      <rPr>
        <vertAlign val="subscript"/>
        <sz val="11"/>
        <color indexed="8"/>
        <rFont val="Calibri"/>
        <family val="2"/>
        <scheme val="minor"/>
      </rPr>
      <t>q,FeS,OX</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</si>
  <si>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HFO,H2S,RED,T</t>
    </r>
  </si>
  <si>
    <t>Rate of HFO reduction with H2S (temperature corrected)</t>
  </si>
  <si>
    <r>
      <t>q</t>
    </r>
    <r>
      <rPr>
        <vertAlign val="subscript"/>
        <sz val="11"/>
        <color indexed="8"/>
        <rFont val="Calibri"/>
        <family val="2"/>
        <scheme val="minor"/>
      </rPr>
      <t>HFO,H2S,RED</t>
    </r>
    <r>
      <rPr>
        <sz val="11"/>
        <color indexed="8"/>
        <rFont val="Calibri"/>
        <family val="2"/>
        <scheme val="minor"/>
      </rPr>
      <t>*Arrh(θ</t>
    </r>
    <r>
      <rPr>
        <vertAlign val="subscript"/>
        <sz val="11"/>
        <color indexed="8"/>
        <rFont val="Calibri"/>
        <family val="2"/>
        <scheme val="minor"/>
      </rPr>
      <t>q,HFO,H2S,RED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</si>
  <si>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S1,T</t>
    </r>
  </si>
  <si>
    <t>Dissociation constant of hydrogen sulfide (temperature corrected)</t>
  </si>
  <si>
    <r>
      <t>K</t>
    </r>
    <r>
      <rPr>
        <vertAlign val="subscript"/>
        <sz val="11"/>
        <rFont val="Calibri"/>
        <family val="2"/>
        <scheme val="minor"/>
      </rPr>
      <t>S1,param</t>
    </r>
    <r>
      <rPr>
        <sz val="11"/>
        <rFont val="Calibri"/>
        <family val="2"/>
        <scheme val="minor"/>
      </rPr>
      <t>*Exp(dH</t>
    </r>
    <r>
      <rPr>
        <vertAlign val="subscript"/>
        <sz val="11"/>
        <rFont val="Calibri"/>
        <family val="2"/>
        <scheme val="minor"/>
      </rPr>
      <t>diss,S,1</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</si>
  <si>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S2,T</t>
    </r>
  </si>
  <si>
    <t>Dissociation constant of bisulfide ion (temperature corrected)</t>
  </si>
  <si>
    <r>
      <t>K</t>
    </r>
    <r>
      <rPr>
        <vertAlign val="subscript"/>
        <sz val="11"/>
        <rFont val="Calibri"/>
        <family val="2"/>
        <scheme val="minor"/>
      </rPr>
      <t>S2,param</t>
    </r>
    <r>
      <rPr>
        <sz val="11"/>
        <rFont val="Calibri"/>
        <family val="2"/>
        <scheme val="minor"/>
      </rPr>
      <t>*Exp(dH</t>
    </r>
    <r>
      <rPr>
        <vertAlign val="subscript"/>
        <sz val="11"/>
        <rFont val="Calibri"/>
        <family val="2"/>
        <scheme val="minor"/>
      </rPr>
      <t>diss,S,2</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</si>
  <si>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SO41,T</t>
    </r>
  </si>
  <si>
    <t>Dissociation constant of sulfuric acid (temperature corrected)</t>
  </si>
  <si>
    <r>
      <t>K</t>
    </r>
    <r>
      <rPr>
        <vertAlign val="subscript"/>
        <sz val="11"/>
        <rFont val="Calibri"/>
        <family val="2"/>
        <scheme val="minor"/>
      </rPr>
      <t>SO41,param</t>
    </r>
    <r>
      <rPr>
        <sz val="11"/>
        <rFont val="Calibri"/>
        <family val="2"/>
        <scheme val="minor"/>
      </rPr>
      <t>*Exp(dH</t>
    </r>
    <r>
      <rPr>
        <vertAlign val="subscript"/>
        <sz val="11"/>
        <rFont val="Calibri"/>
        <family val="2"/>
        <scheme val="minor"/>
      </rPr>
      <t>diss,SO4,1</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</si>
  <si>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SO42,T</t>
    </r>
  </si>
  <si>
    <t>Dissociation constant of bisulfate (temperature corrected)</t>
  </si>
  <si>
    <r>
      <t>K</t>
    </r>
    <r>
      <rPr>
        <vertAlign val="subscript"/>
        <sz val="11"/>
        <rFont val="Calibri"/>
        <family val="2"/>
        <scheme val="minor"/>
      </rPr>
      <t>SO42,param</t>
    </r>
    <r>
      <rPr>
        <sz val="11"/>
        <rFont val="Calibri"/>
        <family val="2"/>
        <scheme val="minor"/>
      </rPr>
      <t>*Exp(dH</t>
    </r>
    <r>
      <rPr>
        <vertAlign val="subscript"/>
        <sz val="11"/>
        <rFont val="Calibri"/>
        <family val="2"/>
        <scheme val="minor"/>
      </rPr>
      <t>diss,SO4,2</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</si>
  <si>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S1</t>
    </r>
  </si>
  <si>
    <t>Dissociation constant of hydrogen sulfide (activity corrected)</t>
  </si>
  <si>
    <r>
      <t>K</t>
    </r>
    <r>
      <rPr>
        <vertAlign val="subscript"/>
        <sz val="11"/>
        <rFont val="Calibri"/>
        <family val="2"/>
        <scheme val="minor"/>
      </rPr>
      <t>S1,T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</si>
  <si>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S2</t>
    </r>
  </si>
  <si>
    <t>Dissociation constant of bisulfide ion (activity corrected)</t>
  </si>
  <si>
    <r>
      <t>K</t>
    </r>
    <r>
      <rPr>
        <vertAlign val="subscript"/>
        <sz val="11"/>
        <rFont val="Calibri"/>
        <family val="2"/>
        <scheme val="minor"/>
      </rPr>
      <t>S2,T</t>
    </r>
    <r>
      <rPr>
        <sz val="11"/>
        <rFont val="Calibri"/>
        <family val="2"/>
        <scheme val="minor"/>
      </rPr>
      <t>/f</t>
    </r>
    <r>
      <rPr>
        <vertAlign val="subscript"/>
        <sz val="11"/>
        <rFont val="Calibri"/>
        <family val="2"/>
        <scheme val="minor"/>
      </rPr>
      <t>di</t>
    </r>
  </si>
  <si>
    <r>
      <t>K</t>
    </r>
    <r>
      <rPr>
        <vertAlign val="subscript"/>
        <sz val="11"/>
        <rFont val="Calibri"/>
        <family val="2"/>
        <scheme val="minor"/>
      </rPr>
      <t>SO41</t>
    </r>
  </si>
  <si>
    <t>Dissociation constant of sulfuric acid (activity corrected)</t>
  </si>
  <si>
    <r>
      <t>K</t>
    </r>
    <r>
      <rPr>
        <vertAlign val="subscript"/>
        <sz val="11"/>
        <rFont val="Calibri"/>
        <family val="2"/>
        <scheme val="minor"/>
      </rPr>
      <t>SO41,T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</si>
  <si>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SO42</t>
    </r>
  </si>
  <si>
    <t>Dissociation constant of bisulfate (activity corrected)</t>
  </si>
  <si>
    <r>
      <t>K</t>
    </r>
    <r>
      <rPr>
        <vertAlign val="subscript"/>
        <sz val="11"/>
        <rFont val="Calibri"/>
        <family val="2"/>
        <scheme val="minor"/>
      </rPr>
      <t>SO42,T</t>
    </r>
    <r>
      <rPr>
        <sz val="11"/>
        <rFont val="Calibri"/>
        <family val="2"/>
        <scheme val="minor"/>
      </rPr>
      <t>/f</t>
    </r>
    <r>
      <rPr>
        <vertAlign val="subscript"/>
        <sz val="11"/>
        <rFont val="Calibri"/>
        <family val="2"/>
        <scheme val="minor"/>
      </rPr>
      <t>di</t>
    </r>
  </si>
  <si>
    <r>
      <t>K</t>
    </r>
    <r>
      <rPr>
        <vertAlign val="subscript"/>
        <sz val="11"/>
        <rFont val="Calibri"/>
        <family val="2"/>
        <scheme val="minor"/>
      </rPr>
      <t>sp,FeS</t>
    </r>
  </si>
  <si>
    <t>Solubility constant of FeS (activity corrected)</t>
  </si>
  <si>
    <r>
      <t>K</t>
    </r>
    <r>
      <rPr>
        <vertAlign val="subscript"/>
        <sz val="11"/>
        <rFont val="Calibri"/>
        <family val="2"/>
        <scheme val="minor"/>
      </rPr>
      <t>sp,FeS,param</t>
    </r>
    <r>
      <rPr>
        <sz val="11"/>
        <rFont val="Calibri"/>
        <family val="2"/>
        <scheme val="minor"/>
      </rPr>
      <t>/f</t>
    </r>
    <r>
      <rPr>
        <vertAlign val="subscript"/>
        <sz val="11"/>
        <rFont val="Calibri"/>
        <family val="2"/>
        <scheme val="minor"/>
      </rPr>
      <t>di</t>
    </r>
  </si>
  <si>
    <r>
      <t>[HS</t>
    </r>
    <r>
      <rPr>
        <vertAlign val="superscript"/>
        <sz val="11"/>
        <rFont val="Calibri"/>
        <family val="2"/>
        <scheme val="minor"/>
      </rPr>
      <t>-</t>
    </r>
    <r>
      <rPr>
        <sz val="11"/>
        <rFont val="Calibri"/>
        <family val="2"/>
        <scheme val="minor"/>
      </rPr>
      <t>]</t>
    </r>
    <r>
      <rPr>
        <vertAlign val="subscript"/>
        <sz val="11"/>
        <rFont val="Calibri"/>
        <family val="2"/>
        <scheme val="minor"/>
      </rPr>
      <t>eq</t>
    </r>
  </si>
  <si>
    <t>Hydrosulfate molar concentration at equivalence point</t>
  </si>
  <si>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S1</t>
    </r>
    <r>
      <rPr>
        <sz val="11"/>
        <rFont val="Calibri"/>
        <family val="2"/>
        <scheme val="minor"/>
      </rPr>
      <t>*S</t>
    </r>
    <r>
      <rPr>
        <vertAlign val="subscript"/>
        <sz val="11"/>
        <rFont val="Calibri"/>
        <family val="2"/>
        <scheme val="minor"/>
      </rPr>
      <t>H2S</t>
    </r>
    <r>
      <rPr>
        <sz val="11"/>
        <rFont val="Calibri"/>
        <family val="2"/>
        <scheme val="minor"/>
      </rPr>
      <t>/(AM</t>
    </r>
    <r>
      <rPr>
        <vertAlign val="subscript"/>
        <sz val="11"/>
        <rFont val="Calibri"/>
        <family val="2"/>
        <scheme val="minor"/>
      </rPr>
      <t>S</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S1</t>
    </r>
    <r>
      <rPr>
        <sz val="11"/>
        <rFont val="Calibri"/>
        <family val="2"/>
        <scheme val="minor"/>
      </rPr>
      <t>+K</t>
    </r>
    <r>
      <rPr>
        <vertAlign val="subscript"/>
        <sz val="11"/>
        <rFont val="Calibri"/>
        <family val="2"/>
        <scheme val="minor"/>
      </rPr>
      <t>S1</t>
    </r>
    <r>
      <rPr>
        <sz val="11"/>
        <rFont val="Calibri"/>
        <family val="2"/>
        <scheme val="minor"/>
      </rPr>
      <t>*K</t>
    </r>
    <r>
      <rPr>
        <vertAlign val="subscript"/>
        <sz val="11"/>
        <rFont val="Calibri"/>
        <family val="2"/>
        <scheme val="minor"/>
      </rPr>
      <t>S2</t>
    </r>
    <r>
      <rPr>
        <sz val="11"/>
        <rFont val="Calibri"/>
        <family val="2"/>
        <scheme val="minor"/>
      </rPr>
      <t>)</t>
    </r>
  </si>
  <si>
    <r>
      <t>K</t>
    </r>
    <r>
      <rPr>
        <vertAlign val="subscript"/>
        <sz val="11"/>
        <rFont val="Calibri"/>
        <family val="2"/>
        <scheme val="minor"/>
      </rPr>
      <t>S1,T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</si>
  <si>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S2,T</t>
    </r>
    <r>
      <rPr>
        <sz val="11"/>
        <rFont val="Calibri"/>
        <family val="2"/>
        <scheme val="minor"/>
      </rPr>
      <t>/f</t>
    </r>
    <r>
      <rPr>
        <vertAlign val="subscript"/>
        <sz val="11"/>
        <rFont val="Calibri"/>
        <family val="2"/>
        <scheme val="minor"/>
      </rPr>
      <t>di,field</t>
    </r>
  </si>
  <si>
    <r>
      <t>Conc</t>
    </r>
    <r>
      <rPr>
        <vertAlign val="subscript"/>
        <sz val="11"/>
        <rFont val="Calibri"/>
        <family val="2"/>
        <scheme val="minor"/>
      </rPr>
      <t>H2S,NonpH</t>
    </r>
  </si>
  <si>
    <r>
      <t>Concentration of H</t>
    </r>
    <r>
      <rPr>
        <vertAlign val="subscript"/>
        <sz val="11"/>
        <color rgb="FF000000"/>
        <rFont val="Calibri"/>
        <family val="2"/>
        <scheme val="minor"/>
      </rPr>
      <t>2</t>
    </r>
    <r>
      <rPr>
        <sz val="11"/>
        <color rgb="FF000000"/>
        <rFont val="Calibri"/>
        <family val="2"/>
        <charset val="238"/>
        <scheme val="minor"/>
      </rPr>
      <t>S at pH 7 (pH not calculated)</t>
    </r>
  </si>
  <si>
    <r>
      <t>10^(-2*pH</t>
    </r>
    <r>
      <rPr>
        <vertAlign val="subscript"/>
        <sz val="11"/>
        <rFont val="Calibri"/>
        <family val="2"/>
        <scheme val="minor"/>
      </rPr>
      <t>field</t>
    </r>
    <r>
      <rPr>
        <sz val="11"/>
        <rFont val="Calibri"/>
        <family val="2"/>
        <scheme val="minor"/>
      </rPr>
      <t>)</t>
    </r>
    <r>
      <rPr>
        <sz val="11"/>
        <rFont val="Calibri"/>
        <family val="2"/>
      </rPr>
      <t>*S</t>
    </r>
    <r>
      <rPr>
        <vertAlign val="subscript"/>
        <sz val="11"/>
        <rFont val="Calibri"/>
        <family val="2"/>
      </rPr>
      <t>H2S</t>
    </r>
    <r>
      <rPr>
        <sz val="11"/>
        <rFont val="Calibri"/>
        <family val="2"/>
      </rPr>
      <t>/(AM</t>
    </r>
    <r>
      <rPr>
        <vertAlign val="subscript"/>
        <sz val="11"/>
        <rFont val="Calibri"/>
        <family val="2"/>
      </rPr>
      <t>S</t>
    </r>
    <r>
      <rPr>
        <sz val="11"/>
        <rFont val="Calibri"/>
        <family val="2"/>
      </rPr>
      <t>*1000)/(10^(-2*pH</t>
    </r>
    <r>
      <rPr>
        <vertAlign val="subscript"/>
        <sz val="11"/>
        <rFont val="Calibri"/>
        <family val="2"/>
      </rPr>
      <t>field</t>
    </r>
    <r>
      <rPr>
        <sz val="11"/>
        <rFont val="Calibri"/>
        <family val="2"/>
      </rPr>
      <t>)+10^(-pH</t>
    </r>
    <r>
      <rPr>
        <vertAlign val="subscript"/>
        <sz val="11"/>
        <rFont val="Calibri"/>
        <family val="2"/>
      </rPr>
      <t>field</t>
    </r>
    <r>
      <rPr>
        <sz val="11"/>
        <rFont val="Calibri"/>
        <family val="2"/>
      </rPr>
      <t>)*K</t>
    </r>
    <r>
      <rPr>
        <vertAlign val="subscript"/>
        <sz val="11"/>
        <rFont val="Calibri"/>
        <family val="2"/>
      </rPr>
      <t>S1</t>
    </r>
    <r>
      <rPr>
        <sz val="11"/>
        <rFont val="Calibri"/>
        <family val="2"/>
      </rPr>
      <t>+K</t>
    </r>
    <r>
      <rPr>
        <vertAlign val="subscript"/>
        <sz val="11"/>
        <rFont val="Calibri"/>
        <family val="2"/>
      </rPr>
      <t>S1</t>
    </r>
    <r>
      <rPr>
        <sz val="11"/>
        <rFont val="Calibri"/>
        <family val="2"/>
      </rPr>
      <t>* K</t>
    </r>
    <r>
      <rPr>
        <vertAlign val="subscript"/>
        <sz val="11"/>
        <rFont val="Calibri"/>
        <family val="2"/>
      </rPr>
      <t>S2</t>
    </r>
    <r>
      <rPr>
        <sz val="11"/>
        <rFont val="Calibri"/>
        <family val="2"/>
      </rPr>
      <t>)</t>
    </r>
  </si>
  <si>
    <r>
      <t>Gas transfer rate for H</t>
    </r>
    <r>
      <rPr>
        <vertAlign val="subscript"/>
        <sz val="11"/>
        <color rgb="FF000000"/>
        <rFont val="Calibri"/>
        <family val="2"/>
        <scheme val="minor"/>
      </rPr>
      <t>2</t>
    </r>
    <r>
      <rPr>
        <sz val="11"/>
        <color rgb="FF000000"/>
        <rFont val="Calibri"/>
        <family val="2"/>
        <charset val="238"/>
        <scheme val="minor"/>
      </rPr>
      <t>S - bubbles</t>
    </r>
  </si>
  <si>
    <r>
      <t>k</t>
    </r>
    <r>
      <rPr>
        <vertAlign val="subscript"/>
        <sz val="11"/>
        <color indexed="8"/>
        <rFont val="Calibri"/>
        <family val="2"/>
        <scheme val="minor"/>
      </rPr>
      <t>L</t>
    </r>
    <r>
      <rPr>
        <sz val="11"/>
        <color indexed="8"/>
        <rFont val="Calibri"/>
        <family val="2"/>
        <scheme val="minor"/>
      </rPr>
      <t>a</t>
    </r>
    <r>
      <rPr>
        <vertAlign val="subscript"/>
        <sz val="11"/>
        <color indexed="8"/>
        <rFont val="Calibri"/>
        <family val="2"/>
        <scheme val="minor"/>
      </rPr>
      <t xml:space="preserve">GH2S,bub </t>
    </r>
    <r>
      <rPr>
        <sz val="11"/>
        <color indexed="8"/>
        <rFont val="Calibri"/>
        <family val="2"/>
        <scheme val="minor"/>
      </rPr>
      <t>* (S</t>
    </r>
    <r>
      <rPr>
        <vertAlign val="subscript"/>
        <sz val="11"/>
        <color indexed="8"/>
        <rFont val="Calibri"/>
        <family val="2"/>
        <scheme val="minor"/>
      </rPr>
      <t xml:space="preserve">GH2S,bub,sat </t>
    </r>
    <r>
      <rPr>
        <sz val="11"/>
        <color indexed="8"/>
        <rFont val="Calibri"/>
        <family val="2"/>
        <scheme val="minor"/>
      </rPr>
      <t>- [H</t>
    </r>
    <r>
      <rPr>
        <vertAlign val="subscript"/>
        <sz val="11"/>
        <color indexed="8"/>
        <rFont val="Calibri"/>
        <family val="2"/>
        <scheme val="minor"/>
      </rPr>
      <t>2</t>
    </r>
    <r>
      <rPr>
        <sz val="11"/>
        <color indexed="8"/>
        <rFont val="Calibri"/>
        <family val="2"/>
        <scheme val="minor"/>
      </rPr>
      <t>S]*MM</t>
    </r>
    <r>
      <rPr>
        <vertAlign val="subscript"/>
        <sz val="11"/>
        <color indexed="8"/>
        <rFont val="Calibri"/>
        <family val="2"/>
        <scheme val="minor"/>
      </rPr>
      <t>EQ,GH2S</t>
    </r>
    <r>
      <rPr>
        <sz val="11"/>
        <color indexed="8"/>
        <rFont val="Calibri"/>
        <family val="2"/>
        <scheme val="minor"/>
      </rPr>
      <t>*c</t>
    </r>
    <r>
      <rPr>
        <vertAlign val="subscript"/>
        <sz val="11"/>
        <color indexed="8"/>
        <rFont val="Calibri"/>
        <family val="2"/>
        <scheme val="minor"/>
      </rPr>
      <t>L,m3</t>
    </r>
    <r>
      <rPr>
        <sz val="11"/>
        <color indexed="8"/>
        <rFont val="Calibri"/>
        <family val="2"/>
        <scheme val="minor"/>
      </rPr>
      <t>)</t>
    </r>
  </si>
  <si>
    <r>
      <t>k</t>
    </r>
    <r>
      <rPr>
        <vertAlign val="subscript"/>
        <sz val="11"/>
        <color indexed="8"/>
        <rFont val="Calibri"/>
        <family val="2"/>
        <scheme val="minor"/>
      </rPr>
      <t>L</t>
    </r>
    <r>
      <rPr>
        <sz val="11"/>
        <color indexed="8"/>
        <rFont val="Calibri"/>
        <family val="2"/>
        <scheme val="minor"/>
      </rPr>
      <t>a</t>
    </r>
    <r>
      <rPr>
        <vertAlign val="subscript"/>
        <sz val="11"/>
        <color indexed="8"/>
        <rFont val="Calibri"/>
        <family val="2"/>
        <scheme val="minor"/>
      </rPr>
      <t xml:space="preserve">GH2S,bub </t>
    </r>
    <r>
      <rPr>
        <sz val="11"/>
        <color indexed="8"/>
        <rFont val="Calibri"/>
        <family val="2"/>
        <scheme val="minor"/>
      </rPr>
      <t>* (S</t>
    </r>
    <r>
      <rPr>
        <vertAlign val="subscript"/>
        <sz val="11"/>
        <color indexed="8"/>
        <rFont val="Calibri"/>
        <family val="2"/>
        <scheme val="minor"/>
      </rPr>
      <t xml:space="preserve">GH2S,bub,sat </t>
    </r>
    <r>
      <rPr>
        <sz val="11"/>
        <color indexed="8"/>
        <rFont val="Calibri"/>
        <family val="2"/>
        <scheme val="minor"/>
      </rPr>
      <t>- Conc</t>
    </r>
    <r>
      <rPr>
        <vertAlign val="subscript"/>
        <sz val="11"/>
        <color rgb="FF000000"/>
        <rFont val="Calibri"/>
        <family val="2"/>
        <scheme val="minor"/>
      </rPr>
      <t>H2S,NonpH</t>
    </r>
    <r>
      <rPr>
        <sz val="11"/>
        <color indexed="8"/>
        <rFont val="Calibri"/>
        <family val="2"/>
        <scheme val="minor"/>
      </rPr>
      <t>*MM</t>
    </r>
    <r>
      <rPr>
        <vertAlign val="subscript"/>
        <sz val="11"/>
        <color indexed="8"/>
        <rFont val="Calibri"/>
        <family val="2"/>
        <scheme val="minor"/>
      </rPr>
      <t>EQ,GH2S</t>
    </r>
    <r>
      <rPr>
        <sz val="11"/>
        <color indexed="8"/>
        <rFont val="Calibri"/>
        <family val="2"/>
        <scheme val="minor"/>
      </rPr>
      <t>*c</t>
    </r>
    <r>
      <rPr>
        <vertAlign val="subscript"/>
        <sz val="11"/>
        <color indexed="8"/>
        <rFont val="Calibri"/>
        <family val="2"/>
        <scheme val="minor"/>
      </rPr>
      <t>L,m3</t>
    </r>
    <r>
      <rPr>
        <sz val="11"/>
        <color indexed="8"/>
        <rFont val="Calibri"/>
        <family val="2"/>
        <scheme val="minor"/>
      </rPr>
      <t>)</t>
    </r>
  </si>
  <si>
    <r>
      <t>Gas transfer rate for H</t>
    </r>
    <r>
      <rPr>
        <vertAlign val="subscript"/>
        <sz val="11"/>
        <color rgb="FF000000"/>
        <rFont val="Calibri"/>
        <family val="2"/>
        <scheme val="minor"/>
      </rPr>
      <t>2</t>
    </r>
    <r>
      <rPr>
        <sz val="11"/>
        <color rgb="FF000000"/>
        <rFont val="Calibri"/>
        <family val="2"/>
        <charset val="238"/>
        <scheme val="minor"/>
      </rPr>
      <t>S - surface</t>
    </r>
  </si>
  <si>
    <r>
      <t>k</t>
    </r>
    <r>
      <rPr>
        <vertAlign val="subscript"/>
        <sz val="11"/>
        <color indexed="8"/>
        <rFont val="Calibri"/>
        <family val="2"/>
        <scheme val="minor"/>
      </rPr>
      <t>L</t>
    </r>
    <r>
      <rPr>
        <sz val="11"/>
        <color indexed="8"/>
        <rFont val="Calibri"/>
        <family val="2"/>
        <scheme val="minor"/>
      </rPr>
      <t>a</t>
    </r>
    <r>
      <rPr>
        <vertAlign val="subscript"/>
        <sz val="11"/>
        <color indexed="8"/>
        <rFont val="Calibri"/>
        <family val="2"/>
        <scheme val="minor"/>
      </rPr>
      <t xml:space="preserve">GH2S,sur </t>
    </r>
    <r>
      <rPr>
        <sz val="11"/>
        <color indexed="8"/>
        <rFont val="Calibri"/>
        <family val="2"/>
        <scheme val="minor"/>
      </rPr>
      <t>* (S</t>
    </r>
    <r>
      <rPr>
        <vertAlign val="subscript"/>
        <sz val="11"/>
        <color indexed="8"/>
        <rFont val="Calibri"/>
        <family val="2"/>
        <scheme val="minor"/>
      </rPr>
      <t xml:space="preserve">GH2S,sur,sat </t>
    </r>
    <r>
      <rPr>
        <sz val="11"/>
        <color indexed="8"/>
        <rFont val="Calibri"/>
        <family val="2"/>
        <scheme val="minor"/>
      </rPr>
      <t>- [H</t>
    </r>
    <r>
      <rPr>
        <vertAlign val="subscript"/>
        <sz val="11"/>
        <color indexed="8"/>
        <rFont val="Calibri"/>
        <family val="2"/>
        <scheme val="minor"/>
      </rPr>
      <t>2</t>
    </r>
    <r>
      <rPr>
        <sz val="11"/>
        <color indexed="8"/>
        <rFont val="Calibri"/>
        <family val="2"/>
        <scheme val="minor"/>
      </rPr>
      <t>S] * MM</t>
    </r>
    <r>
      <rPr>
        <vertAlign val="subscript"/>
        <sz val="11"/>
        <color indexed="8"/>
        <rFont val="Calibri"/>
        <family val="2"/>
        <scheme val="minor"/>
      </rPr>
      <t xml:space="preserve">EQ,GH2S </t>
    </r>
    <r>
      <rPr>
        <sz val="11"/>
        <color indexed="8"/>
        <rFont val="Calibri"/>
        <family val="2"/>
        <scheme val="minor"/>
      </rPr>
      <t>* c</t>
    </r>
    <r>
      <rPr>
        <vertAlign val="subscript"/>
        <sz val="11"/>
        <color indexed="8"/>
        <rFont val="Calibri"/>
        <family val="2"/>
        <scheme val="minor"/>
      </rPr>
      <t>L,m3</t>
    </r>
    <r>
      <rPr>
        <sz val="11"/>
        <color indexed="8"/>
        <rFont val="Calibri"/>
        <family val="2"/>
        <scheme val="minor"/>
      </rPr>
      <t>)</t>
    </r>
  </si>
  <si>
    <r>
      <t>k</t>
    </r>
    <r>
      <rPr>
        <vertAlign val="subscript"/>
        <sz val="11"/>
        <color indexed="8"/>
        <rFont val="Calibri"/>
        <family val="2"/>
        <scheme val="minor"/>
      </rPr>
      <t>L</t>
    </r>
    <r>
      <rPr>
        <sz val="11"/>
        <color indexed="8"/>
        <rFont val="Calibri"/>
        <family val="2"/>
        <scheme val="minor"/>
      </rPr>
      <t>a</t>
    </r>
    <r>
      <rPr>
        <vertAlign val="subscript"/>
        <sz val="11"/>
        <color indexed="8"/>
        <rFont val="Calibri"/>
        <family val="2"/>
        <scheme val="minor"/>
      </rPr>
      <t xml:space="preserve">GH2S,sur </t>
    </r>
    <r>
      <rPr>
        <sz val="11"/>
        <color indexed="8"/>
        <rFont val="Calibri"/>
        <family val="2"/>
        <scheme val="minor"/>
      </rPr>
      <t>* (S</t>
    </r>
    <r>
      <rPr>
        <vertAlign val="subscript"/>
        <sz val="11"/>
        <color indexed="8"/>
        <rFont val="Calibri"/>
        <family val="2"/>
        <scheme val="minor"/>
      </rPr>
      <t xml:space="preserve">GH2S,sur,sat </t>
    </r>
    <r>
      <rPr>
        <sz val="11"/>
        <color indexed="8"/>
        <rFont val="Calibri"/>
        <family val="2"/>
        <scheme val="minor"/>
      </rPr>
      <t>- Conc</t>
    </r>
    <r>
      <rPr>
        <vertAlign val="subscript"/>
        <sz val="11"/>
        <color rgb="FF000000"/>
        <rFont val="Calibri"/>
        <family val="2"/>
        <scheme val="minor"/>
      </rPr>
      <t>H2S,NonpH</t>
    </r>
    <r>
      <rPr>
        <sz val="11"/>
        <color indexed="8"/>
        <rFont val="Calibri"/>
        <family val="2"/>
        <scheme val="minor"/>
      </rPr>
      <t xml:space="preserve"> * MM</t>
    </r>
    <r>
      <rPr>
        <vertAlign val="subscript"/>
        <sz val="11"/>
        <color indexed="8"/>
        <rFont val="Calibri"/>
        <family val="2"/>
        <scheme val="minor"/>
      </rPr>
      <t xml:space="preserve">EQ,GH2S </t>
    </r>
    <r>
      <rPr>
        <sz val="11"/>
        <color indexed="8"/>
        <rFont val="Calibri"/>
        <family val="2"/>
        <scheme val="minor"/>
      </rPr>
      <t>* c</t>
    </r>
    <r>
      <rPr>
        <vertAlign val="subscript"/>
        <sz val="11"/>
        <color indexed="8"/>
        <rFont val="Calibri"/>
        <family val="2"/>
        <scheme val="minor"/>
      </rPr>
      <t>L,m3</t>
    </r>
    <r>
      <rPr>
        <sz val="11"/>
        <color indexed="8"/>
        <rFont val="Calibri"/>
        <family val="2"/>
        <scheme val="minor"/>
      </rPr>
      <t>)</t>
    </r>
  </si>
  <si>
    <r>
      <t>k</t>
    </r>
    <r>
      <rPr>
        <vertAlign val="subscript"/>
        <sz val="11"/>
        <rFont val="Calibri"/>
        <family val="2"/>
        <scheme val="minor"/>
      </rPr>
      <t>L,GH2S,bub</t>
    </r>
  </si>
  <si>
    <r>
      <t>Liquid-side mass transfer coefficient of H</t>
    </r>
    <r>
      <rPr>
        <vertAlign val="subscript"/>
        <sz val="11"/>
        <color rgb="FF000000"/>
        <rFont val="Calibri"/>
        <family val="2"/>
        <scheme val="minor"/>
      </rPr>
      <t>2</t>
    </r>
    <r>
      <rPr>
        <sz val="11"/>
        <color rgb="FF000000"/>
        <rFont val="Calibri"/>
        <family val="2"/>
        <charset val="238"/>
        <scheme val="minor"/>
      </rPr>
      <t>S</t>
    </r>
    <r>
      <rPr>
        <sz val="11"/>
        <rFont val="Calibri"/>
        <family val="2"/>
        <scheme val="minor"/>
      </rPr>
      <t xml:space="preserve"> for gas bubbles</t>
    </r>
  </si>
  <si>
    <r>
      <t>f</t>
    </r>
    <r>
      <rPr>
        <vertAlign val="subscript"/>
        <sz val="11"/>
        <rFont val="Calibri"/>
        <family val="2"/>
        <scheme val="minor"/>
      </rPr>
      <t>kL,GH2S</t>
    </r>
    <r>
      <rPr>
        <sz val="11"/>
        <rFont val="Calibri"/>
        <family val="2"/>
        <scheme val="minor"/>
      </rPr>
      <t>*(D</t>
    </r>
    <r>
      <rPr>
        <vertAlign val="subscript"/>
        <sz val="11"/>
        <rFont val="Calibri"/>
        <family val="2"/>
        <scheme val="minor"/>
      </rPr>
      <t>GH2S,25</t>
    </r>
    <r>
      <rPr>
        <sz val="11"/>
        <rFont val="Calibri"/>
        <family val="2"/>
        <scheme val="minor"/>
      </rPr>
      <t>/D</t>
    </r>
    <r>
      <rPr>
        <vertAlign val="subscript"/>
        <sz val="11"/>
        <rFont val="Calibri"/>
        <family val="2"/>
        <scheme val="minor"/>
      </rPr>
      <t>GO2,25</t>
    </r>
    <r>
      <rPr>
        <sz val="11"/>
        <rFont val="Calibri"/>
        <family val="2"/>
        <scheme val="minor"/>
      </rPr>
      <t>)^0.5*k</t>
    </r>
    <r>
      <rPr>
        <vertAlign val="subscript"/>
        <sz val="11"/>
        <rFont val="Calibri"/>
        <family val="2"/>
        <scheme val="minor"/>
      </rPr>
      <t>L,GO2,bub</t>
    </r>
  </si>
  <si>
    <r>
      <t>k</t>
    </r>
    <r>
      <rPr>
        <vertAlign val="subscript"/>
        <sz val="11"/>
        <rFont val="Calibri"/>
        <family val="2"/>
        <scheme val="minor"/>
      </rPr>
      <t>L,GH2S,sur</t>
    </r>
  </si>
  <si>
    <r>
      <t>Liquid-side mass transfer coefficient of H</t>
    </r>
    <r>
      <rPr>
        <vertAlign val="subscript"/>
        <sz val="11"/>
        <color rgb="FF000000"/>
        <rFont val="Calibri"/>
        <family val="2"/>
        <scheme val="minor"/>
      </rPr>
      <t>2</t>
    </r>
    <r>
      <rPr>
        <sz val="11"/>
        <color rgb="FF000000"/>
        <rFont val="Calibri"/>
        <family val="2"/>
        <charset val="238"/>
        <scheme val="minor"/>
      </rPr>
      <t>S</t>
    </r>
    <r>
      <rPr>
        <sz val="11"/>
        <rFont val="Calibri"/>
        <family val="2"/>
        <scheme val="minor"/>
      </rPr>
      <t xml:space="preserve"> at liquid surface</t>
    </r>
  </si>
  <si>
    <r>
      <t>f</t>
    </r>
    <r>
      <rPr>
        <vertAlign val="subscript"/>
        <sz val="11"/>
        <rFont val="Calibri"/>
        <family val="2"/>
        <scheme val="minor"/>
      </rPr>
      <t>kL,GH2S</t>
    </r>
    <r>
      <rPr>
        <sz val="11"/>
        <rFont val="Calibri"/>
        <family val="2"/>
        <scheme val="minor"/>
      </rPr>
      <t>*(D</t>
    </r>
    <r>
      <rPr>
        <vertAlign val="subscript"/>
        <sz val="11"/>
        <rFont val="Calibri"/>
        <family val="2"/>
        <scheme val="minor"/>
      </rPr>
      <t>GH2S,25</t>
    </r>
    <r>
      <rPr>
        <sz val="11"/>
        <rFont val="Calibri"/>
        <family val="2"/>
        <scheme val="minor"/>
      </rPr>
      <t>/D</t>
    </r>
    <r>
      <rPr>
        <vertAlign val="subscript"/>
        <sz val="11"/>
        <rFont val="Calibri"/>
        <family val="2"/>
        <scheme val="minor"/>
      </rPr>
      <t>GO2,25</t>
    </r>
    <r>
      <rPr>
        <sz val="11"/>
        <rFont val="Calibri"/>
        <family val="2"/>
        <scheme val="minor"/>
      </rPr>
      <t>)^0.5*k</t>
    </r>
    <r>
      <rPr>
        <vertAlign val="subscript"/>
        <sz val="11"/>
        <rFont val="Calibri"/>
        <family val="2"/>
        <scheme val="minor"/>
      </rPr>
      <t>L,GO2,sur</t>
    </r>
  </si>
  <si>
    <r>
      <t>ORP</t>
    </r>
    <r>
      <rPr>
        <vertAlign val="subscript"/>
        <sz val="11"/>
        <rFont val="Calibri"/>
        <family val="2"/>
        <scheme val="minor"/>
      </rPr>
      <t>base</t>
    </r>
    <r>
      <rPr>
        <sz val="11"/>
        <rFont val="Calibri"/>
        <family val="2"/>
        <scheme val="minor"/>
      </rPr>
      <t>+(ORP</t>
    </r>
    <r>
      <rPr>
        <vertAlign val="subscript"/>
        <sz val="11"/>
        <rFont val="Calibri"/>
        <family val="2"/>
        <scheme val="minor"/>
      </rPr>
      <t>max,SO2</t>
    </r>
    <r>
      <rPr>
        <sz val="11"/>
        <rFont val="Calibri"/>
        <family val="2"/>
        <scheme val="minor"/>
      </rPr>
      <t>-ORP</t>
    </r>
    <r>
      <rPr>
        <vertAlign val="subscript"/>
        <sz val="11"/>
        <rFont val="Calibri"/>
        <family val="2"/>
        <scheme val="minor"/>
      </rPr>
      <t>base)</t>
    </r>
    <r>
      <rPr>
        <sz val="11"/>
        <rFont val="Calibri"/>
        <family val="2"/>
        <scheme val="minor"/>
      </rPr>
      <t>*S</t>
    </r>
    <r>
      <rPr>
        <vertAlign val="subscript"/>
        <sz val="11"/>
        <rFont val="Calibri"/>
        <family val="2"/>
        <scheme val="minor"/>
      </rPr>
      <t>O2</t>
    </r>
    <r>
      <rPr>
        <sz val="11"/>
        <rFont val="Calibri"/>
        <family val="2"/>
        <scheme val="minor"/>
      </rPr>
      <t>/(K</t>
    </r>
    <r>
      <rPr>
        <vertAlign val="subscript"/>
        <sz val="11"/>
        <rFont val="Calibri"/>
        <family val="2"/>
        <scheme val="minor"/>
      </rPr>
      <t>ORP,SO2</t>
    </r>
    <r>
      <rPr>
        <sz val="11"/>
        <rFont val="Calibri"/>
        <family val="2"/>
        <scheme val="minor"/>
      </rPr>
      <t>+S</t>
    </r>
    <r>
      <rPr>
        <vertAlign val="subscript"/>
        <sz val="11"/>
        <rFont val="Calibri"/>
        <family val="2"/>
        <scheme val="minor"/>
      </rPr>
      <t>O2</t>
    </r>
    <r>
      <rPr>
        <sz val="11"/>
        <rFont val="Calibri"/>
        <family val="2"/>
        <scheme val="minor"/>
      </rPr>
      <t>)</t>
    </r>
  </si>
  <si>
    <r>
      <t>Ki</t>
    </r>
    <r>
      <rPr>
        <vertAlign val="subscript"/>
        <sz val="11"/>
        <rFont val="Calibri"/>
        <family val="2"/>
        <scheme val="minor"/>
      </rPr>
      <t>HNO2,AOB,pH</t>
    </r>
  </si>
  <si>
    <t>Half-inhibition of nitrous acid for AOBs</t>
  </si>
  <si>
    <r>
      <t>Ki</t>
    </r>
    <r>
      <rPr>
        <vertAlign val="subscript"/>
        <sz val="11"/>
        <rFont val="Calibri"/>
        <family val="2"/>
      </rPr>
      <t>HNO2,AOB,pH,AS</t>
    </r>
  </si>
  <si>
    <r>
      <t>Ki</t>
    </r>
    <r>
      <rPr>
        <vertAlign val="subscript"/>
        <sz val="11"/>
        <rFont val="Calibri"/>
        <family val="2"/>
      </rPr>
      <t>HNO2,AOB,pH,AS</t>
    </r>
    <r>
      <rPr>
        <sz val="11"/>
        <rFont val="Calibri"/>
        <family val="2"/>
      </rPr>
      <t>*f</t>
    </r>
    <r>
      <rPr>
        <vertAlign val="subscript"/>
        <sz val="11"/>
        <rFont val="Calibri"/>
        <family val="2"/>
      </rPr>
      <t>KS</t>
    </r>
  </si>
  <si>
    <t>SOxR</t>
  </si>
  <si>
    <t>Sulfide oxidation rate (SOxR)</t>
  </si>
  <si>
    <r>
      <t>g S.m</t>
    </r>
    <r>
      <rPr>
        <vertAlign val="superscript"/>
        <sz val="11"/>
        <rFont val="Calibri"/>
        <family val="2"/>
        <scheme val="minor"/>
      </rPr>
      <t>-3</t>
    </r>
    <r>
      <rPr>
        <sz val="11"/>
        <rFont val="Calibri"/>
        <family val="2"/>
        <scheme val="minor"/>
      </rPr>
      <t>.d</t>
    </r>
    <r>
      <rPr>
        <vertAlign val="superscript"/>
        <sz val="11"/>
        <rFont val="Calibri"/>
        <family val="2"/>
        <scheme val="minor"/>
      </rPr>
      <t>-1</t>
    </r>
  </si>
  <si>
    <t>SRR</t>
  </si>
  <si>
    <t>Sulfate reduction rate (SRR)</t>
  </si>
  <si>
    <t>r109</t>
  </si>
  <si>
    <t>r110</t>
  </si>
  <si>
    <t>r112</t>
  </si>
  <si>
    <t>r113</t>
  </si>
  <si>
    <t>r114</t>
  </si>
  <si>
    <t>r115</t>
  </si>
  <si>
    <t>r116</t>
  </si>
  <si>
    <t>r117</t>
  </si>
  <si>
    <t>r122</t>
  </si>
  <si>
    <t>r123</t>
  </si>
  <si>
    <t>r124</t>
  </si>
  <si>
    <t>r125</t>
  </si>
  <si>
    <t>r126</t>
  </si>
  <si>
    <t>r127</t>
  </si>
  <si>
    <t>r128</t>
  </si>
  <si>
    <t>r129</t>
  </si>
  <si>
    <t>r130</t>
  </si>
  <si>
    <t>r131</t>
  </si>
  <si>
    <t>r132</t>
  </si>
  <si>
    <t>r133</t>
  </si>
  <si>
    <r>
      <t>k</t>
    </r>
    <r>
      <rPr>
        <vertAlign val="subscript"/>
        <sz val="11"/>
        <rFont val="Calibri"/>
        <family val="2"/>
      </rPr>
      <t>transfer,MM</t>
    </r>
    <r>
      <rPr>
        <sz val="11"/>
        <rFont val="Calibri"/>
        <family val="2"/>
      </rPr>
      <t>*S</t>
    </r>
    <r>
      <rPr>
        <vertAlign val="subscript"/>
        <sz val="11"/>
        <rFont val="Calibri"/>
        <family val="2"/>
      </rPr>
      <t>MM,index</t>
    </r>
    <r>
      <rPr>
        <sz val="11"/>
        <rFont val="Calibri"/>
        <family val="2"/>
      </rPr>
      <t>*(v93_G</t>
    </r>
    <r>
      <rPr>
        <vertAlign val="subscript"/>
        <sz val="11"/>
        <rFont val="Calibri"/>
        <family val="2"/>
      </rPr>
      <t>CO2</t>
    </r>
    <r>
      <rPr>
        <sz val="11"/>
        <rFont val="Calibri"/>
        <family val="2"/>
      </rPr>
      <t>*r93+v94_G</t>
    </r>
    <r>
      <rPr>
        <vertAlign val="subscript"/>
        <sz val="11"/>
        <rFont val="Calibri"/>
        <family val="2"/>
      </rPr>
      <t>CH4</t>
    </r>
    <r>
      <rPr>
        <sz val="11"/>
        <rFont val="Calibri"/>
        <family val="2"/>
      </rPr>
      <t>*r94+v95_G</t>
    </r>
    <r>
      <rPr>
        <vertAlign val="subscript"/>
        <sz val="11"/>
        <rFont val="Calibri"/>
        <family val="2"/>
      </rPr>
      <t>H2</t>
    </r>
    <r>
      <rPr>
        <sz val="11"/>
        <rFont val="Calibri"/>
        <family val="2"/>
      </rPr>
      <t>*r95+v96_G</t>
    </r>
    <r>
      <rPr>
        <vertAlign val="subscript"/>
        <sz val="11"/>
        <rFont val="Calibri"/>
        <family val="2"/>
      </rPr>
      <t>O2</t>
    </r>
    <r>
      <rPr>
        <sz val="11"/>
        <rFont val="Calibri"/>
        <family val="2"/>
      </rPr>
      <t>*r96+v97_G</t>
    </r>
    <r>
      <rPr>
        <vertAlign val="subscript"/>
        <sz val="11"/>
        <rFont val="Calibri"/>
        <family val="2"/>
      </rPr>
      <t>NH3</t>
    </r>
    <r>
      <rPr>
        <sz val="11"/>
        <rFont val="Calibri"/>
        <family val="2"/>
      </rPr>
      <t>*r97+v100_G</t>
    </r>
    <r>
      <rPr>
        <vertAlign val="subscript"/>
        <sz val="11"/>
        <rFont val="Calibri"/>
        <family val="2"/>
      </rPr>
      <t>N2</t>
    </r>
    <r>
      <rPr>
        <sz val="11"/>
        <rFont val="Calibri"/>
        <family val="2"/>
      </rPr>
      <t>*r100+v133_G</t>
    </r>
    <r>
      <rPr>
        <vertAlign val="subscript"/>
        <sz val="11"/>
        <rFont val="Calibri"/>
        <family val="2"/>
      </rPr>
      <t>H2S</t>
    </r>
    <r>
      <rPr>
        <sz val="11"/>
        <rFont val="Calibri"/>
        <family val="2"/>
      </rPr>
      <t>*r133)</t>
    </r>
  </si>
  <si>
    <r>
      <t>COUR + NOUR - (v119_S</t>
    </r>
    <r>
      <rPr>
        <vertAlign val="subscript"/>
        <sz val="11"/>
        <rFont val="Calibri"/>
        <family val="2"/>
        <charset val="238"/>
        <scheme val="minor"/>
      </rPr>
      <t>O2</t>
    </r>
    <r>
      <rPr>
        <sz val="11"/>
        <rFont val="Calibri"/>
        <family val="2"/>
        <scheme val="minor"/>
      </rPr>
      <t xml:space="preserve"> * r119 + v122_S</t>
    </r>
    <r>
      <rPr>
        <vertAlign val="subscript"/>
        <sz val="11"/>
        <rFont val="Calibri"/>
        <family val="2"/>
        <charset val="238"/>
        <scheme val="minor"/>
      </rPr>
      <t>O2</t>
    </r>
    <r>
      <rPr>
        <sz val="11"/>
        <rFont val="Calibri"/>
        <family val="2"/>
        <scheme val="minor"/>
      </rPr>
      <t xml:space="preserve"> * r122 + v127_S</t>
    </r>
    <r>
      <rPr>
        <vertAlign val="subscript"/>
        <sz val="11"/>
        <rFont val="Calibri"/>
        <family val="2"/>
        <charset val="238"/>
        <scheme val="minor"/>
      </rPr>
      <t>O2</t>
    </r>
    <r>
      <rPr>
        <sz val="11"/>
        <rFont val="Calibri"/>
        <family val="2"/>
        <scheme val="minor"/>
      </rPr>
      <t xml:space="preserve"> * r127 + v128_S</t>
    </r>
    <r>
      <rPr>
        <vertAlign val="subscript"/>
        <sz val="11"/>
        <rFont val="Calibri"/>
        <family val="2"/>
        <charset val="238"/>
        <scheme val="minor"/>
      </rPr>
      <t>O2</t>
    </r>
    <r>
      <rPr>
        <sz val="11"/>
        <rFont val="Calibri"/>
        <family val="2"/>
        <scheme val="minor"/>
      </rPr>
      <t xml:space="preserve"> * r128 + v79_S</t>
    </r>
    <r>
      <rPr>
        <vertAlign val="subscript"/>
        <sz val="11"/>
        <rFont val="Calibri"/>
        <family val="2"/>
        <charset val="238"/>
        <scheme val="minor"/>
      </rPr>
      <t>O2</t>
    </r>
    <r>
      <rPr>
        <sz val="11"/>
        <rFont val="Calibri"/>
        <family val="2"/>
        <scheme val="minor"/>
      </rPr>
      <t xml:space="preserve"> * r79 + v131_S</t>
    </r>
    <r>
      <rPr>
        <vertAlign val="subscript"/>
        <sz val="11"/>
        <rFont val="Calibri"/>
        <family val="2"/>
        <charset val="238"/>
        <scheme val="minor"/>
      </rPr>
      <t>O2</t>
    </r>
    <r>
      <rPr>
        <sz val="11"/>
        <rFont val="Calibri"/>
        <family val="2"/>
        <scheme val="minor"/>
      </rPr>
      <t xml:space="preserve"> * r131)</t>
    </r>
  </si>
  <si>
    <r>
      <t>-(v2_S</t>
    </r>
    <r>
      <rPr>
        <vertAlign val="subscript"/>
        <sz val="11"/>
        <rFont val="Calibri"/>
        <family val="2"/>
        <scheme val="minor"/>
      </rPr>
      <t>NO3</t>
    </r>
    <r>
      <rPr>
        <sz val="11"/>
        <rFont val="Calibri"/>
        <family val="2"/>
        <scheme val="minor"/>
      </rPr>
      <t>*r2+v7_S</t>
    </r>
    <r>
      <rPr>
        <vertAlign val="subscript"/>
        <sz val="11"/>
        <rFont val="Calibri"/>
        <family val="2"/>
        <scheme val="minor"/>
      </rPr>
      <t>NO3</t>
    </r>
    <r>
      <rPr>
        <sz val="11"/>
        <rFont val="Calibri"/>
        <family val="2"/>
        <scheme val="minor"/>
      </rPr>
      <t>*r7+v17_S</t>
    </r>
    <r>
      <rPr>
        <vertAlign val="subscript"/>
        <sz val="11"/>
        <rFont val="Calibri"/>
        <family val="2"/>
        <scheme val="minor"/>
      </rPr>
      <t>NO3</t>
    </r>
    <r>
      <rPr>
        <sz val="11"/>
        <rFont val="Calibri"/>
        <family val="2"/>
        <scheme val="minor"/>
      </rPr>
      <t>*r17+v22_S</t>
    </r>
    <r>
      <rPr>
        <vertAlign val="subscript"/>
        <sz val="11"/>
        <rFont val="Calibri"/>
        <family val="2"/>
        <scheme val="minor"/>
      </rPr>
      <t>NO3</t>
    </r>
    <r>
      <rPr>
        <sz val="11"/>
        <rFont val="Calibri"/>
        <family val="2"/>
        <scheme val="minor"/>
      </rPr>
      <t>*r22+v25_S</t>
    </r>
    <r>
      <rPr>
        <vertAlign val="subscript"/>
        <sz val="11"/>
        <rFont val="Calibri"/>
        <family val="2"/>
        <scheme val="minor"/>
      </rPr>
      <t>NO3</t>
    </r>
    <r>
      <rPr>
        <sz val="11"/>
        <rFont val="Calibri"/>
        <family val="2"/>
        <scheme val="minor"/>
      </rPr>
      <t>*r25+v28_S</t>
    </r>
    <r>
      <rPr>
        <vertAlign val="subscript"/>
        <sz val="11"/>
        <rFont val="Calibri"/>
        <family val="2"/>
        <scheme val="minor"/>
      </rPr>
      <t>NO3</t>
    </r>
    <r>
      <rPr>
        <sz val="11"/>
        <rFont val="Calibri"/>
        <family val="2"/>
        <scheme val="minor"/>
      </rPr>
      <t>*r28+v33_S</t>
    </r>
    <r>
      <rPr>
        <vertAlign val="subscript"/>
        <sz val="11"/>
        <rFont val="Calibri"/>
        <family val="2"/>
        <scheme val="minor"/>
      </rPr>
      <t>NO3</t>
    </r>
    <r>
      <rPr>
        <sz val="11"/>
        <rFont val="Calibri"/>
        <family val="2"/>
        <scheme val="minor"/>
      </rPr>
      <t>*r33+v70_S</t>
    </r>
    <r>
      <rPr>
        <vertAlign val="subscript"/>
        <sz val="11"/>
        <rFont val="Calibri"/>
        <family val="2"/>
        <scheme val="minor"/>
      </rPr>
      <t>NO3</t>
    </r>
    <r>
      <rPr>
        <sz val="11"/>
        <rFont val="Calibri"/>
        <family val="2"/>
        <scheme val="minor"/>
      </rPr>
      <t>*r70+v121_SNO3*r121 + v124_SNO3*r124)</t>
    </r>
  </si>
  <si>
    <r>
      <t>-(v3_S</t>
    </r>
    <r>
      <rPr>
        <vertAlign val="subscript"/>
        <sz val="11"/>
        <rFont val="Calibri"/>
        <family val="2"/>
        <scheme val="minor"/>
      </rPr>
      <t>NO2</t>
    </r>
    <r>
      <rPr>
        <sz val="11"/>
        <rFont val="Calibri"/>
        <family val="2"/>
        <scheme val="minor"/>
      </rPr>
      <t>*r3+v8_S</t>
    </r>
    <r>
      <rPr>
        <vertAlign val="subscript"/>
        <sz val="11"/>
        <rFont val="Calibri"/>
        <family val="2"/>
        <scheme val="minor"/>
      </rPr>
      <t>NO2</t>
    </r>
    <r>
      <rPr>
        <sz val="11"/>
        <rFont val="Calibri"/>
        <family val="2"/>
        <scheme val="minor"/>
      </rPr>
      <t>*r8+v16_S</t>
    </r>
    <r>
      <rPr>
        <vertAlign val="subscript"/>
        <sz val="11"/>
        <rFont val="Calibri"/>
        <family val="2"/>
        <scheme val="minor"/>
      </rPr>
      <t>NO2</t>
    </r>
    <r>
      <rPr>
        <sz val="11"/>
        <rFont val="Calibri"/>
        <family val="2"/>
        <scheme val="minor"/>
      </rPr>
      <t>*r16+v21_S</t>
    </r>
    <r>
      <rPr>
        <vertAlign val="subscript"/>
        <sz val="11"/>
        <rFont val="Calibri"/>
        <family val="2"/>
        <scheme val="minor"/>
      </rPr>
      <t>NO2</t>
    </r>
    <r>
      <rPr>
        <sz val="11"/>
        <rFont val="Calibri"/>
        <family val="2"/>
        <scheme val="minor"/>
      </rPr>
      <t>*r21+v24_S</t>
    </r>
    <r>
      <rPr>
        <vertAlign val="subscript"/>
        <sz val="11"/>
        <rFont val="Calibri"/>
        <family val="2"/>
        <scheme val="minor"/>
      </rPr>
      <t>NO2</t>
    </r>
    <r>
      <rPr>
        <sz val="11"/>
        <rFont val="Calibri"/>
        <family val="2"/>
        <scheme val="minor"/>
      </rPr>
      <t>*r24+v27_S</t>
    </r>
    <r>
      <rPr>
        <vertAlign val="subscript"/>
        <sz val="11"/>
        <rFont val="Calibri"/>
        <family val="2"/>
        <scheme val="minor"/>
      </rPr>
      <t>NO2</t>
    </r>
    <r>
      <rPr>
        <sz val="11"/>
        <rFont val="Calibri"/>
        <family val="2"/>
        <scheme val="minor"/>
      </rPr>
      <t>*r27+v32_S</t>
    </r>
    <r>
      <rPr>
        <vertAlign val="subscript"/>
        <sz val="11"/>
        <rFont val="Calibri"/>
        <family val="2"/>
        <scheme val="minor"/>
      </rPr>
      <t>NO2</t>
    </r>
    <r>
      <rPr>
        <sz val="11"/>
        <rFont val="Calibri"/>
        <family val="2"/>
        <scheme val="minor"/>
      </rPr>
      <t>*r32+v44_S</t>
    </r>
    <r>
      <rPr>
        <vertAlign val="subscript"/>
        <sz val="11"/>
        <rFont val="Calibri"/>
        <family val="2"/>
        <scheme val="minor"/>
      </rPr>
      <t>NO2</t>
    </r>
    <r>
      <rPr>
        <sz val="11"/>
        <rFont val="Calibri"/>
        <family val="2"/>
        <scheme val="minor"/>
      </rPr>
      <t>*r44+v47_S</t>
    </r>
    <r>
      <rPr>
        <vertAlign val="subscript"/>
        <sz val="11"/>
        <rFont val="Calibri"/>
        <family val="2"/>
        <scheme val="minor"/>
      </rPr>
      <t>NO2</t>
    </r>
    <r>
      <rPr>
        <sz val="11"/>
        <rFont val="Calibri"/>
        <family val="2"/>
        <scheme val="minor"/>
      </rPr>
      <t>*r47+v50_S</t>
    </r>
    <r>
      <rPr>
        <vertAlign val="subscript"/>
        <sz val="11"/>
        <rFont val="Calibri"/>
        <family val="2"/>
        <scheme val="minor"/>
      </rPr>
      <t>NO2</t>
    </r>
    <r>
      <rPr>
        <sz val="11"/>
        <rFont val="Calibri"/>
        <family val="2"/>
        <scheme val="minor"/>
      </rPr>
      <t>*r50+v69_S</t>
    </r>
    <r>
      <rPr>
        <vertAlign val="subscript"/>
        <sz val="11"/>
        <rFont val="Calibri"/>
        <family val="2"/>
        <scheme val="minor"/>
      </rPr>
      <t>NO2</t>
    </r>
    <r>
      <rPr>
        <sz val="11"/>
        <rFont val="Calibri"/>
        <family val="2"/>
        <scheme val="minor"/>
      </rPr>
      <t>*r69+v120_SNO2*r120+v123_SNO2*r123)</t>
    </r>
  </si>
  <si>
    <r>
      <t>v29_S</t>
    </r>
    <r>
      <rPr>
        <vertAlign val="subscript"/>
        <sz val="11"/>
        <rFont val="Calibri"/>
        <family val="2"/>
        <scheme val="minor"/>
      </rPr>
      <t>PO4</t>
    </r>
    <r>
      <rPr>
        <sz val="11"/>
        <rFont val="Calibri"/>
        <family val="2"/>
        <scheme val="minor"/>
      </rPr>
      <t>*r29+v35_S</t>
    </r>
    <r>
      <rPr>
        <vertAlign val="subscript"/>
        <sz val="11"/>
        <rFont val="Calibri"/>
        <family val="2"/>
        <scheme val="minor"/>
      </rPr>
      <t>PO4</t>
    </r>
    <r>
      <rPr>
        <sz val="11"/>
        <rFont val="Calibri"/>
        <family val="2"/>
        <scheme val="minor"/>
      </rPr>
      <t>*r35+v38_S</t>
    </r>
    <r>
      <rPr>
        <vertAlign val="subscript"/>
        <sz val="11"/>
        <rFont val="Calibri"/>
        <family val="2"/>
        <scheme val="minor"/>
      </rPr>
      <t>PO4</t>
    </r>
    <r>
      <rPr>
        <sz val="11"/>
        <rFont val="Calibri"/>
        <family val="2"/>
        <scheme val="minor"/>
      </rPr>
      <t>*r38+v39_S</t>
    </r>
    <r>
      <rPr>
        <vertAlign val="subscript"/>
        <sz val="11"/>
        <rFont val="Calibri"/>
        <family val="2"/>
        <scheme val="minor"/>
      </rPr>
      <t>PO4</t>
    </r>
    <r>
      <rPr>
        <sz val="11"/>
        <rFont val="Calibri"/>
        <family val="2"/>
        <scheme val="minor"/>
      </rPr>
      <t>*r39+v65_S</t>
    </r>
    <r>
      <rPr>
        <vertAlign val="subscript"/>
        <sz val="11"/>
        <rFont val="Calibri"/>
        <family val="2"/>
        <scheme val="minor"/>
      </rPr>
      <t>PO4</t>
    </r>
    <r>
      <rPr>
        <sz val="11"/>
        <rFont val="Calibri"/>
        <family val="2"/>
        <scheme val="minor"/>
      </rPr>
      <t>*r65+v69_S</t>
    </r>
    <r>
      <rPr>
        <vertAlign val="subscript"/>
        <sz val="11"/>
        <rFont val="Calibri"/>
        <family val="2"/>
        <scheme val="minor"/>
      </rPr>
      <t>PO4</t>
    </r>
    <r>
      <rPr>
        <sz val="11"/>
        <rFont val="Calibri"/>
        <family val="2"/>
        <scheme val="minor"/>
      </rPr>
      <t>*r69+v70_S</t>
    </r>
    <r>
      <rPr>
        <vertAlign val="subscript"/>
        <sz val="11"/>
        <rFont val="Calibri"/>
        <family val="2"/>
        <scheme val="minor"/>
      </rPr>
      <t>PO4</t>
    </r>
    <r>
      <rPr>
        <sz val="11"/>
        <rFont val="Calibri"/>
        <family val="2"/>
        <scheme val="minor"/>
      </rPr>
      <t>*r70+v75_S</t>
    </r>
    <r>
      <rPr>
        <vertAlign val="subscript"/>
        <sz val="11"/>
        <rFont val="Calibri"/>
        <family val="2"/>
        <scheme val="minor"/>
      </rPr>
      <t>PO4</t>
    </r>
    <r>
      <rPr>
        <sz val="11"/>
        <rFont val="Calibri"/>
        <family val="2"/>
        <scheme val="minor"/>
      </rPr>
      <t>*r75+v76_S</t>
    </r>
    <r>
      <rPr>
        <vertAlign val="subscript"/>
        <sz val="11"/>
        <rFont val="Calibri"/>
        <family val="2"/>
        <scheme val="minor"/>
      </rPr>
      <t>PO4</t>
    </r>
    <r>
      <rPr>
        <sz val="11"/>
        <rFont val="Calibri"/>
        <family val="2"/>
        <scheme val="minor"/>
      </rPr>
      <t>*r76+v77_S</t>
    </r>
    <r>
      <rPr>
        <vertAlign val="subscript"/>
        <sz val="11"/>
        <rFont val="Calibri"/>
        <family val="2"/>
        <scheme val="minor"/>
      </rPr>
      <t>PO4</t>
    </r>
    <r>
      <rPr>
        <sz val="11"/>
        <rFont val="Calibri"/>
        <family val="2"/>
        <scheme val="minor"/>
      </rPr>
      <t>*r77+v78_S</t>
    </r>
    <r>
      <rPr>
        <vertAlign val="subscript"/>
        <sz val="11"/>
        <rFont val="Calibri"/>
        <family val="2"/>
        <scheme val="minor"/>
      </rPr>
      <t>PO4</t>
    </r>
    <r>
      <rPr>
        <sz val="11"/>
        <rFont val="Calibri"/>
        <family val="2"/>
        <scheme val="minor"/>
      </rPr>
      <t>*r78+v84_SPO4*r84+v85_S</t>
    </r>
    <r>
      <rPr>
        <vertAlign val="subscript"/>
        <sz val="11"/>
        <rFont val="Calibri"/>
        <family val="2"/>
        <scheme val="minor"/>
      </rPr>
      <t>PO4</t>
    </r>
    <r>
      <rPr>
        <sz val="11"/>
        <rFont val="Calibri"/>
        <family val="2"/>
        <scheme val="minor"/>
      </rPr>
      <t>*r85+v86_SPO4*r86+v130_SPO4*r130</t>
    </r>
  </si>
  <si>
    <r>
      <t>-(v119_S</t>
    </r>
    <r>
      <rPr>
        <vertAlign val="subscript"/>
        <sz val="11"/>
        <rFont val="Calibri"/>
        <family val="2"/>
        <charset val="238"/>
        <scheme val="minor"/>
      </rPr>
      <t>H2S</t>
    </r>
    <r>
      <rPr>
        <sz val="11"/>
        <rFont val="Calibri"/>
        <family val="2"/>
        <scheme val="minor"/>
      </rPr>
      <t xml:space="preserve"> * r119 + v120_S</t>
    </r>
    <r>
      <rPr>
        <vertAlign val="subscript"/>
        <sz val="11"/>
        <rFont val="Calibri"/>
        <family val="2"/>
        <charset val="238"/>
        <scheme val="minor"/>
      </rPr>
      <t>H2S</t>
    </r>
    <r>
      <rPr>
        <sz val="11"/>
        <rFont val="Calibri"/>
        <family val="2"/>
        <scheme val="minor"/>
      </rPr>
      <t xml:space="preserve"> * r120 + v121_S</t>
    </r>
    <r>
      <rPr>
        <vertAlign val="subscript"/>
        <sz val="11"/>
        <rFont val="Calibri"/>
        <family val="2"/>
        <charset val="238"/>
        <scheme val="minor"/>
      </rPr>
      <t>H2S</t>
    </r>
    <r>
      <rPr>
        <sz val="11"/>
        <rFont val="Calibri"/>
        <family val="2"/>
        <scheme val="minor"/>
      </rPr>
      <t xml:space="preserve"> * r121 + v127_S</t>
    </r>
    <r>
      <rPr>
        <vertAlign val="subscript"/>
        <sz val="11"/>
        <rFont val="Calibri"/>
        <family val="2"/>
        <charset val="238"/>
        <scheme val="minor"/>
      </rPr>
      <t>H2S</t>
    </r>
    <r>
      <rPr>
        <sz val="11"/>
        <rFont val="Calibri"/>
        <family val="2"/>
        <scheme val="minor"/>
      </rPr>
      <t xml:space="preserve"> * r127 + v129_S</t>
    </r>
    <r>
      <rPr>
        <vertAlign val="subscript"/>
        <sz val="11"/>
        <rFont val="Calibri"/>
        <family val="2"/>
        <charset val="238"/>
        <scheme val="minor"/>
      </rPr>
      <t>H2S</t>
    </r>
    <r>
      <rPr>
        <sz val="11"/>
        <rFont val="Calibri"/>
        <family val="2"/>
        <scheme val="minor"/>
      </rPr>
      <t xml:space="preserve"> * r129)</t>
    </r>
  </si>
  <si>
    <r>
      <t>Ki</t>
    </r>
    <r>
      <rPr>
        <vertAlign val="subscript"/>
        <sz val="11"/>
        <color indexed="8"/>
        <rFont val="Calibri"/>
        <family val="2"/>
        <scheme val="minor"/>
      </rPr>
      <t>HNO2,AOB,pH,AS</t>
    </r>
  </si>
  <si>
    <t>Half-inhibition of nitrous acid for AOBs (AS)</t>
  </si>
  <si>
    <r>
      <t>-i</t>
    </r>
    <r>
      <rPr>
        <vertAlign val="subscript"/>
        <sz val="11"/>
        <rFont val="Calibri"/>
        <family val="2"/>
      </rPr>
      <t>S,BIO</t>
    </r>
    <r>
      <rPr>
        <sz val="11"/>
        <rFont val="Calibri"/>
        <family val="2"/>
      </rPr>
      <t xml:space="preserve"> + 1/Y</t>
    </r>
    <r>
      <rPr>
        <vertAlign val="subscript"/>
        <sz val="11"/>
        <rFont val="Calibri"/>
        <family val="2"/>
      </rPr>
      <t>OHO,SB,ox</t>
    </r>
    <r>
      <rPr>
        <sz val="11"/>
        <rFont val="Calibri"/>
        <family val="2"/>
      </rPr>
      <t>*i</t>
    </r>
    <r>
      <rPr>
        <vertAlign val="subscript"/>
        <sz val="11"/>
        <rFont val="Calibri"/>
        <family val="2"/>
      </rPr>
      <t>S,SB</t>
    </r>
  </si>
  <si>
    <r>
      <t>-i</t>
    </r>
    <r>
      <rPr>
        <vertAlign val="subscript"/>
        <sz val="11"/>
        <rFont val="Calibri"/>
        <family val="2"/>
      </rPr>
      <t>S,BIO</t>
    </r>
    <r>
      <rPr>
        <sz val="11"/>
        <rFont val="Calibri"/>
        <family val="2"/>
      </rPr>
      <t xml:space="preserve"> + 1/Y</t>
    </r>
    <r>
      <rPr>
        <vertAlign val="subscript"/>
        <sz val="11"/>
        <rFont val="Calibri"/>
        <family val="2"/>
      </rPr>
      <t>OHO,SB,anox</t>
    </r>
    <r>
      <rPr>
        <sz val="11"/>
        <rFont val="Calibri"/>
        <family val="2"/>
      </rPr>
      <t>*i</t>
    </r>
    <r>
      <rPr>
        <vertAlign val="subscript"/>
        <sz val="11"/>
        <rFont val="Calibri"/>
        <family val="2"/>
      </rPr>
      <t>S,SB</t>
    </r>
  </si>
  <si>
    <r>
      <t>-i</t>
    </r>
    <r>
      <rPr>
        <vertAlign val="subscript"/>
        <sz val="11"/>
        <rFont val="Calibri"/>
        <family val="2"/>
      </rPr>
      <t>S,BIO</t>
    </r>
    <r>
      <rPr>
        <sz val="11"/>
        <rFont val="Calibri"/>
        <family val="2"/>
      </rPr>
      <t xml:space="preserve"> + 1/Y</t>
    </r>
    <r>
      <rPr>
        <vertAlign val="subscript"/>
        <sz val="11"/>
        <rFont val="Calibri"/>
        <family val="2"/>
      </rPr>
      <t>OHO,SB,ana</t>
    </r>
    <r>
      <rPr>
        <sz val="11"/>
        <rFont val="Calibri"/>
        <family val="2"/>
      </rPr>
      <t>*i</t>
    </r>
    <r>
      <rPr>
        <vertAlign val="subscript"/>
        <sz val="11"/>
        <rFont val="Calibri"/>
        <family val="2"/>
      </rPr>
      <t>S,SB</t>
    </r>
  </si>
  <si>
    <r>
      <t>i</t>
    </r>
    <r>
      <rPr>
        <vertAlign val="subscript"/>
        <sz val="11"/>
        <rFont val="Calibri"/>
        <family val="2"/>
      </rPr>
      <t>S,BIO</t>
    </r>
    <r>
      <rPr>
        <sz val="11"/>
        <rFont val="Calibri"/>
        <family val="2"/>
      </rPr>
      <t>*Y</t>
    </r>
    <r>
      <rPr>
        <vertAlign val="subscript"/>
        <sz val="11"/>
        <rFont val="Calibri"/>
        <family val="2"/>
      </rPr>
      <t>PP,CASTO,ox</t>
    </r>
  </si>
  <si>
    <r>
      <t>i</t>
    </r>
    <r>
      <rPr>
        <vertAlign val="subscript"/>
        <sz val="11"/>
        <rFont val="Calibri"/>
        <family val="2"/>
      </rPr>
      <t>S,BIO</t>
    </r>
    <r>
      <rPr>
        <sz val="11"/>
        <rFont val="Calibri"/>
        <family val="2"/>
      </rPr>
      <t>*Y</t>
    </r>
    <r>
      <rPr>
        <vertAlign val="subscript"/>
        <sz val="11"/>
        <rFont val="Calibri"/>
        <family val="2"/>
      </rPr>
      <t>PP,CASTO,anox</t>
    </r>
  </si>
  <si>
    <r>
      <t>-i</t>
    </r>
    <r>
      <rPr>
        <vertAlign val="subscript"/>
        <sz val="11"/>
        <rFont val="Calibri"/>
        <family val="2"/>
      </rPr>
      <t>S,BIO</t>
    </r>
    <r>
      <rPr>
        <sz val="11"/>
        <rFont val="Calibri"/>
        <family val="2"/>
      </rPr>
      <t xml:space="preserve"> + 1/Y</t>
    </r>
    <r>
      <rPr>
        <vertAlign val="subscript"/>
        <sz val="11"/>
        <rFont val="Calibri"/>
        <family val="2"/>
      </rPr>
      <t>CASTO,SB,ana</t>
    </r>
    <r>
      <rPr>
        <sz val="11"/>
        <rFont val="Calibri"/>
        <family val="2"/>
      </rPr>
      <t>*i</t>
    </r>
    <r>
      <rPr>
        <vertAlign val="subscript"/>
        <sz val="11"/>
        <rFont val="Calibri"/>
        <family val="2"/>
      </rPr>
      <t>S,SB</t>
    </r>
  </si>
  <si>
    <r>
      <t>i</t>
    </r>
    <r>
      <rPr>
        <vertAlign val="subscript"/>
        <sz val="11"/>
        <rFont val="Calibri"/>
        <family val="2"/>
      </rPr>
      <t>S,CB</t>
    </r>
    <r>
      <rPr>
        <sz val="11"/>
        <rFont val="Calibri"/>
        <family val="2"/>
      </rPr>
      <t>-i</t>
    </r>
    <r>
      <rPr>
        <vertAlign val="subscript"/>
        <sz val="11"/>
        <rFont val="Calibri"/>
        <family val="2"/>
      </rPr>
      <t>S,XB</t>
    </r>
  </si>
  <si>
    <r>
      <t>i</t>
    </r>
    <r>
      <rPr>
        <vertAlign val="subscript"/>
        <sz val="11"/>
        <rFont val="Calibri"/>
        <family val="2"/>
      </rPr>
      <t>S,CU</t>
    </r>
    <r>
      <rPr>
        <sz val="11"/>
        <rFont val="Calibri"/>
        <family val="2"/>
      </rPr>
      <t>-i</t>
    </r>
    <r>
      <rPr>
        <vertAlign val="subscript"/>
        <sz val="11"/>
        <rFont val="Calibri"/>
        <family val="2"/>
      </rPr>
      <t>S,XU</t>
    </r>
  </si>
  <si>
    <r>
      <t>i</t>
    </r>
    <r>
      <rPr>
        <vertAlign val="subscript"/>
        <sz val="11"/>
        <rFont val="Calibri"/>
        <family val="2"/>
      </rPr>
      <t>S,XB</t>
    </r>
    <r>
      <rPr>
        <sz val="11"/>
        <rFont val="Calibri"/>
        <family val="2"/>
      </rPr>
      <t>-i</t>
    </r>
    <r>
      <rPr>
        <vertAlign val="subscript"/>
        <sz val="11"/>
        <rFont val="Calibri"/>
        <family val="2"/>
      </rPr>
      <t>S,SB</t>
    </r>
  </si>
  <si>
    <r>
      <t>-i</t>
    </r>
    <r>
      <rPr>
        <vertAlign val="subscript"/>
        <sz val="11"/>
        <rFont val="Calibri"/>
        <family val="2"/>
      </rPr>
      <t>S,XB</t>
    </r>
    <r>
      <rPr>
        <sz val="11"/>
        <rFont val="Calibri"/>
        <family val="2"/>
      </rPr>
      <t>+i</t>
    </r>
    <r>
      <rPr>
        <vertAlign val="subscript"/>
        <sz val="11"/>
        <rFont val="Calibri"/>
        <family val="2"/>
      </rPr>
      <t>S,BIO</t>
    </r>
  </si>
  <si>
    <r>
      <t>-i</t>
    </r>
    <r>
      <rPr>
        <vertAlign val="subscript"/>
        <sz val="11"/>
        <rFont val="Calibri"/>
        <family val="2"/>
      </rPr>
      <t>S,SB</t>
    </r>
    <r>
      <rPr>
        <sz val="11"/>
        <rFont val="Calibri"/>
        <family val="2"/>
      </rPr>
      <t>+i</t>
    </r>
    <r>
      <rPr>
        <vertAlign val="subscript"/>
        <sz val="11"/>
        <rFont val="Calibri"/>
        <family val="2"/>
      </rPr>
      <t>S,BIO</t>
    </r>
  </si>
  <si>
    <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)*i</t>
    </r>
    <r>
      <rPr>
        <vertAlign val="subscript"/>
        <sz val="11"/>
        <rFont val="Calibri"/>
        <family val="2"/>
      </rPr>
      <t>S,SB</t>
    </r>
  </si>
  <si>
    <r>
      <t>-EEQ</t>
    </r>
    <r>
      <rPr>
        <vertAlign val="subscript"/>
        <sz val="11"/>
        <rFont val="Calibri"/>
        <family val="2"/>
      </rPr>
      <t>NO2</t>
    </r>
    <r>
      <rPr>
        <sz val="11"/>
        <rFont val="Calibri"/>
        <family val="2"/>
      </rPr>
      <t>*X</t>
    </r>
    <r>
      <rPr>
        <vertAlign val="subscript"/>
        <sz val="11"/>
        <rFont val="Calibri"/>
        <family val="2"/>
      </rPr>
      <t>ASRO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</si>
  <si>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HSRO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</si>
  <si>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SOO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</si>
  <si>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ASRO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</si>
  <si>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HSRO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</si>
  <si>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SOO</t>
    </r>
    <r>
      <rPr>
        <sz val="11"/>
        <rFont val="Calibri"/>
        <family val="2"/>
      </rPr>
      <t>/X</t>
    </r>
    <r>
      <rPr>
        <vertAlign val="subscript"/>
        <sz val="11"/>
        <rFont val="Calibri"/>
        <family val="2"/>
      </rPr>
      <t>BIO</t>
    </r>
  </si>
  <si>
    <r>
      <t>(i</t>
    </r>
    <r>
      <rPr>
        <vertAlign val="subscript"/>
        <sz val="11"/>
        <rFont val="Calibri"/>
        <family val="2"/>
      </rPr>
      <t>S,BIO</t>
    </r>
    <r>
      <rPr>
        <sz val="11"/>
        <rFont val="Calibri"/>
        <family val="2"/>
      </rPr>
      <t>*EEQ</t>
    </r>
    <r>
      <rPr>
        <vertAlign val="subscript"/>
        <sz val="11"/>
        <rFont val="Calibri"/>
        <family val="2"/>
      </rPr>
      <t>NO2</t>
    </r>
    <r>
      <rPr>
        <sz val="11"/>
        <rFont val="Calibri"/>
        <family val="2"/>
      </rPr>
      <t>*X</t>
    </r>
    <r>
      <rPr>
        <vertAlign val="subscript"/>
        <sz val="11"/>
        <rFont val="Calibri"/>
        <family val="2"/>
      </rPr>
      <t>BIO</t>
    </r>
    <r>
      <rPr>
        <sz val="11"/>
        <rFont val="Calibri"/>
        <family val="2"/>
      </rPr>
      <t>)/X</t>
    </r>
    <r>
      <rPr>
        <vertAlign val="subscript"/>
        <sz val="11"/>
        <rFont val="Calibri"/>
        <family val="2"/>
      </rPr>
      <t>BIO</t>
    </r>
  </si>
  <si>
    <r>
      <t>(i</t>
    </r>
    <r>
      <rPr>
        <vertAlign val="subscript"/>
        <sz val="11"/>
        <rFont val="Calibri"/>
        <family val="2"/>
      </rPr>
      <t>S,BIO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BIO</t>
    </r>
  </si>
  <si>
    <t>Methane oxidizing bacteria kinetics (MOB)</t>
  </si>
  <si>
    <t>Maximum specific growth rate of MOBs</t>
  </si>
  <si>
    <t>Decay rate of MOBs</t>
  </si>
  <si>
    <r>
      <t>K</t>
    </r>
    <r>
      <rPr>
        <vertAlign val="subscript"/>
        <sz val="11"/>
        <rFont val="Calibri"/>
        <family val="2"/>
        <scheme val="minor"/>
      </rPr>
      <t>O2,MOB</t>
    </r>
  </si>
  <si>
    <r>
      <t>Half-saturation of O</t>
    </r>
    <r>
      <rPr>
        <vertAlign val="subscript"/>
        <sz val="11"/>
        <color rgb="FF000000"/>
        <rFont val="Calibri"/>
        <family val="2"/>
        <scheme val="minor"/>
      </rPr>
      <t>2</t>
    </r>
    <r>
      <rPr>
        <sz val="11"/>
        <color rgb="FF000000"/>
        <rFont val="Calibri"/>
        <family val="2"/>
        <charset val="238"/>
        <scheme val="minor"/>
      </rPr>
      <t xml:space="preserve"> for MOB</t>
    </r>
  </si>
  <si>
    <r>
      <t>Half-saturation of CH4</t>
    </r>
    <r>
      <rPr>
        <sz val="11"/>
        <color rgb="FF000000"/>
        <rFont val="Calibri"/>
        <family val="2"/>
        <charset val="238"/>
        <scheme val="minor"/>
      </rPr>
      <t xml:space="preserve"> for MOB</t>
    </r>
  </si>
  <si>
    <t>Yield of MOB</t>
  </si>
  <si>
    <t>Arrhenius coefficient for MOB growth</t>
  </si>
  <si>
    <t>https://www.witpress.com/Secure/ejournals/papers/SDP060305f.pdf</t>
  </si>
  <si>
    <t>Arrhenius coefficient for MOB decay</t>
  </si>
  <si>
    <t>XMOB</t>
  </si>
  <si>
    <t>r134</t>
  </si>
  <si>
    <t>MOB growth on CH4, O2</t>
  </si>
  <si>
    <t>r135</t>
  </si>
  <si>
    <t>MOB decay</t>
  </si>
  <si>
    <t>Methane oxidizing bacteria (MOB)</t>
  </si>
  <si>
    <r>
      <t>g COD.m</t>
    </r>
    <r>
      <rPr>
        <vertAlign val="superscript"/>
        <sz val="11"/>
        <color rgb="FFFF0000"/>
        <rFont val="Calibri"/>
        <family val="2"/>
      </rPr>
      <t>-3</t>
    </r>
  </si>
  <si>
    <r>
      <t>f(X</t>
    </r>
    <r>
      <rPr>
        <vertAlign val="subscript"/>
        <sz val="11"/>
        <color rgb="FFFF0000"/>
        <rFont val="Calibri"/>
        <family val="2"/>
      </rPr>
      <t>INORG</t>
    </r>
    <r>
      <rPr>
        <sz val="11"/>
        <color rgb="FFFF0000"/>
        <rFont val="Calibri"/>
        <family val="2"/>
      </rPr>
      <t>)</t>
    </r>
  </si>
  <si>
    <t>Saturation term for O2 (MOB)</t>
  </si>
  <si>
    <t>Saturation term for CH4 (MOB)</t>
  </si>
  <si>
    <t>Maximum specific growth rate of MOBs (temperature corrected)</t>
  </si>
  <si>
    <t>Decay rate of MOBs (temperature corrected)</t>
  </si>
  <si>
    <r>
      <t>-(v1_S</t>
    </r>
    <r>
      <rPr>
        <vertAlign val="subscript"/>
        <sz val="11"/>
        <rFont val="Calibri"/>
        <family val="2"/>
        <scheme val="minor"/>
      </rPr>
      <t>O2</t>
    </r>
    <r>
      <rPr>
        <sz val="11"/>
        <rFont val="Calibri"/>
        <family val="2"/>
        <scheme val="minor"/>
      </rPr>
      <t>*r1+v6_S</t>
    </r>
    <r>
      <rPr>
        <vertAlign val="subscript"/>
        <sz val="11"/>
        <rFont val="Calibri"/>
        <family val="2"/>
        <scheme val="minor"/>
      </rPr>
      <t>O2</t>
    </r>
    <r>
      <rPr>
        <sz val="11"/>
        <rFont val="Calibri"/>
        <family val="2"/>
        <scheme val="minor"/>
      </rPr>
      <t>*r6+v13_S</t>
    </r>
    <r>
      <rPr>
        <vertAlign val="subscript"/>
        <sz val="11"/>
        <rFont val="Calibri"/>
        <family val="2"/>
        <scheme val="minor"/>
      </rPr>
      <t>O2</t>
    </r>
    <r>
      <rPr>
        <sz val="11"/>
        <rFont val="Calibri"/>
        <family val="2"/>
        <scheme val="minor"/>
      </rPr>
      <t>*r13+v20_S</t>
    </r>
    <r>
      <rPr>
        <vertAlign val="subscript"/>
        <sz val="11"/>
        <rFont val="Calibri"/>
        <family val="2"/>
        <scheme val="minor"/>
      </rPr>
      <t>O2</t>
    </r>
    <r>
      <rPr>
        <sz val="11"/>
        <rFont val="Calibri"/>
        <family val="2"/>
        <scheme val="minor"/>
      </rPr>
      <t>*r20+v23_S</t>
    </r>
    <r>
      <rPr>
        <vertAlign val="subscript"/>
        <sz val="11"/>
        <rFont val="Calibri"/>
        <family val="2"/>
        <scheme val="minor"/>
      </rPr>
      <t>O2</t>
    </r>
    <r>
      <rPr>
        <sz val="11"/>
        <rFont val="Calibri"/>
        <family val="2"/>
        <scheme val="minor"/>
      </rPr>
      <t>*r23+v26_S</t>
    </r>
    <r>
      <rPr>
        <vertAlign val="subscript"/>
        <sz val="11"/>
        <rFont val="Calibri"/>
        <family val="2"/>
        <scheme val="minor"/>
      </rPr>
      <t>O2</t>
    </r>
    <r>
      <rPr>
        <sz val="11"/>
        <rFont val="Calibri"/>
        <family val="2"/>
        <scheme val="minor"/>
      </rPr>
      <t>*r26+v31_S</t>
    </r>
    <r>
      <rPr>
        <vertAlign val="subscript"/>
        <sz val="11"/>
        <rFont val="Calibri"/>
        <family val="2"/>
        <scheme val="minor"/>
      </rPr>
      <t>O2</t>
    </r>
    <r>
      <rPr>
        <sz val="11"/>
        <rFont val="Calibri"/>
        <family val="2"/>
        <scheme val="minor"/>
      </rPr>
      <t>*r31+v134_SO2*r134)</t>
    </r>
  </si>
  <si>
    <r>
      <t>i</t>
    </r>
    <r>
      <rPr>
        <vertAlign val="subscript"/>
        <sz val="11"/>
        <rFont val="Calibri"/>
        <family val="2"/>
        <scheme val="minor"/>
      </rPr>
      <t>N,BIO</t>
    </r>
    <r>
      <rPr>
        <sz val="11"/>
        <rFont val="Calibri"/>
        <family val="2"/>
        <scheme val="minor"/>
      </rPr>
      <t>*(r1+r2+r3+r4+r5+r6+r7+r8+r9+r10+r11+r12+r13+r16+r17+r20+r21+r22+r26+r27+r28+r36+r37+r41+r57+r53+r56+r113+r116+r119+r120+r121+r122+r123+r124+r134)-(v40_S</t>
    </r>
    <r>
      <rPr>
        <vertAlign val="subscript"/>
        <sz val="11"/>
        <rFont val="Calibri"/>
        <family val="2"/>
        <scheme val="minor"/>
      </rPr>
      <t>NHx</t>
    </r>
    <r>
      <rPr>
        <sz val="11"/>
        <rFont val="Calibri"/>
        <family val="2"/>
        <scheme val="minor"/>
      </rPr>
      <t>*r40+v50_S</t>
    </r>
    <r>
      <rPr>
        <vertAlign val="subscript"/>
        <sz val="11"/>
        <rFont val="Calibri"/>
        <family val="2"/>
        <scheme val="minor"/>
      </rPr>
      <t>NHx</t>
    </r>
    <r>
      <rPr>
        <sz val="11"/>
        <rFont val="Calibri"/>
        <family val="2"/>
        <scheme val="minor"/>
      </rPr>
      <t>*r50+v90_S</t>
    </r>
    <r>
      <rPr>
        <vertAlign val="subscript"/>
        <sz val="11"/>
        <rFont val="Calibri"/>
        <family val="2"/>
        <scheme val="minor"/>
      </rPr>
      <t>NHx</t>
    </r>
    <r>
      <rPr>
        <sz val="11"/>
        <rFont val="Calibri"/>
        <family val="2"/>
        <scheme val="minor"/>
      </rPr>
      <t>*r90)</t>
    </r>
  </si>
  <si>
    <r>
      <t>i</t>
    </r>
    <r>
      <rPr>
        <vertAlign val="subscript"/>
        <sz val="11"/>
        <rFont val="Calibri"/>
        <family val="2"/>
        <scheme val="minor"/>
      </rPr>
      <t>P,BIO</t>
    </r>
    <r>
      <rPr>
        <sz val="11"/>
        <rFont val="Calibri"/>
        <family val="2"/>
        <scheme val="minor"/>
      </rPr>
      <t>*(r1+r2+r3+r4+r5+r6+r7+r8+r9+r10+r11+r12+r13+r16+r17+r20+r21+r22+r36+r37+r41+r47+r50+r53+r56+r113+r116+r119+r120+r121+r122+r123+r124+r134)-(v23_S</t>
    </r>
    <r>
      <rPr>
        <vertAlign val="subscript"/>
        <sz val="11"/>
        <rFont val="Calibri"/>
        <family val="2"/>
        <scheme val="minor"/>
      </rPr>
      <t>PO4</t>
    </r>
    <r>
      <rPr>
        <sz val="11"/>
        <rFont val="Calibri"/>
        <family val="2"/>
        <scheme val="minor"/>
      </rPr>
      <t>*r23+v24_S</t>
    </r>
    <r>
      <rPr>
        <vertAlign val="subscript"/>
        <sz val="11"/>
        <rFont val="Calibri"/>
        <family val="2"/>
        <scheme val="minor"/>
      </rPr>
      <t>PO4</t>
    </r>
    <r>
      <rPr>
        <sz val="11"/>
        <rFont val="Calibri"/>
        <family val="2"/>
        <scheme val="minor"/>
      </rPr>
      <t>*r24+v25_S</t>
    </r>
    <r>
      <rPr>
        <vertAlign val="subscript"/>
        <sz val="11"/>
        <rFont val="Calibri"/>
        <family val="2"/>
        <scheme val="minor"/>
      </rPr>
      <t>PO4</t>
    </r>
    <r>
      <rPr>
        <sz val="11"/>
        <rFont val="Calibri"/>
        <family val="2"/>
        <scheme val="minor"/>
      </rPr>
      <t>*r25)</t>
    </r>
  </si>
  <si>
    <r>
      <t>i</t>
    </r>
    <r>
      <rPr>
        <vertAlign val="subscript"/>
        <sz val="11"/>
        <rFont val="Calibri"/>
        <family val="2"/>
        <scheme val="minor"/>
      </rPr>
      <t>S,BIO</t>
    </r>
    <r>
      <rPr>
        <sz val="11"/>
        <rFont val="Calibri"/>
        <family val="2"/>
        <scheme val="minor"/>
      </rPr>
      <t xml:space="preserve"> * (</t>
    </r>
    <r>
      <rPr>
        <sz val="11"/>
        <color rgb="FFFF0000"/>
        <rFont val="Calibri"/>
        <family val="2"/>
        <scheme val="minor"/>
      </rPr>
      <t xml:space="preserve">r1 + r2 + r3 + r4 + r5 + r13 + r16 + r17 + r20 + r21 + r22 + r26 + r27 + r28 </t>
    </r>
    <r>
      <rPr>
        <sz val="11"/>
        <rFont val="Calibri"/>
        <family val="2"/>
        <scheme val="minor"/>
      </rPr>
      <t>+ r41 + r47 + r50 + r53 + r56 + r119+r120+r121+r134)-(</t>
    </r>
    <r>
      <rPr>
        <sz val="11"/>
        <color rgb="FF00B050"/>
        <rFont val="Calibri"/>
        <family val="2"/>
        <scheme val="minor"/>
      </rPr>
      <t>v6_S</t>
    </r>
    <r>
      <rPr>
        <vertAlign val="subscript"/>
        <sz val="11"/>
        <color rgb="FF00B050"/>
        <rFont val="Calibri"/>
        <family val="2"/>
        <scheme val="minor"/>
      </rPr>
      <t>SO4</t>
    </r>
    <r>
      <rPr>
        <sz val="11"/>
        <color rgb="FF00B050"/>
        <rFont val="Calibri"/>
        <family val="2"/>
        <scheme val="minor"/>
      </rPr>
      <t xml:space="preserve"> * r6 + v7_S</t>
    </r>
    <r>
      <rPr>
        <vertAlign val="subscript"/>
        <sz val="11"/>
        <color rgb="FF00B050"/>
        <rFont val="Calibri"/>
        <family val="2"/>
        <scheme val="minor"/>
      </rPr>
      <t>SO4</t>
    </r>
    <r>
      <rPr>
        <sz val="11"/>
        <color rgb="FF00B050"/>
        <rFont val="Calibri"/>
        <family val="2"/>
        <scheme val="minor"/>
      </rPr>
      <t xml:space="preserve"> * r7 + v8_S</t>
    </r>
    <r>
      <rPr>
        <vertAlign val="subscript"/>
        <sz val="11"/>
        <color rgb="FF00B050"/>
        <rFont val="Calibri"/>
        <family val="2"/>
        <scheme val="minor"/>
      </rPr>
      <t>SO4</t>
    </r>
    <r>
      <rPr>
        <sz val="11"/>
        <color rgb="FF00B050"/>
        <rFont val="Calibri"/>
        <family val="2"/>
        <scheme val="minor"/>
      </rPr>
      <t xml:space="preserve"> * r8 + v9_SSO4 * r9 + v10_SSO4 * r10 + v11_SSO4 * r11 + v12_SSO4 * r12</t>
    </r>
    <r>
      <rPr>
        <sz val="11"/>
        <rFont val="Calibri"/>
        <family val="2"/>
        <scheme val="minor"/>
      </rPr>
      <t xml:space="preserve"> + </t>
    </r>
    <r>
      <rPr>
        <sz val="11"/>
        <color rgb="FF00B050"/>
        <rFont val="Calibri"/>
        <family val="2"/>
        <scheme val="minor"/>
      </rPr>
      <t>v66_SSO4 * r66 + v67_SSO4 * r67 +</t>
    </r>
    <r>
      <rPr>
        <sz val="11"/>
        <rFont val="Calibri"/>
        <family val="2"/>
        <scheme val="minor"/>
      </rPr>
      <t xml:space="preserve"> v113_SSO4 * r113+v116_SSO4 * r116)</t>
    </r>
  </si>
  <si>
    <r>
      <t>b</t>
    </r>
    <r>
      <rPr>
        <vertAlign val="subscript"/>
        <sz val="11"/>
        <rFont val="Calibri"/>
        <family val="2"/>
      </rPr>
      <t>MOB,T</t>
    </r>
    <r>
      <rPr>
        <sz val="11"/>
        <rFont val="Calibri"/>
        <family val="2"/>
      </rPr>
      <t>*X</t>
    </r>
    <r>
      <rPr>
        <vertAlign val="subscript"/>
        <sz val="11"/>
        <rFont val="Calibri"/>
        <family val="2"/>
      </rPr>
      <t>MOB</t>
    </r>
  </si>
  <si>
    <r>
      <t>µ</t>
    </r>
    <r>
      <rPr>
        <vertAlign val="subscript"/>
        <sz val="11"/>
        <color indexed="8"/>
        <rFont val="Calibri"/>
        <family val="2"/>
        <scheme val="minor"/>
      </rPr>
      <t>MOB</t>
    </r>
    <r>
      <rPr>
        <sz val="11"/>
        <color indexed="8"/>
        <rFont val="Calibri"/>
        <family val="2"/>
        <scheme val="minor"/>
      </rPr>
      <t>*Arrh(θ</t>
    </r>
    <r>
      <rPr>
        <vertAlign val="subscript"/>
        <sz val="11"/>
        <color indexed="8"/>
        <rFont val="Calibri"/>
        <family val="2"/>
        <scheme val="minor"/>
      </rPr>
      <t>µ,MOB</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</si>
  <si>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rFont val="Calibri"/>
        <family val="2"/>
        <scheme val="minor"/>
      </rPr>
      <t>MOB</t>
    </r>
  </si>
  <si>
    <r>
      <t>b</t>
    </r>
    <r>
      <rPr>
        <vertAlign val="subscript"/>
        <sz val="11"/>
        <rFont val="Calibri"/>
        <family val="2"/>
        <scheme val="minor"/>
      </rPr>
      <t>MOB</t>
    </r>
  </si>
  <si>
    <r>
      <t>K</t>
    </r>
    <r>
      <rPr>
        <vertAlign val="subscript"/>
        <sz val="11"/>
        <rFont val="Calibri"/>
        <family val="2"/>
        <scheme val="minor"/>
      </rPr>
      <t>CH4,MOB</t>
    </r>
  </si>
  <si>
    <r>
      <t>Y</t>
    </r>
    <r>
      <rPr>
        <vertAlign val="subscript"/>
        <sz val="11"/>
        <rFont val="Calibri"/>
        <family val="2"/>
        <scheme val="minor"/>
      </rPr>
      <t>MOB</t>
    </r>
  </si>
  <si>
    <r>
      <t>θ</t>
    </r>
    <r>
      <rPr>
        <vertAlign val="subscript"/>
        <sz val="11"/>
        <rFont val="Calibri"/>
        <family val="2"/>
        <scheme val="minor"/>
      </rPr>
      <t>µ,MOB</t>
    </r>
  </si>
  <si>
    <r>
      <t>θ</t>
    </r>
    <r>
      <rPr>
        <vertAlign val="subscript"/>
        <sz val="11"/>
        <rFont val="Calibri"/>
        <family val="2"/>
        <scheme val="minor"/>
      </rPr>
      <t>b,MOB</t>
    </r>
  </si>
  <si>
    <r>
      <t>-(1-Y</t>
    </r>
    <r>
      <rPr>
        <vertAlign val="subscript"/>
        <sz val="11"/>
        <rFont val="Calibri"/>
        <family val="2"/>
      </rPr>
      <t>MOB</t>
    </r>
    <r>
      <rPr>
        <sz val="11"/>
        <rFont val="Calibri"/>
        <family val="2"/>
      </rPr>
      <t>)/Y</t>
    </r>
    <r>
      <rPr>
        <vertAlign val="subscript"/>
        <sz val="11"/>
        <rFont val="Calibri"/>
        <family val="2"/>
      </rPr>
      <t>MOB</t>
    </r>
  </si>
  <si>
    <r>
      <t>-1/Y</t>
    </r>
    <r>
      <rPr>
        <vertAlign val="subscript"/>
        <sz val="11"/>
        <rFont val="Calibri"/>
        <family val="2"/>
      </rPr>
      <t>MOB</t>
    </r>
  </si>
  <si>
    <r>
      <t>X</t>
    </r>
    <r>
      <rPr>
        <b/>
        <vertAlign val="subscript"/>
        <sz val="11"/>
        <color rgb="FFFF0000"/>
        <rFont val="Calibri"/>
        <family val="2"/>
        <scheme val="minor"/>
      </rPr>
      <t>MOB</t>
    </r>
  </si>
  <si>
    <r>
      <t>µ</t>
    </r>
    <r>
      <rPr>
        <vertAlign val="subscript"/>
        <sz val="11"/>
        <color indexed="8"/>
        <rFont val="Calibri"/>
        <family val="2"/>
        <scheme val="minor"/>
      </rPr>
      <t>MOB,T</t>
    </r>
  </si>
  <si>
    <r>
      <t>b</t>
    </r>
    <r>
      <rPr>
        <vertAlign val="subscript"/>
        <sz val="11"/>
        <color indexed="8"/>
        <rFont val="Calibri"/>
        <family val="2"/>
        <scheme val="minor"/>
      </rPr>
      <t>MOB,T</t>
    </r>
  </si>
  <si>
    <r>
      <t>Msat</t>
    </r>
    <r>
      <rPr>
        <vertAlign val="subscript"/>
        <sz val="11"/>
        <rFont val="Calibri"/>
        <family val="2"/>
        <scheme val="minor"/>
      </rPr>
      <t>SO2,KO2,MOB</t>
    </r>
  </si>
  <si>
    <r>
      <t>Msat</t>
    </r>
    <r>
      <rPr>
        <vertAlign val="subscript"/>
        <sz val="11"/>
        <rFont val="Calibri"/>
        <family val="2"/>
        <scheme val="minor"/>
      </rPr>
      <t>SCH4,MOB</t>
    </r>
  </si>
  <si>
    <r>
      <t>X</t>
    </r>
    <r>
      <rPr>
        <vertAlign val="subscript"/>
        <sz val="11"/>
        <rFont val="Calibri"/>
        <family val="2"/>
        <scheme val="minor"/>
      </rPr>
      <t>OHO</t>
    </r>
    <r>
      <rPr>
        <sz val="11"/>
        <rFont val="Calibri"/>
        <family val="2"/>
        <scheme val="minor"/>
      </rPr>
      <t>+X</t>
    </r>
    <r>
      <rPr>
        <vertAlign val="subscript"/>
        <sz val="11"/>
        <rFont val="Calibri"/>
        <family val="2"/>
        <scheme val="minor"/>
      </rPr>
      <t>CASTO</t>
    </r>
    <r>
      <rPr>
        <sz val="11"/>
        <rFont val="Calibri"/>
        <family val="2"/>
        <scheme val="minor"/>
      </rPr>
      <t>+X</t>
    </r>
    <r>
      <rPr>
        <vertAlign val="subscript"/>
        <sz val="11"/>
        <rFont val="Calibri"/>
        <family val="2"/>
        <scheme val="minor"/>
      </rPr>
      <t>MOB</t>
    </r>
    <r>
      <rPr>
        <sz val="11"/>
        <rFont val="Calibri"/>
        <family val="2"/>
        <scheme val="minor"/>
      </rPr>
      <t>+X</t>
    </r>
    <r>
      <rPr>
        <vertAlign val="subscript"/>
        <sz val="11"/>
        <rFont val="Calibri"/>
        <family val="2"/>
        <scheme val="minor"/>
      </rPr>
      <t>MEOLO</t>
    </r>
    <r>
      <rPr>
        <sz val="11"/>
        <rFont val="Calibri"/>
        <family val="2"/>
        <scheme val="minor"/>
      </rPr>
      <t>+X</t>
    </r>
    <r>
      <rPr>
        <vertAlign val="subscript"/>
        <sz val="11"/>
        <rFont val="Calibri"/>
        <family val="2"/>
        <scheme val="minor"/>
      </rPr>
      <t>AOB</t>
    </r>
    <r>
      <rPr>
        <sz val="11"/>
        <rFont val="Calibri"/>
        <family val="2"/>
        <scheme val="minor"/>
      </rPr>
      <t>+X</t>
    </r>
    <r>
      <rPr>
        <vertAlign val="subscript"/>
        <sz val="11"/>
        <rFont val="Calibri"/>
        <family val="2"/>
        <scheme val="minor"/>
      </rPr>
      <t>NOB</t>
    </r>
    <r>
      <rPr>
        <sz val="11"/>
        <rFont val="Calibri"/>
        <family val="2"/>
        <scheme val="minor"/>
      </rPr>
      <t>+X</t>
    </r>
    <r>
      <rPr>
        <vertAlign val="subscript"/>
        <sz val="11"/>
        <rFont val="Calibri"/>
        <family val="2"/>
        <scheme val="minor"/>
      </rPr>
      <t>AMX</t>
    </r>
    <r>
      <rPr>
        <sz val="11"/>
        <rFont val="Calibri"/>
        <family val="2"/>
        <scheme val="minor"/>
      </rPr>
      <t>+X</t>
    </r>
    <r>
      <rPr>
        <vertAlign val="subscript"/>
        <sz val="11"/>
        <rFont val="Calibri"/>
        <family val="2"/>
        <scheme val="minor"/>
      </rPr>
      <t>AMETO</t>
    </r>
    <r>
      <rPr>
        <sz val="11"/>
        <rFont val="Calibri"/>
        <family val="2"/>
        <scheme val="minor"/>
      </rPr>
      <t>+X</t>
    </r>
    <r>
      <rPr>
        <vertAlign val="subscript"/>
        <sz val="11"/>
        <rFont val="Calibri"/>
        <family val="2"/>
        <scheme val="minor"/>
      </rPr>
      <t>HMETO</t>
    </r>
    <r>
      <rPr>
        <sz val="11"/>
        <rFont val="Calibri"/>
        <family val="2"/>
        <scheme val="minor"/>
      </rPr>
      <t>+X</t>
    </r>
    <r>
      <rPr>
        <vertAlign val="subscript"/>
        <sz val="11"/>
        <rFont val="Calibri"/>
        <family val="2"/>
        <scheme val="minor"/>
      </rPr>
      <t>ASRO</t>
    </r>
    <r>
      <rPr>
        <sz val="11"/>
        <rFont val="Calibri"/>
        <family val="2"/>
        <scheme val="minor"/>
      </rPr>
      <t>+X</t>
    </r>
    <r>
      <rPr>
        <vertAlign val="subscript"/>
        <sz val="11"/>
        <rFont val="Calibri"/>
        <family val="2"/>
        <scheme val="minor"/>
      </rPr>
      <t>HSRO</t>
    </r>
    <r>
      <rPr>
        <sz val="11"/>
        <rFont val="Calibri"/>
        <family val="2"/>
        <scheme val="minor"/>
      </rPr>
      <t>+X</t>
    </r>
    <r>
      <rPr>
        <vertAlign val="subscript"/>
        <sz val="11"/>
        <rFont val="Calibri"/>
        <family val="2"/>
        <scheme val="minor"/>
      </rPr>
      <t>SOO</t>
    </r>
  </si>
  <si>
    <r>
      <t>b</t>
    </r>
    <r>
      <rPr>
        <vertAlign val="subscript"/>
        <sz val="11"/>
        <color indexed="8"/>
        <rFont val="Calibri"/>
        <family val="2"/>
        <scheme val="minor"/>
      </rPr>
      <t>MOB</t>
    </r>
    <r>
      <rPr>
        <sz val="11"/>
        <color indexed="8"/>
        <rFont val="Calibri"/>
        <family val="2"/>
        <scheme val="minor"/>
      </rPr>
      <t>*Arrh(θ</t>
    </r>
    <r>
      <rPr>
        <vertAlign val="subscript"/>
        <sz val="11"/>
        <color indexed="8"/>
        <rFont val="Calibri"/>
        <family val="2"/>
        <scheme val="minor"/>
      </rPr>
      <t>b,MOB</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</si>
  <si>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Msat(S</t>
    </r>
    <r>
      <rPr>
        <vertAlign val="subscript"/>
        <sz val="11"/>
        <rFont val="Calibri"/>
        <family val="2"/>
        <scheme val="minor"/>
      </rPr>
      <t>O2</t>
    </r>
    <r>
      <rPr>
        <sz val="11"/>
        <rFont val="Calibri"/>
        <family val="2"/>
        <scheme val="minor"/>
      </rPr>
      <t>;K</t>
    </r>
    <r>
      <rPr>
        <vertAlign val="subscript"/>
        <sz val="11"/>
        <rFont val="Calibri"/>
        <family val="2"/>
        <scheme val="minor"/>
      </rPr>
      <t>O2,MOB</t>
    </r>
    <r>
      <rPr>
        <sz val="11"/>
        <rFont val="Calibri"/>
        <family val="2"/>
        <scheme val="minor"/>
      </rPr>
      <t>)</t>
    </r>
  </si>
  <si>
    <r>
      <t>Msat(S</t>
    </r>
    <r>
      <rPr>
        <vertAlign val="subscript"/>
        <sz val="11"/>
        <rFont val="Calibri"/>
        <family val="2"/>
        <scheme val="minor"/>
      </rPr>
      <t>CH4</t>
    </r>
    <r>
      <rPr>
        <sz val="11"/>
        <rFont val="Calibri"/>
        <family val="2"/>
        <scheme val="minor"/>
      </rPr>
      <t>;K</t>
    </r>
    <r>
      <rPr>
        <vertAlign val="subscript"/>
        <sz val="11"/>
        <rFont val="Calibri"/>
        <family val="2"/>
        <scheme val="minor"/>
      </rPr>
      <t>CH4,MOB</t>
    </r>
    <r>
      <rPr>
        <sz val="11"/>
        <rFont val="Calibri"/>
        <family val="2"/>
        <scheme val="minor"/>
      </rPr>
      <t>)</t>
    </r>
  </si>
  <si>
    <r>
      <t>µ</t>
    </r>
    <r>
      <rPr>
        <vertAlign val="subscript"/>
        <sz val="11"/>
        <rFont val="Calibri"/>
        <family val="2"/>
      </rPr>
      <t>MOB,T</t>
    </r>
    <r>
      <rPr>
        <sz val="11"/>
        <rFont val="Calibri"/>
        <family val="2"/>
      </rPr>
      <t>*Msat</t>
    </r>
    <r>
      <rPr>
        <vertAlign val="subscript"/>
        <sz val="11"/>
        <rFont val="Calibri"/>
        <family val="2"/>
      </rPr>
      <t>SO2,KO2,MOB</t>
    </r>
    <r>
      <rPr>
        <sz val="11"/>
        <rFont val="Calibri"/>
        <family val="2"/>
      </rPr>
      <t>*Msat</t>
    </r>
    <r>
      <rPr>
        <vertAlign val="subscript"/>
        <sz val="11"/>
        <rFont val="Calibri"/>
        <family val="2"/>
      </rPr>
      <t>SCH4,MOB</t>
    </r>
    <r>
      <rPr>
        <sz val="11"/>
        <rFont val="Calibri"/>
        <family val="2"/>
      </rPr>
      <t>*X</t>
    </r>
    <r>
      <rPr>
        <vertAlign val="subscript"/>
        <sz val="11"/>
        <rFont val="Calibri"/>
        <family val="2"/>
      </rPr>
      <t>MOB</t>
    </r>
  </si>
  <si>
    <t>Balances per processes</t>
  </si>
  <si>
    <r>
      <t>i</t>
    </r>
    <r>
      <rPr>
        <vertAlign val="subscript"/>
        <sz val="11"/>
        <rFont val="Calibri"/>
        <family val="2"/>
      </rPr>
      <t>CIT,CH4</t>
    </r>
    <r>
      <rPr>
        <sz val="11"/>
        <rFont val="Calibri"/>
        <family val="2"/>
      </rPr>
      <t>/Y</t>
    </r>
    <r>
      <rPr>
        <vertAlign val="subscript"/>
        <sz val="11"/>
        <rFont val="Calibri"/>
        <family val="2"/>
      </rPr>
      <t>MOB</t>
    </r>
    <r>
      <rPr>
        <sz val="11"/>
        <rFont val="Calibri"/>
        <family val="2"/>
      </rPr>
      <t>-i</t>
    </r>
    <r>
      <rPr>
        <vertAlign val="subscript"/>
        <sz val="11"/>
        <rFont val="Calibri"/>
        <family val="2"/>
      </rPr>
      <t>CIT,BIO</t>
    </r>
  </si>
  <si>
    <t>r136</t>
  </si>
  <si>
    <t>MOB anaerobic decay</t>
  </si>
  <si>
    <r>
      <t>-EEQ</t>
    </r>
    <r>
      <rPr>
        <vertAlign val="subscript"/>
        <sz val="11"/>
        <rFont val="Calibri"/>
        <family val="2"/>
      </rPr>
      <t>NO2</t>
    </r>
    <r>
      <rPr>
        <sz val="11"/>
        <rFont val="Calibri"/>
        <family val="2"/>
      </rPr>
      <t>*X</t>
    </r>
    <r>
      <rPr>
        <vertAlign val="subscript"/>
        <sz val="11"/>
        <rFont val="Calibri"/>
        <family val="2"/>
      </rPr>
      <t>MOB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</si>
  <si>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MOB</t>
    </r>
    <r>
      <rPr>
        <sz val="11"/>
        <rFont val="Calibri"/>
        <family val="2"/>
      </rPr>
      <t>/X</t>
    </r>
    <r>
      <rPr>
        <vertAlign val="subscript"/>
        <sz val="11"/>
        <rFont val="Calibri"/>
        <family val="2"/>
      </rPr>
      <t>BIO</t>
    </r>
  </si>
  <si>
    <t>g O2.m-3</t>
  </si>
  <si>
    <r>
      <t>g X</t>
    </r>
    <r>
      <rPr>
        <vertAlign val="subscript"/>
        <sz val="11"/>
        <rFont val="Calibri"/>
        <family val="2"/>
        <scheme val="minor"/>
      </rPr>
      <t>MOB</t>
    </r>
    <r>
      <rPr>
        <sz val="11"/>
        <rFont val="Calibri"/>
        <family val="2"/>
        <scheme val="minor"/>
      </rPr>
      <t>.g S</t>
    </r>
    <r>
      <rPr>
        <vertAlign val="subscript"/>
        <sz val="11"/>
        <rFont val="Calibri"/>
        <family val="2"/>
        <scheme val="minor"/>
      </rPr>
      <t>CH4</t>
    </r>
    <r>
      <rPr>
        <vertAlign val="superscript"/>
        <sz val="11"/>
        <rFont val="Calibri"/>
        <family val="2"/>
        <scheme val="minor"/>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</si>
</sst>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 &quot;€&quot;;[Red]\-#,##0.00\ &quot;€&quot;"/>
    <numFmt numFmtId="165" formatCode="0.0"/>
    <numFmt numFmtId="166" formatCode="0.0000"/>
    <numFmt numFmtId="167" formatCode="0.000"/>
    <numFmt numFmtId="168" formatCode="0.000E+00"/>
    <numFmt numFmtId="169" formatCode="0.00000"/>
    <numFmt numFmtId="170" formatCode="0.000000"/>
    <numFmt numFmtId="171" formatCode="0.0E+00"/>
  </numFmts>
  <fonts count="111"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1"/>
      <name val="Calibri"/>
      <family val="2"/>
    </font>
    <font>
      <sz val="11"/>
      <color indexed="8"/>
      <name val="Arial"/>
      <family val="2"/>
    </font>
    <font>
      <b/>
      <sz val="11"/>
      <name val="Calibri"/>
      <family val="2"/>
    </font>
    <font>
      <sz val="11"/>
      <name val="Calibri"/>
      <family val="2"/>
      <scheme val="minor"/>
    </font>
    <font>
      <vertAlign val="subscript"/>
      <sz val="11"/>
      <color indexed="8"/>
      <name val="Calibri"/>
      <family val="2"/>
    </font>
    <font>
      <vertAlign val="subscript"/>
      <sz val="11"/>
      <color indexed="8"/>
      <name val="Calibri"/>
      <family val="2"/>
      <scheme val="minor"/>
    </font>
    <font>
      <u/>
      <sz val="11"/>
      <color theme="10"/>
      <name val="Calibri"/>
      <family val="2"/>
    </font>
    <font>
      <sz val="11"/>
      <color indexed="8"/>
      <name val="Calibri"/>
      <family val="2"/>
      <scheme val="minor"/>
    </font>
    <font>
      <vertAlign val="subscript"/>
      <sz val="11"/>
      <name val="Calibri"/>
      <family val="2"/>
    </font>
    <font>
      <sz val="11"/>
      <color rgb="FF00B050"/>
      <name val="Calibri"/>
      <family val="2"/>
    </font>
    <font>
      <b/>
      <sz val="11"/>
      <color indexed="8"/>
      <name val="Calibri"/>
      <family val="2"/>
      <scheme val="minor"/>
    </font>
    <font>
      <b/>
      <sz val="11"/>
      <name val="Calibri"/>
      <family val="2"/>
      <scheme val="minor"/>
    </font>
    <font>
      <vertAlign val="subscript"/>
      <sz val="11"/>
      <name val="Calibri"/>
      <family val="2"/>
      <scheme val="minor"/>
    </font>
    <font>
      <vertAlign val="superscript"/>
      <sz val="11"/>
      <name val="Calibri"/>
      <family val="2"/>
    </font>
    <font>
      <vertAlign val="superscript"/>
      <sz val="11"/>
      <name val="Calibri"/>
      <family val="2"/>
      <scheme val="minor"/>
    </font>
    <font>
      <b/>
      <sz val="12"/>
      <name val="Calibri"/>
      <family val="2"/>
      <scheme val="minor"/>
    </font>
    <font>
      <b/>
      <vertAlign val="subscript"/>
      <sz val="12"/>
      <name val="Calibri"/>
      <family val="2"/>
      <scheme val="minor"/>
    </font>
    <font>
      <vertAlign val="subscript"/>
      <sz val="11"/>
      <name val="Calibri"/>
      <family val="2"/>
      <charset val="238"/>
      <scheme val="minor"/>
    </font>
    <font>
      <b/>
      <i/>
      <sz val="11"/>
      <name val="Calibri"/>
      <family val="2"/>
      <scheme val="minor"/>
    </font>
    <font>
      <b/>
      <vertAlign val="superscript"/>
      <sz val="11"/>
      <name val="Calibri"/>
      <family val="2"/>
    </font>
    <font>
      <b/>
      <vertAlign val="subscript"/>
      <sz val="11"/>
      <name val="Calibri"/>
      <family val="2"/>
    </font>
    <font>
      <b/>
      <sz val="11"/>
      <name val="Calibri"/>
      <family val="2"/>
      <charset val="238"/>
    </font>
    <font>
      <b/>
      <vertAlign val="subscript"/>
      <sz val="11"/>
      <name val="Calibri"/>
      <family val="2"/>
      <charset val="238"/>
    </font>
    <font>
      <vertAlign val="subscript"/>
      <sz val="11"/>
      <name val="Calibri"/>
      <family val="2"/>
      <charset val="238"/>
    </font>
    <font>
      <b/>
      <vertAlign val="subscript"/>
      <sz val="11"/>
      <name val="Calibri"/>
      <family val="2"/>
      <charset val="238"/>
      <scheme val="minor"/>
    </font>
    <font>
      <vertAlign val="superscript"/>
      <sz val="8"/>
      <name val="Arial"/>
      <family val="2"/>
    </font>
    <font>
      <b/>
      <vertAlign val="subscript"/>
      <sz val="11"/>
      <name val="Calibri"/>
      <family val="2"/>
      <scheme val="minor"/>
    </font>
    <font>
      <b/>
      <sz val="11"/>
      <name val="Calibri"/>
      <family val="2"/>
      <charset val="238"/>
      <scheme val="minor"/>
    </font>
    <font>
      <vertAlign val="superscript"/>
      <sz val="11"/>
      <color indexed="8"/>
      <name val="Calibri"/>
      <family val="2"/>
      <scheme val="minor"/>
    </font>
    <font>
      <sz val="11"/>
      <color rgb="FF0082C8"/>
      <name val="Calibri"/>
      <family val="2"/>
      <scheme val="minor"/>
    </font>
    <font>
      <sz val="11"/>
      <color rgb="FFFF0000"/>
      <name val="Calibri"/>
      <family val="2"/>
      <scheme val="minor"/>
    </font>
    <font>
      <vertAlign val="subscript"/>
      <sz val="11"/>
      <color theme="1"/>
      <name val="Calibri"/>
      <family val="2"/>
      <scheme val="minor"/>
    </font>
    <font>
      <vertAlign val="superscript"/>
      <sz val="11"/>
      <color theme="1"/>
      <name val="Calibri"/>
      <family val="2"/>
      <scheme val="minor"/>
    </font>
    <font>
      <i/>
      <vertAlign val="subscript"/>
      <sz val="11"/>
      <name val="Calibri"/>
      <family val="2"/>
    </font>
    <font>
      <b/>
      <sz val="11"/>
      <color indexed="9"/>
      <name val="Calibri"/>
      <family val="2"/>
      <scheme val="minor"/>
    </font>
    <font>
      <sz val="11"/>
      <color rgb="FF00B050"/>
      <name val="Calibri"/>
      <family val="2"/>
      <scheme val="minor"/>
    </font>
    <font>
      <i/>
      <sz val="11"/>
      <name val="Calibri"/>
      <family val="2"/>
      <scheme val="minor"/>
    </font>
    <font>
      <i/>
      <vertAlign val="subscript"/>
      <sz val="11"/>
      <name val="Calibri"/>
      <family val="2"/>
      <scheme val="minor"/>
    </font>
    <font>
      <vertAlign val="subscript"/>
      <sz val="12.65"/>
      <name val="Calibri"/>
      <family val="2"/>
    </font>
    <font>
      <vertAlign val="superscript"/>
      <sz val="11"/>
      <name val="Calibri"/>
      <family val="2"/>
      <charset val="238"/>
      <scheme val="minor"/>
    </font>
    <font>
      <vertAlign val="superscript"/>
      <sz val="11"/>
      <name val="Calibri"/>
      <family val="2"/>
      <charset val="238"/>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
      <sz val="11"/>
      <color rgb="FF000000"/>
      <name val="Calibri"/>
      <family val="2"/>
    </font>
    <font>
      <sz val="11"/>
      <name val="Calibri"/>
      <family val="2"/>
      <charset val="238"/>
      <scheme val="minor"/>
    </font>
    <font>
      <sz val="11"/>
      <color rgb="FF000000"/>
      <name val="Calibri"/>
      <family val="2"/>
      <scheme val="minor"/>
    </font>
    <font>
      <vertAlign val="subscript"/>
      <sz val="11"/>
      <color indexed="8"/>
      <name val="Calibri"/>
      <family val="2"/>
      <charset val="238"/>
      <scheme val="minor"/>
    </font>
    <font>
      <vertAlign val="subscript"/>
      <sz val="11"/>
      <color rgb="FF000000"/>
      <name val="Calibri"/>
      <family val="2"/>
      <charset val="238"/>
      <scheme val="minor"/>
    </font>
    <font>
      <sz val="11"/>
      <name val="Calibri"/>
      <family val="2"/>
      <charset val="238"/>
    </font>
    <font>
      <b/>
      <sz val="11"/>
      <color rgb="FFC00000"/>
      <name val="Calibri"/>
      <family val="2"/>
      <scheme val="minor"/>
    </font>
    <font>
      <b/>
      <vertAlign val="subscript"/>
      <sz val="11"/>
      <color rgb="FFC00000"/>
      <name val="Calibri"/>
      <family val="2"/>
      <scheme val="minor"/>
    </font>
    <font>
      <sz val="11"/>
      <color rgb="FFC00000"/>
      <name val="Calibri"/>
      <family val="2"/>
      <scheme val="minor"/>
    </font>
    <font>
      <vertAlign val="subscript"/>
      <sz val="11"/>
      <color rgb="FF000000"/>
      <name val="Calibri"/>
      <family val="2"/>
    </font>
    <font>
      <vertAlign val="superscript"/>
      <sz val="11"/>
      <color theme="1"/>
      <name val="Calibri"/>
      <family val="2"/>
      <charset val="238"/>
      <scheme val="minor"/>
    </font>
    <font>
      <vertAlign val="subscript"/>
      <sz val="11"/>
      <color rgb="FF000000"/>
      <name val="Calibri"/>
      <family val="2"/>
      <charset val="238"/>
    </font>
    <font>
      <sz val="11"/>
      <color rgb="FF000000"/>
      <name val="Calibri"/>
      <family val="2"/>
      <charset val="238"/>
    </font>
    <font>
      <vertAlign val="subscript"/>
      <sz val="9.35"/>
      <name val="Calibri"/>
      <family val="2"/>
      <charset val="238"/>
    </font>
    <font>
      <sz val="11"/>
      <color indexed="8"/>
      <name val="Calibri"/>
      <family val="2"/>
      <charset val="238"/>
      <scheme val="minor"/>
    </font>
    <font>
      <vertAlign val="superscript"/>
      <sz val="11"/>
      <color indexed="8"/>
      <name val="Calibri"/>
      <family val="2"/>
      <charset val="238"/>
      <scheme val="minor"/>
    </font>
    <font>
      <sz val="10"/>
      <name val="Arial"/>
      <family val="2"/>
      <charset val="238"/>
    </font>
    <font>
      <vertAlign val="subscript"/>
      <sz val="11"/>
      <color rgb="FF00B050"/>
      <name val="Calibri"/>
      <family val="2"/>
      <scheme val="minor"/>
    </font>
    <font>
      <vertAlign val="superscript"/>
      <sz val="11"/>
      <color rgb="FFFF0000"/>
      <name val="Calibri"/>
      <family val="2"/>
    </font>
    <font>
      <vertAlign val="subscript"/>
      <sz val="11"/>
      <color rgb="FFFF0000"/>
      <name val="Calibri"/>
      <family val="2"/>
    </font>
    <font>
      <b/>
      <vertAlign val="subscript"/>
      <sz val="11"/>
      <color rgb="FFFF0000"/>
      <name val="Calibri"/>
      <family val="2"/>
      <scheme val="minor"/>
    </font>
  </fonts>
  <fills count="52">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9" tint="0.79995117038483843"/>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99"/>
        <bgColor indexed="64"/>
      </patternFill>
    </fill>
    <fill>
      <patternFill patternType="solid">
        <fgColor rgb="FF2B8DD5"/>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indexed="9"/>
        <bgColor indexed="64"/>
      </patternFill>
    </fill>
    <fill>
      <patternFill patternType="solid">
        <fgColor rgb="FFC0C0C0"/>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indexed="13"/>
        <bgColor indexed="64"/>
      </patternFill>
    </fill>
    <fill>
      <patternFill patternType="solid">
        <fgColor rgb="FFDCE6F1"/>
        <bgColor indexed="64"/>
      </patternFill>
    </fill>
    <fill>
      <patternFill patternType="solid">
        <fgColor rgb="FFB8CCE4"/>
        <bgColor indexed="64"/>
      </patternFill>
    </fill>
    <fill>
      <patternFill patternType="solid">
        <fgColor rgb="FFF2F2F2"/>
        <bgColor indexed="64"/>
      </patternFill>
    </fill>
    <fill>
      <patternFill patternType="solid">
        <fgColor rgb="FFD9D9D9"/>
        <bgColor indexed="64"/>
      </patternFill>
    </fill>
    <fill>
      <patternFill patternType="solid">
        <fgColor rgb="FFF2DCDB"/>
        <bgColor indexed="64"/>
      </patternFill>
    </fill>
    <fill>
      <patternFill patternType="solid">
        <fgColor rgb="FFDDD9C4"/>
        <bgColor indexed="64"/>
      </patternFill>
    </fill>
    <fill>
      <patternFill patternType="solid">
        <fgColor rgb="FFC4BD97"/>
        <bgColor indexed="64"/>
      </patternFill>
    </fill>
    <fill>
      <patternFill patternType="solid">
        <fgColor rgb="FFEBF1DE"/>
        <bgColor indexed="64"/>
      </patternFill>
    </fill>
    <fill>
      <patternFill patternType="solid">
        <fgColor rgb="FFFDE9D9"/>
        <bgColor indexed="64"/>
      </patternFill>
    </fill>
    <fill>
      <patternFill patternType="solid">
        <fgColor rgb="FFFCD5B4"/>
        <bgColor indexed="64"/>
      </patternFill>
    </fill>
    <fill>
      <patternFill patternType="solid">
        <fgColor rgb="FFC4D79B"/>
        <bgColor indexed="64"/>
      </patternFill>
    </fill>
    <fill>
      <patternFill patternType="solid">
        <fgColor rgb="FFB7DEE8"/>
        <bgColor indexed="64"/>
      </patternFill>
    </fill>
    <fill>
      <patternFill patternType="solid">
        <fgColor rgb="FFE6B8B7"/>
        <bgColor indexed="64"/>
      </patternFill>
    </fill>
    <fill>
      <patternFill patternType="solid">
        <fgColor rgb="FFE4DFEC"/>
        <bgColor indexed="64"/>
      </patternFill>
    </fill>
    <fill>
      <patternFill patternType="solid">
        <fgColor rgb="FFCCC0DA"/>
        <bgColor indexed="64"/>
      </patternFill>
    </fill>
    <fill>
      <patternFill patternType="solid">
        <fgColor rgb="FFB1A0C7"/>
        <bgColor indexed="64"/>
      </patternFill>
    </fill>
    <fill>
      <patternFill patternType="solid">
        <fgColor rgb="FFDA9694"/>
        <bgColor indexed="64"/>
      </patternFill>
    </fill>
    <fill>
      <patternFill patternType="solid">
        <fgColor indexed="11"/>
        <bgColor indexed="64"/>
      </patternFill>
    </fill>
  </fills>
  <borders count="237">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8"/>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8"/>
      </left>
      <right style="medium">
        <color indexed="8"/>
      </right>
      <top style="medium">
        <color indexed="8"/>
      </top>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medium">
        <color indexed="64"/>
      </right>
      <top style="medium">
        <color auto="1"/>
      </top>
      <bottom style="thin">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auto="1"/>
      </top>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indexed="64"/>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auto="1"/>
      </left>
      <right style="thin">
        <color auto="1"/>
      </right>
      <top style="medium">
        <color auto="1"/>
      </top>
      <bottom style="medium">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23"/>
      </left>
      <right style="thin">
        <color indexed="23"/>
      </right>
      <top/>
      <bottom style="thin">
        <color indexed="23"/>
      </bottom>
      <diagonal/>
    </border>
    <border>
      <left style="thin">
        <color auto="1"/>
      </left>
      <right style="thin">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style="medium">
        <color auto="1"/>
      </top>
      <bottom style="thin">
        <color auto="1"/>
      </bottom>
      <diagonal/>
    </border>
    <border>
      <left/>
      <right style="medium">
        <color indexed="64"/>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8"/>
      </left>
      <right style="medium">
        <color indexed="8"/>
      </right>
      <top style="medium">
        <color indexed="8"/>
      </top>
      <bottom/>
      <diagonal/>
    </border>
    <border>
      <left style="thin">
        <color auto="1"/>
      </left>
      <right style="thin">
        <color auto="1"/>
      </right>
      <top style="thin">
        <color auto="1"/>
      </top>
      <bottom style="medium">
        <color auto="1"/>
      </bottom>
      <diagonal/>
    </border>
    <border>
      <left/>
      <right style="thin">
        <color indexed="64"/>
      </right>
      <top style="thin">
        <color indexed="64"/>
      </top>
      <bottom style="thin">
        <color indexed="64"/>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medium">
        <color auto="1"/>
      </bottom>
      <diagonal/>
    </border>
    <border>
      <left style="medium">
        <color auto="1"/>
      </left>
      <right style="thin">
        <color auto="1"/>
      </right>
      <top/>
      <bottom style="medium">
        <color auto="1"/>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medium">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auto="1"/>
      </left>
      <right style="medium">
        <color indexed="64"/>
      </right>
      <top style="medium">
        <color auto="1"/>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8"/>
      </left>
      <right style="medium">
        <color indexed="8"/>
      </right>
      <top style="medium">
        <color indexed="8"/>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medium">
        <color indexed="9"/>
      </right>
      <top style="thin">
        <color indexed="9"/>
      </top>
      <bottom/>
      <diagonal/>
    </border>
    <border>
      <left style="medium">
        <color indexed="9"/>
      </left>
      <right style="medium">
        <color indexed="9"/>
      </right>
      <top/>
      <bottom/>
      <diagonal/>
    </border>
    <border>
      <left style="medium">
        <color indexed="9"/>
      </left>
      <right style="medium">
        <color indexed="9"/>
      </right>
      <top style="thin">
        <color indexed="9"/>
      </top>
      <bottom/>
      <diagonal/>
    </border>
    <border>
      <left style="medium">
        <color indexed="9"/>
      </left>
      <right style="thin">
        <color indexed="23"/>
      </right>
      <top style="thin">
        <color indexed="9"/>
      </top>
      <bottom/>
      <diagonal/>
    </border>
    <border>
      <left style="thin">
        <color indexed="23"/>
      </left>
      <right style="thin">
        <color indexed="23"/>
      </right>
      <top style="thin">
        <color indexed="23"/>
      </top>
      <bottom style="thin">
        <color indexed="23"/>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medium">
        <color auto="1"/>
      </top>
      <bottom style="medium">
        <color auto="1"/>
      </bottom>
      <diagonal/>
    </border>
    <border>
      <left style="thin">
        <color indexed="64"/>
      </left>
      <right style="thin">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medium">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8"/>
      </left>
      <right style="medium">
        <color indexed="8"/>
      </right>
      <top style="medium">
        <color indexed="8"/>
      </top>
      <bottom/>
      <diagonal/>
    </border>
    <border>
      <left/>
      <right/>
      <top style="thin">
        <color indexed="64"/>
      </top>
      <bottom style="thin">
        <color indexed="64"/>
      </bottom>
      <diagonal/>
    </border>
    <border>
      <left/>
      <right style="medium">
        <color indexed="64"/>
      </right>
      <top style="thin">
        <color indexed="64"/>
      </top>
      <bottom style="medium">
        <color indexed="64"/>
      </bottom>
      <diagonal/>
    </border>
    <border>
      <left style="thin">
        <color auto="1"/>
      </left>
      <right/>
      <top style="medium">
        <color auto="1"/>
      </top>
      <bottom style="thin">
        <color auto="1"/>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s>
  <cellStyleXfs count="302">
    <xf numFmtId="0" fontId="0" fillId="0" borderId="0"/>
    <xf numFmtId="0" fontId="28" fillId="0" borderId="0"/>
    <xf numFmtId="0" fontId="45" fillId="0" borderId="0"/>
    <xf numFmtId="0" fontId="27" fillId="0" borderId="0"/>
    <xf numFmtId="0" fontId="52" fillId="0" borderId="0" applyNumberFormat="0" applyFill="0" applyBorder="0" applyAlignment="0" applyProtection="0">
      <alignment vertical="top"/>
      <protection locked="0"/>
    </xf>
    <xf numFmtId="0" fontId="26" fillId="0" borderId="0"/>
    <xf numFmtId="0" fontId="43" fillId="0" borderId="0"/>
    <xf numFmtId="0" fontId="25" fillId="0" borderId="0"/>
    <xf numFmtId="0" fontId="25" fillId="0" borderId="0"/>
    <xf numFmtId="0" fontId="25" fillId="0" borderId="0"/>
    <xf numFmtId="0" fontId="24" fillId="0" borderId="0"/>
    <xf numFmtId="0" fontId="23" fillId="0" borderId="0"/>
    <xf numFmtId="0" fontId="22" fillId="0" borderId="0"/>
    <xf numFmtId="0" fontId="22" fillId="0" borderId="0"/>
    <xf numFmtId="0" fontId="22" fillId="0" borderId="0"/>
    <xf numFmtId="0" fontId="21" fillId="0" borderId="0"/>
    <xf numFmtId="0" fontId="20" fillId="0" borderId="0"/>
    <xf numFmtId="0" fontId="20" fillId="0" borderId="0"/>
    <xf numFmtId="0" fontId="20" fillId="0" borderId="0"/>
    <xf numFmtId="0" fontId="19" fillId="0" borderId="0"/>
    <xf numFmtId="0" fontId="19" fillId="0" borderId="0"/>
    <xf numFmtId="0" fontId="19" fillId="0" borderId="0"/>
    <xf numFmtId="0" fontId="43" fillId="0" borderId="0"/>
    <xf numFmtId="0" fontId="18" fillId="0" borderId="0"/>
    <xf numFmtId="0" fontId="18" fillId="0" borderId="0"/>
    <xf numFmtId="0" fontId="18" fillId="0" borderId="0"/>
    <xf numFmtId="0" fontId="18" fillId="0" borderId="0"/>
    <xf numFmtId="0" fontId="17" fillId="0" borderId="0"/>
    <xf numFmtId="0" fontId="17" fillId="0" borderId="0"/>
    <xf numFmtId="0" fontId="15" fillId="0" borderId="0"/>
    <xf numFmtId="0" fontId="15" fillId="0" borderId="0"/>
    <xf numFmtId="0" fontId="15" fillId="0" borderId="0"/>
    <xf numFmtId="0" fontId="15" fillId="0" borderId="0"/>
    <xf numFmtId="0" fontId="15" fillId="0" borderId="0"/>
    <xf numFmtId="0" fontId="4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 fillId="0" borderId="0"/>
    <xf numFmtId="0" fontId="7" fillId="0" borderId="0"/>
    <xf numFmtId="0" fontId="7"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6" fillId="0" borderId="0"/>
  </cellStyleXfs>
  <cellXfs count="2904">
    <xf numFmtId="0" fontId="0" fillId="0" borderId="0" xfId="0"/>
    <xf numFmtId="0" fontId="29" fillId="0" borderId="0" xfId="0" applyFont="1"/>
    <xf numFmtId="0" fontId="29" fillId="0" borderId="5" xfId="0" applyFont="1" applyBorder="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33" fillId="0" borderId="0" xfId="0" applyFont="1" applyAlignment="1">
      <alignment horizontal="center" vertical="center"/>
    </xf>
    <xf numFmtId="0" fontId="0" fillId="0" borderId="6" xfId="0" applyBorder="1"/>
    <xf numFmtId="0" fontId="0" fillId="0" borderId="0" xfId="0" applyAlignment="1">
      <alignment horizontal="center" vertical="center" wrapText="1"/>
    </xf>
    <xf numFmtId="0" fontId="37" fillId="0" borderId="0" xfId="0" applyFont="1"/>
    <xf numFmtId="0" fontId="0" fillId="0" borderId="0" xfId="0" applyAlignment="1">
      <alignment vertical="top"/>
    </xf>
    <xf numFmtId="0" fontId="0" fillId="2" borderId="0" xfId="0" applyFill="1"/>
    <xf numFmtId="0" fontId="34" fillId="3" borderId="16" xfId="0" applyFont="1" applyFill="1" applyBorder="1"/>
    <xf numFmtId="0" fontId="34" fillId="3" borderId="17" xfId="0" applyFont="1" applyFill="1" applyBorder="1"/>
    <xf numFmtId="0" fontId="34" fillId="3" borderId="18" xfId="0" applyFont="1" applyFill="1" applyBorder="1"/>
    <xf numFmtId="0" fontId="35" fillId="0" borderId="0" xfId="0" applyFont="1" applyAlignment="1">
      <alignment horizontal="left" vertical="center"/>
    </xf>
    <xf numFmtId="0" fontId="35" fillId="0" borderId="30" xfId="0" applyFont="1" applyBorder="1" applyAlignment="1">
      <alignment horizontal="left" vertical="center"/>
    </xf>
    <xf numFmtId="0" fontId="35" fillId="0" borderId="4" xfId="0" applyFont="1" applyBorder="1" applyAlignment="1">
      <alignment horizontal="left" vertical="center"/>
    </xf>
    <xf numFmtId="0" fontId="35" fillId="0" borderId="17" xfId="0" applyFont="1" applyBorder="1" applyAlignment="1">
      <alignment horizontal="left" vertical="center"/>
    </xf>
    <xf numFmtId="0" fontId="35" fillId="0" borderId="28" xfId="0" applyFont="1" applyBorder="1" applyAlignment="1">
      <alignment horizontal="left" vertical="center"/>
    </xf>
    <xf numFmtId="0" fontId="35" fillId="0" borderId="27" xfId="0" applyFont="1" applyBorder="1" applyAlignment="1">
      <alignment horizontal="left" vertical="center"/>
    </xf>
    <xf numFmtId="0" fontId="35" fillId="0" borderId="0" xfId="1" applyFont="1"/>
    <xf numFmtId="0" fontId="28" fillId="0" borderId="0" xfId="1"/>
    <xf numFmtId="0" fontId="44" fillId="4" borderId="2" xfId="1" applyFont="1" applyFill="1" applyBorder="1"/>
    <xf numFmtId="0" fontId="35" fillId="4" borderId="12" xfId="1" applyFont="1" applyFill="1" applyBorder="1" applyAlignment="1">
      <alignment horizontal="center" vertical="center"/>
    </xf>
    <xf numFmtId="0" fontId="35" fillId="4" borderId="3" xfId="1" applyFont="1" applyFill="1" applyBorder="1" applyAlignment="1">
      <alignment horizontal="center" vertical="center"/>
    </xf>
    <xf numFmtId="0" fontId="35" fillId="4" borderId="2" xfId="1" applyFont="1" applyFill="1" applyBorder="1"/>
    <xf numFmtId="0" fontId="28" fillId="4" borderId="12" xfId="1" applyFill="1" applyBorder="1" applyAlignment="1">
      <alignment horizontal="center" vertical="center"/>
    </xf>
    <xf numFmtId="0" fontId="28" fillId="4" borderId="3" xfId="1" applyFill="1" applyBorder="1" applyAlignment="1">
      <alignment horizontal="center" vertical="center"/>
    </xf>
    <xf numFmtId="0" fontId="28" fillId="0" borderId="0" xfId="1" applyAlignment="1">
      <alignment horizontal="center" vertical="center"/>
    </xf>
    <xf numFmtId="0" fontId="35" fillId="4" borderId="31" xfId="1" applyFont="1" applyFill="1" applyBorder="1"/>
    <xf numFmtId="0" fontId="28" fillId="4" borderId="0" xfId="1" applyFill="1" applyAlignment="1">
      <alignment horizontal="center" vertical="center"/>
    </xf>
    <xf numFmtId="0" fontId="28" fillId="4" borderId="20" xfId="1" applyFill="1" applyBorder="1" applyAlignment="1">
      <alignment horizontal="center" vertical="center"/>
    </xf>
    <xf numFmtId="0" fontId="35" fillId="4" borderId="32" xfId="1" applyFont="1" applyFill="1" applyBorder="1"/>
    <xf numFmtId="0" fontId="28" fillId="4" borderId="22" xfId="1" applyFill="1" applyBorder="1" applyAlignment="1">
      <alignment horizontal="center" vertical="center"/>
    </xf>
    <xf numFmtId="0" fontId="28" fillId="4" borderId="23" xfId="1" applyFill="1" applyBorder="1" applyAlignment="1">
      <alignment horizontal="center" vertical="center"/>
    </xf>
    <xf numFmtId="0" fontId="28" fillId="4" borderId="4" xfId="1" applyFill="1" applyBorder="1" applyAlignment="1">
      <alignment horizontal="center" vertical="center"/>
    </xf>
    <xf numFmtId="0" fontId="28" fillId="4" borderId="32" xfId="1" applyFill="1" applyBorder="1" applyAlignment="1">
      <alignment horizontal="center" vertical="center"/>
    </xf>
    <xf numFmtId="0" fontId="35" fillId="4" borderId="4" xfId="1" applyFont="1" applyFill="1" applyBorder="1"/>
    <xf numFmtId="0" fontId="28" fillId="4" borderId="27" xfId="1" applyFill="1" applyBorder="1" applyAlignment="1">
      <alignment horizontal="center" vertical="center"/>
    </xf>
    <xf numFmtId="11" fontId="28" fillId="4" borderId="22" xfId="1" applyNumberFormat="1" applyFill="1" applyBorder="1" applyAlignment="1">
      <alignment horizontal="center" vertical="center"/>
    </xf>
    <xf numFmtId="0" fontId="28" fillId="4" borderId="34" xfId="1" applyFill="1" applyBorder="1" applyAlignment="1">
      <alignment horizontal="center" vertical="center"/>
    </xf>
    <xf numFmtId="0" fontId="47" fillId="0" borderId="14" xfId="2" applyFont="1" applyBorder="1" applyAlignment="1">
      <alignment horizontal="left" vertical="center" wrapText="1"/>
    </xf>
    <xf numFmtId="0" fontId="47" fillId="0" borderId="14" xfId="2" applyFont="1" applyBorder="1" applyAlignment="1">
      <alignment horizontal="center" vertical="center" wrapText="1"/>
    </xf>
    <xf numFmtId="0" fontId="0" fillId="0" borderId="14" xfId="0" applyBorder="1" applyAlignment="1">
      <alignment horizontal="center" vertical="center" wrapText="1"/>
    </xf>
    <xf numFmtId="0" fontId="43" fillId="0" borderId="14" xfId="0" applyFont="1" applyBorder="1" applyAlignment="1">
      <alignment horizontal="center" vertical="center"/>
    </xf>
    <xf numFmtId="0" fontId="49" fillId="0" borderId="0" xfId="0" applyFont="1" applyAlignment="1">
      <alignment vertical="center"/>
    </xf>
    <xf numFmtId="0" fontId="49" fillId="0" borderId="0" xfId="0" applyFont="1"/>
    <xf numFmtId="0" fontId="0" fillId="6" borderId="0" xfId="0" applyFill="1"/>
    <xf numFmtId="0" fontId="33" fillId="6" borderId="0" xfId="0" applyFont="1" applyFill="1" applyAlignment="1">
      <alignment horizontal="center" vertical="center" wrapText="1"/>
    </xf>
    <xf numFmtId="0" fontId="39" fillId="6" borderId="0" xfId="0" applyFont="1" applyFill="1" applyAlignment="1">
      <alignment horizontal="center" vertical="center" wrapText="1"/>
    </xf>
    <xf numFmtId="0" fontId="33" fillId="6" borderId="0" xfId="0" applyFont="1" applyFill="1" applyAlignment="1">
      <alignment horizontal="center" vertical="center"/>
    </xf>
    <xf numFmtId="0" fontId="32" fillId="6" borderId="0" xfId="0" applyFont="1" applyFill="1" applyAlignment="1">
      <alignment horizontal="center" vertical="center"/>
    </xf>
    <xf numFmtId="0" fontId="40" fillId="7" borderId="0" xfId="0" applyFont="1" applyFill="1"/>
    <xf numFmtId="0" fontId="0" fillId="7" borderId="0" xfId="0" applyFill="1"/>
    <xf numFmtId="0" fontId="29" fillId="7" borderId="1" xfId="0" applyFont="1" applyFill="1" applyBorder="1" applyAlignment="1">
      <alignment horizontal="center" vertical="center" wrapText="1"/>
    </xf>
    <xf numFmtId="0" fontId="29" fillId="7" borderId="4" xfId="0" applyFont="1" applyFill="1" applyBorder="1" applyAlignment="1">
      <alignment horizontal="center" vertical="center"/>
    </xf>
    <xf numFmtId="0" fontId="29" fillId="7" borderId="33" xfId="0" applyFont="1" applyFill="1" applyBorder="1" applyAlignment="1">
      <alignment horizontal="center" vertical="center" wrapText="1"/>
    </xf>
    <xf numFmtId="0" fontId="35" fillId="7" borderId="30" xfId="0" applyFont="1" applyFill="1" applyBorder="1" applyAlignment="1">
      <alignment horizontal="left" vertical="center"/>
    </xf>
    <xf numFmtId="0" fontId="35" fillId="7" borderId="4" xfId="0" applyFont="1" applyFill="1" applyBorder="1" applyAlignment="1">
      <alignment horizontal="left" vertical="center"/>
    </xf>
    <xf numFmtId="0" fontId="35" fillId="7" borderId="17" xfId="0" applyFont="1" applyFill="1" applyBorder="1" applyAlignment="1">
      <alignment horizontal="left" vertical="center"/>
    </xf>
    <xf numFmtId="0" fontId="35" fillId="7" borderId="28" xfId="0" applyFont="1" applyFill="1" applyBorder="1" applyAlignment="1">
      <alignment horizontal="left" vertical="center"/>
    </xf>
    <xf numFmtId="0" fontId="35" fillId="7" borderId="27" xfId="0" applyFont="1" applyFill="1" applyBorder="1" applyAlignment="1">
      <alignment horizontal="left" vertical="center"/>
    </xf>
    <xf numFmtId="0" fontId="35" fillId="7" borderId="24" xfId="0" applyFont="1" applyFill="1" applyBorder="1" applyAlignment="1">
      <alignment horizontal="left" vertical="center" wrapText="1"/>
    </xf>
    <xf numFmtId="0" fontId="35" fillId="7" borderId="0" xfId="0" applyFont="1" applyFill="1" applyAlignment="1">
      <alignment horizontal="left" vertical="center"/>
    </xf>
    <xf numFmtId="0" fontId="29" fillId="7" borderId="5" xfId="0" applyFont="1" applyFill="1" applyBorder="1" applyAlignment="1">
      <alignment vertical="top" wrapText="1"/>
    </xf>
    <xf numFmtId="0" fontId="35" fillId="7" borderId="25" xfId="0" applyFont="1" applyFill="1" applyBorder="1" applyAlignment="1">
      <alignment horizontal="left" vertical="center"/>
    </xf>
    <xf numFmtId="0" fontId="35" fillId="7" borderId="2" xfId="0" applyFont="1" applyFill="1" applyBorder="1" applyAlignment="1">
      <alignment horizontal="left" vertical="center"/>
    </xf>
    <xf numFmtId="0" fontId="35" fillId="7" borderId="3" xfId="0" applyFont="1" applyFill="1" applyBorder="1" applyAlignment="1">
      <alignment horizontal="left" vertical="center"/>
    </xf>
    <xf numFmtId="0" fontId="35" fillId="7" borderId="12" xfId="0" applyFont="1" applyFill="1" applyBorder="1" applyAlignment="1">
      <alignment horizontal="left" vertical="center"/>
    </xf>
    <xf numFmtId="0" fontId="35" fillId="7" borderId="15" xfId="0" applyFont="1" applyFill="1" applyBorder="1" applyAlignment="1">
      <alignment horizontal="left" vertical="center"/>
    </xf>
    <xf numFmtId="0" fontId="0" fillId="0" borderId="0" xfId="0" applyAlignment="1">
      <alignment horizontal="left"/>
    </xf>
    <xf numFmtId="0" fontId="29" fillId="7" borderId="27" xfId="0" applyFont="1" applyFill="1" applyBorder="1" applyAlignment="1">
      <alignment horizontal="center" vertical="center" wrapText="1"/>
    </xf>
    <xf numFmtId="0" fontId="29" fillId="0" borderId="0" xfId="0" applyFont="1" applyAlignment="1">
      <alignment horizontal="center" vertical="center"/>
    </xf>
    <xf numFmtId="0" fontId="0" fillId="6" borderId="0" xfId="0" applyFill="1" applyAlignment="1">
      <alignment horizontal="left"/>
    </xf>
    <xf numFmtId="0" fontId="49" fillId="0" borderId="6" xfId="0" applyFont="1" applyBorder="1"/>
    <xf numFmtId="0" fontId="49" fillId="0" borderId="6" xfId="0" applyFont="1" applyBorder="1" applyAlignment="1">
      <alignment wrapText="1"/>
    </xf>
    <xf numFmtId="0" fontId="50" fillId="6" borderId="0" xfId="0" applyFont="1" applyFill="1"/>
    <xf numFmtId="0" fontId="29" fillId="7" borderId="26" xfId="0" applyFont="1" applyFill="1" applyBorder="1" applyAlignment="1">
      <alignment horizontal="center" vertical="center" wrapText="1"/>
    </xf>
    <xf numFmtId="0" fontId="49" fillId="0" borderId="6" xfId="0" applyFont="1" applyBorder="1" applyAlignment="1">
      <alignment vertical="center"/>
    </xf>
    <xf numFmtId="0" fontId="35" fillId="0" borderId="0" xfId="3" applyFont="1" applyAlignment="1">
      <alignment horizontal="center" vertical="center" wrapText="1"/>
    </xf>
    <xf numFmtId="0" fontId="46" fillId="6" borderId="0" xfId="0" applyFont="1" applyFill="1"/>
    <xf numFmtId="0" fontId="46" fillId="0" borderId="0" xfId="0" applyFont="1"/>
    <xf numFmtId="0" fontId="49" fillId="0" borderId="6" xfId="0" applyFont="1" applyBorder="1" applyAlignment="1">
      <alignment horizontal="left" vertical="center"/>
    </xf>
    <xf numFmtId="0" fontId="46" fillId="0" borderId="6" xfId="0" applyFont="1" applyBorder="1" applyAlignment="1">
      <alignment horizontal="center" vertical="center"/>
    </xf>
    <xf numFmtId="11" fontId="49" fillId="0" borderId="14" xfId="0" applyNumberFormat="1" applyFont="1" applyBorder="1" applyAlignment="1">
      <alignment horizontal="center" vertical="center"/>
    </xf>
    <xf numFmtId="0" fontId="46" fillId="0" borderId="6" xfId="0" applyFont="1" applyBorder="1"/>
    <xf numFmtId="0" fontId="46" fillId="0" borderId="8" xfId="0" applyFont="1" applyBorder="1"/>
    <xf numFmtId="0" fontId="46" fillId="0" borderId="11" xfId="0" applyFont="1" applyBorder="1"/>
    <xf numFmtId="0" fontId="49" fillId="0" borderId="14" xfId="0" applyFont="1" applyBorder="1" applyAlignment="1">
      <alignment horizontal="center" vertical="center"/>
    </xf>
    <xf numFmtId="0" fontId="46" fillId="0" borderId="39" xfId="0" applyFont="1" applyBorder="1"/>
    <xf numFmtId="0" fontId="46" fillId="0" borderId="14" xfId="0" applyFont="1" applyBorder="1" applyAlignment="1">
      <alignment horizontal="center" vertical="center"/>
    </xf>
    <xf numFmtId="0" fontId="49" fillId="0" borderId="14" xfId="0" applyFont="1" applyBorder="1" applyAlignment="1">
      <alignment horizontal="left" vertical="center"/>
    </xf>
    <xf numFmtId="0" fontId="49" fillId="0" borderId="39" xfId="0" applyFont="1" applyBorder="1" applyAlignment="1">
      <alignment horizontal="center" vertical="center"/>
    </xf>
    <xf numFmtId="0" fontId="48" fillId="0" borderId="7" xfId="0" applyFont="1" applyBorder="1" applyAlignment="1">
      <alignment horizontal="center" vertical="center"/>
    </xf>
    <xf numFmtId="0" fontId="49" fillId="0" borderId="6" xfId="0" applyFont="1" applyBorder="1" applyAlignment="1">
      <alignment horizontal="center" vertical="center"/>
    </xf>
    <xf numFmtId="0" fontId="49" fillId="0" borderId="8" xfId="0" applyFont="1" applyBorder="1" applyAlignment="1">
      <alignment horizontal="center" vertical="center"/>
    </xf>
    <xf numFmtId="0" fontId="48" fillId="0" borderId="7" xfId="0" applyFont="1" applyBorder="1" applyAlignment="1">
      <alignment horizontal="center" vertical="center" wrapText="1"/>
    </xf>
    <xf numFmtId="0" fontId="48" fillId="0" borderId="9" xfId="0" applyFont="1" applyBorder="1" applyAlignment="1">
      <alignment horizontal="center" vertical="center" wrapText="1"/>
    </xf>
    <xf numFmtId="0" fontId="46" fillId="0" borderId="10" xfId="0" applyFont="1" applyBorder="1"/>
    <xf numFmtId="0" fontId="49" fillId="0" borderId="10" xfId="0" applyFont="1" applyBorder="1" applyAlignment="1">
      <alignment horizontal="center" vertical="center"/>
    </xf>
    <xf numFmtId="0" fontId="46" fillId="0" borderId="6" xfId="0" applyFont="1" applyBorder="1" applyAlignment="1">
      <alignment horizontal="center"/>
    </xf>
    <xf numFmtId="0" fontId="46" fillId="0" borderId="10" xfId="0" applyFont="1" applyBorder="1" applyAlignment="1">
      <alignment horizontal="center"/>
    </xf>
    <xf numFmtId="0" fontId="29" fillId="6" borderId="0" xfId="0" applyFont="1" applyFill="1" applyAlignment="1">
      <alignment horizontal="center" vertical="center" wrapText="1"/>
    </xf>
    <xf numFmtId="0" fontId="57" fillId="0" borderId="7" xfId="3" applyFont="1" applyBorder="1" applyAlignment="1">
      <alignment horizontal="left" vertical="center" wrapText="1"/>
    </xf>
    <xf numFmtId="0" fontId="61" fillId="0" borderId="7" xfId="3" applyFont="1" applyBorder="1" applyAlignment="1">
      <alignment horizontal="left" vertical="center" wrapText="1"/>
    </xf>
    <xf numFmtId="0" fontId="67" fillId="0" borderId="9" xfId="0" applyFont="1" applyBorder="1" applyAlignment="1">
      <alignment horizontal="left"/>
    </xf>
    <xf numFmtId="2" fontId="46" fillId="0" borderId="6" xfId="0" applyNumberFormat="1" applyFont="1" applyBorder="1" applyAlignment="1">
      <alignment horizontal="center" vertical="center"/>
    </xf>
    <xf numFmtId="0" fontId="46" fillId="0" borderId="8" xfId="0" applyFont="1" applyBorder="1" applyAlignment="1">
      <alignment horizontal="center" vertical="center"/>
    </xf>
    <xf numFmtId="11" fontId="46" fillId="0" borderId="6" xfId="0" applyNumberFormat="1" applyFont="1" applyBorder="1" applyAlignment="1">
      <alignment horizontal="center" vertical="center"/>
    </xf>
    <xf numFmtId="0" fontId="67" fillId="0" borderId="7" xfId="0" applyFont="1" applyBorder="1" applyAlignment="1">
      <alignment horizontal="left" vertical="center"/>
    </xf>
    <xf numFmtId="0" fontId="73" fillId="0" borderId="7" xfId="3" applyFont="1" applyBorder="1" applyAlignment="1">
      <alignment horizontal="left" vertical="center" wrapText="1"/>
    </xf>
    <xf numFmtId="0" fontId="56" fillId="6" borderId="0" xfId="0" applyFont="1" applyFill="1" applyAlignment="1">
      <alignment horizontal="center" vertical="center" wrapText="1"/>
    </xf>
    <xf numFmtId="0" fontId="53" fillId="6" borderId="0" xfId="0" applyFont="1" applyFill="1" applyAlignment="1">
      <alignment horizontal="center" vertical="center"/>
    </xf>
    <xf numFmtId="0" fontId="56" fillId="0" borderId="0" xfId="0" applyFont="1" applyAlignment="1">
      <alignment horizontal="center" vertical="center"/>
    </xf>
    <xf numFmtId="0" fontId="53" fillId="0" borderId="0" xfId="0" applyFont="1" applyAlignment="1">
      <alignment horizontal="center" vertical="center"/>
    </xf>
    <xf numFmtId="0" fontId="53" fillId="0" borderId="0" xfId="0" applyFont="1" applyAlignment="1">
      <alignment horizontal="left" vertical="center" wrapText="1"/>
    </xf>
    <xf numFmtId="0" fontId="53" fillId="0" borderId="0" xfId="0" applyFont="1" applyAlignment="1">
      <alignment horizontal="center" vertical="center" wrapText="1"/>
    </xf>
    <xf numFmtId="0" fontId="53" fillId="9" borderId="6" xfId="0" applyFont="1" applyFill="1" applyBorder="1" applyAlignment="1">
      <alignment horizontal="center" vertical="center" wrapText="1"/>
    </xf>
    <xf numFmtId="0" fontId="53" fillId="9" borderId="6" xfId="0" applyFont="1" applyFill="1" applyBorder="1" applyAlignment="1">
      <alignment horizontal="left" vertical="center" wrapText="1"/>
    </xf>
    <xf numFmtId="165" fontId="53" fillId="9" borderId="6" xfId="0" applyNumberFormat="1" applyFont="1" applyFill="1" applyBorder="1" applyAlignment="1">
      <alignment horizontal="center" vertical="center" wrapText="1"/>
    </xf>
    <xf numFmtId="167" fontId="53" fillId="9" borderId="6" xfId="0" applyNumberFormat="1" applyFont="1" applyFill="1" applyBorder="1" applyAlignment="1">
      <alignment horizontal="center" vertical="center" wrapText="1"/>
    </xf>
    <xf numFmtId="2" fontId="53" fillId="9" borderId="6" xfId="0" applyNumberFormat="1" applyFont="1" applyFill="1" applyBorder="1" applyAlignment="1">
      <alignment horizontal="center" vertical="center" wrapText="1"/>
    </xf>
    <xf numFmtId="0" fontId="53" fillId="9" borderId="6" xfId="0" quotePrefix="1" applyFont="1" applyFill="1" applyBorder="1" applyAlignment="1">
      <alignment horizontal="center" vertical="center" wrapText="1"/>
    </xf>
    <xf numFmtId="166" fontId="53" fillId="9" borderId="6" xfId="0" applyNumberFormat="1" applyFont="1" applyFill="1" applyBorder="1" applyAlignment="1">
      <alignment horizontal="center" vertical="center" wrapText="1"/>
    </xf>
    <xf numFmtId="0" fontId="53" fillId="0" borderId="0" xfId="0" applyFont="1" applyAlignment="1">
      <alignment horizontal="left" vertical="center"/>
    </xf>
    <xf numFmtId="0" fontId="49" fillId="0" borderId="11" xfId="0" applyFont="1" applyBorder="1" applyAlignment="1">
      <alignment horizontal="center" vertical="center" wrapText="1"/>
    </xf>
    <xf numFmtId="0" fontId="56" fillId="7" borderId="48" xfId="0" applyFont="1" applyFill="1" applyBorder="1" applyAlignment="1">
      <alignment horizontal="center" vertical="center" wrapText="1"/>
    </xf>
    <xf numFmtId="0" fontId="46" fillId="0" borderId="0" xfId="0" applyFont="1" applyAlignment="1">
      <alignment horizontal="center" vertical="center"/>
    </xf>
    <xf numFmtId="0" fontId="53" fillId="0" borderId="0" xfId="0" applyFont="1"/>
    <xf numFmtId="0" fontId="56" fillId="7" borderId="45" xfId="0" applyFont="1" applyFill="1" applyBorder="1" applyAlignment="1">
      <alignment horizontal="center" vertical="center" wrapText="1"/>
    </xf>
    <xf numFmtId="0" fontId="0" fillId="6" borderId="0" xfId="0" applyFill="1" applyAlignment="1">
      <alignment horizontal="left" vertical="center"/>
    </xf>
    <xf numFmtId="0" fontId="40" fillId="0" borderId="0" xfId="0" applyFont="1"/>
    <xf numFmtId="0" fontId="0" fillId="0" borderId="0" xfId="0" quotePrefix="1" applyAlignment="1">
      <alignment horizontal="right"/>
    </xf>
    <xf numFmtId="0" fontId="41" fillId="0" borderId="0" xfId="0" quotePrefix="1" applyFont="1"/>
    <xf numFmtId="0" fontId="30" fillId="0" borderId="0" xfId="0" applyFont="1"/>
    <xf numFmtId="0" fontId="0" fillId="0" borderId="13" xfId="0" applyBorder="1"/>
    <xf numFmtId="0" fontId="0" fillId="0" borderId="14" xfId="0" applyBorder="1"/>
    <xf numFmtId="0" fontId="34" fillId="0" borderId="0" xfId="0" applyFont="1"/>
    <xf numFmtId="0" fontId="38" fillId="0" borderId="0" xfId="0" applyFont="1"/>
    <xf numFmtId="0" fontId="57" fillId="7" borderId="55" xfId="0" applyFont="1" applyFill="1" applyBorder="1" applyAlignment="1">
      <alignment horizontal="center" vertical="center" wrapText="1"/>
    </xf>
    <xf numFmtId="0" fontId="57" fillId="7" borderId="51" xfId="0" applyFont="1" applyFill="1" applyBorder="1" applyAlignment="1">
      <alignment horizontal="center" vertical="center" wrapText="1"/>
    </xf>
    <xf numFmtId="0" fontId="29" fillId="0" borderId="0" xfId="0" applyFont="1" applyAlignment="1">
      <alignment vertical="top" wrapText="1"/>
    </xf>
    <xf numFmtId="0" fontId="57" fillId="7" borderId="51" xfId="0" applyFont="1" applyFill="1" applyBorder="1" applyAlignment="1">
      <alignment horizontal="center" vertical="center"/>
    </xf>
    <xf numFmtId="0" fontId="43" fillId="0" borderId="0" xfId="22"/>
    <xf numFmtId="0" fontId="46" fillId="0" borderId="0" xfId="0" applyFont="1" applyAlignment="1">
      <alignment horizontal="center" vertical="center" wrapText="1"/>
    </xf>
    <xf numFmtId="0" fontId="48" fillId="7" borderId="30" xfId="0" applyFont="1" applyFill="1" applyBorder="1" applyAlignment="1">
      <alignment horizontal="center" vertical="center" wrapText="1"/>
    </xf>
    <xf numFmtId="0" fontId="49" fillId="0" borderId="38" xfId="0" applyFont="1" applyBorder="1" applyAlignment="1">
      <alignment horizontal="left" vertical="center"/>
    </xf>
    <xf numFmtId="0" fontId="49" fillId="11" borderId="6" xfId="0" applyFont="1" applyFill="1" applyBorder="1" applyAlignment="1">
      <alignment horizontal="center" vertical="center" wrapText="1"/>
    </xf>
    <xf numFmtId="0" fontId="49" fillId="0" borderId="0" xfId="0" applyFont="1" applyAlignment="1">
      <alignment horizontal="left" vertical="center"/>
    </xf>
    <xf numFmtId="165" fontId="49" fillId="0" borderId="0" xfId="0" applyNumberFormat="1" applyFont="1" applyAlignment="1">
      <alignment horizontal="center" vertical="center" wrapText="1"/>
    </xf>
    <xf numFmtId="0" fontId="49" fillId="0" borderId="0" xfId="0" applyFont="1" applyAlignment="1">
      <alignment horizontal="center" vertical="center" wrapText="1"/>
    </xf>
    <xf numFmtId="0" fontId="53" fillId="6" borderId="0" xfId="0" applyFont="1" applyFill="1" applyAlignment="1">
      <alignment horizontal="left" vertical="center"/>
    </xf>
    <xf numFmtId="0" fontId="56" fillId="7" borderId="33" xfId="0" applyFont="1" applyFill="1" applyBorder="1" applyAlignment="1">
      <alignment horizontal="left" vertical="center" wrapText="1"/>
    </xf>
    <xf numFmtId="0" fontId="49" fillId="0" borderId="0" xfId="0" applyFont="1" applyAlignment="1">
      <alignment horizontal="left" vertical="center" wrapText="1"/>
    </xf>
    <xf numFmtId="0" fontId="57" fillId="7" borderId="51" xfId="0" applyFont="1" applyFill="1" applyBorder="1" applyAlignment="1">
      <alignment horizontal="left" vertical="center" wrapText="1"/>
    </xf>
    <xf numFmtId="0" fontId="57" fillId="7" borderId="55" xfId="0" applyFont="1" applyFill="1" applyBorder="1" applyAlignment="1">
      <alignment horizontal="left" vertical="center" wrapText="1"/>
    </xf>
    <xf numFmtId="0" fontId="56" fillId="7" borderId="46" xfId="0" applyFont="1" applyFill="1" applyBorder="1" applyAlignment="1">
      <alignment horizontal="left" vertical="center" wrapText="1"/>
    </xf>
    <xf numFmtId="0" fontId="53" fillId="8" borderId="7" xfId="0" applyFont="1" applyFill="1" applyBorder="1" applyAlignment="1">
      <alignment horizontal="left" vertical="center"/>
    </xf>
    <xf numFmtId="0" fontId="53" fillId="12" borderId="7" xfId="0" applyFont="1" applyFill="1" applyBorder="1" applyAlignment="1">
      <alignment horizontal="left" vertical="center"/>
    </xf>
    <xf numFmtId="0" fontId="52" fillId="0" borderId="0" xfId="4" applyAlignment="1" applyProtection="1"/>
    <xf numFmtId="0" fontId="52" fillId="0" borderId="0" xfId="4" applyAlignment="1" applyProtection="1">
      <alignment horizontal="center"/>
    </xf>
    <xf numFmtId="0" fontId="0" fillId="6" borderId="0" xfId="0" applyFill="1" applyAlignment="1">
      <alignment horizontal="center"/>
    </xf>
    <xf numFmtId="0" fontId="53" fillId="0" borderId="0" xfId="0" applyFont="1" applyAlignment="1">
      <alignment horizontal="center"/>
    </xf>
    <xf numFmtId="0" fontId="0" fillId="0" borderId="0" xfId="0" applyAlignment="1">
      <alignment horizontal="center"/>
    </xf>
    <xf numFmtId="0" fontId="48" fillId="0" borderId="38" xfId="0" applyFont="1" applyBorder="1" applyAlignment="1">
      <alignment horizontal="center" vertical="center"/>
    </xf>
    <xf numFmtId="0" fontId="22" fillId="0" borderId="0" xfId="12"/>
    <xf numFmtId="0" fontId="57" fillId="13" borderId="45" xfId="12" applyFont="1" applyFill="1" applyBorder="1"/>
    <xf numFmtId="0" fontId="57" fillId="13" borderId="50" xfId="12" applyFont="1" applyFill="1" applyBorder="1" applyAlignment="1">
      <alignment horizontal="center"/>
    </xf>
    <xf numFmtId="0" fontId="57" fillId="13" borderId="51" xfId="12" applyFont="1" applyFill="1" applyBorder="1" applyAlignment="1">
      <alignment horizontal="center" vertical="top" wrapText="1"/>
    </xf>
    <xf numFmtId="0" fontId="57" fillId="13" borderId="51" xfId="12" applyFont="1" applyFill="1" applyBorder="1" applyAlignment="1">
      <alignment horizontal="center" vertical="center" wrapText="1"/>
    </xf>
    <xf numFmtId="0" fontId="57" fillId="13" borderId="52" xfId="12" applyFont="1" applyFill="1" applyBorder="1" applyAlignment="1">
      <alignment horizontal="center" vertical="top" wrapText="1"/>
    </xf>
    <xf numFmtId="0" fontId="49" fillId="0" borderId="0" xfId="0" applyFont="1" applyAlignment="1">
      <alignment horizontal="left"/>
    </xf>
    <xf numFmtId="0" fontId="49" fillId="0" borderId="0" xfId="0" applyFont="1" applyAlignment="1">
      <alignment horizontal="center"/>
    </xf>
    <xf numFmtId="0" fontId="49" fillId="0" borderId="0" xfId="0" quotePrefix="1" applyFont="1" applyAlignment="1">
      <alignment horizontal="center"/>
    </xf>
    <xf numFmtId="11" fontId="49" fillId="0" borderId="0" xfId="0" applyNumberFormat="1" applyFont="1" applyAlignment="1">
      <alignment horizontal="center"/>
    </xf>
    <xf numFmtId="0" fontId="46" fillId="0" borderId="0" xfId="22" applyFont="1"/>
    <xf numFmtId="0" fontId="43" fillId="0" borderId="0" xfId="6"/>
    <xf numFmtId="0" fontId="46" fillId="0" borderId="29" xfId="6" applyFont="1" applyBorder="1"/>
    <xf numFmtId="0" fontId="46" fillId="0" borderId="36" xfId="6" applyFont="1" applyBorder="1"/>
    <xf numFmtId="0" fontId="46" fillId="0" borderId="36" xfId="6" applyFont="1" applyBorder="1" applyAlignment="1">
      <alignment horizontal="center"/>
    </xf>
    <xf numFmtId="0" fontId="46" fillId="0" borderId="43" xfId="6" applyFont="1" applyBorder="1"/>
    <xf numFmtId="0" fontId="16" fillId="0" borderId="0" xfId="12" applyFont="1"/>
    <xf numFmtId="0" fontId="53" fillId="8" borderId="10" xfId="0" applyFont="1" applyFill="1" applyBorder="1" applyAlignment="1">
      <alignment horizontal="left" vertical="center" wrapText="1"/>
    </xf>
    <xf numFmtId="0" fontId="53" fillId="8" borderId="10" xfId="0" applyFont="1" applyFill="1" applyBorder="1" applyAlignment="1">
      <alignment horizontal="center" vertical="center" wrapText="1"/>
    </xf>
    <xf numFmtId="0" fontId="49" fillId="8" borderId="7" xfId="0" applyFont="1" applyFill="1" applyBorder="1" applyAlignment="1">
      <alignment horizontal="left" vertical="center"/>
    </xf>
    <xf numFmtId="0" fontId="49" fillId="8" borderId="6" xfId="0" applyFont="1" applyFill="1" applyBorder="1" applyAlignment="1">
      <alignment horizontal="center" vertical="center" wrapText="1"/>
    </xf>
    <xf numFmtId="2" fontId="49" fillId="8" borderId="6" xfId="0" applyNumberFormat="1" applyFont="1" applyFill="1" applyBorder="1" applyAlignment="1">
      <alignment horizontal="center" vertical="center" wrapText="1"/>
    </xf>
    <xf numFmtId="0" fontId="49" fillId="10" borderId="7" xfId="0" applyFont="1" applyFill="1" applyBorder="1" applyAlignment="1">
      <alignment horizontal="left" vertical="center"/>
    </xf>
    <xf numFmtId="0" fontId="49" fillId="10" borderId="6" xfId="0" applyFont="1" applyFill="1" applyBorder="1" applyAlignment="1">
      <alignment horizontal="center" vertical="center" wrapText="1"/>
    </xf>
    <xf numFmtId="0" fontId="49" fillId="12" borderId="7" xfId="0" applyFont="1" applyFill="1" applyBorder="1" applyAlignment="1">
      <alignment horizontal="left" vertical="center"/>
    </xf>
    <xf numFmtId="0" fontId="49" fillId="12" borderId="6" xfId="0" applyFont="1" applyFill="1" applyBorder="1" applyAlignment="1">
      <alignment horizontal="left" vertical="center"/>
    </xf>
    <xf numFmtId="0" fontId="49" fillId="12" borderId="6" xfId="0" applyFont="1" applyFill="1" applyBorder="1" applyAlignment="1">
      <alignment horizontal="center" vertical="center"/>
    </xf>
    <xf numFmtId="0" fontId="49" fillId="12" borderId="10" xfId="0" applyFont="1" applyFill="1" applyBorder="1" applyAlignment="1">
      <alignment horizontal="left" vertical="center"/>
    </xf>
    <xf numFmtId="0" fontId="49" fillId="12" borderId="10" xfId="0" applyFont="1" applyFill="1" applyBorder="1" applyAlignment="1">
      <alignment horizontal="center" vertical="center"/>
    </xf>
    <xf numFmtId="2" fontId="46" fillId="0" borderId="14" xfId="0" applyNumberFormat="1" applyFont="1" applyBorder="1" applyAlignment="1">
      <alignment horizontal="center" vertical="center"/>
    </xf>
    <xf numFmtId="0" fontId="57" fillId="0" borderId="38" xfId="3" applyFont="1" applyBorder="1" applyAlignment="1">
      <alignment horizontal="left" vertical="center" wrapText="1"/>
    </xf>
    <xf numFmtId="0" fontId="44" fillId="0" borderId="0" xfId="0" applyFont="1" applyAlignment="1">
      <alignment horizontal="center" vertical="center"/>
    </xf>
    <xf numFmtId="0" fontId="49" fillId="15" borderId="6" xfId="0" applyFont="1" applyFill="1" applyBorder="1" applyAlignment="1">
      <alignment horizontal="center" vertical="center" wrapText="1"/>
    </xf>
    <xf numFmtId="0" fontId="46" fillId="0" borderId="8" xfId="0" applyFont="1" applyBorder="1" applyAlignment="1">
      <alignment horizontal="left" vertical="center"/>
    </xf>
    <xf numFmtId="0" fontId="49" fillId="12" borderId="8" xfId="0" applyFont="1" applyFill="1" applyBorder="1" applyAlignment="1">
      <alignment horizontal="left" vertical="center"/>
    </xf>
    <xf numFmtId="0" fontId="49" fillId="12" borderId="11" xfId="0" applyFont="1" applyFill="1" applyBorder="1" applyAlignment="1">
      <alignment horizontal="left" vertical="center"/>
    </xf>
    <xf numFmtId="0" fontId="56" fillId="0" borderId="0" xfId="0" applyFont="1"/>
    <xf numFmtId="0" fontId="53" fillId="10" borderId="6" xfId="0" applyFont="1" applyFill="1" applyBorder="1" applyAlignment="1">
      <alignment horizontal="left" vertical="center" wrapText="1"/>
    </xf>
    <xf numFmtId="0" fontId="53" fillId="10" borderId="6" xfId="0" applyFont="1" applyFill="1" applyBorder="1" applyAlignment="1">
      <alignment horizontal="center" vertical="center" wrapText="1"/>
    </xf>
    <xf numFmtId="0" fontId="49" fillId="12" borderId="74" xfId="0" applyFont="1" applyFill="1" applyBorder="1" applyAlignment="1">
      <alignment horizontal="center" vertical="center"/>
    </xf>
    <xf numFmtId="0" fontId="49" fillId="15" borderId="74" xfId="0" applyFont="1" applyFill="1" applyBorder="1" applyAlignment="1">
      <alignment horizontal="center" vertical="center" wrapText="1"/>
    </xf>
    <xf numFmtId="0" fontId="49" fillId="15" borderId="6" xfId="0" applyFont="1" applyFill="1" applyBorder="1" applyAlignment="1">
      <alignment horizontal="center" vertical="center"/>
    </xf>
    <xf numFmtId="0" fontId="49" fillId="15" borderId="10" xfId="0" applyFont="1" applyFill="1" applyBorder="1" applyAlignment="1">
      <alignment horizontal="center" vertical="center"/>
    </xf>
    <xf numFmtId="0" fontId="53" fillId="16" borderId="6" xfId="0" applyFont="1" applyFill="1" applyBorder="1" applyAlignment="1">
      <alignment horizontal="left" vertical="center" wrapText="1"/>
    </xf>
    <xf numFmtId="0" fontId="53" fillId="9" borderId="10" xfId="0" applyFont="1" applyFill="1" applyBorder="1" applyAlignment="1">
      <alignment horizontal="center" vertical="center" wrapText="1"/>
    </xf>
    <xf numFmtId="0" fontId="56" fillId="7" borderId="71" xfId="0" applyFont="1" applyFill="1" applyBorder="1" applyAlignment="1">
      <alignment horizontal="center" vertical="center" wrapText="1"/>
    </xf>
    <xf numFmtId="167" fontId="53" fillId="8" borderId="6" xfId="0" applyNumberFormat="1" applyFont="1" applyFill="1" applyBorder="1" applyAlignment="1">
      <alignment horizontal="center" vertical="center" wrapText="1"/>
    </xf>
    <xf numFmtId="0" fontId="53" fillId="8" borderId="6" xfId="0" quotePrefix="1" applyFont="1" applyFill="1" applyBorder="1" applyAlignment="1">
      <alignment horizontal="center" vertical="center" wrapText="1"/>
    </xf>
    <xf numFmtId="0" fontId="53" fillId="8" borderId="6" xfId="0" applyFont="1" applyFill="1" applyBorder="1" applyAlignment="1">
      <alignment horizontal="left" vertical="center" wrapText="1"/>
    </xf>
    <xf numFmtId="0" fontId="53" fillId="9" borderId="7" xfId="0" applyFont="1" applyFill="1" applyBorder="1" applyAlignment="1">
      <alignment horizontal="left" vertical="center"/>
    </xf>
    <xf numFmtId="167" fontId="53" fillId="9" borderId="6" xfId="0" applyNumberFormat="1" applyFont="1" applyFill="1" applyBorder="1" applyAlignment="1">
      <alignment horizontal="center" vertical="center"/>
    </xf>
    <xf numFmtId="0" fontId="53" fillId="16" borderId="7" xfId="0" applyFont="1" applyFill="1" applyBorder="1" applyAlignment="1">
      <alignment horizontal="left" vertical="center"/>
    </xf>
    <xf numFmtId="167" fontId="53" fillId="16" borderId="6" xfId="0" applyNumberFormat="1" applyFont="1" applyFill="1" applyBorder="1" applyAlignment="1">
      <alignment horizontal="center" vertical="center" wrapText="1"/>
    </xf>
    <xf numFmtId="0" fontId="53" fillId="16" borderId="6" xfId="0" quotePrefix="1" applyFont="1" applyFill="1" applyBorder="1" applyAlignment="1">
      <alignment horizontal="center" vertical="center" wrapText="1"/>
    </xf>
    <xf numFmtId="167" fontId="53" fillId="10" borderId="6" xfId="0" applyNumberFormat="1" applyFont="1" applyFill="1" applyBorder="1" applyAlignment="1">
      <alignment horizontal="center" vertical="center" wrapText="1"/>
    </xf>
    <xf numFmtId="0" fontId="53" fillId="10" borderId="6" xfId="0" quotePrefix="1" applyFont="1" applyFill="1" applyBorder="1" applyAlignment="1">
      <alignment horizontal="center" vertical="center" wrapText="1"/>
    </xf>
    <xf numFmtId="0" fontId="53" fillId="19" borderId="6" xfId="0" applyFont="1" applyFill="1" applyBorder="1" applyAlignment="1">
      <alignment horizontal="left" vertical="center" wrapText="1"/>
    </xf>
    <xf numFmtId="167" fontId="53" fillId="19" borderId="6" xfId="0" applyNumberFormat="1" applyFont="1" applyFill="1" applyBorder="1" applyAlignment="1">
      <alignment horizontal="center" vertical="center" wrapText="1"/>
    </xf>
    <xf numFmtId="0" fontId="53" fillId="19" borderId="6" xfId="0" quotePrefix="1" applyFont="1" applyFill="1" applyBorder="1" applyAlignment="1">
      <alignment horizontal="center" vertical="center" wrapText="1"/>
    </xf>
    <xf numFmtId="0" fontId="53" fillId="8" borderId="74" xfId="0" applyFont="1" applyFill="1" applyBorder="1" applyAlignment="1">
      <alignment horizontal="left" vertical="center" wrapText="1"/>
    </xf>
    <xf numFmtId="167" fontId="53" fillId="8" borderId="74" xfId="0" applyNumberFormat="1" applyFont="1" applyFill="1" applyBorder="1" applyAlignment="1">
      <alignment horizontal="center" vertical="center" wrapText="1"/>
    </xf>
    <xf numFmtId="0" fontId="53" fillId="8" borderId="74" xfId="0" quotePrefix="1" applyFont="1" applyFill="1" applyBorder="1" applyAlignment="1">
      <alignment horizontal="center" vertical="center" wrapText="1"/>
    </xf>
    <xf numFmtId="0" fontId="49" fillId="5" borderId="6" xfId="0" applyFont="1" applyFill="1" applyBorder="1" applyAlignment="1">
      <alignment horizontal="center" vertical="center"/>
    </xf>
    <xf numFmtId="0" fontId="46" fillId="5" borderId="6" xfId="0" applyFont="1" applyFill="1" applyBorder="1" applyAlignment="1">
      <alignment horizontal="center" vertical="center"/>
    </xf>
    <xf numFmtId="0" fontId="49" fillId="15" borderId="75" xfId="0" applyFont="1" applyFill="1" applyBorder="1" applyAlignment="1">
      <alignment horizontal="left" vertical="center"/>
    </xf>
    <xf numFmtId="0" fontId="49" fillId="15" borderId="8" xfId="0" applyFont="1" applyFill="1" applyBorder="1" applyAlignment="1">
      <alignment horizontal="left" vertical="center"/>
    </xf>
    <xf numFmtId="0" fontId="53" fillId="15" borderId="6" xfId="0" applyFont="1" applyFill="1" applyBorder="1" applyAlignment="1">
      <alignment horizontal="center" vertical="center" wrapText="1"/>
    </xf>
    <xf numFmtId="0" fontId="53" fillId="15" borderId="8" xfId="0" applyFont="1" applyFill="1" applyBorder="1" applyAlignment="1">
      <alignment horizontal="left" vertical="center" wrapText="1"/>
    </xf>
    <xf numFmtId="0" fontId="53" fillId="15" borderId="10" xfId="0" applyFont="1" applyFill="1" applyBorder="1" applyAlignment="1">
      <alignment horizontal="left" vertical="center" wrapText="1"/>
    </xf>
    <xf numFmtId="0" fontId="53" fillId="15" borderId="10" xfId="0" applyFont="1" applyFill="1" applyBorder="1" applyAlignment="1">
      <alignment horizontal="center" vertical="center" wrapText="1"/>
    </xf>
    <xf numFmtId="0" fontId="53" fillId="15" borderId="11" xfId="0" applyFont="1" applyFill="1" applyBorder="1" applyAlignment="1">
      <alignment horizontal="left" vertical="center" wrapText="1"/>
    </xf>
    <xf numFmtId="0" fontId="49" fillId="12" borderId="6" xfId="0" applyFont="1" applyFill="1" applyBorder="1" applyAlignment="1">
      <alignment horizontal="center" vertical="center" wrapText="1"/>
    </xf>
    <xf numFmtId="0" fontId="53" fillId="9" borderId="6" xfId="0" applyFont="1" applyFill="1" applyBorder="1" applyAlignment="1">
      <alignment horizontal="left" vertical="center"/>
    </xf>
    <xf numFmtId="0" fontId="53" fillId="16" borderId="6" xfId="0" applyFont="1" applyFill="1" applyBorder="1" applyAlignment="1">
      <alignment horizontal="left" vertical="center"/>
    </xf>
    <xf numFmtId="0" fontId="46" fillId="20" borderId="6" xfId="0" applyFont="1" applyFill="1" applyBorder="1" applyAlignment="1">
      <alignment horizontal="center" vertical="center"/>
    </xf>
    <xf numFmtId="0" fontId="46" fillId="20" borderId="6" xfId="0" applyFont="1" applyFill="1" applyBorder="1" applyAlignment="1">
      <alignment horizontal="center" vertical="center" wrapText="1"/>
    </xf>
    <xf numFmtId="0" fontId="46" fillId="20" borderId="6" xfId="0" applyFont="1" applyFill="1" applyBorder="1"/>
    <xf numFmtId="0" fontId="0" fillId="20" borderId="6" xfId="0" applyFill="1" applyBorder="1"/>
    <xf numFmtId="0" fontId="46" fillId="20" borderId="14" xfId="0" applyFont="1" applyFill="1" applyBorder="1" applyAlignment="1">
      <alignment horizontal="center" vertical="center"/>
    </xf>
    <xf numFmtId="0" fontId="46" fillId="20" borderId="14" xfId="0" applyFont="1" applyFill="1" applyBorder="1" applyAlignment="1">
      <alignment horizontal="center" vertical="center" wrapText="1"/>
    </xf>
    <xf numFmtId="0" fontId="46" fillId="20" borderId="14" xfId="0" applyFont="1" applyFill="1" applyBorder="1"/>
    <xf numFmtId="0" fontId="46" fillId="20" borderId="38" xfId="0" applyFont="1" applyFill="1" applyBorder="1" applyAlignment="1">
      <alignment horizontal="center" vertical="center"/>
    </xf>
    <xf numFmtId="0" fontId="46" fillId="20" borderId="39" xfId="0" applyFont="1" applyFill="1" applyBorder="1"/>
    <xf numFmtId="0" fontId="46" fillId="20" borderId="9" xfId="0" applyFont="1" applyFill="1" applyBorder="1" applyAlignment="1">
      <alignment horizontal="center" vertical="center"/>
    </xf>
    <xf numFmtId="0" fontId="46" fillId="20" borderId="10" xfId="0" applyFont="1" applyFill="1" applyBorder="1" applyAlignment="1">
      <alignment horizontal="center" vertical="center" wrapText="1"/>
    </xf>
    <xf numFmtId="0" fontId="46" fillId="20" borderId="10" xfId="0" applyFont="1" applyFill="1" applyBorder="1"/>
    <xf numFmtId="0" fontId="46" fillId="20" borderId="11" xfId="0" applyFont="1" applyFill="1" applyBorder="1"/>
    <xf numFmtId="0" fontId="49" fillId="20" borderId="9" xfId="0" applyFont="1" applyFill="1" applyBorder="1" applyAlignment="1">
      <alignment horizontal="left" vertical="center" wrapText="1"/>
    </xf>
    <xf numFmtId="0" fontId="49" fillId="20" borderId="73" xfId="0" applyFont="1" applyFill="1" applyBorder="1" applyAlignment="1">
      <alignment horizontal="left" vertical="center" wrapText="1"/>
    </xf>
    <xf numFmtId="0" fontId="48" fillId="5" borderId="7" xfId="0" applyFont="1" applyFill="1" applyBorder="1" applyAlignment="1">
      <alignment horizontal="center" vertical="center"/>
    </xf>
    <xf numFmtId="0" fontId="48" fillId="5" borderId="9" xfId="0" applyFont="1" applyFill="1" applyBorder="1" applyAlignment="1">
      <alignment horizontal="center" vertical="center"/>
    </xf>
    <xf numFmtId="0" fontId="49" fillId="5" borderId="10" xfId="0" applyFont="1" applyFill="1" applyBorder="1" applyAlignment="1">
      <alignment horizontal="center" vertical="center"/>
    </xf>
    <xf numFmtId="0" fontId="46" fillId="5" borderId="10" xfId="0" applyFont="1" applyFill="1" applyBorder="1" applyAlignment="1">
      <alignment horizontal="center" vertical="center"/>
    </xf>
    <xf numFmtId="0" fontId="57" fillId="13" borderId="82" xfId="12" applyFont="1" applyFill="1" applyBorder="1" applyAlignment="1">
      <alignment horizontal="center"/>
    </xf>
    <xf numFmtId="0" fontId="57" fillId="13" borderId="83" xfId="12" applyFont="1" applyFill="1" applyBorder="1" applyAlignment="1">
      <alignment horizontal="center" vertical="top" wrapText="1"/>
    </xf>
    <xf numFmtId="0" fontId="57" fillId="13" borderId="83" xfId="12" applyFont="1" applyFill="1" applyBorder="1" applyAlignment="1">
      <alignment horizontal="center" vertical="center" wrapText="1"/>
    </xf>
    <xf numFmtId="0" fontId="57" fillId="13" borderId="84" xfId="12" applyFont="1" applyFill="1" applyBorder="1" applyAlignment="1">
      <alignment horizontal="center" vertical="top" wrapText="1"/>
    </xf>
    <xf numFmtId="0" fontId="57" fillId="7" borderId="58" xfId="0" applyFont="1" applyFill="1" applyBorder="1" applyAlignment="1">
      <alignment horizontal="left" vertical="center"/>
    </xf>
    <xf numFmtId="0" fontId="57" fillId="7" borderId="79" xfId="0" applyFont="1" applyFill="1" applyBorder="1" applyAlignment="1">
      <alignment horizontal="left" vertical="center"/>
    </xf>
    <xf numFmtId="0" fontId="57" fillId="7" borderId="63" xfId="0" applyFont="1" applyFill="1" applyBorder="1" applyAlignment="1">
      <alignment horizontal="left" vertical="center" wrapText="1"/>
    </xf>
    <xf numFmtId="0" fontId="57" fillId="7" borderId="59" xfId="0" applyFont="1" applyFill="1" applyBorder="1" applyAlignment="1">
      <alignment horizontal="left" vertical="center" wrapText="1"/>
    </xf>
    <xf numFmtId="0" fontId="57" fillId="7" borderId="80" xfId="0" applyFont="1" applyFill="1" applyBorder="1" applyAlignment="1">
      <alignment horizontal="left" vertical="center" wrapText="1"/>
    </xf>
    <xf numFmtId="0" fontId="57" fillId="7" borderId="59" xfId="0" applyFont="1" applyFill="1" applyBorder="1" applyAlignment="1">
      <alignment horizontal="center" vertical="center" wrapText="1"/>
    </xf>
    <xf numFmtId="0" fontId="57" fillId="7" borderId="69" xfId="0" applyFont="1" applyFill="1" applyBorder="1" applyAlignment="1">
      <alignment horizontal="center" vertical="center" wrapText="1"/>
    </xf>
    <xf numFmtId="0" fontId="57" fillId="7" borderId="80" xfId="0" applyFont="1" applyFill="1" applyBorder="1" applyAlignment="1">
      <alignment horizontal="center" vertical="center" wrapText="1"/>
    </xf>
    <xf numFmtId="0" fontId="57" fillId="7" borderId="60" xfId="0" applyFont="1" applyFill="1" applyBorder="1" applyAlignment="1">
      <alignment horizontal="left" vertical="center"/>
    </xf>
    <xf numFmtId="165" fontId="53" fillId="18" borderId="6" xfId="0" applyNumberFormat="1" applyFont="1" applyFill="1" applyBorder="1" applyAlignment="1">
      <alignment horizontal="center" vertical="center"/>
    </xf>
    <xf numFmtId="0" fontId="53" fillId="18" borderId="14" xfId="0" applyFont="1" applyFill="1" applyBorder="1" applyAlignment="1">
      <alignment horizontal="center" vertical="center"/>
    </xf>
    <xf numFmtId="0" fontId="53" fillId="18" borderId="6" xfId="0" applyFont="1" applyFill="1" applyBorder="1" applyAlignment="1">
      <alignment horizontal="center" vertical="center"/>
    </xf>
    <xf numFmtId="0" fontId="49" fillId="18" borderId="10" xfId="0" applyFont="1" applyFill="1" applyBorder="1" applyAlignment="1">
      <alignment horizontal="left" vertical="center"/>
    </xf>
    <xf numFmtId="0" fontId="49" fillId="18" borderId="10" xfId="0" applyFont="1" applyFill="1" applyBorder="1" applyAlignment="1">
      <alignment horizontal="center" vertical="center"/>
    </xf>
    <xf numFmtId="0" fontId="29" fillId="7" borderId="89" xfId="0" applyFont="1" applyFill="1" applyBorder="1" applyAlignment="1">
      <alignment horizontal="left" vertical="center" wrapText="1"/>
    </xf>
    <xf numFmtId="0" fontId="49" fillId="5" borderId="6" xfId="0" quotePrefix="1" applyFont="1" applyFill="1" applyBorder="1" applyAlignment="1">
      <alignment horizontal="center" vertical="center"/>
    </xf>
    <xf numFmtId="0" fontId="48" fillId="5" borderId="90" xfId="0" applyFont="1" applyFill="1" applyBorder="1" applyAlignment="1">
      <alignment horizontal="center" vertical="center"/>
    </xf>
    <xf numFmtId="0" fontId="49" fillId="5" borderId="91" xfId="0" applyFont="1" applyFill="1" applyBorder="1" applyAlignment="1">
      <alignment horizontal="center" vertical="center"/>
    </xf>
    <xf numFmtId="0" fontId="49" fillId="5" borderId="91" xfId="0" quotePrefix="1" applyFont="1" applyFill="1" applyBorder="1" applyAlignment="1">
      <alignment horizontal="center" vertical="center"/>
    </xf>
    <xf numFmtId="0" fontId="46" fillId="5" borderId="91" xfId="0" applyFont="1" applyFill="1" applyBorder="1" applyAlignment="1">
      <alignment horizontal="center" vertical="center"/>
    </xf>
    <xf numFmtId="0" fontId="49" fillId="5" borderId="8" xfId="0" applyFont="1" applyFill="1" applyBorder="1" applyAlignment="1">
      <alignment horizontal="center" vertical="center"/>
    </xf>
    <xf numFmtId="0" fontId="49" fillId="5" borderId="11" xfId="0" applyFont="1" applyFill="1" applyBorder="1" applyAlignment="1">
      <alignment horizontal="center" vertical="center"/>
    </xf>
    <xf numFmtId="0" fontId="49" fillId="20" borderId="90" xfId="0" applyFont="1" applyFill="1" applyBorder="1" applyAlignment="1">
      <alignment horizontal="left" vertical="center" wrapText="1"/>
    </xf>
    <xf numFmtId="0" fontId="48" fillId="17" borderId="0" xfId="0" applyFont="1" applyFill="1" applyAlignment="1">
      <alignment horizontal="center" vertical="center"/>
    </xf>
    <xf numFmtId="0" fontId="57" fillId="17" borderId="0" xfId="0" applyFont="1" applyFill="1" applyAlignment="1">
      <alignment horizontal="center" vertical="center"/>
    </xf>
    <xf numFmtId="0" fontId="64" fillId="7" borderId="50" xfId="0" applyFont="1" applyFill="1" applyBorder="1" applyAlignment="1">
      <alignment horizontal="center" vertical="center" wrapText="1"/>
    </xf>
    <xf numFmtId="0" fontId="64" fillId="7" borderId="51" xfId="0" applyFont="1" applyFill="1" applyBorder="1" applyAlignment="1">
      <alignment horizontal="center" vertical="center" wrapText="1"/>
    </xf>
    <xf numFmtId="0" fontId="64" fillId="7" borderId="52" xfId="0" applyFont="1" applyFill="1" applyBorder="1" applyAlignment="1">
      <alignment horizontal="center" vertical="center" wrapText="1"/>
    </xf>
    <xf numFmtId="0" fontId="48" fillId="7" borderId="96" xfId="0" applyFont="1" applyFill="1" applyBorder="1" applyAlignment="1">
      <alignment horizontal="center" vertical="center"/>
    </xf>
    <xf numFmtId="0" fontId="48" fillId="7" borderId="97" xfId="0" applyFont="1" applyFill="1" applyBorder="1" applyAlignment="1">
      <alignment horizontal="left" vertical="center" wrapText="1"/>
    </xf>
    <xf numFmtId="0" fontId="48" fillId="7" borderId="96" xfId="0" applyFont="1" applyFill="1" applyBorder="1" applyAlignment="1">
      <alignment horizontal="center" vertical="center" wrapText="1"/>
    </xf>
    <xf numFmtId="0" fontId="57" fillId="7" borderId="96" xfId="0" applyFont="1" applyFill="1" applyBorder="1" applyAlignment="1">
      <alignment horizontal="center" vertical="center" wrapText="1"/>
    </xf>
    <xf numFmtId="0" fontId="48" fillId="7" borderId="98" xfId="0" applyFont="1" applyFill="1" applyBorder="1" applyAlignment="1">
      <alignment horizontal="center" vertical="center" wrapText="1"/>
    </xf>
    <xf numFmtId="0" fontId="48" fillId="7" borderId="97" xfId="0" applyFont="1" applyFill="1" applyBorder="1" applyAlignment="1">
      <alignment horizontal="center" vertical="center"/>
    </xf>
    <xf numFmtId="0" fontId="57" fillId="7" borderId="96" xfId="0" applyFont="1" applyFill="1" applyBorder="1" applyAlignment="1">
      <alignment horizontal="center" vertical="center"/>
    </xf>
    <xf numFmtId="0" fontId="57" fillId="7" borderId="98" xfId="0" applyFont="1" applyFill="1" applyBorder="1" applyAlignment="1">
      <alignment horizontal="center" vertical="center"/>
    </xf>
    <xf numFmtId="0" fontId="46" fillId="20" borderId="7" xfId="0" applyFont="1" applyFill="1" applyBorder="1" applyAlignment="1">
      <alignment horizontal="center" vertical="center"/>
    </xf>
    <xf numFmtId="0" fontId="46" fillId="20" borderId="8" xfId="0" applyFont="1" applyFill="1" applyBorder="1"/>
    <xf numFmtId="0" fontId="46" fillId="20" borderId="10" xfId="0" applyFont="1" applyFill="1" applyBorder="1" applyAlignment="1">
      <alignment horizontal="center" vertical="center"/>
    </xf>
    <xf numFmtId="0" fontId="46" fillId="20" borderId="36" xfId="0" applyFont="1" applyFill="1" applyBorder="1"/>
    <xf numFmtId="0" fontId="46" fillId="20" borderId="90" xfId="0" applyFont="1" applyFill="1" applyBorder="1" applyAlignment="1">
      <alignment horizontal="center" vertical="center"/>
    </xf>
    <xf numFmtId="0" fontId="46" fillId="20" borderId="91" xfId="0" applyFont="1" applyFill="1" applyBorder="1" applyAlignment="1">
      <alignment horizontal="center" vertical="center" wrapText="1"/>
    </xf>
    <xf numFmtId="0" fontId="46" fillId="20" borderId="91" xfId="0" applyFont="1" applyFill="1" applyBorder="1"/>
    <xf numFmtId="0" fontId="46" fillId="20" borderId="92" xfId="0" applyFont="1" applyFill="1" applyBorder="1"/>
    <xf numFmtId="0" fontId="53" fillId="18" borderId="6" xfId="0" applyFont="1" applyFill="1" applyBorder="1" applyAlignment="1">
      <alignment horizontal="left" vertical="center" wrapText="1"/>
    </xf>
    <xf numFmtId="167" fontId="53" fillId="18" borderId="6" xfId="0" applyNumberFormat="1" applyFont="1" applyFill="1" applyBorder="1" applyAlignment="1">
      <alignment horizontal="center" vertical="center" wrapText="1"/>
    </xf>
    <xf numFmtId="0" fontId="53" fillId="18" borderId="6" xfId="0" quotePrefix="1" applyFont="1" applyFill="1" applyBorder="1" applyAlignment="1">
      <alignment horizontal="center" vertical="center" wrapText="1"/>
    </xf>
    <xf numFmtId="0" fontId="53" fillId="12" borderId="6" xfId="0" applyFont="1" applyFill="1" applyBorder="1" applyAlignment="1">
      <alignment horizontal="left" vertical="center" wrapText="1"/>
    </xf>
    <xf numFmtId="167" fontId="53" fillId="12" borderId="6" xfId="0" applyNumberFormat="1" applyFont="1" applyFill="1" applyBorder="1" applyAlignment="1">
      <alignment horizontal="center" vertical="center" wrapText="1"/>
    </xf>
    <xf numFmtId="0" fontId="53" fillId="12" borderId="6" xfId="0" quotePrefix="1" applyFont="1" applyFill="1" applyBorder="1" applyAlignment="1">
      <alignment horizontal="center" vertical="center" wrapText="1"/>
    </xf>
    <xf numFmtId="0" fontId="49" fillId="12" borderId="6" xfId="0" applyFont="1" applyFill="1" applyBorder="1" applyAlignment="1">
      <alignment horizontal="left" vertical="center" wrapText="1"/>
    </xf>
    <xf numFmtId="2" fontId="49" fillId="12" borderId="6" xfId="0" applyNumberFormat="1" applyFont="1" applyFill="1" applyBorder="1" applyAlignment="1">
      <alignment horizontal="center" vertical="center" wrapText="1"/>
    </xf>
    <xf numFmtId="2" fontId="49" fillId="8" borderId="87" xfId="0" applyNumberFormat="1" applyFont="1" applyFill="1" applyBorder="1" applyAlignment="1">
      <alignment horizontal="center" vertical="center" wrapText="1"/>
    </xf>
    <xf numFmtId="0" fontId="49" fillId="8" borderId="87" xfId="0" applyFont="1" applyFill="1" applyBorder="1" applyAlignment="1">
      <alignment horizontal="center" vertical="center" wrapText="1"/>
    </xf>
    <xf numFmtId="0" fontId="48" fillId="7" borderId="83" xfId="0" applyFont="1" applyFill="1" applyBorder="1" applyAlignment="1">
      <alignment horizontal="center" vertical="center"/>
    </xf>
    <xf numFmtId="165" fontId="53" fillId="9" borderId="14" xfId="0" applyNumberFormat="1" applyFont="1" applyFill="1" applyBorder="1" applyAlignment="1">
      <alignment horizontal="center" vertical="center" wrapText="1"/>
    </xf>
    <xf numFmtId="0" fontId="53" fillId="9" borderId="14" xfId="0" applyFont="1" applyFill="1" applyBorder="1" applyAlignment="1">
      <alignment horizontal="center" vertical="center" wrapText="1"/>
    </xf>
    <xf numFmtId="167" fontId="0" fillId="0" borderId="0" xfId="0" applyNumberFormat="1"/>
    <xf numFmtId="167" fontId="0" fillId="0" borderId="0" xfId="0" applyNumberFormat="1" applyAlignment="1">
      <alignment horizontal="center" vertical="center"/>
    </xf>
    <xf numFmtId="0" fontId="57" fillId="7" borderId="93" xfId="0" applyFont="1" applyFill="1" applyBorder="1" applyAlignment="1">
      <alignment horizontal="left" vertical="center"/>
    </xf>
    <xf numFmtId="0" fontId="57" fillId="7" borderId="95" xfId="0" applyFont="1" applyFill="1" applyBorder="1" applyAlignment="1">
      <alignment horizontal="left" vertical="center"/>
    </xf>
    <xf numFmtId="0" fontId="49" fillId="12" borderId="10" xfId="0" applyFont="1" applyFill="1" applyBorder="1" applyAlignment="1">
      <alignment horizontal="left" vertical="center" wrapText="1"/>
    </xf>
    <xf numFmtId="0" fontId="49" fillId="12" borderId="14" xfId="0" applyFont="1" applyFill="1" applyBorder="1" applyAlignment="1">
      <alignment horizontal="left" vertical="center" wrapText="1"/>
    </xf>
    <xf numFmtId="0" fontId="57" fillId="7" borderId="62" xfId="0" applyFont="1" applyFill="1" applyBorder="1" applyAlignment="1">
      <alignment horizontal="left" vertical="center" wrapText="1"/>
    </xf>
    <xf numFmtId="0" fontId="49" fillId="8" borderId="6" xfId="0" quotePrefix="1" applyFont="1" applyFill="1" applyBorder="1" applyAlignment="1">
      <alignment horizontal="center" vertical="center" wrapText="1"/>
    </xf>
    <xf numFmtId="0" fontId="49" fillId="8" borderId="10" xfId="0" applyFont="1" applyFill="1" applyBorder="1" applyAlignment="1">
      <alignment horizontal="center" vertical="center" wrapText="1"/>
    </xf>
    <xf numFmtId="0" fontId="49" fillId="18" borderId="10" xfId="0" applyFont="1" applyFill="1" applyBorder="1" applyAlignment="1">
      <alignment horizontal="center" vertical="center" wrapText="1"/>
    </xf>
    <xf numFmtId="1" fontId="49" fillId="15" borderId="74" xfId="0" applyNumberFormat="1" applyFont="1" applyFill="1" applyBorder="1" applyAlignment="1">
      <alignment horizontal="center" vertical="center" wrapText="1"/>
    </xf>
    <xf numFmtId="1" fontId="49" fillId="15" borderId="6" xfId="0" applyNumberFormat="1" applyFont="1" applyFill="1" applyBorder="1" applyAlignment="1">
      <alignment horizontal="center" vertical="center" wrapText="1"/>
    </xf>
    <xf numFmtId="0" fontId="49" fillId="18" borderId="10" xfId="0" applyFont="1" applyFill="1" applyBorder="1" applyAlignment="1">
      <alignment horizontal="left" vertical="center" wrapText="1"/>
    </xf>
    <xf numFmtId="2" fontId="49" fillId="18" borderId="10" xfId="0" applyNumberFormat="1" applyFont="1" applyFill="1" applyBorder="1" applyAlignment="1">
      <alignment horizontal="center" vertical="center" wrapText="1"/>
    </xf>
    <xf numFmtId="165" fontId="49" fillId="11" borderId="6" xfId="0" applyNumberFormat="1" applyFont="1" applyFill="1" applyBorder="1" applyAlignment="1">
      <alignment horizontal="center" vertical="center" wrapText="1"/>
    </xf>
    <xf numFmtId="0" fontId="50" fillId="6" borderId="0" xfId="0" applyFont="1" applyFill="1" applyAlignment="1">
      <alignment horizontal="left"/>
    </xf>
    <xf numFmtId="0" fontId="49" fillId="5" borderId="92" xfId="0" quotePrefix="1" applyFont="1" applyFill="1" applyBorder="1" applyAlignment="1">
      <alignment horizontal="left" vertical="center"/>
    </xf>
    <xf numFmtId="0" fontId="49" fillId="5" borderId="8" xfId="0" quotePrefix="1" applyFont="1" applyFill="1" applyBorder="1" applyAlignment="1">
      <alignment horizontal="left" vertical="center"/>
    </xf>
    <xf numFmtId="0" fontId="49" fillId="5" borderId="8" xfId="0" applyFont="1" applyFill="1" applyBorder="1" applyAlignment="1">
      <alignment horizontal="left" vertical="center"/>
    </xf>
    <xf numFmtId="0" fontId="49" fillId="5" borderId="11" xfId="0" applyFont="1" applyFill="1" applyBorder="1" applyAlignment="1">
      <alignment horizontal="left" vertical="center"/>
    </xf>
    <xf numFmtId="0" fontId="49" fillId="20" borderId="10" xfId="0" applyFont="1" applyFill="1" applyBorder="1" applyAlignment="1">
      <alignment horizontal="left" vertical="center" wrapText="1"/>
    </xf>
    <xf numFmtId="0" fontId="53" fillId="11" borderId="6" xfId="0" applyFont="1" applyFill="1" applyBorder="1" applyAlignment="1">
      <alignment horizontal="left" vertical="center" wrapText="1"/>
    </xf>
    <xf numFmtId="167" fontId="53" fillId="11" borderId="6" xfId="0" applyNumberFormat="1" applyFont="1" applyFill="1" applyBorder="1" applyAlignment="1">
      <alignment horizontal="center" vertical="center" wrapText="1"/>
    </xf>
    <xf numFmtId="0" fontId="53" fillId="11" borderId="6" xfId="0" quotePrefix="1" applyFont="1" applyFill="1" applyBorder="1" applyAlignment="1">
      <alignment horizontal="center" vertical="center" wrapText="1"/>
    </xf>
    <xf numFmtId="0" fontId="49" fillId="19" borderId="78" xfId="0" applyFont="1" applyFill="1" applyBorder="1" applyAlignment="1">
      <alignment horizontal="left" vertical="center"/>
    </xf>
    <xf numFmtId="165" fontId="53" fillId="9" borderId="91" xfId="0" applyNumberFormat="1" applyFont="1" applyFill="1" applyBorder="1" applyAlignment="1">
      <alignment horizontal="center" vertical="center" wrapText="1"/>
    </xf>
    <xf numFmtId="0" fontId="53" fillId="9" borderId="91" xfId="0" applyFont="1" applyFill="1" applyBorder="1" applyAlignment="1">
      <alignment horizontal="center" vertical="center" wrapText="1"/>
    </xf>
    <xf numFmtId="167" fontId="53" fillId="9" borderId="10" xfId="0" applyNumberFormat="1" applyFont="1" applyFill="1" applyBorder="1" applyAlignment="1">
      <alignment horizontal="center" vertical="center" wrapText="1"/>
    </xf>
    <xf numFmtId="0" fontId="56" fillId="7" borderId="89" xfId="0" applyFont="1" applyFill="1" applyBorder="1" applyAlignment="1">
      <alignment vertical="center" wrapText="1"/>
    </xf>
    <xf numFmtId="0" fontId="57" fillId="7" borderId="94" xfId="0" applyFont="1" applyFill="1" applyBorder="1" applyAlignment="1">
      <alignment horizontal="center" vertical="center" wrapText="1"/>
    </xf>
    <xf numFmtId="0" fontId="46" fillId="20" borderId="102" xfId="0" applyFont="1" applyFill="1" applyBorder="1" applyAlignment="1">
      <alignment horizontal="center" vertical="center" wrapText="1"/>
    </xf>
    <xf numFmtId="0" fontId="46" fillId="20" borderId="87" xfId="0" applyFont="1" applyFill="1" applyBorder="1" applyAlignment="1">
      <alignment horizontal="center" vertical="center" wrapText="1"/>
    </xf>
    <xf numFmtId="0" fontId="56" fillId="7" borderId="83" xfId="0" applyFont="1" applyFill="1" applyBorder="1" applyAlignment="1">
      <alignment horizontal="center" vertical="center" wrapText="1"/>
    </xf>
    <xf numFmtId="2" fontId="53" fillId="22" borderId="87" xfId="0" applyNumberFormat="1" applyFont="1" applyFill="1" applyBorder="1" applyAlignment="1">
      <alignment horizontal="center" vertical="center" wrapText="1"/>
    </xf>
    <xf numFmtId="0" fontId="53" fillId="22" borderId="87" xfId="0" applyFont="1" applyFill="1" applyBorder="1" applyAlignment="1">
      <alignment horizontal="center" vertical="center" wrapText="1"/>
    </xf>
    <xf numFmtId="2" fontId="53" fillId="22" borderId="6" xfId="0" applyNumberFormat="1" applyFont="1" applyFill="1" applyBorder="1" applyAlignment="1">
      <alignment horizontal="center" vertical="center" wrapText="1"/>
    </xf>
    <xf numFmtId="0" fontId="53" fillId="22" borderId="6" xfId="0" applyFont="1" applyFill="1" applyBorder="1" applyAlignment="1">
      <alignment horizontal="center" vertical="center" wrapText="1"/>
    </xf>
    <xf numFmtId="11" fontId="53" fillId="22" borderId="6" xfId="0" applyNumberFormat="1" applyFont="1" applyFill="1" applyBorder="1" applyAlignment="1">
      <alignment horizontal="center" vertical="center" wrapText="1"/>
    </xf>
    <xf numFmtId="0" fontId="53" fillId="22" borderId="10" xfId="0" applyFont="1" applyFill="1" applyBorder="1" applyAlignment="1">
      <alignment horizontal="center" vertical="center" wrapText="1"/>
    </xf>
    <xf numFmtId="0" fontId="53" fillId="20" borderId="87" xfId="0" applyFont="1" applyFill="1" applyBorder="1" applyAlignment="1">
      <alignment horizontal="center" vertical="center" wrapText="1"/>
    </xf>
    <xf numFmtId="0" fontId="53" fillId="20" borderId="6" xfId="0" applyFont="1" applyFill="1" applyBorder="1" applyAlignment="1">
      <alignment horizontal="left" vertical="center" wrapText="1"/>
    </xf>
    <xf numFmtId="0" fontId="53" fillId="20" borderId="6" xfId="0" applyFont="1" applyFill="1" applyBorder="1" applyAlignment="1">
      <alignment horizontal="center" vertical="center" wrapText="1"/>
    </xf>
    <xf numFmtId="0" fontId="53" fillId="20" borderId="10" xfId="0" applyFont="1" applyFill="1" applyBorder="1" applyAlignment="1">
      <alignment horizontal="left" vertical="center" wrapText="1"/>
    </xf>
    <xf numFmtId="0" fontId="53" fillId="20" borderId="10" xfId="0" applyFont="1" applyFill="1" applyBorder="1" applyAlignment="1">
      <alignment horizontal="center" vertical="center" wrapText="1"/>
    </xf>
    <xf numFmtId="167" fontId="53" fillId="20" borderId="6" xfId="0" applyNumberFormat="1" applyFont="1" applyFill="1" applyBorder="1" applyAlignment="1">
      <alignment horizontal="center" vertical="center" wrapText="1"/>
    </xf>
    <xf numFmtId="0" fontId="53" fillId="20" borderId="6" xfId="0" quotePrefix="1" applyFont="1" applyFill="1" applyBorder="1" applyAlignment="1">
      <alignment horizontal="center" vertical="center" wrapText="1"/>
    </xf>
    <xf numFmtId="0" fontId="49" fillId="10" borderId="102" xfId="0" applyFont="1" applyFill="1" applyBorder="1" applyAlignment="1">
      <alignment horizontal="center" vertical="center" wrapText="1"/>
    </xf>
    <xf numFmtId="0" fontId="56" fillId="2" borderId="0" xfId="0" applyFont="1" applyFill="1" applyAlignment="1">
      <alignment horizontal="center" vertical="center"/>
    </xf>
    <xf numFmtId="0" fontId="49" fillId="20" borderId="6" xfId="0" applyFont="1" applyFill="1" applyBorder="1" applyAlignment="1">
      <alignment horizontal="center" vertical="center" wrapText="1"/>
    </xf>
    <xf numFmtId="0" fontId="49" fillId="20" borderId="6" xfId="0" applyFont="1" applyFill="1" applyBorder="1" applyAlignment="1">
      <alignment horizontal="center" vertical="center"/>
    </xf>
    <xf numFmtId="0" fontId="46" fillId="0" borderId="11" xfId="0" applyFont="1" applyBorder="1" applyAlignment="1">
      <alignment horizontal="left"/>
    </xf>
    <xf numFmtId="0" fontId="53" fillId="0" borderId="0" xfId="0" applyFont="1" applyAlignment="1">
      <alignment vertical="center"/>
    </xf>
    <xf numFmtId="0" fontId="49" fillId="20" borderId="102" xfId="0" applyFont="1" applyFill="1" applyBorder="1" applyAlignment="1">
      <alignment horizontal="left" vertical="center"/>
    </xf>
    <xf numFmtId="0" fontId="82" fillId="0" borderId="109" xfId="34" applyFont="1" applyBorder="1" applyAlignment="1">
      <alignment horizontal="left" vertical="center" wrapText="1"/>
    </xf>
    <xf numFmtId="0" fontId="49" fillId="0" borderId="110" xfId="0" applyFont="1" applyBorder="1" applyAlignment="1">
      <alignment horizontal="center" vertical="center" wrapText="1"/>
    </xf>
    <xf numFmtId="0" fontId="82" fillId="0" borderId="9" xfId="34" applyFont="1" applyBorder="1" applyAlignment="1">
      <alignment horizontal="left" vertical="center" wrapText="1"/>
    </xf>
    <xf numFmtId="2" fontId="46" fillId="0" borderId="101" xfId="0" applyNumberFormat="1" applyFont="1" applyBorder="1" applyAlignment="1">
      <alignment horizontal="center" vertical="center"/>
    </xf>
    <xf numFmtId="0" fontId="46" fillId="20" borderId="109" xfId="0" applyFont="1" applyFill="1" applyBorder="1" applyAlignment="1">
      <alignment horizontal="center" vertical="center"/>
    </xf>
    <xf numFmtId="0" fontId="49" fillId="9" borderId="109" xfId="0" applyFont="1" applyFill="1" applyBorder="1" applyAlignment="1">
      <alignment horizontal="left" vertical="center"/>
    </xf>
    <xf numFmtId="167" fontId="49" fillId="9" borderId="101" xfId="0" applyNumberFormat="1" applyFont="1" applyFill="1" applyBorder="1" applyAlignment="1">
      <alignment horizontal="center" vertical="center" wrapText="1"/>
    </xf>
    <xf numFmtId="0" fontId="49" fillId="9" borderId="101" xfId="0" applyFont="1" applyFill="1" applyBorder="1" applyAlignment="1">
      <alignment horizontal="center" vertical="center" wrapText="1"/>
    </xf>
    <xf numFmtId="2" fontId="49" fillId="9" borderId="101" xfId="0" applyNumberFormat="1" applyFont="1" applyFill="1" applyBorder="1" applyAlignment="1">
      <alignment horizontal="center" vertical="center" wrapText="1"/>
    </xf>
    <xf numFmtId="167" fontId="49" fillId="24" borderId="101" xfId="0" applyNumberFormat="1" applyFont="1" applyFill="1" applyBorder="1" applyAlignment="1">
      <alignment horizontal="center" vertical="center" wrapText="1"/>
    </xf>
    <xf numFmtId="0" fontId="49" fillId="24" borderId="101" xfId="0" applyFont="1" applyFill="1" applyBorder="1" applyAlignment="1">
      <alignment horizontal="center" vertical="center" wrapText="1"/>
    </xf>
    <xf numFmtId="2" fontId="49" fillId="24" borderId="101" xfId="0" applyNumberFormat="1" applyFont="1" applyFill="1" applyBorder="1" applyAlignment="1">
      <alignment horizontal="center" vertical="center" wrapText="1"/>
    </xf>
    <xf numFmtId="0" fontId="46" fillId="24" borderId="101" xfId="0" applyFont="1" applyFill="1" applyBorder="1" applyAlignment="1">
      <alignment horizontal="center"/>
    </xf>
    <xf numFmtId="166" fontId="49" fillId="24" borderId="101" xfId="0" applyNumberFormat="1" applyFont="1" applyFill="1" applyBorder="1" applyAlignment="1">
      <alignment horizontal="center" vertical="center"/>
    </xf>
    <xf numFmtId="0" fontId="49" fillId="8" borderId="101" xfId="0" applyFont="1" applyFill="1" applyBorder="1" applyAlignment="1">
      <alignment horizontal="left" vertical="center" wrapText="1"/>
    </xf>
    <xf numFmtId="0" fontId="49" fillId="21" borderId="101" xfId="0" applyFont="1" applyFill="1" applyBorder="1" applyAlignment="1">
      <alignment horizontal="left" vertical="center" wrapText="1"/>
    </xf>
    <xf numFmtId="0" fontId="49" fillId="21" borderId="10" xfId="0" applyFont="1" applyFill="1" applyBorder="1" applyAlignment="1">
      <alignment horizontal="left" vertical="center" wrapText="1"/>
    </xf>
    <xf numFmtId="165" fontId="49" fillId="21" borderId="102" xfId="0" applyNumberFormat="1" applyFont="1" applyFill="1" applyBorder="1" applyAlignment="1">
      <alignment horizontal="center" vertical="center" wrapText="1"/>
    </xf>
    <xf numFmtId="0" fontId="49" fillId="21" borderId="102" xfId="0" applyFont="1" applyFill="1" applyBorder="1" applyAlignment="1">
      <alignment horizontal="center" vertical="center" wrapText="1"/>
    </xf>
    <xf numFmtId="165" fontId="53" fillId="21" borderId="101" xfId="0" applyNumberFormat="1" applyFont="1" applyFill="1" applyBorder="1" applyAlignment="1">
      <alignment horizontal="center" vertical="center"/>
    </xf>
    <xf numFmtId="0" fontId="53" fillId="21" borderId="101" xfId="0" applyFont="1" applyFill="1" applyBorder="1" applyAlignment="1">
      <alignment horizontal="center" vertical="center"/>
    </xf>
    <xf numFmtId="0" fontId="49" fillId="21" borderId="112" xfId="0" applyFont="1" applyFill="1" applyBorder="1" applyAlignment="1">
      <alignment horizontal="left" vertical="center" wrapText="1"/>
    </xf>
    <xf numFmtId="165" fontId="49" fillId="21" borderId="112" xfId="0" applyNumberFormat="1" applyFont="1" applyFill="1" applyBorder="1" applyAlignment="1">
      <alignment horizontal="center" vertical="center" wrapText="1"/>
    </xf>
    <xf numFmtId="0" fontId="49" fillId="21" borderId="112" xfId="0" applyFont="1" applyFill="1" applyBorder="1" applyAlignment="1">
      <alignment horizontal="center" vertical="center" wrapText="1"/>
    </xf>
    <xf numFmtId="2" fontId="49" fillId="21" borderId="101" xfId="0" applyNumberFormat="1" applyFont="1" applyFill="1" applyBorder="1" applyAlignment="1">
      <alignment horizontal="center" vertical="center" wrapText="1"/>
    </xf>
    <xf numFmtId="0" fontId="49" fillId="21" borderId="101" xfId="0" applyFont="1" applyFill="1" applyBorder="1" applyAlignment="1">
      <alignment horizontal="center" vertical="center" wrapText="1"/>
    </xf>
    <xf numFmtId="2" fontId="49" fillId="21" borderId="10" xfId="0" applyNumberFormat="1" applyFont="1" applyFill="1" applyBorder="1" applyAlignment="1">
      <alignment horizontal="center" vertical="center" wrapText="1"/>
    </xf>
    <xf numFmtId="0" fontId="49" fillId="21" borderId="10" xfId="0" applyFont="1" applyFill="1" applyBorder="1" applyAlignment="1">
      <alignment horizontal="center" vertical="center" wrapText="1"/>
    </xf>
    <xf numFmtId="0" fontId="53" fillId="11" borderId="101" xfId="0" applyFont="1" applyFill="1" applyBorder="1" applyAlignment="1">
      <alignment horizontal="left" vertical="center" wrapText="1"/>
    </xf>
    <xf numFmtId="0" fontId="49" fillId="11" borderId="102" xfId="0" quotePrefix="1" applyFont="1" applyFill="1" applyBorder="1" applyAlignment="1">
      <alignment horizontal="center" vertical="center" wrapText="1"/>
    </xf>
    <xf numFmtId="0" fontId="49" fillId="11" borderId="102" xfId="0" applyFont="1" applyFill="1" applyBorder="1" applyAlignment="1">
      <alignment horizontal="center" vertical="center" wrapText="1"/>
    </xf>
    <xf numFmtId="0" fontId="49" fillId="11" borderId="102" xfId="0" applyFont="1" applyFill="1" applyBorder="1" applyAlignment="1">
      <alignment horizontal="center" vertical="center"/>
    </xf>
    <xf numFmtId="0" fontId="53" fillId="20" borderId="101" xfId="0" applyFont="1" applyFill="1" applyBorder="1" applyAlignment="1">
      <alignment horizontal="left" vertical="center" wrapText="1"/>
    </xf>
    <xf numFmtId="0" fontId="49" fillId="7" borderId="101" xfId="0" applyFont="1" applyFill="1" applyBorder="1" applyAlignment="1">
      <alignment horizontal="left" vertical="center" wrapText="1"/>
    </xf>
    <xf numFmtId="167" fontId="53" fillId="11" borderId="101" xfId="0" applyNumberFormat="1" applyFont="1" applyFill="1" applyBorder="1" applyAlignment="1">
      <alignment horizontal="center" vertical="center" wrapText="1"/>
    </xf>
    <xf numFmtId="0" fontId="53" fillId="11" borderId="101" xfId="0" quotePrefix="1" applyFont="1" applyFill="1" applyBorder="1" applyAlignment="1">
      <alignment horizontal="center" vertical="center" wrapText="1"/>
    </xf>
    <xf numFmtId="0" fontId="49" fillId="20" borderId="101" xfId="0" applyFont="1" applyFill="1" applyBorder="1" applyAlignment="1">
      <alignment horizontal="left" vertical="center" wrapText="1"/>
    </xf>
    <xf numFmtId="0" fontId="49" fillId="25" borderId="14" xfId="0" applyFont="1" applyFill="1" applyBorder="1" applyAlignment="1">
      <alignment horizontal="left" vertical="center" wrapText="1"/>
    </xf>
    <xf numFmtId="0" fontId="49" fillId="25" borderId="6" xfId="0" applyFont="1" applyFill="1" applyBorder="1" applyAlignment="1">
      <alignment horizontal="left" vertical="center" wrapText="1"/>
    </xf>
    <xf numFmtId="0" fontId="49" fillId="25" borderId="10" xfId="0" applyFont="1" applyFill="1" applyBorder="1" applyAlignment="1">
      <alignment horizontal="left" vertical="center" wrapText="1"/>
    </xf>
    <xf numFmtId="2" fontId="46" fillId="0" borderId="14" xfId="0" applyNumberFormat="1" applyFont="1" applyBorder="1" applyAlignment="1">
      <alignment horizontal="left" vertical="center"/>
    </xf>
    <xf numFmtId="2" fontId="46" fillId="0" borderId="6" xfId="0" applyNumberFormat="1" applyFont="1" applyBorder="1" applyAlignment="1">
      <alignment horizontal="left" vertical="center"/>
    </xf>
    <xf numFmtId="2" fontId="46" fillId="0" borderId="101" xfId="0" applyNumberFormat="1" applyFont="1" applyBorder="1" applyAlignment="1">
      <alignment horizontal="left" vertical="center"/>
    </xf>
    <xf numFmtId="0" fontId="56" fillId="7" borderId="114" xfId="0" applyFont="1" applyFill="1" applyBorder="1" applyAlignment="1">
      <alignment vertical="center" wrapText="1"/>
    </xf>
    <xf numFmtId="0" fontId="53" fillId="22" borderId="115" xfId="0" applyFont="1" applyFill="1" applyBorder="1" applyAlignment="1">
      <alignment horizontal="center" vertical="center" wrapText="1"/>
    </xf>
    <xf numFmtId="0" fontId="53" fillId="20" borderId="115" xfId="0" applyFont="1" applyFill="1" applyBorder="1" applyAlignment="1">
      <alignment horizontal="center" vertical="center" wrapText="1"/>
    </xf>
    <xf numFmtId="0" fontId="49" fillId="8" borderId="108" xfId="0" applyFont="1" applyFill="1" applyBorder="1" applyAlignment="1">
      <alignment horizontal="center" vertical="center" wrapText="1"/>
    </xf>
    <xf numFmtId="0" fontId="46" fillId="0" borderId="110" xfId="0" applyFont="1" applyBorder="1" applyAlignment="1">
      <alignment horizontal="left"/>
    </xf>
    <xf numFmtId="0" fontId="46" fillId="0" borderId="110" xfId="0" applyFont="1" applyBorder="1"/>
    <xf numFmtId="0" fontId="56" fillId="2" borderId="0" xfId="0" applyFont="1" applyFill="1" applyAlignment="1">
      <alignment horizontal="left" vertical="center" wrapText="1"/>
    </xf>
    <xf numFmtId="0" fontId="56" fillId="7" borderId="117" xfId="0" applyFont="1" applyFill="1" applyBorder="1" applyAlignment="1">
      <alignment horizontal="left" vertical="center" wrapText="1"/>
    </xf>
    <xf numFmtId="0" fontId="49" fillId="0" borderId="126" xfId="0" applyFont="1" applyBorder="1" applyAlignment="1">
      <alignment horizontal="center" vertical="center"/>
    </xf>
    <xf numFmtId="0" fontId="49" fillId="0" borderId="126" xfId="0" applyFont="1" applyBorder="1" applyAlignment="1">
      <alignment horizontal="center" vertical="center" wrapText="1"/>
    </xf>
    <xf numFmtId="0" fontId="56" fillId="7" borderId="2" xfId="0" applyFont="1" applyFill="1" applyBorder="1" applyAlignment="1">
      <alignment vertical="center" wrapText="1"/>
    </xf>
    <xf numFmtId="165" fontId="53" fillId="7" borderId="127" xfId="0" applyNumberFormat="1" applyFont="1" applyFill="1" applyBorder="1" applyAlignment="1">
      <alignment horizontal="center" vertical="center" wrapText="1"/>
    </xf>
    <xf numFmtId="0" fontId="53" fillId="7" borderId="127" xfId="0" applyFont="1" applyFill="1" applyBorder="1" applyAlignment="1">
      <alignment horizontal="center" vertical="center" wrapText="1"/>
    </xf>
    <xf numFmtId="0" fontId="49" fillId="7" borderId="127" xfId="0" applyFont="1" applyFill="1" applyBorder="1" applyAlignment="1">
      <alignment horizontal="center" vertical="center" wrapText="1"/>
    </xf>
    <xf numFmtId="0" fontId="49" fillId="7" borderId="127" xfId="0" applyFont="1" applyFill="1" applyBorder="1" applyAlignment="1">
      <alignment horizontal="center" vertical="center"/>
    </xf>
    <xf numFmtId="0" fontId="57" fillId="7" borderId="122" xfId="0" applyFont="1" applyFill="1" applyBorder="1" applyAlignment="1">
      <alignment horizontal="center" vertical="center" wrapText="1"/>
    </xf>
    <xf numFmtId="0" fontId="46" fillId="0" borderId="102" xfId="0" applyFont="1" applyBorder="1" applyAlignment="1">
      <alignment horizontal="center" vertical="center"/>
    </xf>
    <xf numFmtId="0" fontId="46" fillId="0" borderId="127" xfId="0" applyFont="1" applyBorder="1" applyAlignment="1">
      <alignment horizontal="center" vertical="center"/>
    </xf>
    <xf numFmtId="0" fontId="48" fillId="8" borderId="38" xfId="0" applyFont="1" applyFill="1" applyBorder="1" applyAlignment="1">
      <alignment horizontal="center"/>
    </xf>
    <xf numFmtId="0" fontId="48" fillId="8" borderId="102" xfId="0" applyFont="1" applyFill="1" applyBorder="1" applyAlignment="1">
      <alignment horizontal="center"/>
    </xf>
    <xf numFmtId="0" fontId="49" fillId="10" borderId="6" xfId="0" applyFont="1" applyFill="1" applyBorder="1" applyAlignment="1">
      <alignment horizontal="left" vertical="center" wrapText="1"/>
    </xf>
    <xf numFmtId="0" fontId="49" fillId="7" borderId="6" xfId="0" applyFont="1" applyFill="1" applyBorder="1" applyAlignment="1">
      <alignment horizontal="left" vertical="center" wrapText="1"/>
    </xf>
    <xf numFmtId="0" fontId="49" fillId="15" borderId="127" xfId="0" applyFont="1" applyFill="1" applyBorder="1" applyAlignment="1">
      <alignment horizontal="center" vertical="center" wrapText="1"/>
    </xf>
    <xf numFmtId="0" fontId="67" fillId="0" borderId="109" xfId="0" applyFont="1" applyBorder="1" applyAlignment="1">
      <alignment horizontal="left"/>
    </xf>
    <xf numFmtId="0" fontId="46" fillId="0" borderId="127" xfId="0" applyFont="1" applyBorder="1" applyAlignment="1">
      <alignment horizontal="left"/>
    </xf>
    <xf numFmtId="0" fontId="46" fillId="0" borderId="127" xfId="0" applyFont="1" applyBorder="1" applyAlignment="1">
      <alignment horizontal="left" vertical="center"/>
    </xf>
    <xf numFmtId="2" fontId="46" fillId="0" borderId="127" xfId="0" applyNumberFormat="1" applyFont="1" applyBorder="1" applyAlignment="1">
      <alignment horizontal="left" vertical="center"/>
    </xf>
    <xf numFmtId="0" fontId="46" fillId="0" borderId="127" xfId="0" applyFont="1" applyBorder="1" applyAlignment="1">
      <alignment horizontal="left" vertical="center" wrapText="1"/>
    </xf>
    <xf numFmtId="0" fontId="46" fillId="0" borderId="126" xfId="0" applyFont="1" applyBorder="1" applyAlignment="1">
      <alignment horizontal="left"/>
    </xf>
    <xf numFmtId="0" fontId="67" fillId="0" borderId="118" xfId="0" applyFont="1" applyBorder="1" applyAlignment="1">
      <alignment horizontal="left"/>
    </xf>
    <xf numFmtId="0" fontId="46" fillId="0" borderId="119" xfId="0" applyFont="1" applyBorder="1" applyAlignment="1">
      <alignment horizontal="left"/>
    </xf>
    <xf numFmtId="0" fontId="46" fillId="0" borderId="120" xfId="0" applyFont="1" applyBorder="1" applyAlignment="1">
      <alignment horizontal="left"/>
    </xf>
    <xf numFmtId="167" fontId="10" fillId="0" borderId="127" xfId="35" applyNumberFormat="1" applyBorder="1" applyAlignment="1">
      <alignment horizontal="center"/>
    </xf>
    <xf numFmtId="0" fontId="46" fillId="0" borderId="127" xfId="0" applyFont="1" applyBorder="1" applyAlignment="1">
      <alignment horizontal="center"/>
    </xf>
    <xf numFmtId="0" fontId="10" fillId="0" borderId="127" xfId="39" applyBorder="1" applyAlignment="1">
      <alignment horizontal="center"/>
    </xf>
    <xf numFmtId="0" fontId="0" fillId="0" borderId="127" xfId="0" applyBorder="1" applyAlignment="1">
      <alignment horizontal="center"/>
    </xf>
    <xf numFmtId="0" fontId="10" fillId="0" borderId="127" xfId="40" applyBorder="1" applyAlignment="1">
      <alignment horizontal="center"/>
    </xf>
    <xf numFmtId="0" fontId="10" fillId="0" borderId="127" xfId="41" applyBorder="1" applyAlignment="1">
      <alignment horizontal="center"/>
    </xf>
    <xf numFmtId="0" fontId="46" fillId="0" borderId="127" xfId="0" applyFont="1" applyBorder="1" applyAlignment="1">
      <alignment horizontal="center" vertical="center" wrapText="1"/>
    </xf>
    <xf numFmtId="0" fontId="10" fillId="0" borderId="127" xfId="42" applyBorder="1" applyAlignment="1">
      <alignment horizontal="center"/>
    </xf>
    <xf numFmtId="167" fontId="10" fillId="0" borderId="126" xfId="35" applyNumberFormat="1" applyBorder="1" applyAlignment="1">
      <alignment horizontal="center"/>
    </xf>
    <xf numFmtId="0" fontId="46" fillId="0" borderId="126" xfId="0" applyFont="1" applyBorder="1" applyAlignment="1">
      <alignment horizontal="center"/>
    </xf>
    <xf numFmtId="167" fontId="10" fillId="0" borderId="126" xfId="38" applyNumberFormat="1" applyBorder="1" applyAlignment="1">
      <alignment horizontal="center"/>
    </xf>
    <xf numFmtId="0" fontId="46" fillId="0" borderId="126" xfId="0" applyFont="1" applyBorder="1" applyAlignment="1">
      <alignment horizontal="center" vertical="center"/>
    </xf>
    <xf numFmtId="0" fontId="10" fillId="0" borderId="126" xfId="43" applyBorder="1" applyAlignment="1">
      <alignment horizontal="center"/>
    </xf>
    <xf numFmtId="167" fontId="10" fillId="0" borderId="119" xfId="35" applyNumberFormat="1" applyBorder="1" applyAlignment="1">
      <alignment horizontal="center"/>
    </xf>
    <xf numFmtId="0" fontId="46" fillId="0" borderId="119" xfId="0" applyFont="1" applyBorder="1" applyAlignment="1">
      <alignment horizontal="center" vertical="center"/>
    </xf>
    <xf numFmtId="0" fontId="10" fillId="0" borderId="119" xfId="39" applyBorder="1" applyAlignment="1">
      <alignment horizontal="center"/>
    </xf>
    <xf numFmtId="0" fontId="46" fillId="0" borderId="119" xfId="0" applyFont="1" applyBorder="1" applyAlignment="1">
      <alignment horizontal="center"/>
    </xf>
    <xf numFmtId="0" fontId="10" fillId="0" borderId="126" xfId="39" applyBorder="1" applyAlignment="1">
      <alignment horizontal="center"/>
    </xf>
    <xf numFmtId="0" fontId="46" fillId="4" borderId="129" xfId="0" applyFont="1" applyFill="1" applyBorder="1" applyAlignment="1">
      <alignment horizontal="left" vertical="center"/>
    </xf>
    <xf numFmtId="0" fontId="46" fillId="4" borderId="129" xfId="0" applyFont="1" applyFill="1" applyBorder="1" applyAlignment="1">
      <alignment horizontal="center" vertical="center"/>
    </xf>
    <xf numFmtId="0" fontId="46" fillId="4" borderId="129" xfId="0" quotePrefix="1" applyFont="1" applyFill="1" applyBorder="1" applyAlignment="1">
      <alignment horizontal="center" vertical="center"/>
    </xf>
    <xf numFmtId="0" fontId="46" fillId="4" borderId="130" xfId="0" applyFont="1" applyFill="1" applyBorder="1" applyAlignment="1">
      <alignment horizontal="left" vertical="center"/>
    </xf>
    <xf numFmtId="0" fontId="49" fillId="5" borderId="131" xfId="0" applyFont="1" applyFill="1" applyBorder="1" applyAlignment="1">
      <alignment horizontal="left" vertical="center"/>
    </xf>
    <xf numFmtId="0" fontId="49" fillId="5" borderId="132" xfId="0" quotePrefix="1" applyFont="1" applyFill="1" applyBorder="1" applyAlignment="1">
      <alignment horizontal="left" vertical="center"/>
    </xf>
    <xf numFmtId="0" fontId="49" fillId="5" borderId="132" xfId="0" applyFont="1" applyFill="1" applyBorder="1" applyAlignment="1">
      <alignment horizontal="left" vertical="center"/>
    </xf>
    <xf numFmtId="0" fontId="49" fillId="5" borderId="132" xfId="0" applyFont="1" applyFill="1" applyBorder="1" applyAlignment="1">
      <alignment horizontal="center" vertical="center"/>
    </xf>
    <xf numFmtId="0" fontId="49" fillId="5" borderId="133" xfId="0" applyFont="1" applyFill="1" applyBorder="1" applyAlignment="1">
      <alignment horizontal="center" vertical="center"/>
    </xf>
    <xf numFmtId="0" fontId="56" fillId="7" borderId="134" xfId="0" applyFont="1" applyFill="1" applyBorder="1" applyAlignment="1">
      <alignment horizontal="left" vertical="center" wrapText="1"/>
    </xf>
    <xf numFmtId="0" fontId="57" fillId="7" borderId="135" xfId="0" applyFont="1" applyFill="1" applyBorder="1" applyAlignment="1">
      <alignment horizontal="left" vertical="center"/>
    </xf>
    <xf numFmtId="0" fontId="57" fillId="7" borderId="137" xfId="0" applyFont="1" applyFill="1" applyBorder="1" applyAlignment="1">
      <alignment horizontal="left" vertical="center"/>
    </xf>
    <xf numFmtId="0" fontId="57" fillId="13" borderId="85" xfId="12" applyFont="1" applyFill="1" applyBorder="1"/>
    <xf numFmtId="0" fontId="57" fillId="13" borderId="121" xfId="12" applyFont="1" applyFill="1" applyBorder="1" applyAlignment="1">
      <alignment horizontal="center"/>
    </xf>
    <xf numFmtId="0" fontId="57" fillId="13" borderId="122" xfId="12" applyFont="1" applyFill="1" applyBorder="1" applyAlignment="1">
      <alignment horizontal="center" vertical="top" wrapText="1"/>
    </xf>
    <xf numFmtId="0" fontId="57" fillId="13" borderId="122" xfId="12" applyFont="1" applyFill="1" applyBorder="1" applyAlignment="1">
      <alignment horizontal="center" vertical="center" wrapText="1"/>
    </xf>
    <xf numFmtId="0" fontId="57" fillId="13" borderId="123" xfId="12" applyFont="1" applyFill="1" applyBorder="1" applyAlignment="1">
      <alignment horizontal="center" vertical="top" wrapText="1"/>
    </xf>
    <xf numFmtId="0" fontId="46" fillId="0" borderId="127" xfId="22" applyFont="1" applyBorder="1"/>
    <xf numFmtId="0" fontId="46" fillId="0" borderId="109" xfId="0" applyFont="1" applyBorder="1"/>
    <xf numFmtId="0" fontId="46" fillId="0" borderId="127" xfId="0" applyFont="1" applyBorder="1"/>
    <xf numFmtId="0" fontId="49" fillId="0" borderId="127" xfId="0" applyFont="1" applyBorder="1" applyAlignment="1">
      <alignment vertical="center"/>
    </xf>
    <xf numFmtId="0" fontId="49" fillId="0" borderId="127" xfId="0" applyFont="1" applyBorder="1" applyAlignment="1">
      <alignment horizontal="center" vertical="center"/>
    </xf>
    <xf numFmtId="0" fontId="49" fillId="0" borderId="127" xfId="0" applyFont="1" applyBorder="1" applyAlignment="1">
      <alignment horizontal="center" vertical="center" wrapText="1"/>
    </xf>
    <xf numFmtId="0" fontId="49" fillId="0" borderId="126" xfId="0" applyFont="1" applyBorder="1" applyAlignment="1">
      <alignment vertical="center"/>
    </xf>
    <xf numFmtId="0" fontId="46" fillId="0" borderId="126" xfId="0" applyFont="1" applyBorder="1" applyAlignment="1">
      <alignment horizontal="left" vertical="center"/>
    </xf>
    <xf numFmtId="0" fontId="49" fillId="5" borderId="119" xfId="0" applyFont="1" applyFill="1" applyBorder="1" applyAlignment="1">
      <alignment horizontal="center" vertical="center"/>
    </xf>
    <xf numFmtId="0" fontId="49" fillId="5" borderId="119" xfId="0" quotePrefix="1" applyFont="1" applyFill="1" applyBorder="1" applyAlignment="1">
      <alignment horizontal="center" vertical="center"/>
    </xf>
    <xf numFmtId="0" fontId="49" fillId="5" borderId="127" xfId="0" quotePrefix="1" applyFont="1" applyFill="1" applyBorder="1" applyAlignment="1">
      <alignment horizontal="center" vertical="center"/>
    </xf>
    <xf numFmtId="0" fontId="49" fillId="5" borderId="127" xfId="0" applyFont="1" applyFill="1" applyBorder="1" applyAlignment="1">
      <alignment horizontal="center" vertical="center"/>
    </xf>
    <xf numFmtId="0" fontId="49" fillId="20" borderId="106" xfId="0" applyFont="1" applyFill="1" applyBorder="1" applyAlignment="1">
      <alignment horizontal="left" vertical="center"/>
    </xf>
    <xf numFmtId="0" fontId="49" fillId="20" borderId="143" xfId="0" applyFont="1" applyFill="1" applyBorder="1" applyAlignment="1">
      <alignment horizontal="left" vertical="center" wrapText="1"/>
    </xf>
    <xf numFmtId="0" fontId="49" fillId="20" borderId="145" xfId="0" applyFont="1" applyFill="1" applyBorder="1" applyAlignment="1">
      <alignment horizontal="left" vertical="center" wrapText="1"/>
    </xf>
    <xf numFmtId="0" fontId="49" fillId="20" borderId="142" xfId="0" applyFont="1" applyFill="1" applyBorder="1" applyAlignment="1">
      <alignment horizontal="left" vertical="center"/>
    </xf>
    <xf numFmtId="0" fontId="49" fillId="20" borderId="146" xfId="0" applyFont="1" applyFill="1" applyBorder="1" applyAlignment="1">
      <alignment horizontal="left" vertical="center"/>
    </xf>
    <xf numFmtId="0" fontId="57" fillId="7" borderId="136" xfId="0" applyFont="1" applyFill="1" applyBorder="1" applyAlignment="1">
      <alignment horizontal="center" vertical="center" wrapText="1"/>
    </xf>
    <xf numFmtId="0" fontId="49" fillId="20" borderId="139" xfId="0" applyFont="1" applyFill="1" applyBorder="1" applyAlignment="1">
      <alignment horizontal="center" vertical="center"/>
    </xf>
    <xf numFmtId="167" fontId="49" fillId="20" borderId="139" xfId="0" applyNumberFormat="1" applyFont="1" applyFill="1" applyBorder="1" applyAlignment="1">
      <alignment horizontal="center" vertical="center"/>
    </xf>
    <xf numFmtId="0" fontId="49" fillId="20" borderId="139" xfId="0" quotePrefix="1" applyFont="1" applyFill="1" applyBorder="1" applyAlignment="1">
      <alignment horizontal="center" vertical="center"/>
    </xf>
    <xf numFmtId="0" fontId="49" fillId="20" borderId="142" xfId="0" applyFont="1" applyFill="1" applyBorder="1" applyAlignment="1">
      <alignment horizontal="center" vertical="center"/>
    </xf>
    <xf numFmtId="167" fontId="49" fillId="20" borderId="142" xfId="0" applyNumberFormat="1" applyFont="1" applyFill="1" applyBorder="1" applyAlignment="1">
      <alignment horizontal="center" vertical="center"/>
    </xf>
    <xf numFmtId="0" fontId="49" fillId="20" borderId="142" xfId="0" quotePrefix="1" applyFont="1" applyFill="1" applyBorder="1" applyAlignment="1">
      <alignment horizontal="center" vertical="center"/>
    </xf>
    <xf numFmtId="0" fontId="46" fillId="9" borderId="141" xfId="0" applyFont="1" applyFill="1" applyBorder="1" applyAlignment="1">
      <alignment horizontal="center" vertical="center"/>
    </xf>
    <xf numFmtId="0" fontId="46" fillId="9" borderId="144" xfId="0" applyFont="1" applyFill="1" applyBorder="1" applyAlignment="1">
      <alignment horizontal="left" vertical="center"/>
    </xf>
    <xf numFmtId="0" fontId="46" fillId="18" borderId="144" xfId="0" applyFont="1" applyFill="1" applyBorder="1" applyAlignment="1">
      <alignment horizontal="center" vertical="center"/>
    </xf>
    <xf numFmtId="0" fontId="46" fillId="18" borderId="142" xfId="0" applyFont="1" applyFill="1" applyBorder="1" applyAlignment="1">
      <alignment horizontal="left" vertical="center"/>
    </xf>
    <xf numFmtId="0" fontId="46" fillId="18" borderId="142" xfId="0" applyFont="1" applyFill="1" applyBorder="1" applyAlignment="1">
      <alignment horizontal="center" vertical="center"/>
    </xf>
    <xf numFmtId="0" fontId="46" fillId="18" borderId="142" xfId="0" quotePrefix="1" applyFont="1" applyFill="1" applyBorder="1" applyAlignment="1">
      <alignment horizontal="center" vertical="center"/>
    </xf>
    <xf numFmtId="0" fontId="46" fillId="18" borderId="146" xfId="0" applyFont="1" applyFill="1" applyBorder="1" applyAlignment="1">
      <alignment horizontal="center" vertical="center"/>
    </xf>
    <xf numFmtId="0" fontId="46" fillId="9" borderId="143" xfId="0" applyFont="1" applyFill="1" applyBorder="1" applyAlignment="1">
      <alignment horizontal="left" vertical="center"/>
    </xf>
    <xf numFmtId="166" fontId="53" fillId="9" borderId="141" xfId="0" applyNumberFormat="1" applyFont="1" applyFill="1" applyBorder="1" applyAlignment="1">
      <alignment vertical="center" wrapText="1"/>
    </xf>
    <xf numFmtId="166" fontId="53" fillId="9" borderId="141" xfId="0" applyNumberFormat="1" applyFont="1" applyFill="1" applyBorder="1" applyAlignment="1">
      <alignment horizontal="center" vertical="center" wrapText="1"/>
    </xf>
    <xf numFmtId="0" fontId="53" fillId="9" borderId="141" xfId="0" applyFont="1" applyFill="1" applyBorder="1" applyAlignment="1">
      <alignment horizontal="center" vertical="center" wrapText="1"/>
    </xf>
    <xf numFmtId="0" fontId="46" fillId="0" borderId="141" xfId="0" applyFont="1" applyBorder="1" applyAlignment="1">
      <alignment horizontal="left" vertical="center"/>
    </xf>
    <xf numFmtId="0" fontId="48" fillId="26" borderId="96" xfId="0" applyFont="1" applyFill="1" applyBorder="1" applyAlignment="1">
      <alignment horizontal="center" vertical="center"/>
    </xf>
    <xf numFmtId="0" fontId="48" fillId="26" borderId="83" xfId="0" applyFont="1" applyFill="1" applyBorder="1" applyAlignment="1">
      <alignment horizontal="center" vertical="center"/>
    </xf>
    <xf numFmtId="0" fontId="57" fillId="26" borderId="96" xfId="0" applyFont="1" applyFill="1" applyBorder="1" applyAlignment="1">
      <alignment horizontal="center" vertical="center"/>
    </xf>
    <xf numFmtId="0" fontId="49" fillId="7" borderId="138" xfId="0" applyFont="1" applyFill="1" applyBorder="1" applyAlignment="1">
      <alignment horizontal="left" vertical="center"/>
    </xf>
    <xf numFmtId="0" fontId="49" fillId="7" borderId="139" xfId="0" applyFont="1" applyFill="1" applyBorder="1" applyAlignment="1">
      <alignment horizontal="center" vertical="center" wrapText="1"/>
    </xf>
    <xf numFmtId="0" fontId="53" fillId="7" borderId="139" xfId="0" applyFont="1" applyFill="1" applyBorder="1" applyAlignment="1">
      <alignment horizontal="center" vertical="center" wrapText="1"/>
    </xf>
    <xf numFmtId="0" fontId="49" fillId="7" borderId="140" xfId="0" applyFont="1" applyFill="1" applyBorder="1" applyAlignment="1">
      <alignment horizontal="left" vertical="center"/>
    </xf>
    <xf numFmtId="0" fontId="49" fillId="7" borderId="143" xfId="0" applyFont="1" applyFill="1" applyBorder="1" applyAlignment="1">
      <alignment horizontal="left" vertical="center"/>
    </xf>
    <xf numFmtId="2" fontId="49" fillId="7" borderId="127" xfId="0" applyNumberFormat="1" applyFont="1" applyFill="1" applyBorder="1" applyAlignment="1">
      <alignment horizontal="center" vertical="center" wrapText="1"/>
    </xf>
    <xf numFmtId="0" fontId="49" fillId="7" borderId="144" xfId="0" applyFont="1" applyFill="1" applyBorder="1" applyAlignment="1">
      <alignment horizontal="left" vertical="center"/>
    </xf>
    <xf numFmtId="0" fontId="51" fillId="7" borderId="143" xfId="0" applyFont="1" applyFill="1" applyBorder="1" applyAlignment="1">
      <alignment horizontal="left" vertical="center" wrapText="1"/>
    </xf>
    <xf numFmtId="0" fontId="51" fillId="7" borderId="144" xfId="0" applyFont="1" applyFill="1" applyBorder="1" applyAlignment="1">
      <alignment horizontal="left" vertical="center" wrapText="1"/>
    </xf>
    <xf numFmtId="0" fontId="53" fillId="7" borderId="143" xfId="0" applyFont="1" applyFill="1" applyBorder="1" applyAlignment="1">
      <alignment horizontal="left" vertical="center" wrapText="1"/>
    </xf>
    <xf numFmtId="0" fontId="53" fillId="7" borderId="144" xfId="0" applyFont="1" applyFill="1" applyBorder="1" applyAlignment="1">
      <alignment horizontal="left" vertical="center" wrapText="1"/>
    </xf>
    <xf numFmtId="167" fontId="49" fillId="7" borderId="127" xfId="0" applyNumberFormat="1" applyFont="1" applyFill="1" applyBorder="1" applyAlignment="1">
      <alignment horizontal="center" vertical="center" wrapText="1"/>
    </xf>
    <xf numFmtId="0" fontId="49" fillId="7" borderId="145" xfId="0" applyFont="1" applyFill="1" applyBorder="1" applyAlignment="1">
      <alignment horizontal="left" vertical="center"/>
    </xf>
    <xf numFmtId="2" fontId="49" fillId="7" borderId="142" xfId="0" applyNumberFormat="1" applyFont="1" applyFill="1" applyBorder="1" applyAlignment="1">
      <alignment horizontal="center" vertical="center" wrapText="1"/>
    </xf>
    <xf numFmtId="0" fontId="53" fillId="7" borderId="142" xfId="0" applyFont="1" applyFill="1" applyBorder="1" applyAlignment="1">
      <alignment horizontal="center" vertical="center" wrapText="1"/>
    </xf>
    <xf numFmtId="0" fontId="49" fillId="7" borderId="142" xfId="0" applyFont="1" applyFill="1" applyBorder="1" applyAlignment="1">
      <alignment horizontal="center" vertical="center"/>
    </xf>
    <xf numFmtId="0" fontId="49" fillId="7" borderId="146" xfId="0" applyFont="1" applyFill="1" applyBorder="1" applyAlignment="1">
      <alignment horizontal="left" vertical="center"/>
    </xf>
    <xf numFmtId="0" fontId="46" fillId="7" borderId="144" xfId="0" applyFont="1" applyFill="1" applyBorder="1" applyAlignment="1">
      <alignment horizontal="left" vertical="center"/>
    </xf>
    <xf numFmtId="0" fontId="49" fillId="9" borderId="143" xfId="0" applyFont="1" applyFill="1" applyBorder="1" applyAlignment="1">
      <alignment horizontal="left" vertical="center"/>
    </xf>
    <xf numFmtId="0" fontId="57" fillId="7" borderId="148" xfId="0" applyFont="1" applyFill="1" applyBorder="1" applyAlignment="1">
      <alignment horizontal="left" vertical="center"/>
    </xf>
    <xf numFmtId="167" fontId="49" fillId="11" borderId="6" xfId="0" applyNumberFormat="1" applyFont="1" applyFill="1" applyBorder="1" applyAlignment="1">
      <alignment horizontal="center" vertical="center" wrapText="1"/>
    </xf>
    <xf numFmtId="167" fontId="49" fillId="19" borderId="6" xfId="0" applyNumberFormat="1" applyFont="1" applyFill="1" applyBorder="1" applyAlignment="1">
      <alignment horizontal="center" vertical="center" wrapText="1"/>
    </xf>
    <xf numFmtId="0" fontId="81" fillId="12" borderId="6" xfId="0" applyFont="1" applyFill="1" applyBorder="1" applyAlignment="1">
      <alignment horizontal="center" vertical="center"/>
    </xf>
    <xf numFmtId="1" fontId="81" fillId="22" borderId="10" xfId="0" applyNumberFormat="1" applyFont="1" applyFill="1" applyBorder="1" applyAlignment="1">
      <alignment horizontal="center" vertical="center" wrapText="1"/>
    </xf>
    <xf numFmtId="165" fontId="49" fillId="11" borderId="142" xfId="0" applyNumberFormat="1" applyFont="1" applyFill="1" applyBorder="1" applyAlignment="1">
      <alignment horizontal="center" vertical="center"/>
    </xf>
    <xf numFmtId="165" fontId="49" fillId="19" borderId="129" xfId="0" applyNumberFormat="1" applyFont="1" applyFill="1" applyBorder="1" applyAlignment="1">
      <alignment horizontal="center" vertical="center"/>
    </xf>
    <xf numFmtId="0" fontId="57" fillId="7" borderId="121" xfId="0" applyFont="1" applyFill="1" applyBorder="1" applyAlignment="1">
      <alignment horizontal="left" vertical="center" wrapText="1"/>
    </xf>
    <xf numFmtId="0" fontId="57" fillId="7" borderId="147" xfId="0" applyFont="1" applyFill="1" applyBorder="1" applyAlignment="1">
      <alignment horizontal="left" vertical="center" wrapText="1"/>
    </xf>
    <xf numFmtId="0" fontId="49" fillId="15" borderId="139" xfId="0" applyFont="1" applyFill="1" applyBorder="1" applyAlignment="1">
      <alignment horizontal="center" vertical="center" wrapText="1"/>
    </xf>
    <xf numFmtId="0" fontId="57" fillId="7" borderId="149" xfId="0" applyFont="1" applyFill="1" applyBorder="1" applyAlignment="1">
      <alignment horizontal="left" vertical="center" wrapText="1"/>
    </xf>
    <xf numFmtId="0" fontId="57" fillId="7" borderId="149" xfId="0" applyFont="1" applyFill="1" applyBorder="1" applyAlignment="1">
      <alignment horizontal="center" vertical="center" wrapText="1"/>
    </xf>
    <xf numFmtId="0" fontId="49" fillId="0" borderId="100" xfId="0" applyFont="1" applyBorder="1" applyAlignment="1">
      <alignment horizontal="left" vertical="center" wrapText="1"/>
    </xf>
    <xf numFmtId="0" fontId="49" fillId="20" borderId="105" xfId="0" applyFont="1" applyFill="1" applyBorder="1" applyAlignment="1">
      <alignment horizontal="left" vertical="center"/>
    </xf>
    <xf numFmtId="0" fontId="49" fillId="20" borderId="102" xfId="0" applyFont="1" applyFill="1" applyBorder="1" applyAlignment="1">
      <alignment horizontal="left"/>
    </xf>
    <xf numFmtId="0" fontId="49" fillId="12" borderId="139" xfId="0" applyFont="1" applyFill="1" applyBorder="1" applyAlignment="1">
      <alignment horizontal="left" vertical="center" wrapText="1"/>
    </xf>
    <xf numFmtId="0" fontId="49" fillId="12" borderId="127" xfId="0" applyFont="1" applyFill="1" applyBorder="1" applyAlignment="1">
      <alignment horizontal="left" vertical="center" wrapText="1"/>
    </xf>
    <xf numFmtId="0" fontId="49" fillId="12" borderId="142" xfId="0" applyFont="1" applyFill="1" applyBorder="1" applyAlignment="1">
      <alignment horizontal="left" vertical="center" wrapText="1"/>
    </xf>
    <xf numFmtId="0" fontId="57" fillId="7" borderId="154" xfId="0" applyFont="1" applyFill="1" applyBorder="1" applyAlignment="1">
      <alignment horizontal="center" vertical="center"/>
    </xf>
    <xf numFmtId="0" fontId="57" fillId="7" borderId="155" xfId="0" applyFont="1" applyFill="1" applyBorder="1" applyAlignment="1">
      <alignment horizontal="center" vertical="center" wrapText="1"/>
    </xf>
    <xf numFmtId="0" fontId="57" fillId="7" borderId="156" xfId="0" applyFont="1" applyFill="1" applyBorder="1" applyAlignment="1">
      <alignment horizontal="center" vertical="center" wrapText="1"/>
    </xf>
    <xf numFmtId="0" fontId="58" fillId="0" borderId="125" xfId="0" applyFont="1" applyBorder="1" applyAlignment="1">
      <alignment horizontal="left" vertical="center"/>
    </xf>
    <xf numFmtId="0" fontId="49" fillId="0" borderId="100" xfId="0" applyFont="1" applyBorder="1" applyAlignment="1">
      <alignment horizontal="center" vertical="center" wrapText="1"/>
    </xf>
    <xf numFmtId="0" fontId="49" fillId="0" borderId="100" xfId="0" quotePrefix="1" applyFont="1" applyBorder="1" applyAlignment="1">
      <alignment horizontal="center" vertical="center" wrapText="1"/>
    </xf>
    <xf numFmtId="0" fontId="57" fillId="0" borderId="124" xfId="0" applyFont="1" applyBorder="1" applyAlignment="1">
      <alignment horizontal="center" vertical="center"/>
    </xf>
    <xf numFmtId="0" fontId="49" fillId="0" borderId="143" xfId="0" applyFont="1" applyBorder="1" applyAlignment="1">
      <alignment horizontal="left" vertical="center"/>
    </xf>
    <xf numFmtId="0" fontId="46" fillId="0" borderId="144" xfId="0" applyFont="1" applyBorder="1"/>
    <xf numFmtId="0" fontId="49" fillId="0" borderId="157" xfId="0" applyFont="1" applyBorder="1" applyAlignment="1">
      <alignment horizontal="left" vertical="center"/>
    </xf>
    <xf numFmtId="0" fontId="49" fillId="19" borderId="157" xfId="0" applyFont="1" applyFill="1" applyBorder="1" applyAlignment="1">
      <alignment horizontal="left" vertical="center" wrapText="1"/>
    </xf>
    <xf numFmtId="2" fontId="49" fillId="19" borderId="157" xfId="0" applyNumberFormat="1" applyFont="1" applyFill="1" applyBorder="1" applyAlignment="1">
      <alignment horizontal="center" vertical="center" wrapText="1"/>
    </xf>
    <xf numFmtId="0" fontId="49" fillId="19" borderId="157" xfId="0" applyFont="1" applyFill="1" applyBorder="1" applyAlignment="1">
      <alignment horizontal="center" vertical="center" wrapText="1"/>
    </xf>
    <xf numFmtId="0" fontId="49" fillId="19" borderId="157" xfId="0" applyFont="1" applyFill="1" applyBorder="1" applyAlignment="1">
      <alignment horizontal="center" vertical="center"/>
    </xf>
    <xf numFmtId="0" fontId="49" fillId="19" borderId="157" xfId="0" quotePrefix="1" applyFont="1" applyFill="1" applyBorder="1" applyAlignment="1">
      <alignment horizontal="center" vertical="center" wrapText="1"/>
    </xf>
    <xf numFmtId="0" fontId="49" fillId="19" borderId="142" xfId="0" applyFont="1" applyFill="1" applyBorder="1" applyAlignment="1">
      <alignment horizontal="center" vertical="center" wrapText="1"/>
    </xf>
    <xf numFmtId="0" fontId="49" fillId="19" borderId="142" xfId="0" applyFont="1" applyFill="1" applyBorder="1" applyAlignment="1">
      <alignment horizontal="center" vertical="center"/>
    </xf>
    <xf numFmtId="0" fontId="49" fillId="11" borderId="157" xfId="0" applyFont="1" applyFill="1" applyBorder="1" applyAlignment="1">
      <alignment horizontal="left" vertical="center" wrapText="1"/>
    </xf>
    <xf numFmtId="2" fontId="49" fillId="11" borderId="157" xfId="0" applyNumberFormat="1" applyFont="1" applyFill="1" applyBorder="1" applyAlignment="1">
      <alignment horizontal="center" vertical="center"/>
    </xf>
    <xf numFmtId="0" fontId="49" fillId="11" borderId="157" xfId="0" applyFont="1" applyFill="1" applyBorder="1" applyAlignment="1">
      <alignment horizontal="center" vertical="center" wrapText="1"/>
    </xf>
    <xf numFmtId="0" fontId="49" fillId="11" borderId="157" xfId="0" applyFont="1" applyFill="1" applyBorder="1" applyAlignment="1">
      <alignment horizontal="center" vertical="center"/>
    </xf>
    <xf numFmtId="0" fontId="49" fillId="11" borderId="77" xfId="0" applyFont="1" applyFill="1" applyBorder="1" applyAlignment="1">
      <alignment horizontal="left" vertical="center"/>
    </xf>
    <xf numFmtId="2" fontId="49" fillId="11" borderId="157" xfId="0" applyNumberFormat="1" applyFont="1" applyFill="1" applyBorder="1" applyAlignment="1">
      <alignment horizontal="left" vertical="center" wrapText="1"/>
    </xf>
    <xf numFmtId="2" fontId="49" fillId="11" borderId="157" xfId="0" applyNumberFormat="1" applyFont="1" applyFill="1" applyBorder="1" applyAlignment="1">
      <alignment horizontal="center" vertical="center" wrapText="1"/>
    </xf>
    <xf numFmtId="165" fontId="49" fillId="11" borderId="157" xfId="0" applyNumberFormat="1" applyFont="1" applyFill="1" applyBorder="1" applyAlignment="1">
      <alignment horizontal="center" vertical="center"/>
    </xf>
    <xf numFmtId="0" fontId="49" fillId="11" borderId="157" xfId="0" quotePrefix="1" applyFont="1" applyFill="1" applyBorder="1" applyAlignment="1">
      <alignment horizontal="center" vertical="center" wrapText="1"/>
    </xf>
    <xf numFmtId="0" fontId="49" fillId="11" borderId="157" xfId="0" applyFont="1" applyFill="1" applyBorder="1" applyAlignment="1">
      <alignment horizontal="left" vertical="center"/>
    </xf>
    <xf numFmtId="0" fontId="53" fillId="11" borderId="157" xfId="0" applyFont="1" applyFill="1" applyBorder="1" applyAlignment="1">
      <alignment horizontal="left" vertical="center" wrapText="1"/>
    </xf>
    <xf numFmtId="0" fontId="49" fillId="11" borderId="142" xfId="0" applyFont="1" applyFill="1" applyBorder="1" applyAlignment="1">
      <alignment horizontal="center" vertical="center" wrapText="1"/>
    </xf>
    <xf numFmtId="0" fontId="49" fillId="11" borderId="146" xfId="0" applyFont="1" applyFill="1" applyBorder="1" applyAlignment="1">
      <alignment horizontal="left" vertical="center"/>
    </xf>
    <xf numFmtId="0" fontId="49" fillId="20" borderId="143" xfId="2" applyFont="1" applyFill="1" applyBorder="1" applyAlignment="1">
      <alignment horizontal="left" vertical="center" wrapText="1"/>
    </xf>
    <xf numFmtId="0" fontId="49" fillId="20" borderId="157" xfId="0" applyFont="1" applyFill="1" applyBorder="1" applyAlignment="1">
      <alignment horizontal="left" vertical="center" wrapText="1"/>
    </xf>
    <xf numFmtId="0" fontId="49" fillId="20" borderId="145" xfId="2" applyFont="1" applyFill="1" applyBorder="1" applyAlignment="1">
      <alignment horizontal="left" vertical="center" wrapText="1"/>
    </xf>
    <xf numFmtId="0" fontId="49" fillId="20" borderId="142" xfId="0" applyFont="1" applyFill="1" applyBorder="1" applyAlignment="1">
      <alignment horizontal="left" vertical="center" wrapText="1"/>
    </xf>
    <xf numFmtId="0" fontId="30" fillId="0" borderId="0" xfId="0" applyFont="1" applyAlignment="1">
      <alignment horizontal="right"/>
    </xf>
    <xf numFmtId="0" fontId="0" fillId="0" borderId="157" xfId="0" applyBorder="1"/>
    <xf numFmtId="0" fontId="0" fillId="0" borderId="129" xfId="0" applyBorder="1"/>
    <xf numFmtId="0" fontId="0" fillId="14" borderId="118" xfId="0" applyFill="1" applyBorder="1"/>
    <xf numFmtId="0" fontId="0" fillId="14" borderId="119" xfId="0" applyFill="1" applyBorder="1"/>
    <xf numFmtId="2" fontId="0" fillId="14" borderId="120" xfId="0" applyNumberFormat="1" applyFill="1" applyBorder="1"/>
    <xf numFmtId="0" fontId="0" fillId="0" borderId="116" xfId="0" applyBorder="1"/>
    <xf numFmtId="0" fontId="0" fillId="14" borderId="143" xfId="0" applyFill="1" applyBorder="1"/>
    <xf numFmtId="0" fontId="0" fillId="14" borderId="157" xfId="0" applyFill="1" applyBorder="1"/>
    <xf numFmtId="2" fontId="0" fillId="14" borderId="144" xfId="0" applyNumberFormat="1" applyFill="1" applyBorder="1"/>
    <xf numFmtId="0" fontId="0" fillId="14" borderId="145" xfId="0" applyFill="1" applyBorder="1"/>
    <xf numFmtId="0" fontId="0" fillId="14" borderId="142" xfId="0" applyFill="1" applyBorder="1"/>
    <xf numFmtId="2" fontId="0" fillId="14" borderId="146" xfId="0" applyNumberFormat="1" applyFill="1" applyBorder="1"/>
    <xf numFmtId="0" fontId="57" fillId="7" borderId="154" xfId="0" applyFont="1" applyFill="1" applyBorder="1" applyAlignment="1">
      <alignment horizontal="left" vertical="center"/>
    </xf>
    <xf numFmtId="0" fontId="57" fillId="7" borderId="155" xfId="0" applyFont="1" applyFill="1" applyBorder="1" applyAlignment="1">
      <alignment horizontal="left" vertical="center" wrapText="1"/>
    </xf>
    <xf numFmtId="0" fontId="49" fillId="0" borderId="145" xfId="0" applyFont="1" applyBorder="1" applyAlignment="1">
      <alignment horizontal="left" vertical="center"/>
    </xf>
    <xf numFmtId="0" fontId="49" fillId="0" borderId="142" xfId="0" applyFont="1" applyBorder="1" applyAlignment="1">
      <alignment horizontal="left" vertical="center"/>
    </xf>
    <xf numFmtId="0" fontId="57" fillId="7" borderId="81" xfId="0" applyFont="1" applyFill="1" applyBorder="1" applyAlignment="1">
      <alignment vertical="center" wrapText="1"/>
    </xf>
    <xf numFmtId="0" fontId="49" fillId="0" borderId="118" xfId="0" applyFont="1" applyBorder="1" applyAlignment="1">
      <alignment vertical="center"/>
    </xf>
    <xf numFmtId="0" fontId="49" fillId="0" borderId="119" xfId="0" applyFont="1" applyBorder="1"/>
    <xf numFmtId="0" fontId="49" fillId="0" borderId="120" xfId="0" applyFont="1" applyBorder="1"/>
    <xf numFmtId="0" fontId="49" fillId="0" borderId="143" xfId="0" applyFont="1" applyBorder="1" applyAlignment="1">
      <alignment vertical="center"/>
    </xf>
    <xf numFmtId="0" fontId="49" fillId="0" borderId="157" xfId="0" applyFont="1" applyBorder="1"/>
    <xf numFmtId="0" fontId="49" fillId="0" borderId="144" xfId="0" applyFont="1" applyBorder="1"/>
    <xf numFmtId="0" fontId="49" fillId="0" borderId="157" xfId="0" applyFont="1" applyBorder="1" applyAlignment="1">
      <alignment vertical="center"/>
    </xf>
    <xf numFmtId="0" fontId="49" fillId="0" borderId="144" xfId="0" applyFont="1" applyBorder="1" applyAlignment="1">
      <alignment vertical="center"/>
    </xf>
    <xf numFmtId="0" fontId="49" fillId="0" borderId="145" xfId="0" applyFont="1" applyBorder="1" applyAlignment="1">
      <alignment vertical="center"/>
    </xf>
    <xf numFmtId="0" fontId="49" fillId="0" borderId="142" xfId="0" applyFont="1" applyBorder="1" applyAlignment="1">
      <alignment vertical="center"/>
    </xf>
    <xf numFmtId="0" fontId="49" fillId="0" borderId="146" xfId="0" applyFont="1" applyBorder="1" applyAlignment="1">
      <alignment vertical="center"/>
    </xf>
    <xf numFmtId="0" fontId="49" fillId="5" borderId="157" xfId="0" applyFont="1" applyFill="1" applyBorder="1" applyAlignment="1">
      <alignment horizontal="left" vertical="center"/>
    </xf>
    <xf numFmtId="167" fontId="7" fillId="0" borderId="157" xfId="45" applyNumberFormat="1" applyBorder="1" applyAlignment="1">
      <alignment horizontal="center"/>
    </xf>
    <xf numFmtId="0" fontId="46" fillId="0" borderId="157" xfId="0" applyFont="1" applyBorder="1" applyAlignment="1">
      <alignment horizontal="center" vertical="center"/>
    </xf>
    <xf numFmtId="167" fontId="7" fillId="0" borderId="157" xfId="46" applyNumberFormat="1" applyBorder="1" applyAlignment="1">
      <alignment horizontal="center"/>
    </xf>
    <xf numFmtId="167" fontId="7" fillId="0" borderId="142" xfId="45" applyNumberFormat="1" applyBorder="1" applyAlignment="1">
      <alignment horizontal="center"/>
    </xf>
    <xf numFmtId="0" fontId="53" fillId="0" borderId="0" xfId="6" applyFont="1" applyAlignment="1">
      <alignment horizontal="center" vertical="center"/>
    </xf>
    <xf numFmtId="0" fontId="56" fillId="7" borderId="159" xfId="6" applyFont="1" applyFill="1" applyBorder="1" applyAlignment="1">
      <alignment horizontal="left" vertical="center" wrapText="1"/>
    </xf>
    <xf numFmtId="0" fontId="56" fillId="0" borderId="0" xfId="6" applyFont="1" applyAlignment="1">
      <alignment horizontal="center" vertical="center"/>
    </xf>
    <xf numFmtId="0" fontId="46" fillId="0" borderId="160" xfId="6" applyFont="1" applyBorder="1" applyAlignment="1">
      <alignment horizontal="left"/>
    </xf>
    <xf numFmtId="0" fontId="49" fillId="0" borderId="161" xfId="6" applyFont="1" applyBorder="1" applyAlignment="1">
      <alignment horizontal="left" vertical="center" wrapText="1"/>
    </xf>
    <xf numFmtId="0" fontId="49" fillId="0" borderId="161" xfId="6" applyFont="1" applyBorder="1" applyAlignment="1">
      <alignment horizontal="center" vertical="center" wrapText="1"/>
    </xf>
    <xf numFmtId="0" fontId="46" fillId="0" borderId="161" xfId="6" applyFont="1" applyBorder="1" applyAlignment="1">
      <alignment horizontal="center"/>
    </xf>
    <xf numFmtId="0" fontId="49" fillId="0" borderId="162" xfId="6" applyFont="1" applyBorder="1" applyAlignment="1">
      <alignment horizontal="center" vertical="center" wrapText="1"/>
    </xf>
    <xf numFmtId="0" fontId="46" fillId="0" borderId="143" xfId="6" applyFont="1" applyBorder="1" applyAlignment="1">
      <alignment horizontal="left"/>
    </xf>
    <xf numFmtId="0" fontId="49" fillId="0" borderId="157" xfId="6" applyFont="1" applyBorder="1" applyAlignment="1">
      <alignment horizontal="left" vertical="center" wrapText="1"/>
    </xf>
    <xf numFmtId="0" fontId="49" fillId="0" borderId="157" xfId="6" applyFont="1" applyBorder="1" applyAlignment="1">
      <alignment horizontal="center" vertical="center" wrapText="1"/>
    </xf>
    <xf numFmtId="0" fontId="46" fillId="0" borderId="157" xfId="6" applyFont="1" applyBorder="1" applyAlignment="1">
      <alignment horizontal="center"/>
    </xf>
    <xf numFmtId="0" fontId="49" fillId="0" borderId="144" xfId="6" applyFont="1" applyBorder="1" applyAlignment="1">
      <alignment horizontal="center" vertical="center" wrapText="1"/>
    </xf>
    <xf numFmtId="0" fontId="46" fillId="0" borderId="157" xfId="6" applyFont="1" applyBorder="1" applyAlignment="1">
      <alignment horizontal="center" vertical="center" wrapText="1"/>
    </xf>
    <xf numFmtId="0" fontId="46" fillId="0" borderId="145" xfId="6" applyFont="1" applyBorder="1" applyAlignment="1">
      <alignment horizontal="left"/>
    </xf>
    <xf numFmtId="0" fontId="49" fillId="0" borderId="142" xfId="6" applyFont="1" applyBorder="1" applyAlignment="1">
      <alignment horizontal="left" vertical="center" wrapText="1"/>
    </xf>
    <xf numFmtId="0" fontId="49" fillId="0" borderId="142" xfId="6" applyFont="1" applyBorder="1" applyAlignment="1">
      <alignment horizontal="center" vertical="center" wrapText="1"/>
    </xf>
    <xf numFmtId="0" fontId="46" fillId="0" borderId="142" xfId="6" applyFont="1" applyBorder="1" applyAlignment="1">
      <alignment horizontal="center"/>
    </xf>
    <xf numFmtId="0" fontId="49" fillId="0" borderId="146" xfId="6" applyFont="1" applyBorder="1" applyAlignment="1">
      <alignment horizontal="center" vertical="center" wrapText="1"/>
    </xf>
    <xf numFmtId="0" fontId="57" fillId="0" borderId="143" xfId="3" applyFont="1" applyBorder="1" applyAlignment="1">
      <alignment horizontal="left" vertical="center" wrapText="1"/>
    </xf>
    <xf numFmtId="2" fontId="46" fillId="0" borderId="157" xfId="0" applyNumberFormat="1" applyFont="1" applyBorder="1" applyAlignment="1">
      <alignment horizontal="left" vertical="center"/>
    </xf>
    <xf numFmtId="2" fontId="46" fillId="0" borderId="157" xfId="0" applyNumberFormat="1" applyFont="1" applyBorder="1" applyAlignment="1">
      <alignment horizontal="center" vertical="center"/>
    </xf>
    <xf numFmtId="2" fontId="46" fillId="0" borderId="102" xfId="0" applyNumberFormat="1" applyFont="1" applyBorder="1" applyAlignment="1">
      <alignment horizontal="center" vertical="center"/>
    </xf>
    <xf numFmtId="0" fontId="67" fillId="0" borderId="128" xfId="0" applyFont="1" applyBorder="1" applyAlignment="1">
      <alignment horizontal="left"/>
    </xf>
    <xf numFmtId="0" fontId="46" fillId="0" borderId="129" xfId="0" applyFont="1" applyBorder="1" applyAlignment="1">
      <alignment horizontal="left" vertical="center" wrapText="1"/>
    </xf>
    <xf numFmtId="167" fontId="7" fillId="0" borderId="129" xfId="46" applyNumberFormat="1" applyBorder="1" applyAlignment="1">
      <alignment horizontal="center"/>
    </xf>
    <xf numFmtId="11" fontId="46" fillId="0" borderId="129" xfId="0" applyNumberFormat="1" applyFont="1" applyBorder="1" applyAlignment="1">
      <alignment horizontal="center" vertical="center"/>
    </xf>
    <xf numFmtId="0" fontId="46" fillId="0" borderId="129" xfId="0" applyFont="1" applyBorder="1" applyAlignment="1">
      <alignment horizontal="center" vertical="center"/>
    </xf>
    <xf numFmtId="0" fontId="10" fillId="0" borderId="129" xfId="42" applyBorder="1" applyAlignment="1">
      <alignment horizontal="center"/>
    </xf>
    <xf numFmtId="0" fontId="46" fillId="0" borderId="129" xfId="0" applyFont="1" applyBorder="1" applyAlignment="1">
      <alignment horizontal="center" vertical="center" wrapText="1"/>
    </xf>
    <xf numFmtId="0" fontId="46" fillId="0" borderId="129" xfId="0" applyFont="1" applyBorder="1" applyAlignment="1">
      <alignment horizontal="left" vertical="center"/>
    </xf>
    <xf numFmtId="0" fontId="46" fillId="0" borderId="130" xfId="0" applyFont="1" applyBorder="1" applyAlignment="1">
      <alignment horizontal="left"/>
    </xf>
    <xf numFmtId="0" fontId="49" fillId="5" borderId="157" xfId="0" applyFont="1" applyFill="1" applyBorder="1" applyAlignment="1">
      <alignment horizontal="center" vertical="center"/>
    </xf>
    <xf numFmtId="0" fontId="49" fillId="5" borderId="142" xfId="0" applyFont="1" applyFill="1" applyBorder="1" applyAlignment="1">
      <alignment horizontal="center" vertical="center"/>
    </xf>
    <xf numFmtId="0" fontId="49" fillId="5" borderId="157" xfId="0" quotePrefix="1" applyFont="1" applyFill="1" applyBorder="1" applyAlignment="1">
      <alignment horizontal="center" vertical="center"/>
    </xf>
    <xf numFmtId="0" fontId="49" fillId="5" borderId="13" xfId="0" applyFont="1" applyFill="1" applyBorder="1" applyAlignment="1">
      <alignment horizontal="center" vertical="center"/>
    </xf>
    <xf numFmtId="0" fontId="49" fillId="5" borderId="163" xfId="0" applyFont="1" applyFill="1" applyBorder="1" applyAlignment="1">
      <alignment horizontal="center" vertical="center"/>
    </xf>
    <xf numFmtId="170" fontId="0" fillId="5" borderId="157" xfId="0" quotePrefix="1" applyNumberFormat="1" applyFill="1" applyBorder="1" applyAlignment="1">
      <alignment horizontal="center" vertical="center"/>
    </xf>
    <xf numFmtId="0" fontId="0" fillId="5" borderId="157" xfId="0" applyFill="1" applyBorder="1" applyAlignment="1">
      <alignment horizontal="center" vertical="center"/>
    </xf>
    <xf numFmtId="0" fontId="46" fillId="18" borderId="129" xfId="0" applyFont="1" applyFill="1" applyBorder="1" applyAlignment="1">
      <alignment horizontal="left" vertical="center"/>
    </xf>
    <xf numFmtId="0" fontId="46" fillId="18" borderId="129" xfId="0" applyFont="1" applyFill="1" applyBorder="1" applyAlignment="1">
      <alignment horizontal="center" vertical="center"/>
    </xf>
    <xf numFmtId="0" fontId="46" fillId="18" borderId="129" xfId="0" quotePrefix="1" applyFont="1" applyFill="1" applyBorder="1" applyAlignment="1">
      <alignment horizontal="center" vertical="center"/>
    </xf>
    <xf numFmtId="0" fontId="46" fillId="18" borderId="130" xfId="0" applyFont="1" applyFill="1" applyBorder="1" applyAlignment="1">
      <alignment horizontal="center" vertical="center"/>
    </xf>
    <xf numFmtId="0" fontId="46" fillId="8" borderId="144" xfId="0" applyFont="1" applyFill="1" applyBorder="1" applyAlignment="1">
      <alignment horizontal="left" vertical="center"/>
    </xf>
    <xf numFmtId="0" fontId="46" fillId="10" borderId="144" xfId="0" quotePrefix="1" applyFont="1" applyFill="1" applyBorder="1" applyAlignment="1">
      <alignment horizontal="left" vertical="center"/>
    </xf>
    <xf numFmtId="0" fontId="46" fillId="0" borderId="157" xfId="0" applyFont="1" applyBorder="1" applyAlignment="1">
      <alignment horizontal="left" vertical="center"/>
    </xf>
    <xf numFmtId="0" fontId="49" fillId="20" borderId="170" xfId="2" applyFont="1" applyFill="1" applyBorder="1" applyAlignment="1">
      <alignment horizontal="left" vertical="center" wrapText="1"/>
    </xf>
    <xf numFmtId="0" fontId="49" fillId="20" borderId="171" xfId="0" applyFont="1" applyFill="1" applyBorder="1" applyAlignment="1">
      <alignment horizontal="left" vertical="center" wrapText="1"/>
    </xf>
    <xf numFmtId="0" fontId="49" fillId="20" borderId="171" xfId="0" applyFont="1" applyFill="1" applyBorder="1" applyAlignment="1">
      <alignment horizontal="left" vertical="center"/>
    </xf>
    <xf numFmtId="0" fontId="49" fillId="20" borderId="172" xfId="0" applyFont="1" applyFill="1" applyBorder="1" applyAlignment="1">
      <alignment horizontal="left" vertical="center"/>
    </xf>
    <xf numFmtId="0" fontId="48" fillId="7" borderId="164" xfId="0" applyFont="1" applyFill="1" applyBorder="1" applyAlignment="1">
      <alignment horizontal="center" vertical="center"/>
    </xf>
    <xf numFmtId="0" fontId="48" fillId="7" borderId="165" xfId="0" applyFont="1" applyFill="1" applyBorder="1" applyAlignment="1">
      <alignment horizontal="center" vertical="center"/>
    </xf>
    <xf numFmtId="0" fontId="57" fillId="7" borderId="165" xfId="3" applyFont="1" applyFill="1" applyBorder="1" applyAlignment="1">
      <alignment horizontal="center" vertical="center" wrapText="1"/>
    </xf>
    <xf numFmtId="0" fontId="61" fillId="7" borderId="165" xfId="3" applyFont="1" applyFill="1" applyBorder="1" applyAlignment="1">
      <alignment horizontal="center" vertical="center" wrapText="1"/>
    </xf>
    <xf numFmtId="0" fontId="48" fillId="7" borderId="165" xfId="0" applyFont="1" applyFill="1" applyBorder="1" applyAlignment="1">
      <alignment horizontal="left" vertical="center"/>
    </xf>
    <xf numFmtId="0" fontId="48" fillId="7" borderId="165" xfId="0" applyFont="1" applyFill="1" applyBorder="1" applyAlignment="1">
      <alignment horizontal="left" vertical="center" wrapText="1"/>
    </xf>
    <xf numFmtId="0" fontId="48" fillId="7" borderId="166" xfId="0" applyFont="1" applyFill="1" applyBorder="1" applyAlignment="1">
      <alignment horizontal="left" vertical="center" wrapText="1"/>
    </xf>
    <xf numFmtId="0" fontId="46" fillId="8" borderId="144" xfId="0" quotePrefix="1" applyFont="1" applyFill="1" applyBorder="1" applyAlignment="1">
      <alignment horizontal="left" vertical="center"/>
    </xf>
    <xf numFmtId="0" fontId="46" fillId="21" borderId="144" xfId="0" applyFont="1" applyFill="1" applyBorder="1" applyAlignment="1">
      <alignment horizontal="left" vertical="center"/>
    </xf>
    <xf numFmtId="0" fontId="46" fillId="11" borderId="144" xfId="0" quotePrefix="1" applyFont="1" applyFill="1" applyBorder="1" applyAlignment="1">
      <alignment horizontal="left" vertical="center"/>
    </xf>
    <xf numFmtId="0" fontId="46" fillId="11" borderId="144" xfId="0" applyFont="1" applyFill="1" applyBorder="1" applyAlignment="1">
      <alignment horizontal="left" vertical="center"/>
    </xf>
    <xf numFmtId="0" fontId="46" fillId="19" borderId="144" xfId="0" applyFont="1" applyFill="1" applyBorder="1" applyAlignment="1">
      <alignment horizontal="left" vertical="center"/>
    </xf>
    <xf numFmtId="0" fontId="46" fillId="10" borderId="144" xfId="0" applyFont="1" applyFill="1" applyBorder="1" applyAlignment="1">
      <alignment horizontal="left" vertical="center"/>
    </xf>
    <xf numFmtId="0" fontId="46" fillId="22" borderId="144" xfId="0" applyFont="1" applyFill="1" applyBorder="1" applyAlignment="1">
      <alignment horizontal="left" vertical="center"/>
    </xf>
    <xf numFmtId="0" fontId="46" fillId="20" borderId="144" xfId="0" quotePrefix="1" applyFont="1" applyFill="1" applyBorder="1" applyAlignment="1">
      <alignment horizontal="left" vertical="center"/>
    </xf>
    <xf numFmtId="0" fontId="46" fillId="20" borderId="144" xfId="0" applyFont="1" applyFill="1" applyBorder="1" applyAlignment="1">
      <alignment horizontal="left" vertical="center"/>
    </xf>
    <xf numFmtId="0" fontId="46" fillId="12" borderId="144" xfId="0" applyFont="1" applyFill="1" applyBorder="1" applyAlignment="1">
      <alignment horizontal="left" vertical="center"/>
    </xf>
    <xf numFmtId="0" fontId="46" fillId="18" borderId="144" xfId="0" applyFont="1" applyFill="1" applyBorder="1" applyAlignment="1">
      <alignment horizontal="left" vertical="center"/>
    </xf>
    <xf numFmtId="0" fontId="46" fillId="16" borderId="144" xfId="0" applyFont="1" applyFill="1" applyBorder="1" applyAlignment="1">
      <alignment horizontal="left" vertical="center"/>
    </xf>
    <xf numFmtId="0" fontId="46" fillId="15" borderId="144" xfId="0" applyFont="1" applyFill="1" applyBorder="1" applyAlignment="1">
      <alignment horizontal="left" vertical="center"/>
    </xf>
    <xf numFmtId="0" fontId="46" fillId="4" borderId="144" xfId="0" applyFont="1" applyFill="1" applyBorder="1" applyAlignment="1">
      <alignment horizontal="left" vertical="center"/>
    </xf>
    <xf numFmtId="0" fontId="57" fillId="13" borderId="167" xfId="12" applyFont="1" applyFill="1" applyBorder="1" applyAlignment="1">
      <alignment horizontal="center"/>
    </xf>
    <xf numFmtId="0" fontId="57" fillId="13" borderId="168" xfId="12" applyFont="1" applyFill="1" applyBorder="1" applyAlignment="1">
      <alignment horizontal="center" vertical="top" wrapText="1"/>
    </xf>
    <xf numFmtId="0" fontId="57" fillId="13" borderId="168" xfId="12" applyFont="1" applyFill="1" applyBorder="1" applyAlignment="1">
      <alignment horizontal="center" vertical="center" wrapText="1"/>
    </xf>
    <xf numFmtId="0" fontId="57" fillId="13" borderId="169" xfId="12" applyFont="1" applyFill="1" applyBorder="1" applyAlignment="1">
      <alignment horizontal="center" vertical="top" wrapText="1"/>
    </xf>
    <xf numFmtId="0" fontId="46" fillId="0" borderId="157" xfId="0" applyFont="1" applyBorder="1"/>
    <xf numFmtId="0" fontId="46" fillId="0" borderId="157" xfId="0" applyFont="1" applyBorder="1" applyAlignment="1">
      <alignment horizontal="center"/>
    </xf>
    <xf numFmtId="0" fontId="46" fillId="0" borderId="157" xfId="22" applyFont="1" applyBorder="1"/>
    <xf numFmtId="0" fontId="46" fillId="0" borderId="157" xfId="22" applyFont="1" applyBorder="1" applyAlignment="1">
      <alignment horizontal="center"/>
    </xf>
    <xf numFmtId="0" fontId="46" fillId="0" borderId="157" xfId="22" applyFont="1" applyBorder="1" applyAlignment="1">
      <alignment horizontal="left" vertical="center"/>
    </xf>
    <xf numFmtId="0" fontId="46" fillId="0" borderId="157" xfId="22" applyFont="1" applyBorder="1" applyAlignment="1">
      <alignment horizontal="center" vertical="center"/>
    </xf>
    <xf numFmtId="0" fontId="46" fillId="0" borderId="160" xfId="0" applyFont="1" applyBorder="1"/>
    <xf numFmtId="0" fontId="46" fillId="0" borderId="161" xfId="0" applyFont="1" applyBorder="1"/>
    <xf numFmtId="0" fontId="46" fillId="0" borderId="161" xfId="0" applyFont="1" applyBorder="1" applyAlignment="1">
      <alignment horizontal="center"/>
    </xf>
    <xf numFmtId="0" fontId="46" fillId="0" borderId="162" xfId="0" applyFont="1" applyBorder="1"/>
    <xf numFmtId="0" fontId="46" fillId="0" borderId="143" xfId="0" applyFont="1" applyBorder="1"/>
    <xf numFmtId="0" fontId="46" fillId="0" borderId="143" xfId="22" applyFont="1" applyBorder="1"/>
    <xf numFmtId="0" fontId="46" fillId="0" borderId="144" xfId="22" applyFont="1" applyBorder="1"/>
    <xf numFmtId="0" fontId="46" fillId="0" borderId="143" xfId="22" applyFont="1" applyBorder="1" applyAlignment="1">
      <alignment horizontal="left" vertical="center"/>
    </xf>
    <xf numFmtId="0" fontId="46" fillId="0" borderId="144" xfId="22" applyFont="1" applyBorder="1" applyAlignment="1">
      <alignment horizontal="left" vertical="center"/>
    </xf>
    <xf numFmtId="0" fontId="46" fillId="0" borderId="145" xfId="22" applyFont="1" applyBorder="1"/>
    <xf numFmtId="0" fontId="46" fillId="0" borderId="142" xfId="22" applyFont="1" applyBorder="1"/>
    <xf numFmtId="0" fontId="46" fillId="0" borderId="142" xfId="22" applyFont="1" applyBorder="1" applyAlignment="1">
      <alignment horizontal="center"/>
    </xf>
    <xf numFmtId="0" fontId="46" fillId="0" borderId="146" xfId="22" applyFont="1" applyBorder="1"/>
    <xf numFmtId="0" fontId="57" fillId="13" borderId="167" xfId="6" applyFont="1" applyFill="1" applyBorder="1" applyAlignment="1">
      <alignment horizontal="center" vertical="center"/>
    </xf>
    <xf numFmtId="0" fontId="57" fillId="13" borderId="168" xfId="6" applyFont="1" applyFill="1" applyBorder="1" applyAlignment="1">
      <alignment horizontal="left" vertical="center" wrapText="1"/>
    </xf>
    <xf numFmtId="0" fontId="57" fillId="13" borderId="168" xfId="6" applyFont="1" applyFill="1" applyBorder="1" applyAlignment="1">
      <alignment horizontal="center" vertical="center" wrapText="1"/>
    </xf>
    <xf numFmtId="0" fontId="57" fillId="13" borderId="169" xfId="6" applyFont="1" applyFill="1" applyBorder="1" applyAlignment="1">
      <alignment vertical="center"/>
    </xf>
    <xf numFmtId="0" fontId="46" fillId="8" borderId="173" xfId="0" quotePrefix="1" applyFont="1" applyFill="1" applyBorder="1" applyAlignment="1">
      <alignment horizontal="center" vertical="center"/>
    </xf>
    <xf numFmtId="0" fontId="46" fillId="8" borderId="173" xfId="0" applyFont="1" applyFill="1" applyBorder="1" applyAlignment="1">
      <alignment horizontal="center" vertical="center"/>
    </xf>
    <xf numFmtId="0" fontId="46" fillId="8" borderId="173" xfId="0" applyFont="1" applyFill="1" applyBorder="1" applyAlignment="1">
      <alignment horizontal="left" vertical="center"/>
    </xf>
    <xf numFmtId="0" fontId="46" fillId="21" borderId="173" xfId="0" applyFont="1" applyFill="1" applyBorder="1" applyAlignment="1">
      <alignment horizontal="center" vertical="center"/>
    </xf>
    <xf numFmtId="0" fontId="46" fillId="10" borderId="173" xfId="0" applyFont="1" applyFill="1" applyBorder="1" applyAlignment="1">
      <alignment horizontal="center" vertical="center"/>
    </xf>
    <xf numFmtId="0" fontId="46" fillId="22" borderId="173" xfId="0" applyFont="1" applyFill="1" applyBorder="1" applyAlignment="1">
      <alignment horizontal="center" vertical="center"/>
    </xf>
    <xf numFmtId="0" fontId="46" fillId="20" borderId="173" xfId="0" quotePrefix="1" applyFont="1" applyFill="1" applyBorder="1" applyAlignment="1">
      <alignment horizontal="center" vertical="center"/>
    </xf>
    <xf numFmtId="0" fontId="46" fillId="20" borderId="173" xfId="0" applyFont="1" applyFill="1" applyBorder="1" applyAlignment="1">
      <alignment horizontal="center" vertical="center"/>
    </xf>
    <xf numFmtId="0" fontId="46" fillId="12" borderId="173" xfId="0" applyFont="1" applyFill="1" applyBorder="1" applyAlignment="1">
      <alignment horizontal="center" vertical="center"/>
    </xf>
    <xf numFmtId="0" fontId="46" fillId="18" borderId="173" xfId="0" applyFont="1" applyFill="1" applyBorder="1" applyAlignment="1">
      <alignment horizontal="center" vertical="center"/>
    </xf>
    <xf numFmtId="0" fontId="46" fillId="9" borderId="173" xfId="0" applyFont="1" applyFill="1" applyBorder="1" applyAlignment="1">
      <alignment horizontal="center" vertical="center"/>
    </xf>
    <xf numFmtId="0" fontId="46" fillId="7" borderId="173" xfId="0" applyFont="1" applyFill="1" applyBorder="1" applyAlignment="1">
      <alignment horizontal="center" vertical="center"/>
    </xf>
    <xf numFmtId="0" fontId="46" fillId="16" borderId="173" xfId="0" applyFont="1" applyFill="1" applyBorder="1" applyAlignment="1">
      <alignment horizontal="center" vertical="center"/>
    </xf>
    <xf numFmtId="0" fontId="46" fillId="15" borderId="173" xfId="0" applyFont="1" applyFill="1" applyBorder="1" applyAlignment="1">
      <alignment horizontal="center" vertical="center"/>
    </xf>
    <xf numFmtId="0" fontId="46" fillId="15" borderId="173" xfId="0" quotePrefix="1" applyFont="1" applyFill="1" applyBorder="1" applyAlignment="1">
      <alignment horizontal="center" vertical="center"/>
    </xf>
    <xf numFmtId="0" fontId="46" fillId="4" borderId="173" xfId="0" applyFont="1" applyFill="1" applyBorder="1" applyAlignment="1">
      <alignment horizontal="center" vertical="center"/>
    </xf>
    <xf numFmtId="0" fontId="49" fillId="5" borderId="173" xfId="0" applyFont="1" applyFill="1" applyBorder="1" applyAlignment="1">
      <alignment horizontal="center" vertical="center"/>
    </xf>
    <xf numFmtId="0" fontId="53" fillId="10" borderId="173" xfId="0" applyFont="1" applyFill="1" applyBorder="1" applyAlignment="1">
      <alignment horizontal="center" vertical="center" wrapText="1"/>
    </xf>
    <xf numFmtId="0" fontId="18" fillId="0" borderId="0" xfId="24" applyAlignment="1">
      <alignment horizontal="left" vertical="center"/>
    </xf>
    <xf numFmtId="0" fontId="46" fillId="0" borderId="99" xfId="0" applyFont="1" applyBorder="1" applyAlignment="1">
      <alignment horizontal="left" vertical="center"/>
    </xf>
    <xf numFmtId="0" fontId="49" fillId="0" borderId="99" xfId="0" applyFont="1" applyBorder="1" applyAlignment="1">
      <alignment horizontal="left" vertical="center"/>
    </xf>
    <xf numFmtId="0" fontId="49" fillId="0" borderId="99" xfId="0" applyFont="1" applyBorder="1" applyAlignment="1">
      <alignment horizontal="left"/>
    </xf>
    <xf numFmtId="0" fontId="49" fillId="0" borderId="99" xfId="0" applyFont="1" applyBorder="1" applyAlignment="1">
      <alignment horizontal="center" vertical="center"/>
    </xf>
    <xf numFmtId="2" fontId="53" fillId="10" borderId="173" xfId="0" applyNumberFormat="1" applyFont="1" applyFill="1" applyBorder="1" applyAlignment="1">
      <alignment horizontal="left" vertical="center" wrapText="1"/>
    </xf>
    <xf numFmtId="0" fontId="46" fillId="10" borderId="173" xfId="0" quotePrefix="1" applyFont="1" applyFill="1" applyBorder="1" applyAlignment="1">
      <alignment horizontal="left" vertical="center"/>
    </xf>
    <xf numFmtId="0" fontId="49" fillId="10" borderId="173" xfId="0" applyFont="1" applyFill="1" applyBorder="1" applyAlignment="1">
      <alignment horizontal="left" vertical="center" wrapText="1"/>
    </xf>
    <xf numFmtId="0" fontId="46" fillId="10" borderId="173" xfId="0" applyFont="1" applyFill="1" applyBorder="1" applyAlignment="1">
      <alignment horizontal="left" vertical="center"/>
    </xf>
    <xf numFmtId="0" fontId="48" fillId="8" borderId="160" xfId="0" applyFont="1" applyFill="1" applyBorder="1" applyAlignment="1">
      <alignment horizontal="center"/>
    </xf>
    <xf numFmtId="0" fontId="48" fillId="8" borderId="161" xfId="0" applyFont="1" applyFill="1" applyBorder="1" applyAlignment="1">
      <alignment horizontal="center"/>
    </xf>
    <xf numFmtId="0" fontId="46" fillId="8" borderId="161" xfId="0" applyFont="1" applyFill="1" applyBorder="1"/>
    <xf numFmtId="0" fontId="46" fillId="8" borderId="161" xfId="0" quotePrefix="1" applyFont="1" applyFill="1" applyBorder="1" applyAlignment="1">
      <alignment horizontal="center" vertical="center"/>
    </xf>
    <xf numFmtId="0" fontId="46" fillId="8" borderId="161" xfId="0" applyFont="1" applyFill="1" applyBorder="1" applyAlignment="1">
      <alignment horizontal="center" vertical="center"/>
    </xf>
    <xf numFmtId="0" fontId="46" fillId="8" borderId="161" xfId="0" quotePrefix="1" applyFont="1" applyFill="1" applyBorder="1" applyAlignment="1">
      <alignment horizontal="left" vertical="center"/>
    </xf>
    <xf numFmtId="0" fontId="46" fillId="8" borderId="161" xfId="0" applyFont="1" applyFill="1" applyBorder="1" applyAlignment="1">
      <alignment horizontal="left" vertical="center"/>
    </xf>
    <xf numFmtId="0" fontId="46" fillId="8" borderId="162" xfId="0" applyFont="1" applyFill="1" applyBorder="1" applyAlignment="1">
      <alignment horizontal="left" vertical="center"/>
    </xf>
    <xf numFmtId="0" fontId="46" fillId="8" borderId="173" xfId="0" applyFont="1" applyFill="1" applyBorder="1"/>
    <xf numFmtId="0" fontId="46" fillId="8" borderId="173" xfId="0" quotePrefix="1" applyFont="1" applyFill="1" applyBorder="1" applyAlignment="1">
      <alignment horizontal="left" vertical="center"/>
    </xf>
    <xf numFmtId="0" fontId="46" fillId="8" borderId="173" xfId="0" applyFont="1" applyFill="1" applyBorder="1" applyAlignment="1">
      <alignment horizontal="center" vertical="center" wrapText="1"/>
    </xf>
    <xf numFmtId="0" fontId="48" fillId="21" borderId="143" xfId="0" applyFont="1" applyFill="1" applyBorder="1" applyAlignment="1">
      <alignment horizontal="center"/>
    </xf>
    <xf numFmtId="0" fontId="48" fillId="21" borderId="173" xfId="0" applyFont="1" applyFill="1" applyBorder="1" applyAlignment="1">
      <alignment horizontal="center"/>
    </xf>
    <xf numFmtId="0" fontId="46" fillId="21" borderId="173" xfId="0" applyFont="1" applyFill="1" applyBorder="1"/>
    <xf numFmtId="0" fontId="46" fillId="21" borderId="173" xfId="0" quotePrefix="1" applyFont="1" applyFill="1" applyBorder="1" applyAlignment="1">
      <alignment horizontal="center" vertical="center"/>
    </xf>
    <xf numFmtId="0" fontId="46" fillId="21" borderId="173" xfId="0" quotePrefix="1" applyFont="1" applyFill="1" applyBorder="1" applyAlignment="1">
      <alignment horizontal="left" vertical="center"/>
    </xf>
    <xf numFmtId="0" fontId="46" fillId="21" borderId="173" xfId="0" applyFont="1" applyFill="1" applyBorder="1" applyAlignment="1">
      <alignment horizontal="left" vertical="center"/>
    </xf>
    <xf numFmtId="0" fontId="48" fillId="10" borderId="173" xfId="0" applyFont="1" applyFill="1" applyBorder="1" applyAlignment="1">
      <alignment horizontal="center"/>
    </xf>
    <xf numFmtId="0" fontId="46" fillId="10" borderId="173" xfId="0" applyFont="1" applyFill="1" applyBorder="1"/>
    <xf numFmtId="0" fontId="46" fillId="10" borderId="173" xfId="0" quotePrefix="1" applyFont="1" applyFill="1" applyBorder="1" applyAlignment="1">
      <alignment horizontal="center" vertical="center"/>
    </xf>
    <xf numFmtId="0" fontId="48" fillId="22" borderId="173" xfId="0" applyFont="1" applyFill="1" applyBorder="1" applyAlignment="1">
      <alignment horizontal="center"/>
    </xf>
    <xf numFmtId="0" fontId="46" fillId="22" borderId="173" xfId="0" applyFont="1" applyFill="1" applyBorder="1"/>
    <xf numFmtId="0" fontId="46" fillId="22" borderId="173" xfId="0" applyFont="1" applyFill="1" applyBorder="1" applyAlignment="1">
      <alignment horizontal="left" vertical="center"/>
    </xf>
    <xf numFmtId="0" fontId="48" fillId="20" borderId="173" xfId="0" applyFont="1" applyFill="1" applyBorder="1" applyAlignment="1">
      <alignment horizontal="center"/>
    </xf>
    <xf numFmtId="0" fontId="46" fillId="20" borderId="173" xfId="0" applyFont="1" applyFill="1" applyBorder="1"/>
    <xf numFmtId="0" fontId="46" fillId="20" borderId="173" xfId="0" quotePrefix="1" applyFont="1" applyFill="1" applyBorder="1" applyAlignment="1">
      <alignment horizontal="left" vertical="center"/>
    </xf>
    <xf numFmtId="0" fontId="46" fillId="20" borderId="173" xfId="0" applyFont="1" applyFill="1" applyBorder="1" applyAlignment="1">
      <alignment horizontal="left" vertical="center"/>
    </xf>
    <xf numFmtId="0" fontId="48" fillId="12" borderId="173" xfId="0" applyFont="1" applyFill="1" applyBorder="1" applyAlignment="1">
      <alignment horizontal="center"/>
    </xf>
    <xf numFmtId="0" fontId="46" fillId="12" borderId="173" xfId="0" applyFont="1" applyFill="1" applyBorder="1"/>
    <xf numFmtId="0" fontId="46" fillId="12" borderId="173" xfId="0" quotePrefix="1" applyFont="1" applyFill="1" applyBorder="1" applyAlignment="1">
      <alignment horizontal="center" vertical="center"/>
    </xf>
    <xf numFmtId="0" fontId="46" fillId="12" borderId="173" xfId="0" quotePrefix="1" applyFont="1" applyFill="1" applyBorder="1" applyAlignment="1">
      <alignment horizontal="left" vertical="center"/>
    </xf>
    <xf numFmtId="0" fontId="46" fillId="12" borderId="173" xfId="0" applyFont="1" applyFill="1" applyBorder="1" applyAlignment="1">
      <alignment horizontal="left" vertical="center"/>
    </xf>
    <xf numFmtId="0" fontId="48" fillId="18" borderId="173" xfId="0" applyFont="1" applyFill="1" applyBorder="1" applyAlignment="1">
      <alignment horizontal="center"/>
    </xf>
    <xf numFmtId="0" fontId="46" fillId="18" borderId="173" xfId="0" applyFont="1" applyFill="1" applyBorder="1"/>
    <xf numFmtId="0" fontId="46" fillId="18" borderId="173" xfId="0" quotePrefix="1" applyFont="1" applyFill="1" applyBorder="1" applyAlignment="1">
      <alignment horizontal="center" vertical="center"/>
    </xf>
    <xf numFmtId="0" fontId="46" fillId="18" borderId="173" xfId="0" quotePrefix="1" applyFont="1" applyFill="1" applyBorder="1" applyAlignment="1">
      <alignment horizontal="left" vertical="center"/>
    </xf>
    <xf numFmtId="0" fontId="46" fillId="18" borderId="173" xfId="0" applyFont="1" applyFill="1" applyBorder="1" applyAlignment="1">
      <alignment horizontal="left" vertical="center"/>
    </xf>
    <xf numFmtId="0" fontId="48" fillId="9" borderId="173" xfId="0" applyFont="1" applyFill="1" applyBorder="1" applyAlignment="1">
      <alignment horizontal="center"/>
    </xf>
    <xf numFmtId="0" fontId="46" fillId="9" borderId="173" xfId="0" applyFont="1" applyFill="1" applyBorder="1"/>
    <xf numFmtId="0" fontId="46" fillId="9" borderId="173" xfId="0" applyFont="1" applyFill="1" applyBorder="1" applyAlignment="1">
      <alignment horizontal="left" vertical="center"/>
    </xf>
    <xf numFmtId="0" fontId="46" fillId="9" borderId="173" xfId="0" quotePrefix="1" applyFont="1" applyFill="1" applyBorder="1" applyAlignment="1">
      <alignment horizontal="left" vertical="center"/>
    </xf>
    <xf numFmtId="16" fontId="46" fillId="9" borderId="173" xfId="0" quotePrefix="1" applyNumberFormat="1" applyFont="1" applyFill="1" applyBorder="1" applyAlignment="1">
      <alignment horizontal="center" vertical="center"/>
    </xf>
    <xf numFmtId="0" fontId="46" fillId="9" borderId="173" xfId="0" quotePrefix="1" applyFont="1" applyFill="1" applyBorder="1" applyAlignment="1">
      <alignment horizontal="center" vertical="center"/>
    </xf>
    <xf numFmtId="0" fontId="57" fillId="7" borderId="173" xfId="0" applyFont="1" applyFill="1" applyBorder="1" applyAlignment="1">
      <alignment horizontal="center"/>
    </xf>
    <xf numFmtId="0" fontId="49" fillId="7" borderId="173" xfId="0" applyFont="1" applyFill="1" applyBorder="1"/>
    <xf numFmtId="0" fontId="46" fillId="7" borderId="173" xfId="0" quotePrefix="1" applyFont="1" applyFill="1" applyBorder="1" applyAlignment="1">
      <alignment horizontal="center" vertical="center"/>
    </xf>
    <xf numFmtId="0" fontId="49" fillId="7" borderId="173" xfId="3" quotePrefix="1" applyFont="1" applyFill="1" applyBorder="1" applyAlignment="1">
      <alignment horizontal="center" vertical="center" wrapText="1"/>
    </xf>
    <xf numFmtId="0" fontId="46" fillId="7" borderId="173" xfId="0" quotePrefix="1" applyFont="1" applyFill="1" applyBorder="1" applyAlignment="1">
      <alignment horizontal="left" vertical="center"/>
    </xf>
    <xf numFmtId="0" fontId="46" fillId="7" borderId="173" xfId="0" applyFont="1" applyFill="1" applyBorder="1" applyAlignment="1">
      <alignment horizontal="left" vertical="center"/>
    </xf>
    <xf numFmtId="0" fontId="49" fillId="7" borderId="173" xfId="0" applyFont="1" applyFill="1" applyBorder="1" applyAlignment="1">
      <alignment horizontal="left"/>
    </xf>
    <xf numFmtId="0" fontId="46" fillId="7" borderId="173" xfId="0" applyFont="1" applyFill="1" applyBorder="1" applyAlignment="1">
      <alignment horizontal="left" vertical="center" wrapText="1"/>
    </xf>
    <xf numFmtId="0" fontId="46" fillId="7" borderId="173" xfId="0" quotePrefix="1" applyFont="1" applyFill="1" applyBorder="1" applyAlignment="1">
      <alignment horizontal="left" vertical="center" wrapText="1"/>
    </xf>
    <xf numFmtId="0" fontId="49" fillId="7" borderId="173" xfId="3" quotePrefix="1" applyFont="1" applyFill="1" applyBorder="1" applyAlignment="1">
      <alignment horizontal="left" vertical="center" wrapText="1"/>
    </xf>
    <xf numFmtId="0" fontId="48" fillId="16" borderId="173" xfId="0" applyFont="1" applyFill="1" applyBorder="1" applyAlignment="1">
      <alignment horizontal="center" vertical="center"/>
    </xf>
    <xf numFmtId="0" fontId="46" fillId="16" borderId="173" xfId="0" applyFont="1" applyFill="1" applyBorder="1" applyAlignment="1">
      <alignment horizontal="left" vertical="center"/>
    </xf>
    <xf numFmtId="0" fontId="46" fillId="16" borderId="173" xfId="0" quotePrefix="1" applyFont="1" applyFill="1" applyBorder="1" applyAlignment="1">
      <alignment horizontal="center" vertical="center"/>
    </xf>
    <xf numFmtId="0" fontId="49" fillId="16" borderId="173" xfId="3" quotePrefix="1" applyFont="1" applyFill="1" applyBorder="1" applyAlignment="1">
      <alignment horizontal="center" vertical="center" wrapText="1"/>
    </xf>
    <xf numFmtId="0" fontId="46" fillId="16" borderId="173" xfId="0" quotePrefix="1" applyFont="1" applyFill="1" applyBorder="1" applyAlignment="1">
      <alignment horizontal="left" vertical="center"/>
    </xf>
    <xf numFmtId="0" fontId="57" fillId="16" borderId="173" xfId="0" applyFont="1" applyFill="1" applyBorder="1" applyAlignment="1">
      <alignment horizontal="center"/>
    </xf>
    <xf numFmtId="0" fontId="49" fillId="16" borderId="173" xfId="0" applyFont="1" applyFill="1" applyBorder="1"/>
    <xf numFmtId="0" fontId="57" fillId="15" borderId="173" xfId="0" applyFont="1" applyFill="1" applyBorder="1" applyAlignment="1">
      <alignment horizontal="center"/>
    </xf>
    <xf numFmtId="0" fontId="49" fillId="15" borderId="173" xfId="0" applyFont="1" applyFill="1" applyBorder="1"/>
    <xf numFmtId="0" fontId="46" fillId="15" borderId="173" xfId="0" quotePrefix="1" applyFont="1" applyFill="1" applyBorder="1" applyAlignment="1">
      <alignment horizontal="left" vertical="center"/>
    </xf>
    <xf numFmtId="0" fontId="46" fillId="15" borderId="173" xfId="0" applyFont="1" applyFill="1" applyBorder="1" applyAlignment="1">
      <alignment horizontal="left" vertical="center"/>
    </xf>
    <xf numFmtId="0" fontId="48" fillId="4" borderId="173" xfId="0" applyFont="1" applyFill="1" applyBorder="1" applyAlignment="1">
      <alignment horizontal="center" vertical="center"/>
    </xf>
    <xf numFmtId="0" fontId="46" fillId="4" borderId="173" xfId="0" applyFont="1" applyFill="1" applyBorder="1" applyAlignment="1">
      <alignment horizontal="left" vertical="center"/>
    </xf>
    <xf numFmtId="0" fontId="46" fillId="4" borderId="173" xfId="0" quotePrefix="1" applyFont="1" applyFill="1" applyBorder="1" applyAlignment="1">
      <alignment horizontal="center" vertical="center"/>
    </xf>
    <xf numFmtId="0" fontId="46" fillId="18" borderId="161" xfId="0" applyFont="1" applyFill="1" applyBorder="1" applyAlignment="1">
      <alignment horizontal="left" vertical="center"/>
    </xf>
    <xf numFmtId="0" fontId="46" fillId="18" borderId="161" xfId="0" applyFont="1" applyFill="1" applyBorder="1" applyAlignment="1">
      <alignment horizontal="center" vertical="center"/>
    </xf>
    <xf numFmtId="0" fontId="46" fillId="18" borderId="161" xfId="0" quotePrefix="1" applyFont="1" applyFill="1" applyBorder="1" applyAlignment="1">
      <alignment horizontal="center" vertical="center"/>
    </xf>
    <xf numFmtId="0" fontId="46" fillId="18" borderId="162" xfId="0" applyFont="1" applyFill="1" applyBorder="1" applyAlignment="1">
      <alignment horizontal="center" vertical="center"/>
    </xf>
    <xf numFmtId="0" fontId="48" fillId="18" borderId="173" xfId="0" applyFont="1" applyFill="1" applyBorder="1" applyAlignment="1">
      <alignment horizontal="center" vertical="center"/>
    </xf>
    <xf numFmtId="0" fontId="53" fillId="10" borderId="173" xfId="0" applyFont="1" applyFill="1" applyBorder="1" applyAlignment="1">
      <alignment horizontal="left" vertical="center" wrapText="1"/>
    </xf>
    <xf numFmtId="0" fontId="49" fillId="8" borderId="6" xfId="0" applyFont="1" applyFill="1" applyBorder="1" applyAlignment="1">
      <alignment horizontal="left" vertical="center" wrapText="1"/>
    </xf>
    <xf numFmtId="0" fontId="49" fillId="8" borderId="173" xfId="0" applyFont="1" applyFill="1" applyBorder="1" applyAlignment="1">
      <alignment horizontal="left" vertical="center" wrapText="1"/>
    </xf>
    <xf numFmtId="0" fontId="46" fillId="0" borderId="144" xfId="0" applyFont="1" applyBorder="1" applyAlignment="1">
      <alignment horizontal="left" vertical="center"/>
    </xf>
    <xf numFmtId="165" fontId="10" fillId="0" borderId="157" xfId="35" applyNumberFormat="1" applyBorder="1" applyAlignment="1">
      <alignment horizontal="center" vertical="center"/>
    </xf>
    <xf numFmtId="165" fontId="46" fillId="0" borderId="157" xfId="0" applyNumberFormat="1" applyFont="1" applyBorder="1" applyAlignment="1">
      <alignment horizontal="center" vertical="center"/>
    </xf>
    <xf numFmtId="169" fontId="46" fillId="0" borderId="157" xfId="0" applyNumberFormat="1" applyFont="1" applyBorder="1" applyAlignment="1">
      <alignment horizontal="center" vertical="center"/>
    </xf>
    <xf numFmtId="165" fontId="46" fillId="0" borderId="102" xfId="0" applyNumberFormat="1" applyFont="1" applyBorder="1" applyAlignment="1">
      <alignment horizontal="center" vertical="center"/>
    </xf>
    <xf numFmtId="0" fontId="57" fillId="7" borderId="180" xfId="0" applyFont="1" applyFill="1" applyBorder="1" applyAlignment="1">
      <alignment horizontal="left" vertical="center"/>
    </xf>
    <xf numFmtId="0" fontId="57" fillId="7" borderId="181" xfId="0" applyFont="1" applyFill="1" applyBorder="1" applyAlignment="1">
      <alignment horizontal="left" vertical="center" wrapText="1"/>
    </xf>
    <xf numFmtId="0" fontId="57" fillId="7" borderId="181" xfId="0" applyFont="1" applyFill="1" applyBorder="1" applyAlignment="1">
      <alignment horizontal="center" vertical="center" wrapText="1"/>
    </xf>
    <xf numFmtId="0" fontId="49" fillId="11" borderId="183" xfId="0" applyFont="1" applyFill="1" applyBorder="1" applyAlignment="1">
      <alignment horizontal="left" vertical="center"/>
    </xf>
    <xf numFmtId="0" fontId="49" fillId="11" borderId="102" xfId="0" applyFont="1" applyFill="1" applyBorder="1" applyAlignment="1">
      <alignment horizontal="left" vertical="center" wrapText="1"/>
    </xf>
    <xf numFmtId="2" fontId="49" fillId="11" borderId="184" xfId="0" applyNumberFormat="1" applyFont="1" applyFill="1" applyBorder="1" applyAlignment="1">
      <alignment horizontal="center" vertical="center" wrapText="1"/>
    </xf>
    <xf numFmtId="0" fontId="49" fillId="11" borderId="184" xfId="0" applyFont="1" applyFill="1" applyBorder="1" applyAlignment="1">
      <alignment horizontal="center" vertical="center" wrapText="1"/>
    </xf>
    <xf numFmtId="0" fontId="49" fillId="11" borderId="105" xfId="0" applyFont="1" applyFill="1" applyBorder="1" applyAlignment="1">
      <alignment horizontal="left" vertical="center"/>
    </xf>
    <xf numFmtId="2" fontId="49" fillId="11" borderId="102" xfId="0" applyNumberFormat="1" applyFont="1" applyFill="1" applyBorder="1" applyAlignment="1">
      <alignment horizontal="center" vertical="center" wrapText="1"/>
    </xf>
    <xf numFmtId="0" fontId="49" fillId="11" borderId="143" xfId="0" applyFont="1" applyFill="1" applyBorder="1" applyAlignment="1">
      <alignment horizontal="left" vertical="center"/>
    </xf>
    <xf numFmtId="0" fontId="53" fillId="11" borderId="143" xfId="0" applyFont="1" applyFill="1" applyBorder="1" applyAlignment="1">
      <alignment horizontal="left" vertical="center"/>
    </xf>
    <xf numFmtId="0" fontId="49" fillId="11" borderId="145" xfId="0" applyFont="1" applyFill="1" applyBorder="1" applyAlignment="1">
      <alignment horizontal="left" vertical="center"/>
    </xf>
    <xf numFmtId="0" fontId="49" fillId="19" borderId="143" xfId="0" applyFont="1" applyFill="1" applyBorder="1" applyAlignment="1">
      <alignment horizontal="left" vertical="center"/>
    </xf>
    <xf numFmtId="1" fontId="49" fillId="19" borderId="129" xfId="0" applyNumberFormat="1" applyFont="1" applyFill="1" applyBorder="1" applyAlignment="1">
      <alignment horizontal="center" vertical="center"/>
    </xf>
    <xf numFmtId="0" fontId="91" fillId="19" borderId="143" xfId="0" applyFont="1" applyFill="1" applyBorder="1" applyAlignment="1">
      <alignment horizontal="left" vertical="center"/>
    </xf>
    <xf numFmtId="0" fontId="49" fillId="19" borderId="145" xfId="0" applyFont="1" applyFill="1" applyBorder="1" applyAlignment="1">
      <alignment horizontal="left" vertical="center"/>
    </xf>
    <xf numFmtId="167" fontId="49" fillId="19" borderId="142" xfId="0" applyNumberFormat="1" applyFont="1" applyFill="1" applyBorder="1" applyAlignment="1">
      <alignment horizontal="center" vertical="center"/>
    </xf>
    <xf numFmtId="167" fontId="53" fillId="11" borderId="157" xfId="0" applyNumberFormat="1" applyFont="1" applyFill="1" applyBorder="1" applyAlignment="1">
      <alignment horizontal="center" vertical="center" wrapText="1"/>
    </xf>
    <xf numFmtId="0" fontId="53" fillId="11" borderId="157" xfId="0" quotePrefix="1" applyFont="1" applyFill="1" applyBorder="1" applyAlignment="1">
      <alignment horizontal="center" vertical="center" wrapText="1"/>
    </xf>
    <xf numFmtId="0" fontId="57" fillId="7" borderId="167" xfId="0" applyFont="1" applyFill="1" applyBorder="1" applyAlignment="1">
      <alignment horizontal="left" vertical="center"/>
    </xf>
    <xf numFmtId="0" fontId="57" fillId="7" borderId="168" xfId="0" applyFont="1" applyFill="1" applyBorder="1" applyAlignment="1">
      <alignment horizontal="left" vertical="center" wrapText="1"/>
    </xf>
    <xf numFmtId="0" fontId="57" fillId="7" borderId="168" xfId="0" applyFont="1" applyFill="1" applyBorder="1" applyAlignment="1">
      <alignment horizontal="center" vertical="center" wrapText="1"/>
    </xf>
    <xf numFmtId="0" fontId="49" fillId="9" borderId="170" xfId="0" applyFont="1" applyFill="1" applyBorder="1" applyAlignment="1">
      <alignment horizontal="left" vertical="center"/>
    </xf>
    <xf numFmtId="0" fontId="49" fillId="9" borderId="171" xfId="0" applyFont="1" applyFill="1" applyBorder="1" applyAlignment="1">
      <alignment horizontal="left" vertical="center"/>
    </xf>
    <xf numFmtId="0" fontId="49" fillId="9" borderId="171" xfId="0" applyFont="1" applyFill="1" applyBorder="1" applyAlignment="1">
      <alignment horizontal="center" vertical="center"/>
    </xf>
    <xf numFmtId="166" fontId="53" fillId="2" borderId="157" xfId="0" applyNumberFormat="1" applyFont="1" applyFill="1" applyBorder="1" applyAlignment="1">
      <alignment horizontal="center" vertical="center"/>
    </xf>
    <xf numFmtId="0" fontId="49" fillId="9" borderId="157" xfId="0" applyFont="1" applyFill="1" applyBorder="1" applyAlignment="1">
      <alignment horizontal="left" vertical="center"/>
    </xf>
    <xf numFmtId="0" fontId="49" fillId="9" borderId="157" xfId="0" applyFont="1" applyFill="1" applyBorder="1" applyAlignment="1">
      <alignment horizontal="center" vertical="center"/>
    </xf>
    <xf numFmtId="0" fontId="49" fillId="9" borderId="105" xfId="0" applyFont="1" applyFill="1" applyBorder="1" applyAlignment="1">
      <alignment horizontal="left" vertical="center"/>
    </xf>
    <xf numFmtId="0" fontId="49" fillId="9" borderId="102" xfId="0" applyFont="1" applyFill="1" applyBorder="1" applyAlignment="1">
      <alignment horizontal="left" vertical="center"/>
    </xf>
    <xf numFmtId="2" fontId="49" fillId="9" borderId="102" xfId="0" applyNumberFormat="1" applyFont="1" applyFill="1" applyBorder="1" applyAlignment="1">
      <alignment horizontal="center" vertical="center"/>
    </xf>
    <xf numFmtId="0" fontId="49" fillId="9" borderId="102" xfId="0" applyFont="1" applyFill="1" applyBorder="1" applyAlignment="1">
      <alignment horizontal="center" vertical="center"/>
    </xf>
    <xf numFmtId="0" fontId="56" fillId="2" borderId="0" xfId="0" applyFont="1" applyFill="1" applyAlignment="1">
      <alignment horizontal="left" vertical="center"/>
    </xf>
    <xf numFmtId="0" fontId="49" fillId="9" borderId="145" xfId="0" applyFont="1" applyFill="1" applyBorder="1" applyAlignment="1">
      <alignment horizontal="left" vertical="center"/>
    </xf>
    <xf numFmtId="0" fontId="49" fillId="9" borderId="142" xfId="0" applyFont="1" applyFill="1" applyBorder="1" applyAlignment="1">
      <alignment horizontal="left" vertical="center"/>
    </xf>
    <xf numFmtId="2" fontId="49" fillId="9" borderId="142" xfId="0" applyNumberFormat="1" applyFont="1" applyFill="1" applyBorder="1" applyAlignment="1">
      <alignment horizontal="center" vertical="center"/>
    </xf>
    <xf numFmtId="0" fontId="49" fillId="9" borderId="142" xfId="0" applyFont="1" applyFill="1" applyBorder="1" applyAlignment="1">
      <alignment horizontal="center" vertical="center"/>
    </xf>
    <xf numFmtId="166" fontId="56" fillId="2" borderId="0" xfId="0" applyNumberFormat="1" applyFont="1" applyFill="1" applyAlignment="1">
      <alignment horizontal="center" vertical="center"/>
    </xf>
    <xf numFmtId="0" fontId="57" fillId="7" borderId="187" xfId="0" applyFont="1" applyFill="1" applyBorder="1" applyAlignment="1">
      <alignment horizontal="left" vertical="center"/>
    </xf>
    <xf numFmtId="0" fontId="57" fillId="7" borderId="188" xfId="0" applyFont="1" applyFill="1" applyBorder="1" applyAlignment="1">
      <alignment horizontal="center" vertical="center" wrapText="1"/>
    </xf>
    <xf numFmtId="0" fontId="49" fillId="20" borderId="170" xfId="0" applyFont="1" applyFill="1" applyBorder="1" applyAlignment="1">
      <alignment horizontal="left" vertical="center" wrapText="1"/>
    </xf>
    <xf numFmtId="0" fontId="49" fillId="20" borderId="171" xfId="0" applyFont="1" applyFill="1" applyBorder="1" applyAlignment="1">
      <alignment horizontal="center" vertical="center"/>
    </xf>
    <xf numFmtId="167" fontId="49" fillId="20" borderId="171" xfId="0" applyNumberFormat="1" applyFont="1" applyFill="1" applyBorder="1" applyAlignment="1">
      <alignment horizontal="center" vertical="center"/>
    </xf>
    <xf numFmtId="0" fontId="49" fillId="20" borderId="171" xfId="0" quotePrefix="1" applyFont="1" applyFill="1" applyBorder="1" applyAlignment="1">
      <alignment horizontal="center" vertical="center"/>
    </xf>
    <xf numFmtId="0" fontId="57" fillId="7" borderId="190" xfId="0" applyFont="1" applyFill="1" applyBorder="1" applyAlignment="1">
      <alignment horizontal="left" vertical="center"/>
    </xf>
    <xf numFmtId="0" fontId="57" fillId="7" borderId="191" xfId="0" applyFont="1" applyFill="1" applyBorder="1" applyAlignment="1">
      <alignment horizontal="left" vertical="center" wrapText="1"/>
    </xf>
    <xf numFmtId="0" fontId="57" fillId="7" borderId="191" xfId="0" applyFont="1" applyFill="1" applyBorder="1" applyAlignment="1">
      <alignment horizontal="center" vertical="center" wrapText="1"/>
    </xf>
    <xf numFmtId="0" fontId="49" fillId="9" borderId="143" xfId="0" applyFont="1" applyFill="1" applyBorder="1" applyAlignment="1">
      <alignment horizontal="left" vertical="center" wrapText="1"/>
    </xf>
    <xf numFmtId="2" fontId="49" fillId="9" borderId="157" xfId="0" applyNumberFormat="1" applyFont="1" applyFill="1" applyBorder="1" applyAlignment="1">
      <alignment horizontal="left" vertical="center" wrapText="1"/>
    </xf>
    <xf numFmtId="2" fontId="49" fillId="9" borderId="157" xfId="0" applyNumberFormat="1" applyFont="1" applyFill="1" applyBorder="1" applyAlignment="1">
      <alignment horizontal="center" vertical="center" wrapText="1"/>
    </xf>
    <xf numFmtId="0" fontId="49" fillId="9" borderId="157" xfId="0" applyFont="1" applyFill="1" applyBorder="1" applyAlignment="1">
      <alignment horizontal="center" vertical="center" wrapText="1"/>
    </xf>
    <xf numFmtId="0" fontId="67" fillId="0" borderId="143" xfId="0" applyFont="1" applyBorder="1" applyAlignment="1">
      <alignment horizontal="left" vertical="center"/>
    </xf>
    <xf numFmtId="11" fontId="46" fillId="0" borderId="157" xfId="0" applyNumberFormat="1" applyFont="1" applyBorder="1" applyAlignment="1">
      <alignment horizontal="center" vertical="center"/>
    </xf>
    <xf numFmtId="167" fontId="10" fillId="0" borderId="157" xfId="35" applyNumberFormat="1" applyBorder="1" applyAlignment="1">
      <alignment horizontal="center" vertical="center"/>
    </xf>
    <xf numFmtId="0" fontId="57" fillId="7" borderId="191" xfId="3" applyFont="1" applyFill="1" applyBorder="1" applyAlignment="1">
      <alignment horizontal="center" vertical="center" wrapText="1"/>
    </xf>
    <xf numFmtId="0" fontId="46" fillId="8" borderId="193" xfId="0" quotePrefix="1" applyFont="1" applyFill="1" applyBorder="1" applyAlignment="1">
      <alignment horizontal="center" vertical="center"/>
    </xf>
    <xf numFmtId="0" fontId="46" fillId="8" borderId="157" xfId="0" quotePrefix="1" applyFont="1" applyFill="1" applyBorder="1" applyAlignment="1">
      <alignment horizontal="center" vertical="center"/>
    </xf>
    <xf numFmtId="0" fontId="46" fillId="21" borderId="157" xfId="0" quotePrefix="1" applyFont="1" applyFill="1" applyBorder="1" applyAlignment="1">
      <alignment horizontal="center" vertical="center"/>
    </xf>
    <xf numFmtId="0" fontId="46" fillId="11" borderId="157" xfId="0" quotePrefix="1" applyFont="1" applyFill="1" applyBorder="1" applyAlignment="1">
      <alignment horizontal="center" vertical="center"/>
    </xf>
    <xf numFmtId="0" fontId="46" fillId="11" borderId="157" xfId="0" applyFont="1" applyFill="1" applyBorder="1" applyAlignment="1">
      <alignment horizontal="center" vertical="center"/>
    </xf>
    <xf numFmtId="0" fontId="46" fillId="19" borderId="157" xfId="0" quotePrefix="1" applyFont="1" applyFill="1" applyBorder="1" applyAlignment="1">
      <alignment horizontal="center" vertical="center"/>
    </xf>
    <xf numFmtId="0" fontId="46" fillId="19" borderId="157" xfId="0" applyFont="1" applyFill="1" applyBorder="1" applyAlignment="1">
      <alignment horizontal="center" vertical="center"/>
    </xf>
    <xf numFmtId="0" fontId="46" fillId="10" borderId="157" xfId="0" applyFont="1" applyFill="1" applyBorder="1" applyAlignment="1">
      <alignment horizontal="center" vertical="center"/>
    </xf>
    <xf numFmtId="0" fontId="46" fillId="22" borderId="157" xfId="0" applyFont="1" applyFill="1" applyBorder="1" applyAlignment="1">
      <alignment horizontal="center" vertical="center"/>
    </xf>
    <xf numFmtId="0" fontId="46" fillId="20" borderId="157" xfId="0" quotePrefix="1" applyFont="1" applyFill="1" applyBorder="1" applyAlignment="1">
      <alignment horizontal="center" vertical="center"/>
    </xf>
    <xf numFmtId="0" fontId="46" fillId="20" borderId="157" xfId="0" applyFont="1" applyFill="1" applyBorder="1" applyAlignment="1">
      <alignment horizontal="center" vertical="center"/>
    </xf>
    <xf numFmtId="0" fontId="46" fillId="12" borderId="157" xfId="0" quotePrefix="1" applyFont="1" applyFill="1" applyBorder="1" applyAlignment="1">
      <alignment horizontal="center" vertical="center"/>
    </xf>
    <xf numFmtId="0" fontId="46" fillId="12" borderId="157" xfId="0" applyFont="1" applyFill="1" applyBorder="1" applyAlignment="1">
      <alignment horizontal="center" vertical="center"/>
    </xf>
    <xf numFmtId="0" fontId="46" fillId="18" borderId="157" xfId="0" quotePrefix="1" applyFont="1" applyFill="1" applyBorder="1" applyAlignment="1">
      <alignment horizontal="center" vertical="center"/>
    </xf>
    <xf numFmtId="0" fontId="46" fillId="18" borderId="157" xfId="0" applyFont="1" applyFill="1" applyBorder="1" applyAlignment="1">
      <alignment horizontal="center" vertical="center"/>
    </xf>
    <xf numFmtId="0" fontId="46" fillId="9" borderId="157" xfId="0" applyFont="1" applyFill="1" applyBorder="1" applyAlignment="1">
      <alignment horizontal="center" vertical="center"/>
    </xf>
    <xf numFmtId="0" fontId="46" fillId="7" borderId="157" xfId="0" applyFont="1" applyFill="1" applyBorder="1" applyAlignment="1">
      <alignment horizontal="center" vertical="center"/>
    </xf>
    <xf numFmtId="0" fontId="46" fillId="7" borderId="157" xfId="0" quotePrefix="1" applyFont="1" applyFill="1" applyBorder="1" applyAlignment="1">
      <alignment horizontal="center" vertical="center"/>
    </xf>
    <xf numFmtId="0" fontId="0" fillId="9" borderId="157" xfId="0" applyFill="1" applyBorder="1" applyAlignment="1">
      <alignment horizontal="left" vertical="center"/>
    </xf>
    <xf numFmtId="0" fontId="46" fillId="16" borderId="157" xfId="0" quotePrefix="1" applyFont="1" applyFill="1" applyBorder="1" applyAlignment="1">
      <alignment horizontal="center" vertical="center"/>
    </xf>
    <xf numFmtId="0" fontId="46" fillId="15" borderId="157" xfId="0" quotePrefix="1" applyFont="1" applyFill="1" applyBorder="1" applyAlignment="1">
      <alignment horizontal="center" vertical="center"/>
    </xf>
    <xf numFmtId="0" fontId="46" fillId="4" borderId="157" xfId="0" quotePrefix="1" applyFont="1" applyFill="1" applyBorder="1" applyAlignment="1">
      <alignment horizontal="center" vertical="center"/>
    </xf>
    <xf numFmtId="0" fontId="46" fillId="18" borderId="193" xfId="0" applyFont="1" applyFill="1" applyBorder="1" applyAlignment="1">
      <alignment horizontal="center" vertical="center"/>
    </xf>
    <xf numFmtId="0" fontId="49" fillId="5" borderId="193" xfId="0" applyFont="1" applyFill="1" applyBorder="1" applyAlignment="1">
      <alignment horizontal="center" vertical="center"/>
    </xf>
    <xf numFmtId="0" fontId="46" fillId="5" borderId="157" xfId="0" applyFont="1" applyFill="1" applyBorder="1" applyAlignment="1">
      <alignment horizontal="center" vertical="center"/>
    </xf>
    <xf numFmtId="0" fontId="46" fillId="5" borderId="142" xfId="0" applyFont="1" applyFill="1" applyBorder="1" applyAlignment="1">
      <alignment horizontal="center" vertical="center"/>
    </xf>
    <xf numFmtId="0" fontId="73" fillId="0" borderId="143" xfId="3" applyFont="1" applyBorder="1" applyAlignment="1">
      <alignment horizontal="left" vertical="center" wrapText="1"/>
    </xf>
    <xf numFmtId="167" fontId="0" fillId="0" borderId="0" xfId="0" applyNumberFormat="1" applyAlignment="1">
      <alignment horizontal="left"/>
    </xf>
    <xf numFmtId="0" fontId="46" fillId="5" borderId="193" xfId="0" applyFont="1" applyFill="1" applyBorder="1" applyAlignment="1">
      <alignment horizontal="center" vertical="center"/>
    </xf>
    <xf numFmtId="0" fontId="48" fillId="11" borderId="157" xfId="0" applyFont="1" applyFill="1" applyBorder="1" applyAlignment="1">
      <alignment horizontal="center" vertical="center"/>
    </xf>
    <xf numFmtId="0" fontId="46" fillId="11" borderId="157" xfId="0" applyFont="1" applyFill="1" applyBorder="1" applyAlignment="1">
      <alignment horizontal="left" vertical="center"/>
    </xf>
    <xf numFmtId="0" fontId="46" fillId="11" borderId="157" xfId="0" quotePrefix="1" applyFont="1" applyFill="1" applyBorder="1" applyAlignment="1">
      <alignment horizontal="left" vertical="center"/>
    </xf>
    <xf numFmtId="0" fontId="48" fillId="19" borderId="157" xfId="0" applyFont="1" applyFill="1" applyBorder="1" applyAlignment="1">
      <alignment horizontal="center" vertical="center"/>
    </xf>
    <xf numFmtId="0" fontId="46" fillId="19" borderId="157" xfId="0" applyFont="1" applyFill="1" applyBorder="1" applyAlignment="1">
      <alignment horizontal="left" vertical="center"/>
    </xf>
    <xf numFmtId="0" fontId="46" fillId="9" borderId="157" xfId="0" quotePrefix="1" applyFont="1" applyFill="1" applyBorder="1" applyAlignment="1">
      <alignment horizontal="center" vertical="center"/>
    </xf>
    <xf numFmtId="0" fontId="0" fillId="9" borderId="157" xfId="0" quotePrefix="1" applyFill="1" applyBorder="1" applyAlignment="1">
      <alignment horizontal="center" vertical="center"/>
    </xf>
    <xf numFmtId="0" fontId="49" fillId="9" borderId="157" xfId="3" quotePrefix="1" applyFont="1" applyFill="1" applyBorder="1" applyAlignment="1">
      <alignment horizontal="center" vertical="center"/>
    </xf>
    <xf numFmtId="0" fontId="46" fillId="9" borderId="157" xfId="0" quotePrefix="1" applyFont="1" applyFill="1" applyBorder="1" applyAlignment="1">
      <alignment horizontal="left" vertical="center"/>
    </xf>
    <xf numFmtId="0" fontId="0" fillId="9" borderId="157" xfId="0" applyFill="1" applyBorder="1" applyAlignment="1">
      <alignment horizontal="center" vertical="center"/>
    </xf>
    <xf numFmtId="0" fontId="46" fillId="15" borderId="157" xfId="0" applyFont="1" applyFill="1" applyBorder="1" applyAlignment="1">
      <alignment horizontal="center" vertical="center"/>
    </xf>
    <xf numFmtId="0" fontId="46" fillId="15" borderId="157" xfId="0" quotePrefix="1" applyFont="1" applyFill="1" applyBorder="1" applyAlignment="1">
      <alignment horizontal="left" vertical="center"/>
    </xf>
    <xf numFmtId="0" fontId="46" fillId="15" borderId="157" xfId="0" applyFont="1" applyFill="1" applyBorder="1" applyAlignment="1">
      <alignment horizontal="left" vertical="center"/>
    </xf>
    <xf numFmtId="0" fontId="57" fillId="27" borderId="157" xfId="0" applyFont="1" applyFill="1" applyBorder="1" applyAlignment="1">
      <alignment horizontal="center" vertical="center"/>
    </xf>
    <xf numFmtId="0" fontId="91" fillId="27" borderId="157" xfId="0" applyFont="1" applyFill="1" applyBorder="1" applyAlignment="1">
      <alignment horizontal="center" vertical="center"/>
    </xf>
    <xf numFmtId="0" fontId="46" fillId="27" borderId="157" xfId="0" applyFont="1" applyFill="1" applyBorder="1" applyAlignment="1">
      <alignment horizontal="left" vertical="center"/>
    </xf>
    <xf numFmtId="0" fontId="0" fillId="27" borderId="157" xfId="0" applyFill="1" applyBorder="1" applyAlignment="1">
      <alignment horizontal="center" vertical="center"/>
    </xf>
    <xf numFmtId="0" fontId="57" fillId="27" borderId="157" xfId="0" applyFont="1" applyFill="1" applyBorder="1" applyAlignment="1">
      <alignment horizontal="left" vertical="center"/>
    </xf>
    <xf numFmtId="0" fontId="57" fillId="27" borderId="144" xfId="0" applyFont="1" applyFill="1" applyBorder="1" applyAlignment="1">
      <alignment horizontal="left" vertical="center"/>
    </xf>
    <xf numFmtId="0" fontId="49" fillId="7" borderId="157" xfId="3" quotePrefix="1" applyFont="1" applyFill="1" applyBorder="1" applyAlignment="1">
      <alignment horizontal="center" vertical="center"/>
    </xf>
    <xf numFmtId="0" fontId="29" fillId="7" borderId="186" xfId="0" applyFont="1" applyFill="1" applyBorder="1" applyAlignment="1">
      <alignment horizontal="left" vertical="center" wrapText="1"/>
    </xf>
    <xf numFmtId="0" fontId="49" fillId="11" borderId="144" xfId="0" applyFont="1" applyFill="1" applyBorder="1" applyAlignment="1">
      <alignment horizontal="left" vertical="center"/>
    </xf>
    <xf numFmtId="0" fontId="49" fillId="9" borderId="144" xfId="0" applyFont="1" applyFill="1" applyBorder="1" applyAlignment="1">
      <alignment horizontal="left" vertical="center"/>
    </xf>
    <xf numFmtId="0" fontId="49" fillId="20" borderId="105" xfId="0" applyFont="1" applyFill="1" applyBorder="1" applyAlignment="1">
      <alignment horizontal="left" vertical="center" wrapText="1"/>
    </xf>
    <xf numFmtId="0" fontId="49" fillId="28" borderId="105" xfId="2" applyFont="1" applyFill="1" applyBorder="1" applyAlignment="1">
      <alignment horizontal="left" vertical="center" wrapText="1"/>
    </xf>
    <xf numFmtId="0" fontId="46" fillId="28" borderId="102" xfId="0" applyFont="1" applyFill="1" applyBorder="1" applyAlignment="1">
      <alignment horizontal="center" vertical="center" wrapText="1"/>
    </xf>
    <xf numFmtId="0" fontId="49" fillId="28" borderId="102" xfId="0" applyFont="1" applyFill="1" applyBorder="1" applyAlignment="1">
      <alignment horizontal="center" vertical="center" wrapText="1"/>
    </xf>
    <xf numFmtId="0" fontId="95" fillId="28" borderId="145" xfId="2" applyFont="1" applyFill="1" applyBorder="1" applyAlignment="1">
      <alignment horizontal="left" vertical="center" wrapText="1"/>
    </xf>
    <xf numFmtId="0" fontId="46" fillId="28" borderId="142" xfId="0" applyFont="1" applyFill="1" applyBorder="1" applyAlignment="1">
      <alignment horizontal="center" vertical="center" wrapText="1"/>
    </xf>
    <xf numFmtId="0" fontId="49" fillId="28" borderId="142" xfId="0" applyFont="1" applyFill="1" applyBorder="1" applyAlignment="1">
      <alignment horizontal="center" vertical="center" wrapText="1"/>
    </xf>
    <xf numFmtId="2" fontId="49" fillId="24" borderId="157" xfId="0" applyNumberFormat="1" applyFont="1" applyFill="1" applyBorder="1" applyAlignment="1">
      <alignment horizontal="center" vertical="center" wrapText="1"/>
    </xf>
    <xf numFmtId="0" fontId="49" fillId="24" borderId="157" xfId="0" applyFont="1" applyFill="1" applyBorder="1" applyAlignment="1">
      <alignment horizontal="center" vertical="center" wrapText="1"/>
    </xf>
    <xf numFmtId="0" fontId="80" fillId="23" borderId="196" xfId="24" applyFont="1" applyFill="1" applyBorder="1" applyAlignment="1">
      <alignment horizontal="left" vertical="center"/>
    </xf>
    <xf numFmtId="0" fontId="80" fillId="23" borderId="197" xfId="24" applyFont="1" applyFill="1" applyBorder="1" applyAlignment="1">
      <alignment horizontal="left" vertical="center"/>
    </xf>
    <xf numFmtId="0" fontId="80" fillId="23" borderId="198" xfId="24" applyFont="1" applyFill="1" applyBorder="1" applyAlignment="1">
      <alignment horizontal="left" vertical="center"/>
    </xf>
    <xf numFmtId="0" fontId="80" fillId="23" borderId="199" xfId="24" applyFont="1" applyFill="1" applyBorder="1" applyAlignment="1">
      <alignment horizontal="left" vertical="center"/>
    </xf>
    <xf numFmtId="0" fontId="49" fillId="0" borderId="99" xfId="0" applyFont="1" applyBorder="1" applyAlignment="1">
      <alignment horizontal="left" vertical="center" wrapText="1"/>
    </xf>
    <xf numFmtId="0" fontId="49" fillId="15" borderId="157" xfId="0" applyFont="1" applyFill="1" applyBorder="1" applyAlignment="1">
      <alignment horizontal="center" vertical="center" wrapText="1"/>
    </xf>
    <xf numFmtId="1" fontId="49" fillId="15" borderId="157" xfId="0" applyNumberFormat="1" applyFont="1" applyFill="1" applyBorder="1" applyAlignment="1">
      <alignment horizontal="center" vertical="center" wrapText="1"/>
    </xf>
    <xf numFmtId="0" fontId="56" fillId="7" borderId="206" xfId="0" applyFont="1" applyFill="1" applyBorder="1" applyAlignment="1">
      <alignment horizontal="left" vertical="center" wrapText="1"/>
    </xf>
    <xf numFmtId="0" fontId="57" fillId="7" borderId="207" xfId="0" applyFont="1" applyFill="1" applyBorder="1" applyAlignment="1">
      <alignment horizontal="left" vertical="center"/>
    </xf>
    <xf numFmtId="0" fontId="57" fillId="7" borderId="208" xfId="0" applyFont="1" applyFill="1" applyBorder="1" applyAlignment="1">
      <alignment horizontal="left" vertical="center" wrapText="1"/>
    </xf>
    <xf numFmtId="0" fontId="57" fillId="7" borderId="208" xfId="0" applyFont="1" applyFill="1" applyBorder="1" applyAlignment="1">
      <alignment horizontal="center" vertical="center" wrapText="1"/>
    </xf>
    <xf numFmtId="0" fontId="49" fillId="9" borderId="194" xfId="0" applyFont="1" applyFill="1" applyBorder="1" applyAlignment="1">
      <alignment horizontal="left" vertical="center"/>
    </xf>
    <xf numFmtId="0" fontId="49" fillId="9" borderId="193" xfId="0" applyFont="1" applyFill="1" applyBorder="1" applyAlignment="1">
      <alignment horizontal="center" vertical="center" wrapText="1"/>
    </xf>
    <xf numFmtId="0" fontId="53" fillId="9" borderId="193" xfId="0" applyFont="1" applyFill="1" applyBorder="1" applyAlignment="1">
      <alignment horizontal="center" vertical="center" wrapText="1"/>
    </xf>
    <xf numFmtId="0" fontId="49" fillId="9" borderId="195" xfId="0" applyFont="1" applyFill="1" applyBorder="1" applyAlignment="1">
      <alignment horizontal="left" vertical="center"/>
    </xf>
    <xf numFmtId="0" fontId="53" fillId="9" borderId="157" xfId="0" applyFont="1" applyFill="1" applyBorder="1" applyAlignment="1">
      <alignment horizontal="center" vertical="center" wrapText="1"/>
    </xf>
    <xf numFmtId="0" fontId="49" fillId="9" borderId="157" xfId="0" applyFont="1" applyFill="1" applyBorder="1" applyAlignment="1">
      <alignment horizontal="left" vertical="center" wrapText="1"/>
    </xf>
    <xf numFmtId="167" fontId="49" fillId="9" borderId="157" xfId="0" applyNumberFormat="1" applyFont="1" applyFill="1" applyBorder="1" applyAlignment="1">
      <alignment horizontal="center" vertical="center" wrapText="1"/>
    </xf>
    <xf numFmtId="167" fontId="49" fillId="9" borderId="142" xfId="0" applyNumberFormat="1" applyFont="1" applyFill="1" applyBorder="1" applyAlignment="1">
      <alignment horizontal="center" vertical="center" wrapText="1"/>
    </xf>
    <xf numFmtId="0" fontId="53" fillId="9" borderId="142" xfId="0" applyFont="1" applyFill="1" applyBorder="1" applyAlignment="1">
      <alignment horizontal="center" vertical="center" wrapText="1"/>
    </xf>
    <xf numFmtId="0" fontId="49" fillId="9" borderId="146" xfId="0" applyFont="1" applyFill="1" applyBorder="1" applyAlignment="1">
      <alignment horizontal="left" vertical="center"/>
    </xf>
    <xf numFmtId="0" fontId="53" fillId="15" borderId="157" xfId="0" applyFont="1" applyFill="1" applyBorder="1" applyAlignment="1">
      <alignment horizontal="left" vertical="center" wrapText="1"/>
    </xf>
    <xf numFmtId="0" fontId="53" fillId="15" borderId="157" xfId="0" applyFont="1" applyFill="1" applyBorder="1" applyAlignment="1">
      <alignment horizontal="center" vertical="center" wrapText="1"/>
    </xf>
    <xf numFmtId="0" fontId="49" fillId="15" borderId="157" xfId="0" applyFont="1" applyFill="1" applyBorder="1" applyAlignment="1">
      <alignment horizontal="center" vertical="center"/>
    </xf>
    <xf numFmtId="0" fontId="53" fillId="15" borderId="144" xfId="0" applyFont="1" applyFill="1" applyBorder="1" applyAlignment="1">
      <alignment horizontal="left" vertical="center" wrapText="1"/>
    </xf>
    <xf numFmtId="167" fontId="49" fillId="11" borderId="157" xfId="0" applyNumberFormat="1" applyFont="1" applyFill="1" applyBorder="1" applyAlignment="1">
      <alignment horizontal="center" vertical="center" wrapText="1"/>
    </xf>
    <xf numFmtId="0" fontId="18" fillId="0" borderId="0" xfId="24" applyAlignment="1">
      <alignment horizontal="left" vertical="center" wrapText="1"/>
    </xf>
    <xf numFmtId="0" fontId="80" fillId="23" borderId="199" xfId="24" applyFont="1" applyFill="1" applyBorder="1" applyAlignment="1">
      <alignment horizontal="left" vertical="center" wrapText="1"/>
    </xf>
    <xf numFmtId="0" fontId="0" fillId="0" borderId="0" xfId="0" applyAlignment="1">
      <alignment wrapText="1"/>
    </xf>
    <xf numFmtId="0" fontId="48" fillId="7" borderId="211" xfId="0" applyFont="1" applyFill="1" applyBorder="1" applyAlignment="1">
      <alignment horizontal="center" vertical="center" wrapText="1"/>
    </xf>
    <xf numFmtId="0" fontId="46" fillId="0" borderId="210" xfId="0" applyFont="1" applyBorder="1" applyAlignment="1">
      <alignment horizontal="center" vertical="center"/>
    </xf>
    <xf numFmtId="0" fontId="46" fillId="0" borderId="210" xfId="0" applyFont="1" applyBorder="1" applyAlignment="1">
      <alignment horizontal="center" vertical="center" wrapText="1"/>
    </xf>
    <xf numFmtId="0" fontId="46" fillId="0" borderId="212" xfId="0" applyFont="1" applyBorder="1" applyAlignment="1">
      <alignment horizontal="center" vertical="center"/>
    </xf>
    <xf numFmtId="0" fontId="46" fillId="0" borderId="213" xfId="0" applyFont="1" applyBorder="1" applyAlignment="1">
      <alignment horizontal="center" vertical="center"/>
    </xf>
    <xf numFmtId="0" fontId="57" fillId="7" borderId="214" xfId="0" applyFont="1" applyFill="1" applyBorder="1" applyAlignment="1">
      <alignment horizontal="left" vertical="center"/>
    </xf>
    <xf numFmtId="0" fontId="57" fillId="7" borderId="215" xfId="0" applyFont="1" applyFill="1" applyBorder="1" applyAlignment="1">
      <alignment horizontal="left" vertical="center" wrapText="1"/>
    </xf>
    <xf numFmtId="0" fontId="57" fillId="7" borderId="217" xfId="0" applyFont="1" applyFill="1" applyBorder="1" applyAlignment="1">
      <alignment horizontal="center"/>
    </xf>
    <xf numFmtId="0" fontId="57" fillId="7" borderId="217" xfId="0" applyFont="1" applyFill="1" applyBorder="1" applyAlignment="1">
      <alignment horizontal="left"/>
    </xf>
    <xf numFmtId="0" fontId="49" fillId="7" borderId="217" xfId="0" applyFont="1" applyFill="1" applyBorder="1" applyAlignment="1">
      <alignment horizontal="left" vertical="center" wrapText="1"/>
    </xf>
    <xf numFmtId="165" fontId="49" fillId="7" borderId="217" xfId="0" applyNumberFormat="1" applyFont="1" applyFill="1" applyBorder="1" applyAlignment="1">
      <alignment horizontal="center" vertical="center" wrapText="1"/>
    </xf>
    <xf numFmtId="0" fontId="49" fillId="7" borderId="217" xfId="0" applyFont="1" applyFill="1" applyBorder="1" applyAlignment="1">
      <alignment horizontal="center" vertical="center" wrapText="1"/>
    </xf>
    <xf numFmtId="0" fontId="57" fillId="7" borderId="217" xfId="0" applyFont="1" applyFill="1" applyBorder="1" applyAlignment="1">
      <alignment horizontal="center" vertical="center"/>
    </xf>
    <xf numFmtId="0" fontId="57" fillId="13" borderId="217" xfId="0" applyFont="1" applyFill="1" applyBorder="1" applyAlignment="1">
      <alignment horizontal="center" vertical="center"/>
    </xf>
    <xf numFmtId="0" fontId="49" fillId="8" borderId="143" xfId="0" applyFont="1" applyFill="1" applyBorder="1" applyAlignment="1">
      <alignment horizontal="left" vertical="center"/>
    </xf>
    <xf numFmtId="0" fontId="49" fillId="21" borderId="111" xfId="0" applyFont="1" applyFill="1" applyBorder="1" applyAlignment="1">
      <alignment horizontal="left" vertical="center"/>
    </xf>
    <xf numFmtId="0" fontId="49" fillId="21" borderId="109" xfId="0" applyFont="1" applyFill="1" applyBorder="1" applyAlignment="1">
      <alignment horizontal="left" vertical="center"/>
    </xf>
    <xf numFmtId="0" fontId="53" fillId="21" borderId="109" xfId="0" applyFont="1" applyFill="1" applyBorder="1" applyAlignment="1">
      <alignment horizontal="left" vertical="center"/>
    </xf>
    <xf numFmtId="0" fontId="49" fillId="21" borderId="105" xfId="0" applyFont="1" applyFill="1" applyBorder="1" applyAlignment="1">
      <alignment horizontal="left" vertical="center"/>
    </xf>
    <xf numFmtId="0" fontId="49" fillId="21" borderId="9" xfId="0" applyFont="1" applyFill="1" applyBorder="1" applyAlignment="1">
      <alignment horizontal="left" vertical="center"/>
    </xf>
    <xf numFmtId="0" fontId="56" fillId="7" borderId="82" xfId="0" applyFont="1" applyFill="1" applyBorder="1" applyAlignment="1">
      <alignment horizontal="left" vertical="center"/>
    </xf>
    <xf numFmtId="0" fontId="53" fillId="10" borderId="7" xfId="0" applyFont="1" applyFill="1" applyBorder="1" applyAlignment="1">
      <alignment horizontal="left" vertical="center"/>
    </xf>
    <xf numFmtId="0" fontId="53" fillId="22" borderId="86" xfId="0" applyFont="1" applyFill="1" applyBorder="1" applyAlignment="1">
      <alignment horizontal="left"/>
    </xf>
    <xf numFmtId="0" fontId="53" fillId="22" borderId="7" xfId="0" applyFont="1" applyFill="1" applyBorder="1" applyAlignment="1">
      <alignment horizontal="left"/>
    </xf>
    <xf numFmtId="0" fontId="53" fillId="22" borderId="9" xfId="0" applyFont="1" applyFill="1" applyBorder="1" applyAlignment="1">
      <alignment horizontal="left"/>
    </xf>
    <xf numFmtId="0" fontId="53" fillId="20" borderId="86" xfId="0" applyFont="1" applyFill="1" applyBorder="1" applyAlignment="1">
      <alignment horizontal="left"/>
    </xf>
    <xf numFmtId="0" fontId="53" fillId="20" borderId="7" xfId="0" applyFont="1" applyFill="1" applyBorder="1" applyAlignment="1">
      <alignment horizontal="left"/>
    </xf>
    <xf numFmtId="0" fontId="53" fillId="20" borderId="7" xfId="0" applyFont="1" applyFill="1" applyBorder="1" applyAlignment="1">
      <alignment horizontal="left" vertical="center"/>
    </xf>
    <xf numFmtId="0" fontId="53" fillId="20" borderId="9" xfId="0" applyFont="1" applyFill="1" applyBorder="1" applyAlignment="1">
      <alignment horizontal="left"/>
    </xf>
    <xf numFmtId="0" fontId="49" fillId="12" borderId="73" xfId="0" applyFont="1" applyFill="1" applyBorder="1" applyAlignment="1">
      <alignment horizontal="left" vertical="center"/>
    </xf>
    <xf numFmtId="0" fontId="49" fillId="12" borderId="109" xfId="0" applyFont="1" applyFill="1" applyBorder="1" applyAlignment="1">
      <alignment horizontal="left" vertical="center"/>
    </xf>
    <xf numFmtId="0" fontId="49" fillId="12" borderId="9" xfId="0" applyFont="1" applyFill="1" applyBorder="1" applyAlignment="1">
      <alignment horizontal="left" vertical="center"/>
    </xf>
    <xf numFmtId="0" fontId="56" fillId="7" borderId="47" xfId="0" applyFont="1" applyFill="1" applyBorder="1" applyAlignment="1">
      <alignment horizontal="left" vertical="center"/>
    </xf>
    <xf numFmtId="0" fontId="53" fillId="18" borderId="38" xfId="0" applyFont="1" applyFill="1" applyBorder="1" applyAlignment="1">
      <alignment horizontal="left" vertical="center"/>
    </xf>
    <xf numFmtId="0" fontId="53" fillId="18" borderId="7" xfId="0" applyFont="1" applyFill="1" applyBorder="1" applyAlignment="1">
      <alignment horizontal="left" vertical="center"/>
    </xf>
    <xf numFmtId="0" fontId="49" fillId="18" borderId="9" xfId="0" applyFont="1" applyFill="1" applyBorder="1" applyAlignment="1">
      <alignment horizontal="left" vertical="center"/>
    </xf>
    <xf numFmtId="0" fontId="49" fillId="15" borderId="73" xfId="0" applyFont="1" applyFill="1" applyBorder="1" applyAlignment="1">
      <alignment horizontal="left" vertical="center"/>
    </xf>
    <xf numFmtId="0" fontId="49" fillId="15" borderId="7" xfId="0" applyFont="1" applyFill="1" applyBorder="1" applyAlignment="1">
      <alignment horizontal="left" vertical="center"/>
    </xf>
    <xf numFmtId="0" fontId="49" fillId="15" borderId="143" xfId="0" applyFont="1" applyFill="1" applyBorder="1" applyAlignment="1">
      <alignment horizontal="left" vertical="center"/>
    </xf>
    <xf numFmtId="0" fontId="53" fillId="15" borderId="109" xfId="0" applyFont="1" applyFill="1" applyBorder="1" applyAlignment="1">
      <alignment horizontal="left" vertical="center" wrapText="1"/>
    </xf>
    <xf numFmtId="0" fontId="53" fillId="15" borderId="143" xfId="0" applyFont="1" applyFill="1" applyBorder="1" applyAlignment="1">
      <alignment horizontal="left" vertical="center" wrapText="1"/>
    </xf>
    <xf numFmtId="0" fontId="53" fillId="15" borderId="9" xfId="0" applyFont="1" applyFill="1" applyBorder="1" applyAlignment="1">
      <alignment horizontal="left" vertical="center" wrapText="1"/>
    </xf>
    <xf numFmtId="0" fontId="57" fillId="7" borderId="54" xfId="0" applyFont="1" applyFill="1" applyBorder="1" applyAlignment="1">
      <alignment horizontal="left" vertical="center"/>
    </xf>
    <xf numFmtId="0" fontId="53" fillId="9" borderId="90" xfId="0" applyFont="1" applyFill="1" applyBorder="1" applyAlignment="1">
      <alignment horizontal="left" vertical="center" wrapText="1"/>
    </xf>
    <xf numFmtId="0" fontId="53" fillId="9" borderId="38" xfId="0" applyFont="1" applyFill="1" applyBorder="1" applyAlignment="1">
      <alignment horizontal="left" vertical="center" wrapText="1"/>
    </xf>
    <xf numFmtId="0" fontId="53" fillId="9" borderId="7" xfId="0" applyFont="1" applyFill="1" applyBorder="1" applyAlignment="1">
      <alignment horizontal="left" vertical="center" wrapText="1"/>
    </xf>
    <xf numFmtId="0" fontId="53" fillId="9" borderId="9" xfId="0" applyFont="1" applyFill="1" applyBorder="1" applyAlignment="1">
      <alignment horizontal="left" vertical="center" wrapText="1"/>
    </xf>
    <xf numFmtId="0" fontId="56" fillId="7" borderId="76" xfId="0" applyFont="1" applyFill="1" applyBorder="1" applyAlignment="1">
      <alignment horizontal="left" vertical="center"/>
    </xf>
    <xf numFmtId="0" fontId="51" fillId="8" borderId="73" xfId="0" applyFont="1" applyFill="1" applyBorder="1" applyAlignment="1">
      <alignment horizontal="left" vertical="center"/>
    </xf>
    <xf numFmtId="0" fontId="53" fillId="11" borderId="7" xfId="0" applyFont="1" applyFill="1" applyBorder="1" applyAlignment="1">
      <alignment horizontal="left" vertical="center"/>
    </xf>
    <xf numFmtId="0" fontId="53" fillId="11" borderId="109" xfId="0" applyFont="1" applyFill="1" applyBorder="1" applyAlignment="1">
      <alignment horizontal="left" vertical="center"/>
    </xf>
    <xf numFmtId="0" fontId="53" fillId="19" borderId="7" xfId="0" applyFont="1" applyFill="1" applyBorder="1" applyAlignment="1">
      <alignment horizontal="left" vertical="center"/>
    </xf>
    <xf numFmtId="0" fontId="49" fillId="8" borderId="86" xfId="0" applyFont="1" applyFill="1" applyBorder="1" applyAlignment="1">
      <alignment horizontal="left" vertical="center"/>
    </xf>
    <xf numFmtId="0" fontId="49" fillId="11" borderId="7" xfId="0" applyFont="1" applyFill="1" applyBorder="1" applyAlignment="1">
      <alignment horizontal="left" vertical="center"/>
    </xf>
    <xf numFmtId="0" fontId="49" fillId="19" borderId="143" xfId="0" applyFont="1" applyFill="1" applyBorder="1" applyAlignment="1">
      <alignment horizontal="left" vertical="center" wrapText="1"/>
    </xf>
    <xf numFmtId="0" fontId="49" fillId="10" borderId="105" xfId="0" applyFont="1" applyFill="1" applyBorder="1" applyAlignment="1">
      <alignment horizontal="left" vertical="center"/>
    </xf>
    <xf numFmtId="0" fontId="49" fillId="20" borderId="7" xfId="0" applyFont="1" applyFill="1" applyBorder="1" applyAlignment="1">
      <alignment horizontal="left" vertical="center" wrapText="1"/>
    </xf>
    <xf numFmtId="0" fontId="57" fillId="7" borderId="50" xfId="0" applyFont="1" applyFill="1" applyBorder="1" applyAlignment="1">
      <alignment horizontal="left" vertical="center"/>
    </xf>
    <xf numFmtId="0" fontId="49" fillId="24" borderId="109" xfId="0" applyFont="1" applyFill="1" applyBorder="1" applyAlignment="1">
      <alignment horizontal="left" vertical="center"/>
    </xf>
    <xf numFmtId="0" fontId="49" fillId="24" borderId="143" xfId="0" applyFont="1" applyFill="1" applyBorder="1" applyAlignment="1">
      <alignment horizontal="left"/>
    </xf>
    <xf numFmtId="0" fontId="49" fillId="9" borderId="109" xfId="0" applyFont="1" applyFill="1" applyBorder="1" applyAlignment="1">
      <alignment horizontal="left" vertical="center" wrapText="1"/>
    </xf>
    <xf numFmtId="0" fontId="49" fillId="24" borderId="109" xfId="0" applyFont="1" applyFill="1" applyBorder="1" applyAlignment="1">
      <alignment horizontal="left" vertical="center" wrapText="1"/>
    </xf>
    <xf numFmtId="0" fontId="57" fillId="7" borderId="68" xfId="0" applyFont="1" applyFill="1" applyBorder="1" applyAlignment="1">
      <alignment horizontal="left" vertical="center"/>
    </xf>
    <xf numFmtId="0" fontId="49" fillId="20" borderId="138" xfId="0" applyFont="1" applyFill="1" applyBorder="1" applyAlignment="1">
      <alignment horizontal="left" vertical="center" wrapText="1"/>
    </xf>
    <xf numFmtId="0" fontId="0" fillId="11" borderId="157" xfId="0" applyFill="1" applyBorder="1" applyAlignment="1">
      <alignment vertical="center"/>
    </xf>
    <xf numFmtId="0" fontId="0" fillId="19" borderId="157" xfId="0" applyFill="1" applyBorder="1" applyAlignment="1">
      <alignment vertical="center"/>
    </xf>
    <xf numFmtId="0" fontId="0" fillId="19" borderId="142" xfId="0" applyFill="1" applyBorder="1" applyAlignment="1">
      <alignment vertical="center"/>
    </xf>
    <xf numFmtId="0" fontId="53" fillId="6" borderId="0" xfId="0" applyFont="1" applyFill="1" applyAlignment="1">
      <alignment vertical="center"/>
    </xf>
    <xf numFmtId="0" fontId="49" fillId="0" borderId="0" xfId="0" applyFont="1" applyAlignment="1">
      <alignment vertical="center" wrapText="1"/>
    </xf>
    <xf numFmtId="0" fontId="49" fillId="7" borderId="217" xfId="0" applyFont="1" applyFill="1" applyBorder="1" applyAlignment="1">
      <alignment vertical="center" wrapText="1"/>
    </xf>
    <xf numFmtId="0" fontId="53" fillId="0" borderId="0" xfId="0" applyFont="1" applyAlignment="1">
      <alignment vertical="center" wrapText="1"/>
    </xf>
    <xf numFmtId="0" fontId="57" fillId="7" borderId="59" xfId="0" applyFont="1" applyFill="1" applyBorder="1" applyAlignment="1">
      <alignment vertical="center" wrapText="1"/>
    </xf>
    <xf numFmtId="0" fontId="49" fillId="8" borderId="101" xfId="0" applyFont="1" applyFill="1" applyBorder="1" applyAlignment="1">
      <alignment vertical="center" wrapText="1"/>
    </xf>
    <xf numFmtId="0" fontId="49" fillId="8" borderId="157" xfId="0" applyFont="1" applyFill="1" applyBorder="1" applyAlignment="1">
      <alignment vertical="center" wrapText="1"/>
    </xf>
    <xf numFmtId="0" fontId="53" fillId="8" borderId="10" xfId="0" applyFont="1" applyFill="1" applyBorder="1" applyAlignment="1">
      <alignment vertical="center" wrapText="1"/>
    </xf>
    <xf numFmtId="0" fontId="49" fillId="21" borderId="112" xfId="0" applyFont="1" applyFill="1" applyBorder="1" applyAlignment="1">
      <alignment vertical="center" wrapText="1"/>
    </xf>
    <xf numFmtId="0" fontId="49" fillId="21" borderId="101" xfId="0" applyFont="1" applyFill="1" applyBorder="1" applyAlignment="1">
      <alignment vertical="center" wrapText="1"/>
    </xf>
    <xf numFmtId="0" fontId="53" fillId="21" borderId="101" xfId="0" applyFont="1" applyFill="1" applyBorder="1" applyAlignment="1">
      <alignment vertical="center"/>
    </xf>
    <xf numFmtId="0" fontId="49" fillId="21" borderId="10" xfId="0" applyFont="1" applyFill="1" applyBorder="1" applyAlignment="1">
      <alignment vertical="center" wrapText="1"/>
    </xf>
    <xf numFmtId="0" fontId="56" fillId="7" borderId="179" xfId="0" applyFont="1" applyFill="1" applyBorder="1" applyAlignment="1">
      <alignment vertical="center" wrapText="1"/>
    </xf>
    <xf numFmtId="0" fontId="57" fillId="7" borderId="181" xfId="0" applyFont="1" applyFill="1" applyBorder="1" applyAlignment="1">
      <alignment vertical="center" wrapText="1"/>
    </xf>
    <xf numFmtId="0" fontId="49" fillId="11" borderId="102" xfId="0" applyFont="1" applyFill="1" applyBorder="1" applyAlignment="1">
      <alignment vertical="center" wrapText="1"/>
    </xf>
    <xf numFmtId="0" fontId="49" fillId="11" borderId="157" xfId="0" applyFont="1" applyFill="1" applyBorder="1" applyAlignment="1">
      <alignment vertical="center" wrapText="1"/>
    </xf>
    <xf numFmtId="2" fontId="49" fillId="11" borderId="157" xfId="0" applyNumberFormat="1" applyFont="1" applyFill="1" applyBorder="1" applyAlignment="1">
      <alignment vertical="center"/>
    </xf>
    <xf numFmtId="2" fontId="49" fillId="11" borderId="157" xfId="0" applyNumberFormat="1" applyFont="1" applyFill="1" applyBorder="1" applyAlignment="1">
      <alignment vertical="center" wrapText="1"/>
    </xf>
    <xf numFmtId="165" fontId="49" fillId="11" borderId="157" xfId="0" applyNumberFormat="1" applyFont="1" applyFill="1" applyBorder="1" applyAlignment="1">
      <alignment vertical="center"/>
    </xf>
    <xf numFmtId="0" fontId="49" fillId="11" borderId="157" xfId="0" applyFont="1" applyFill="1" applyBorder="1" applyAlignment="1">
      <alignment vertical="center"/>
    </xf>
    <xf numFmtId="0" fontId="53" fillId="11" borderId="157" xfId="0" applyFont="1" applyFill="1" applyBorder="1" applyAlignment="1">
      <alignment vertical="center" wrapText="1"/>
    </xf>
    <xf numFmtId="0" fontId="49" fillId="11" borderId="102" xfId="0" applyFont="1" applyFill="1" applyBorder="1" applyAlignment="1">
      <alignment vertical="center"/>
    </xf>
    <xf numFmtId="0" fontId="49" fillId="11" borderId="142" xfId="0" applyFont="1" applyFill="1" applyBorder="1" applyAlignment="1">
      <alignment vertical="center"/>
    </xf>
    <xf numFmtId="0" fontId="56" fillId="7" borderId="83" xfId="0" applyFont="1" applyFill="1" applyBorder="1" applyAlignment="1">
      <alignment vertical="center" wrapText="1"/>
    </xf>
    <xf numFmtId="2" fontId="53" fillId="22" borderId="112" xfId="0" applyNumberFormat="1" applyFont="1" applyFill="1" applyBorder="1" applyAlignment="1">
      <alignment vertical="center" wrapText="1"/>
    </xf>
    <xf numFmtId="2" fontId="53" fillId="22" borderId="101" xfId="0" applyNumberFormat="1" applyFont="1" applyFill="1" applyBorder="1" applyAlignment="1">
      <alignment vertical="center" wrapText="1"/>
    </xf>
    <xf numFmtId="11" fontId="53" fillId="22" borderId="101" xfId="0" applyNumberFormat="1" applyFont="1" applyFill="1" applyBorder="1" applyAlignment="1">
      <alignment vertical="center" wrapText="1"/>
    </xf>
    <xf numFmtId="169" fontId="53" fillId="22" borderId="10" xfId="0" applyNumberFormat="1" applyFont="1" applyFill="1" applyBorder="1" applyAlignment="1">
      <alignment vertical="center" wrapText="1"/>
    </xf>
    <xf numFmtId="0" fontId="53" fillId="20" borderId="112" xfId="0" applyFont="1" applyFill="1" applyBorder="1" applyAlignment="1">
      <alignment vertical="center" wrapText="1"/>
    </xf>
    <xf numFmtId="0" fontId="53" fillId="20" borderId="101" xfId="0" applyFont="1" applyFill="1" applyBorder="1" applyAlignment="1">
      <alignment vertical="center" wrapText="1"/>
    </xf>
    <xf numFmtId="0" fontId="53" fillId="20" borderId="10" xfId="0" applyFont="1" applyFill="1" applyBorder="1" applyAlignment="1">
      <alignment vertical="center" wrapText="1"/>
    </xf>
    <xf numFmtId="0" fontId="49" fillId="12" borderId="112" xfId="0" applyFont="1" applyFill="1" applyBorder="1" applyAlignment="1">
      <alignment vertical="center"/>
    </xf>
    <xf numFmtId="0" fontId="49" fillId="12" borderId="101" xfId="0" applyFont="1" applyFill="1" applyBorder="1" applyAlignment="1">
      <alignment vertical="center"/>
    </xf>
    <xf numFmtId="0" fontId="49" fillId="12" borderId="10" xfId="0" applyFont="1" applyFill="1" applyBorder="1" applyAlignment="1">
      <alignment vertical="center"/>
    </xf>
    <xf numFmtId="0" fontId="56" fillId="7" borderId="48" xfId="0" applyFont="1" applyFill="1" applyBorder="1" applyAlignment="1">
      <alignment vertical="center" wrapText="1"/>
    </xf>
    <xf numFmtId="0" fontId="53" fillId="18" borderId="102" xfId="0" applyFont="1" applyFill="1" applyBorder="1" applyAlignment="1">
      <alignment vertical="center"/>
    </xf>
    <xf numFmtId="0" fontId="53" fillId="18" borderId="101" xfId="0" applyFont="1" applyFill="1" applyBorder="1" applyAlignment="1">
      <alignment vertical="center"/>
    </xf>
    <xf numFmtId="0" fontId="49" fillId="18" borderId="10" xfId="0" applyFont="1" applyFill="1" applyBorder="1" applyAlignment="1">
      <alignment vertical="center"/>
    </xf>
    <xf numFmtId="0" fontId="56" fillId="7" borderId="33" xfId="0" applyFont="1" applyFill="1" applyBorder="1" applyAlignment="1">
      <alignment vertical="center" wrapText="1"/>
    </xf>
    <xf numFmtId="0" fontId="57" fillId="7" borderId="80" xfId="0" applyFont="1" applyFill="1" applyBorder="1" applyAlignment="1">
      <alignment vertical="center" wrapText="1"/>
    </xf>
    <xf numFmtId="0" fontId="49" fillId="15" borderId="112" xfId="0" applyFont="1" applyFill="1" applyBorder="1" applyAlignment="1">
      <alignment vertical="center" wrapText="1"/>
    </xf>
    <xf numFmtId="0" fontId="49" fillId="15" borderId="101" xfId="0" applyFont="1" applyFill="1" applyBorder="1" applyAlignment="1">
      <alignment vertical="center" wrapText="1"/>
    </xf>
    <xf numFmtId="0" fontId="49" fillId="15" borderId="157" xfId="0" applyFont="1" applyFill="1" applyBorder="1" applyAlignment="1">
      <alignment vertical="center" wrapText="1"/>
    </xf>
    <xf numFmtId="0" fontId="53" fillId="15" borderId="101" xfId="0" applyFont="1" applyFill="1" applyBorder="1" applyAlignment="1">
      <alignment vertical="center" wrapText="1"/>
    </xf>
    <xf numFmtId="0" fontId="53" fillId="15" borderId="157" xfId="0" applyFont="1" applyFill="1" applyBorder="1" applyAlignment="1">
      <alignment vertical="center" wrapText="1"/>
    </xf>
    <xf numFmtId="0" fontId="53" fillId="15" borderId="10" xfId="0" applyFont="1" applyFill="1" applyBorder="1" applyAlignment="1">
      <alignment vertical="center" wrapText="1"/>
    </xf>
    <xf numFmtId="0" fontId="49" fillId="7" borderId="139" xfId="0" applyFont="1" applyFill="1" applyBorder="1" applyAlignment="1">
      <alignment vertical="center" wrapText="1"/>
    </xf>
    <xf numFmtId="2" fontId="49" fillId="7" borderId="127" xfId="0" applyNumberFormat="1" applyFont="1" applyFill="1" applyBorder="1" applyAlignment="1">
      <alignment vertical="center" wrapText="1"/>
    </xf>
    <xf numFmtId="0" fontId="49" fillId="7" borderId="127" xfId="0" applyFont="1" applyFill="1" applyBorder="1" applyAlignment="1">
      <alignment vertical="center" wrapText="1"/>
    </xf>
    <xf numFmtId="165" fontId="53" fillId="7" borderId="127" xfId="0" applyNumberFormat="1" applyFont="1" applyFill="1" applyBorder="1" applyAlignment="1">
      <alignment vertical="center" wrapText="1"/>
    </xf>
    <xf numFmtId="167" fontId="49" fillId="7" borderId="127" xfId="0" applyNumberFormat="1" applyFont="1" applyFill="1" applyBorder="1" applyAlignment="1">
      <alignment vertical="center" wrapText="1"/>
    </xf>
    <xf numFmtId="2" fontId="49" fillId="7" borderId="142" xfId="0" applyNumberFormat="1" applyFont="1" applyFill="1" applyBorder="1" applyAlignment="1">
      <alignment vertical="center" wrapText="1"/>
    </xf>
    <xf numFmtId="0" fontId="56" fillId="7" borderId="206" xfId="0" applyFont="1" applyFill="1" applyBorder="1" applyAlignment="1">
      <alignment vertical="center" wrapText="1"/>
    </xf>
    <xf numFmtId="0" fontId="57" fillId="7" borderId="208" xfId="0" applyFont="1" applyFill="1" applyBorder="1" applyAlignment="1">
      <alignment vertical="center" wrapText="1"/>
    </xf>
    <xf numFmtId="0" fontId="49" fillId="9" borderId="193" xfId="0" applyFont="1" applyFill="1" applyBorder="1" applyAlignment="1">
      <alignment vertical="center" wrapText="1"/>
    </xf>
    <xf numFmtId="2" fontId="49" fillId="9" borderId="157" xfId="0" applyNumberFormat="1" applyFont="1" applyFill="1" applyBorder="1" applyAlignment="1">
      <alignment vertical="center" wrapText="1"/>
    </xf>
    <xf numFmtId="0" fontId="49" fillId="9" borderId="157" xfId="0" applyFont="1" applyFill="1" applyBorder="1" applyAlignment="1">
      <alignment vertical="center" wrapText="1"/>
    </xf>
    <xf numFmtId="167" fontId="49" fillId="9" borderId="157" xfId="0" applyNumberFormat="1" applyFont="1" applyFill="1" applyBorder="1" applyAlignment="1">
      <alignment vertical="center" wrapText="1"/>
    </xf>
    <xf numFmtId="167" fontId="49" fillId="9" borderId="142" xfId="0" applyNumberFormat="1" applyFont="1" applyFill="1" applyBorder="1" applyAlignment="1">
      <alignment vertical="center" wrapText="1"/>
    </xf>
    <xf numFmtId="0" fontId="57" fillId="7" borderId="55" xfId="0" applyFont="1" applyFill="1" applyBorder="1" applyAlignment="1">
      <alignment vertical="center" wrapText="1"/>
    </xf>
    <xf numFmtId="165" fontId="53" fillId="9" borderId="112" xfId="0" applyNumberFormat="1" applyFont="1" applyFill="1" applyBorder="1" applyAlignment="1">
      <alignment vertical="center" wrapText="1"/>
    </xf>
    <xf numFmtId="165" fontId="53" fillId="9" borderId="101" xfId="0" applyNumberFormat="1" applyFont="1" applyFill="1" applyBorder="1" applyAlignment="1">
      <alignment vertical="center" wrapText="1"/>
    </xf>
    <xf numFmtId="166" fontId="53" fillId="9" borderId="101" xfId="0" applyNumberFormat="1" applyFont="1" applyFill="1" applyBorder="1" applyAlignment="1">
      <alignment vertical="center" wrapText="1"/>
    </xf>
    <xf numFmtId="2" fontId="53" fillId="9" borderId="101" xfId="0" applyNumberFormat="1" applyFont="1" applyFill="1" applyBorder="1" applyAlignment="1">
      <alignment vertical="center" wrapText="1"/>
    </xf>
    <xf numFmtId="167" fontId="53" fillId="9" borderId="101" xfId="0" applyNumberFormat="1" applyFont="1" applyFill="1" applyBorder="1" applyAlignment="1">
      <alignment vertical="center" wrapText="1"/>
    </xf>
    <xf numFmtId="167" fontId="53" fillId="9" borderId="10" xfId="0" applyNumberFormat="1" applyFont="1" applyFill="1" applyBorder="1" applyAlignment="1">
      <alignment vertical="center" wrapText="1"/>
    </xf>
    <xf numFmtId="0" fontId="56" fillId="7" borderId="5" xfId="0" applyFont="1" applyFill="1" applyBorder="1" applyAlignment="1">
      <alignment vertical="center" wrapText="1"/>
    </xf>
    <xf numFmtId="0" fontId="56" fillId="7" borderId="71" xfId="0" applyFont="1" applyFill="1" applyBorder="1" applyAlignment="1">
      <alignment vertical="center" wrapText="1"/>
    </xf>
    <xf numFmtId="0" fontId="53" fillId="8" borderId="74" xfId="0" applyFont="1" applyFill="1" applyBorder="1" applyAlignment="1">
      <alignment vertical="center" wrapText="1"/>
    </xf>
    <xf numFmtId="0" fontId="53" fillId="8" borderId="6" xfId="0" applyFont="1" applyFill="1" applyBorder="1" applyAlignment="1">
      <alignment vertical="center" wrapText="1"/>
    </xf>
    <xf numFmtId="0" fontId="53" fillId="11" borderId="6" xfId="0" applyFont="1" applyFill="1" applyBorder="1" applyAlignment="1">
      <alignment vertical="center" wrapText="1"/>
    </xf>
    <xf numFmtId="0" fontId="53" fillId="11" borderId="101" xfId="0" applyFont="1" applyFill="1" applyBorder="1" applyAlignment="1">
      <alignment vertical="center" wrapText="1"/>
    </xf>
    <xf numFmtId="0" fontId="53" fillId="19" borderId="6" xfId="0" applyFont="1" applyFill="1" applyBorder="1" applyAlignment="1">
      <alignment vertical="center" wrapText="1"/>
    </xf>
    <xf numFmtId="0" fontId="53" fillId="10" borderId="6" xfId="0" applyFont="1" applyFill="1" applyBorder="1" applyAlignment="1">
      <alignment vertical="center" wrapText="1"/>
    </xf>
    <xf numFmtId="0" fontId="53" fillId="20" borderId="6" xfId="0" applyFont="1" applyFill="1" applyBorder="1" applyAlignment="1">
      <alignment vertical="center" wrapText="1"/>
    </xf>
    <xf numFmtId="0" fontId="53" fillId="12" borderId="6" xfId="0" applyFont="1" applyFill="1" applyBorder="1" applyAlignment="1">
      <alignment vertical="center" wrapText="1"/>
    </xf>
    <xf numFmtId="0" fontId="53" fillId="18" borderId="6" xfId="0" applyFont="1" applyFill="1" applyBorder="1" applyAlignment="1">
      <alignment vertical="center" wrapText="1"/>
    </xf>
    <xf numFmtId="0" fontId="53" fillId="9" borderId="6" xfId="0" applyFont="1" applyFill="1" applyBorder="1" applyAlignment="1">
      <alignment vertical="center" wrapText="1"/>
    </xf>
    <xf numFmtId="0" fontId="53" fillId="16" borderId="6" xfId="0" applyFont="1" applyFill="1" applyBorder="1" applyAlignment="1">
      <alignment vertical="center" wrapText="1"/>
    </xf>
    <xf numFmtId="0" fontId="49" fillId="8" borderId="112" xfId="0" applyFont="1" applyFill="1" applyBorder="1" applyAlignment="1">
      <alignment vertical="center" wrapText="1"/>
    </xf>
    <xf numFmtId="0" fontId="49" fillId="11" borderId="101" xfId="0" applyFont="1" applyFill="1" applyBorder="1" applyAlignment="1">
      <alignment vertical="center" wrapText="1"/>
    </xf>
    <xf numFmtId="0" fontId="49" fillId="19" borderId="157" xfId="0" applyFont="1" applyFill="1" applyBorder="1" applyAlignment="1">
      <alignment vertical="center" wrapText="1"/>
    </xf>
    <xf numFmtId="0" fontId="49" fillId="10" borderId="101" xfId="0" applyFont="1" applyFill="1" applyBorder="1" applyAlignment="1">
      <alignment vertical="center" wrapText="1"/>
    </xf>
    <xf numFmtId="0" fontId="49" fillId="20" borderId="101" xfId="0" applyFont="1" applyFill="1" applyBorder="1" applyAlignment="1">
      <alignment vertical="center" wrapText="1"/>
    </xf>
    <xf numFmtId="0" fontId="49" fillId="12" borderId="101" xfId="0" applyFont="1" applyFill="1" applyBorder="1" applyAlignment="1">
      <alignment vertical="center" wrapText="1"/>
    </xf>
    <xf numFmtId="0" fontId="49" fillId="18" borderId="10" xfId="0" applyFont="1" applyFill="1" applyBorder="1" applyAlignment="1">
      <alignment vertical="center" wrapText="1"/>
    </xf>
    <xf numFmtId="0" fontId="56" fillId="7" borderId="44" xfId="0" applyFont="1" applyFill="1" applyBorder="1" applyAlignment="1">
      <alignment vertical="center" wrapText="1"/>
    </xf>
    <xf numFmtId="0" fontId="57" fillId="7" borderId="51" xfId="0" applyFont="1" applyFill="1" applyBorder="1" applyAlignment="1">
      <alignment vertical="center" wrapText="1"/>
    </xf>
    <xf numFmtId="167" fontId="49" fillId="9" borderId="101" xfId="0" applyNumberFormat="1" applyFont="1" applyFill="1" applyBorder="1" applyAlignment="1">
      <alignment vertical="center" wrapText="1"/>
    </xf>
    <xf numFmtId="2" fontId="49" fillId="9" borderId="101" xfId="0" applyNumberFormat="1" applyFont="1" applyFill="1" applyBorder="1" applyAlignment="1">
      <alignment vertical="center" wrapText="1"/>
    </xf>
    <xf numFmtId="167" fontId="49" fillId="24" borderId="101" xfId="0" applyNumberFormat="1" applyFont="1" applyFill="1" applyBorder="1" applyAlignment="1">
      <alignment vertical="center" wrapText="1"/>
    </xf>
    <xf numFmtId="2" fontId="49" fillId="24" borderId="101" xfId="0" applyNumberFormat="1" applyFont="1" applyFill="1" applyBorder="1" applyAlignment="1">
      <alignment vertical="center" wrapText="1"/>
    </xf>
    <xf numFmtId="2" fontId="49" fillId="24" borderId="157" xfId="0" applyNumberFormat="1" applyFont="1" applyFill="1" applyBorder="1" applyAlignment="1">
      <alignment vertical="center" wrapText="1"/>
    </xf>
    <xf numFmtId="167" fontId="49" fillId="24" borderId="101" xfId="0" applyNumberFormat="1" applyFont="1" applyFill="1" applyBorder="1" applyAlignment="1">
      <alignment vertical="center"/>
    </xf>
    <xf numFmtId="0" fontId="56" fillId="7" borderId="134" xfId="0" applyFont="1" applyFill="1" applyBorder="1" applyAlignment="1">
      <alignment vertical="center" wrapText="1"/>
    </xf>
    <xf numFmtId="0" fontId="57" fillId="7" borderId="149" xfId="0" applyFont="1" applyFill="1" applyBorder="1" applyAlignment="1">
      <alignment vertical="center" wrapText="1"/>
    </xf>
    <xf numFmtId="0" fontId="56" fillId="7" borderId="46" xfId="0" applyFont="1" applyFill="1" applyBorder="1" applyAlignment="1">
      <alignment vertical="center" wrapText="1"/>
    </xf>
    <xf numFmtId="0" fontId="57" fillId="7" borderId="168" xfId="0" applyFont="1" applyFill="1" applyBorder="1" applyAlignment="1">
      <alignment vertical="center" wrapText="1"/>
    </xf>
    <xf numFmtId="0" fontId="49" fillId="9" borderId="171" xfId="0" applyFont="1" applyFill="1" applyBorder="1" applyAlignment="1">
      <alignment vertical="center"/>
    </xf>
    <xf numFmtId="0" fontId="49" fillId="9" borderId="157" xfId="0" applyFont="1" applyFill="1" applyBorder="1" applyAlignment="1">
      <alignment vertical="center"/>
    </xf>
    <xf numFmtId="0" fontId="49" fillId="9" borderId="102" xfId="0" applyFont="1" applyFill="1" applyBorder="1" applyAlignment="1">
      <alignment vertical="center"/>
    </xf>
    <xf numFmtId="0" fontId="49" fillId="9" borderId="142" xfId="0" applyFont="1" applyFill="1" applyBorder="1" applyAlignment="1">
      <alignment vertical="center"/>
    </xf>
    <xf numFmtId="0" fontId="57" fillId="7" borderId="69" xfId="0" applyFont="1" applyFill="1" applyBorder="1" applyAlignment="1">
      <alignment vertical="center" wrapText="1"/>
    </xf>
    <xf numFmtId="0" fontId="57" fillId="7" borderId="94" xfId="0" applyFont="1" applyFill="1" applyBorder="1" applyAlignment="1">
      <alignment vertical="center" wrapText="1"/>
    </xf>
    <xf numFmtId="0" fontId="57" fillId="7" borderId="136" xfId="0" applyFont="1" applyFill="1" applyBorder="1" applyAlignment="1">
      <alignment vertical="center" wrapText="1"/>
    </xf>
    <xf numFmtId="0" fontId="49" fillId="20" borderId="139" xfId="0" applyFont="1" applyFill="1" applyBorder="1" applyAlignment="1">
      <alignment vertical="center"/>
    </xf>
    <xf numFmtId="0" fontId="49" fillId="20" borderId="142" xfId="0" applyFont="1" applyFill="1" applyBorder="1" applyAlignment="1">
      <alignment vertical="center"/>
    </xf>
    <xf numFmtId="0" fontId="56" fillId="7" borderId="186" xfId="0" applyFont="1" applyFill="1" applyBorder="1" applyAlignment="1">
      <alignment vertical="center" wrapText="1"/>
    </xf>
    <xf numFmtId="0" fontId="57" fillId="7" borderId="188" xfId="0" applyFont="1" applyFill="1" applyBorder="1" applyAlignment="1">
      <alignment vertical="center" wrapText="1"/>
    </xf>
    <xf numFmtId="0" fontId="49" fillId="20" borderId="171" xfId="0" applyFont="1" applyFill="1" applyBorder="1" applyAlignment="1">
      <alignment vertical="center"/>
    </xf>
    <xf numFmtId="0" fontId="57" fillId="7" borderId="191" xfId="0" applyFont="1" applyFill="1" applyBorder="1" applyAlignment="1">
      <alignment vertical="center" wrapText="1"/>
    </xf>
    <xf numFmtId="0" fontId="49" fillId="8" borderId="6" xfId="0" applyFont="1" applyFill="1" applyBorder="1" applyAlignment="1">
      <alignment vertical="center" wrapText="1"/>
    </xf>
    <xf numFmtId="0" fontId="49" fillId="11" borderId="142" xfId="0" applyFont="1" applyFill="1" applyBorder="1" applyAlignment="1">
      <alignment vertical="center" wrapText="1"/>
    </xf>
    <xf numFmtId="0" fontId="49" fillId="20" borderId="6" xfId="0" applyFont="1" applyFill="1" applyBorder="1" applyAlignment="1">
      <alignment vertical="center" wrapText="1"/>
    </xf>
    <xf numFmtId="0" fontId="49" fillId="12" borderId="6" xfId="0" applyFont="1" applyFill="1" applyBorder="1" applyAlignment="1">
      <alignment vertical="center" wrapText="1"/>
    </xf>
    <xf numFmtId="0" fontId="49" fillId="8" borderId="8" xfId="0" applyFont="1" applyFill="1" applyBorder="1" applyAlignment="1">
      <alignment horizontal="left" vertical="center" wrapText="1"/>
    </xf>
    <xf numFmtId="0" fontId="49" fillId="8" borderId="77" xfId="0" applyFont="1" applyFill="1" applyBorder="1" applyAlignment="1">
      <alignment horizontal="left" vertical="center" wrapText="1"/>
    </xf>
    <xf numFmtId="0" fontId="53" fillId="8" borderId="78" xfId="0" applyFont="1" applyFill="1" applyBorder="1" applyAlignment="1">
      <alignment horizontal="left"/>
    </xf>
    <xf numFmtId="0" fontId="57" fillId="7" borderId="60" xfId="0" applyFont="1" applyFill="1" applyBorder="1" applyAlignment="1">
      <alignment horizontal="left" vertical="center" wrapText="1"/>
    </xf>
    <xf numFmtId="0" fontId="49" fillId="21" borderId="113" xfId="0" applyFont="1" applyFill="1" applyBorder="1" applyAlignment="1">
      <alignment horizontal="left" vertical="center" wrapText="1"/>
    </xf>
    <xf numFmtId="0" fontId="49" fillId="21" borderId="110" xfId="0" applyFont="1" applyFill="1" applyBorder="1" applyAlignment="1">
      <alignment horizontal="left" vertical="center" wrapText="1"/>
    </xf>
    <xf numFmtId="0" fontId="53" fillId="21" borderId="101" xfId="0" applyFont="1" applyFill="1" applyBorder="1" applyAlignment="1">
      <alignment horizontal="left" vertical="center" wrapText="1"/>
    </xf>
    <xf numFmtId="0" fontId="53" fillId="21" borderId="110" xfId="0" applyFont="1" applyFill="1" applyBorder="1" applyAlignment="1">
      <alignment horizontal="left" vertical="center" wrapText="1"/>
    </xf>
    <xf numFmtId="0" fontId="49" fillId="21" borderId="102" xfId="0" applyFont="1" applyFill="1" applyBorder="1" applyAlignment="1">
      <alignment horizontal="left" vertical="center" wrapText="1"/>
    </xf>
    <xf numFmtId="0" fontId="49" fillId="21" borderId="106" xfId="0" applyFont="1" applyFill="1" applyBorder="1" applyAlignment="1">
      <alignment horizontal="left" vertical="center" wrapText="1"/>
    </xf>
    <xf numFmtId="0" fontId="49" fillId="21" borderId="11" xfId="0" applyFont="1" applyFill="1" applyBorder="1" applyAlignment="1">
      <alignment horizontal="left" vertical="center" wrapText="1"/>
    </xf>
    <xf numFmtId="0" fontId="57" fillId="7" borderId="182" xfId="0" applyFont="1" applyFill="1" applyBorder="1" applyAlignment="1">
      <alignment horizontal="left" vertical="center" wrapText="1"/>
    </xf>
    <xf numFmtId="0" fontId="49" fillId="11" borderId="184" xfId="0" applyFont="1" applyFill="1" applyBorder="1" applyAlignment="1">
      <alignment horizontal="left" vertical="center" wrapText="1"/>
    </xf>
    <xf numFmtId="0" fontId="49" fillId="11" borderId="185" xfId="0" applyFont="1" applyFill="1" applyBorder="1" applyAlignment="1">
      <alignment horizontal="left" vertical="center" wrapText="1"/>
    </xf>
    <xf numFmtId="0" fontId="49" fillId="11" borderId="106" xfId="0" applyFont="1" applyFill="1" applyBorder="1" applyAlignment="1">
      <alignment horizontal="left" vertical="center" wrapText="1"/>
    </xf>
    <xf numFmtId="0" fontId="49" fillId="11" borderId="144" xfId="0" applyFont="1" applyFill="1" applyBorder="1" applyAlignment="1">
      <alignment horizontal="left" vertical="center" wrapText="1"/>
    </xf>
    <xf numFmtId="0" fontId="49" fillId="11" borderId="142" xfId="0" applyFont="1" applyFill="1" applyBorder="1" applyAlignment="1">
      <alignment horizontal="left" vertical="center" wrapText="1"/>
    </xf>
    <xf numFmtId="0" fontId="49" fillId="19" borderId="144" xfId="0" applyFont="1" applyFill="1" applyBorder="1" applyAlignment="1">
      <alignment horizontal="left" vertical="center" wrapText="1"/>
    </xf>
    <xf numFmtId="0" fontId="49" fillId="19" borderId="129" xfId="0" applyFont="1" applyFill="1" applyBorder="1" applyAlignment="1">
      <alignment horizontal="left" vertical="center" wrapText="1"/>
    </xf>
    <xf numFmtId="0" fontId="49" fillId="19" borderId="104" xfId="0" applyFont="1" applyFill="1" applyBorder="1" applyAlignment="1">
      <alignment horizontal="left" vertical="center" wrapText="1"/>
    </xf>
    <xf numFmtId="0" fontId="49" fillId="19" borderId="142" xfId="0" applyFont="1" applyFill="1" applyBorder="1" applyAlignment="1">
      <alignment horizontal="left" vertical="center" wrapText="1"/>
    </xf>
    <xf numFmtId="0" fontId="35" fillId="7" borderId="83" xfId="0" applyFont="1" applyFill="1" applyBorder="1" applyAlignment="1">
      <alignment horizontal="left" vertical="center" wrapText="1"/>
    </xf>
    <xf numFmtId="0" fontId="57" fillId="7" borderId="84" xfId="0" applyFont="1" applyFill="1" applyBorder="1" applyAlignment="1">
      <alignment horizontal="left" vertical="center"/>
    </xf>
    <xf numFmtId="0" fontId="53" fillId="22" borderId="87" xfId="0" applyFont="1" applyFill="1" applyBorder="1" applyAlignment="1">
      <alignment horizontal="left" vertical="center" wrapText="1"/>
    </xf>
    <xf numFmtId="0" fontId="53" fillId="22" borderId="88" xfId="0" applyFont="1" applyFill="1" applyBorder="1" applyAlignment="1">
      <alignment horizontal="left" vertical="center" wrapText="1"/>
    </xf>
    <xf numFmtId="0" fontId="53" fillId="22" borderId="6" xfId="0" applyFont="1" applyFill="1" applyBorder="1" applyAlignment="1">
      <alignment horizontal="left" vertical="center" wrapText="1"/>
    </xf>
    <xf numFmtId="0" fontId="53" fillId="22" borderId="8" xfId="0" applyFont="1" applyFill="1" applyBorder="1" applyAlignment="1">
      <alignment horizontal="left" vertical="center" wrapText="1"/>
    </xf>
    <xf numFmtId="0" fontId="53" fillId="22" borderId="108" xfId="0" applyFont="1" applyFill="1" applyBorder="1" applyAlignment="1">
      <alignment horizontal="left" vertical="center" wrapText="1"/>
    </xf>
    <xf numFmtId="0" fontId="53" fillId="22" borderId="10" xfId="0" applyFont="1" applyFill="1" applyBorder="1" applyAlignment="1">
      <alignment horizontal="left" vertical="center" wrapText="1"/>
    </xf>
    <xf numFmtId="0" fontId="53" fillId="22" borderId="11" xfId="0" applyFont="1" applyFill="1" applyBorder="1" applyAlignment="1">
      <alignment horizontal="left" vertical="center" wrapText="1"/>
    </xf>
    <xf numFmtId="0" fontId="35" fillId="7" borderId="84" xfId="0" applyFont="1" applyFill="1" applyBorder="1" applyAlignment="1">
      <alignment horizontal="left" vertical="center" wrapText="1"/>
    </xf>
    <xf numFmtId="0" fontId="53" fillId="20" borderId="87" xfId="0" applyFont="1" applyFill="1" applyBorder="1" applyAlignment="1">
      <alignment horizontal="left" vertical="center" wrapText="1"/>
    </xf>
    <xf numFmtId="0" fontId="56" fillId="20" borderId="88" xfId="0" applyFont="1" applyFill="1" applyBorder="1" applyAlignment="1">
      <alignment horizontal="left" vertical="center"/>
    </xf>
    <xf numFmtId="0" fontId="56" fillId="20" borderId="8" xfId="0" applyFont="1" applyFill="1" applyBorder="1" applyAlignment="1">
      <alignment horizontal="left" vertical="center"/>
    </xf>
    <xf numFmtId="0" fontId="56" fillId="20" borderId="144" xfId="0" applyFont="1" applyFill="1" applyBorder="1" applyAlignment="1">
      <alignment horizontal="left" vertical="center"/>
    </xf>
    <xf numFmtId="0" fontId="56" fillId="20" borderId="11" xfId="0" applyFont="1" applyFill="1" applyBorder="1" applyAlignment="1">
      <alignment horizontal="left" vertical="center"/>
    </xf>
    <xf numFmtId="0" fontId="49" fillId="12" borderId="74" xfId="0" applyFont="1" applyFill="1" applyBorder="1" applyAlignment="1">
      <alignment horizontal="left" vertical="center"/>
    </xf>
    <xf numFmtId="0" fontId="49" fillId="12" borderId="75" xfId="0" applyFont="1" applyFill="1" applyBorder="1" applyAlignment="1">
      <alignment horizontal="left" vertical="center"/>
    </xf>
    <xf numFmtId="0" fontId="35" fillId="7" borderId="48" xfId="0" applyFont="1" applyFill="1" applyBorder="1" applyAlignment="1">
      <alignment horizontal="left" vertical="center" wrapText="1"/>
    </xf>
    <xf numFmtId="0" fontId="35" fillId="7" borderId="49" xfId="0" applyFont="1" applyFill="1" applyBorder="1" applyAlignment="1">
      <alignment horizontal="left" vertical="center" wrapText="1"/>
    </xf>
    <xf numFmtId="0" fontId="53" fillId="18" borderId="14" xfId="0" applyFont="1" applyFill="1" applyBorder="1" applyAlignment="1">
      <alignment horizontal="left" vertical="center"/>
    </xf>
    <xf numFmtId="0" fontId="53" fillId="18" borderId="39" xfId="0" applyFont="1" applyFill="1" applyBorder="1" applyAlignment="1">
      <alignment horizontal="left" vertical="center"/>
    </xf>
    <xf numFmtId="0" fontId="53" fillId="18" borderId="6" xfId="0" applyFont="1" applyFill="1" applyBorder="1" applyAlignment="1">
      <alignment horizontal="left" vertical="center"/>
    </xf>
    <xf numFmtId="0" fontId="53" fillId="18" borderId="8" xfId="0" applyFont="1" applyFill="1" applyBorder="1" applyAlignment="1">
      <alignment horizontal="left" vertical="center"/>
    </xf>
    <xf numFmtId="0" fontId="49" fillId="18" borderId="11" xfId="0" applyFont="1" applyFill="1" applyBorder="1" applyAlignment="1">
      <alignment horizontal="left" vertical="center"/>
    </xf>
    <xf numFmtId="0" fontId="57" fillId="7" borderId="81" xfId="0" applyFont="1" applyFill="1" applyBorder="1" applyAlignment="1">
      <alignment horizontal="left" vertical="center" wrapText="1"/>
    </xf>
    <xf numFmtId="0" fontId="49" fillId="15" borderId="74" xfId="0" applyFont="1" applyFill="1" applyBorder="1" applyAlignment="1">
      <alignment horizontal="left" vertical="center"/>
    </xf>
    <xf numFmtId="0" fontId="49" fillId="15" borderId="6" xfId="0" applyFont="1" applyFill="1" applyBorder="1" applyAlignment="1">
      <alignment horizontal="left" vertical="center"/>
    </xf>
    <xf numFmtId="0" fontId="49" fillId="15" borderId="6" xfId="0" applyFont="1" applyFill="1" applyBorder="1" applyAlignment="1">
      <alignment horizontal="left"/>
    </xf>
    <xf numFmtId="0" fontId="49" fillId="15" borderId="157" xfId="0" applyFont="1" applyFill="1" applyBorder="1" applyAlignment="1">
      <alignment horizontal="left"/>
    </xf>
    <xf numFmtId="0" fontId="49" fillId="15" borderId="144" xfId="0" applyFont="1" applyFill="1" applyBorder="1" applyAlignment="1">
      <alignment horizontal="left" vertical="center"/>
    </xf>
    <xf numFmtId="0" fontId="53" fillId="15" borderId="6" xfId="0" applyFont="1" applyFill="1" applyBorder="1" applyAlignment="1">
      <alignment horizontal="left" vertical="center" wrapText="1"/>
    </xf>
    <xf numFmtId="0" fontId="49" fillId="7" borderId="139" xfId="0" applyFont="1" applyFill="1" applyBorder="1" applyAlignment="1">
      <alignment horizontal="left" vertical="center"/>
    </xf>
    <xf numFmtId="0" fontId="49" fillId="7" borderId="127" xfId="0" applyFont="1" applyFill="1" applyBorder="1" applyAlignment="1">
      <alignment horizontal="left" vertical="center"/>
    </xf>
    <xf numFmtId="0" fontId="53" fillId="7" borderId="127" xfId="0" applyFont="1" applyFill="1" applyBorder="1" applyAlignment="1">
      <alignment horizontal="left" vertical="center" wrapText="1"/>
    </xf>
    <xf numFmtId="0" fontId="49" fillId="7" borderId="142" xfId="0" applyFont="1" applyFill="1" applyBorder="1" applyAlignment="1">
      <alignment horizontal="left" vertical="center"/>
    </xf>
    <xf numFmtId="0" fontId="57" fillId="7" borderId="209" xfId="0" applyFont="1" applyFill="1" applyBorder="1" applyAlignment="1">
      <alignment horizontal="left" vertical="center" wrapText="1"/>
    </xf>
    <xf numFmtId="0" fontId="49" fillId="9" borderId="193" xfId="0" applyFont="1" applyFill="1" applyBorder="1" applyAlignment="1">
      <alignment horizontal="left" vertical="center"/>
    </xf>
    <xf numFmtId="0" fontId="57" fillId="7" borderId="56" xfId="0" applyFont="1" applyFill="1" applyBorder="1" applyAlignment="1">
      <alignment horizontal="left" vertical="center" wrapText="1"/>
    </xf>
    <xf numFmtId="0" fontId="53" fillId="9" borderId="91" xfId="0" applyFont="1" applyFill="1" applyBorder="1" applyAlignment="1">
      <alignment horizontal="left" vertical="center" wrapText="1"/>
    </xf>
    <xf numFmtId="0" fontId="53" fillId="9" borderId="92" xfId="0" applyFont="1" applyFill="1" applyBorder="1" applyAlignment="1">
      <alignment horizontal="left" vertical="center" wrapText="1"/>
    </xf>
    <xf numFmtId="0" fontId="53" fillId="9" borderId="14" xfId="0" applyFont="1" applyFill="1" applyBorder="1" applyAlignment="1">
      <alignment horizontal="left" vertical="center" wrapText="1"/>
    </xf>
    <xf numFmtId="0" fontId="53" fillId="9" borderId="39" xfId="0" applyFont="1" applyFill="1" applyBorder="1" applyAlignment="1">
      <alignment horizontal="left" vertical="center" wrapText="1"/>
    </xf>
    <xf numFmtId="0" fontId="53" fillId="9" borderId="8" xfId="0" applyFont="1" applyFill="1" applyBorder="1" applyAlignment="1">
      <alignment horizontal="left" vertical="center" wrapText="1"/>
    </xf>
    <xf numFmtId="0" fontId="53" fillId="9" borderId="10" xfId="0" applyFont="1" applyFill="1" applyBorder="1" applyAlignment="1">
      <alignment horizontal="left" vertical="center" wrapText="1"/>
    </xf>
    <xf numFmtId="0" fontId="53" fillId="9" borderId="11" xfId="0" applyFont="1" applyFill="1" applyBorder="1" applyAlignment="1">
      <alignment horizontal="left" vertical="center" wrapText="1"/>
    </xf>
    <xf numFmtId="0" fontId="35" fillId="7" borderId="71" xfId="0" applyFont="1" applyFill="1" applyBorder="1" applyAlignment="1">
      <alignment horizontal="left" vertical="center" wrapText="1"/>
    </xf>
    <xf numFmtId="0" fontId="35" fillId="7" borderId="72" xfId="0" applyFont="1" applyFill="1" applyBorder="1" applyAlignment="1">
      <alignment horizontal="left" vertical="center" wrapText="1"/>
    </xf>
    <xf numFmtId="0" fontId="56" fillId="8" borderId="75" xfId="0" applyFont="1" applyFill="1" applyBorder="1" applyAlignment="1">
      <alignment horizontal="left" vertical="center"/>
    </xf>
    <xf numFmtId="0" fontId="56" fillId="8" borderId="8" xfId="0" applyFont="1" applyFill="1" applyBorder="1" applyAlignment="1">
      <alignment horizontal="left" vertical="center"/>
    </xf>
    <xf numFmtId="0" fontId="56" fillId="11" borderId="144" xfId="0" applyFont="1" applyFill="1" applyBorder="1" applyAlignment="1">
      <alignment horizontal="left" vertical="center"/>
    </xf>
    <xf numFmtId="0" fontId="56" fillId="11" borderId="8" xfId="0" applyFont="1" applyFill="1" applyBorder="1" applyAlignment="1">
      <alignment horizontal="left" vertical="center"/>
    </xf>
    <xf numFmtId="0" fontId="56" fillId="11" borderId="110" xfId="0" applyFont="1" applyFill="1" applyBorder="1" applyAlignment="1">
      <alignment horizontal="left" vertical="center"/>
    </xf>
    <xf numFmtId="0" fontId="56" fillId="19" borderId="8" xfId="0" applyFont="1" applyFill="1" applyBorder="1" applyAlignment="1">
      <alignment horizontal="left" vertical="center"/>
    </xf>
    <xf numFmtId="0" fontId="56" fillId="10" borderId="8" xfId="0" applyFont="1" applyFill="1" applyBorder="1" applyAlignment="1">
      <alignment horizontal="left" vertical="center"/>
    </xf>
    <xf numFmtId="0" fontId="56" fillId="12" borderId="8" xfId="0" applyFont="1" applyFill="1" applyBorder="1" applyAlignment="1">
      <alignment horizontal="left" vertical="center"/>
    </xf>
    <xf numFmtId="0" fontId="56" fillId="18" borderId="8" xfId="0" applyFont="1" applyFill="1" applyBorder="1" applyAlignment="1">
      <alignment horizontal="left" vertical="center"/>
    </xf>
    <xf numFmtId="0" fontId="56" fillId="9" borderId="8" xfId="0" applyFont="1" applyFill="1" applyBorder="1" applyAlignment="1">
      <alignment horizontal="left" vertical="center"/>
    </xf>
    <xf numFmtId="0" fontId="56" fillId="16" borderId="8" xfId="0" applyFont="1" applyFill="1" applyBorder="1" applyAlignment="1">
      <alignment horizontal="left" vertical="center"/>
    </xf>
    <xf numFmtId="0" fontId="49" fillId="8" borderId="87" xfId="0" applyFont="1" applyFill="1" applyBorder="1" applyAlignment="1">
      <alignment horizontal="left" vertical="center" wrapText="1"/>
    </xf>
    <xf numFmtId="0" fontId="49" fillId="8" borderId="88" xfId="0" applyFont="1" applyFill="1" applyBorder="1" applyAlignment="1">
      <alignment horizontal="left" vertical="center" wrapText="1"/>
    </xf>
    <xf numFmtId="0" fontId="49" fillId="11" borderId="6" xfId="0" applyFont="1" applyFill="1" applyBorder="1" applyAlignment="1">
      <alignment horizontal="left" vertical="center" wrapText="1"/>
    </xf>
    <xf numFmtId="0" fontId="49" fillId="11" borderId="8" xfId="0" applyFont="1" applyFill="1" applyBorder="1" applyAlignment="1">
      <alignment horizontal="left" vertical="center" wrapText="1"/>
    </xf>
    <xf numFmtId="0" fontId="49" fillId="10" borderId="102" xfId="0" applyFont="1" applyFill="1" applyBorder="1" applyAlignment="1">
      <alignment horizontal="left" vertical="center" wrapText="1"/>
    </xf>
    <xf numFmtId="0" fontId="49" fillId="10" borderId="106" xfId="0" applyFont="1" applyFill="1" applyBorder="1" applyAlignment="1">
      <alignment horizontal="left" vertical="center" wrapText="1"/>
    </xf>
    <xf numFmtId="0" fontId="49" fillId="10" borderId="8" xfId="0" applyFont="1" applyFill="1" applyBorder="1" applyAlignment="1">
      <alignment horizontal="left" vertical="center" wrapText="1"/>
    </xf>
    <xf numFmtId="0" fontId="57" fillId="20" borderId="6" xfId="0" applyFont="1" applyFill="1" applyBorder="1" applyAlignment="1">
      <alignment horizontal="left" vertical="center"/>
    </xf>
    <xf numFmtId="0" fontId="57" fillId="20" borderId="8" xfId="0" applyFont="1" applyFill="1" applyBorder="1" applyAlignment="1">
      <alignment horizontal="left" vertical="center"/>
    </xf>
    <xf numFmtId="0" fontId="49" fillId="12" borderId="8" xfId="0" applyFont="1" applyFill="1" applyBorder="1" applyAlignment="1">
      <alignment horizontal="left" vertical="center" wrapText="1"/>
    </xf>
    <xf numFmtId="0" fontId="49" fillId="18" borderId="11" xfId="0" applyFont="1" applyFill="1" applyBorder="1" applyAlignment="1">
      <alignment horizontal="left" vertical="center" wrapText="1"/>
    </xf>
    <xf numFmtId="0" fontId="57" fillId="7" borderId="52" xfId="0" applyFont="1" applyFill="1" applyBorder="1" applyAlignment="1">
      <alignment horizontal="left" vertical="center" wrapText="1"/>
    </xf>
    <xf numFmtId="0" fontId="49" fillId="9" borderId="101" xfId="0" applyFont="1" applyFill="1" applyBorder="1" applyAlignment="1">
      <alignment horizontal="left" vertical="center" wrapText="1"/>
    </xf>
    <xf numFmtId="0" fontId="49" fillId="9" borderId="110" xfId="0" applyFont="1" applyFill="1" applyBorder="1" applyAlignment="1">
      <alignment horizontal="left" vertical="center" wrapText="1"/>
    </xf>
    <xf numFmtId="0" fontId="49" fillId="24" borderId="101" xfId="0" applyFont="1" applyFill="1" applyBorder="1" applyAlignment="1">
      <alignment horizontal="left" vertical="center" wrapText="1"/>
    </xf>
    <xf numFmtId="0" fontId="49" fillId="24" borderId="110" xfId="0" applyFont="1" applyFill="1" applyBorder="1" applyAlignment="1">
      <alignment horizontal="left" vertical="center" wrapText="1"/>
    </xf>
    <xf numFmtId="0" fontId="49" fillId="24" borderId="157" xfId="0" applyFont="1" applyFill="1" applyBorder="1" applyAlignment="1">
      <alignment horizontal="left" vertical="center" wrapText="1"/>
    </xf>
    <xf numFmtId="0" fontId="76" fillId="24" borderId="101" xfId="0" applyFont="1" applyFill="1" applyBorder="1" applyAlignment="1">
      <alignment horizontal="left" vertical="center" wrapText="1"/>
    </xf>
    <xf numFmtId="0" fontId="57" fillId="7" borderId="150" xfId="0" applyFont="1" applyFill="1" applyBorder="1" applyAlignment="1">
      <alignment horizontal="left" vertical="center" wrapText="1"/>
    </xf>
    <xf numFmtId="0" fontId="57" fillId="7" borderId="169" xfId="0" applyFont="1" applyFill="1" applyBorder="1" applyAlignment="1">
      <alignment horizontal="left" vertical="center" wrapText="1"/>
    </xf>
    <xf numFmtId="0" fontId="49" fillId="9" borderId="172" xfId="0" applyFont="1" applyFill="1" applyBorder="1" applyAlignment="1">
      <alignment horizontal="left" vertical="center"/>
    </xf>
    <xf numFmtId="0" fontId="49" fillId="9" borderId="106" xfId="0" applyFont="1" applyFill="1" applyBorder="1" applyAlignment="1">
      <alignment horizontal="left" vertical="center"/>
    </xf>
    <xf numFmtId="0" fontId="57" fillId="7" borderId="69" xfId="0" applyFont="1" applyFill="1" applyBorder="1" applyAlignment="1">
      <alignment horizontal="left" vertical="center" wrapText="1"/>
    </xf>
    <xf numFmtId="0" fontId="57" fillId="7" borderId="70" xfId="0" applyFont="1" applyFill="1" applyBorder="1" applyAlignment="1">
      <alignment horizontal="left" vertical="center" wrapText="1"/>
    </xf>
    <xf numFmtId="0" fontId="57" fillId="7" borderId="94" xfId="0" applyFont="1" applyFill="1" applyBorder="1" applyAlignment="1">
      <alignment horizontal="left" vertical="center" wrapText="1"/>
    </xf>
    <xf numFmtId="0" fontId="57" fillId="7" borderId="136" xfId="0" applyFont="1" applyFill="1" applyBorder="1" applyAlignment="1">
      <alignment horizontal="left" vertical="center" wrapText="1"/>
    </xf>
    <xf numFmtId="0" fontId="57" fillId="7" borderId="188" xfId="0" applyFont="1" applyFill="1" applyBorder="1" applyAlignment="1">
      <alignment horizontal="left" vertical="center" wrapText="1"/>
    </xf>
    <xf numFmtId="0" fontId="57" fillId="7" borderId="189" xfId="0" applyFont="1" applyFill="1" applyBorder="1" applyAlignment="1">
      <alignment horizontal="left" vertical="center"/>
    </xf>
    <xf numFmtId="0" fontId="57" fillId="7" borderId="192" xfId="0" applyFont="1" applyFill="1" applyBorder="1" applyAlignment="1">
      <alignment horizontal="left" vertical="center" wrapText="1"/>
    </xf>
    <xf numFmtId="0" fontId="49" fillId="9" borderId="144" xfId="0" applyFont="1" applyFill="1" applyBorder="1" applyAlignment="1">
      <alignment horizontal="left" vertical="center" wrapText="1"/>
    </xf>
    <xf numFmtId="0" fontId="49" fillId="9" borderId="194" xfId="0" applyFont="1" applyFill="1" applyBorder="1" applyAlignment="1">
      <alignment horizontal="left" vertical="center" wrapText="1"/>
    </xf>
    <xf numFmtId="2" fontId="49" fillId="9" borderId="213" xfId="0" applyNumberFormat="1" applyFont="1" applyFill="1" applyBorder="1" applyAlignment="1">
      <alignment vertical="center" wrapText="1"/>
    </xf>
    <xf numFmtId="2" fontId="49" fillId="9" borderId="213" xfId="0" applyNumberFormat="1" applyFont="1" applyFill="1" applyBorder="1" applyAlignment="1">
      <alignment horizontal="center" vertical="center" wrapText="1"/>
    </xf>
    <xf numFmtId="0" fontId="49" fillId="9" borderId="213" xfId="0" applyFont="1" applyFill="1" applyBorder="1" applyAlignment="1">
      <alignment horizontal="center" vertical="center" wrapText="1"/>
    </xf>
    <xf numFmtId="0" fontId="49" fillId="9" borderId="213" xfId="0" applyFont="1" applyFill="1" applyBorder="1" applyAlignment="1">
      <alignment horizontal="left" vertical="center" wrapText="1"/>
    </xf>
    <xf numFmtId="0" fontId="49" fillId="9" borderId="195" xfId="0" applyFont="1" applyFill="1" applyBorder="1" applyAlignment="1">
      <alignment horizontal="left" vertical="center" wrapText="1"/>
    </xf>
    <xf numFmtId="0" fontId="49" fillId="9" borderId="175" xfId="0" applyFont="1" applyFill="1" applyBorder="1" applyAlignment="1">
      <alignment horizontal="left" vertical="center" wrapText="1"/>
    </xf>
    <xf numFmtId="2" fontId="49" fillId="9" borderId="173" xfId="0" applyNumberFormat="1" applyFont="1" applyFill="1" applyBorder="1" applyAlignment="1">
      <alignment vertical="center" wrapText="1"/>
    </xf>
    <xf numFmtId="2" fontId="49" fillId="9" borderId="173" xfId="0" applyNumberFormat="1" applyFont="1" applyFill="1" applyBorder="1" applyAlignment="1">
      <alignment horizontal="center" vertical="center" wrapText="1"/>
    </xf>
    <xf numFmtId="0" fontId="49" fillId="9" borderId="173" xfId="0" applyFont="1" applyFill="1" applyBorder="1" applyAlignment="1">
      <alignment horizontal="center" vertical="center" wrapText="1"/>
    </xf>
    <xf numFmtId="0" fontId="49" fillId="9" borderId="173" xfId="0" applyFont="1" applyFill="1" applyBorder="1" applyAlignment="1">
      <alignment horizontal="left" vertical="center" wrapText="1"/>
    </xf>
    <xf numFmtId="0" fontId="49" fillId="9" borderId="174" xfId="0" applyFont="1" applyFill="1" applyBorder="1" applyAlignment="1">
      <alignment horizontal="left" vertical="center" wrapText="1"/>
    </xf>
    <xf numFmtId="0" fontId="49" fillId="9" borderId="218" xfId="0" applyFont="1" applyFill="1" applyBorder="1" applyAlignment="1">
      <alignment horizontal="left" vertical="center" wrapText="1"/>
    </xf>
    <xf numFmtId="2" fontId="49" fillId="9" borderId="212" xfId="0" applyNumberFormat="1" applyFont="1" applyFill="1" applyBorder="1" applyAlignment="1">
      <alignment vertical="center" wrapText="1"/>
    </xf>
    <xf numFmtId="2" fontId="49" fillId="9" borderId="212" xfId="0" applyNumberFormat="1" applyFont="1" applyFill="1" applyBorder="1" applyAlignment="1">
      <alignment horizontal="center" vertical="center" wrapText="1"/>
    </xf>
    <xf numFmtId="0" fontId="49" fillId="9" borderId="212" xfId="0" applyFont="1" applyFill="1" applyBorder="1" applyAlignment="1">
      <alignment horizontal="center" vertical="center" wrapText="1"/>
    </xf>
    <xf numFmtId="0" fontId="49" fillId="9" borderId="212" xfId="0" applyFont="1" applyFill="1" applyBorder="1" applyAlignment="1">
      <alignment horizontal="left" vertical="center" wrapText="1"/>
    </xf>
    <xf numFmtId="0" fontId="49" fillId="9" borderId="219" xfId="0" applyFont="1" applyFill="1" applyBorder="1" applyAlignment="1">
      <alignment horizontal="left" vertical="center" wrapText="1"/>
    </xf>
    <xf numFmtId="0" fontId="49" fillId="9" borderId="214" xfId="0" applyFont="1" applyFill="1" applyBorder="1" applyAlignment="1">
      <alignment horizontal="left" vertical="center" wrapText="1"/>
    </xf>
    <xf numFmtId="2" fontId="49" fillId="9" borderId="215" xfId="0" applyNumberFormat="1" applyFont="1" applyFill="1" applyBorder="1" applyAlignment="1">
      <alignment vertical="center" wrapText="1"/>
    </xf>
    <xf numFmtId="2" fontId="49" fillId="9" borderId="215" xfId="0" applyNumberFormat="1" applyFont="1" applyFill="1" applyBorder="1" applyAlignment="1">
      <alignment horizontal="center" vertical="center" wrapText="1"/>
    </xf>
    <xf numFmtId="0" fontId="49" fillId="9" borderId="215" xfId="0" applyFont="1" applyFill="1" applyBorder="1" applyAlignment="1">
      <alignment horizontal="center" vertical="center" wrapText="1"/>
    </xf>
    <xf numFmtId="0" fontId="49" fillId="9" borderId="215" xfId="0" applyFont="1" applyFill="1" applyBorder="1" applyAlignment="1">
      <alignment horizontal="left" vertical="center" wrapText="1"/>
    </xf>
    <xf numFmtId="0" fontId="49" fillId="9" borderId="216" xfId="0" applyFont="1" applyFill="1" applyBorder="1" applyAlignment="1">
      <alignment horizontal="left" vertical="center" wrapText="1"/>
    </xf>
    <xf numFmtId="0" fontId="49" fillId="10" borderId="212" xfId="0" applyFont="1" applyFill="1" applyBorder="1" applyAlignment="1">
      <alignment horizontal="left" vertical="center" wrapText="1"/>
    </xf>
    <xf numFmtId="0" fontId="53" fillId="6" borderId="0" xfId="0" applyFont="1" applyFill="1" applyAlignment="1">
      <alignment horizontal="left" vertical="center" wrapText="1"/>
    </xf>
    <xf numFmtId="0" fontId="57" fillId="7" borderId="41" xfId="0" applyFont="1" applyFill="1" applyBorder="1" applyAlignment="1">
      <alignment horizontal="left" vertical="center" wrapText="1"/>
    </xf>
    <xf numFmtId="0" fontId="46" fillId="0" borderId="0" xfId="0" applyFont="1" applyAlignment="1">
      <alignment horizontal="left" vertical="center" wrapText="1"/>
    </xf>
    <xf numFmtId="0" fontId="0" fillId="0" borderId="0" xfId="0" applyAlignment="1">
      <alignment horizontal="left" vertical="center" wrapText="1"/>
    </xf>
    <xf numFmtId="0" fontId="46" fillId="10" borderId="173" xfId="0" applyFont="1" applyFill="1" applyBorder="1" applyAlignment="1">
      <alignment horizontal="left" vertical="center" wrapText="1"/>
    </xf>
    <xf numFmtId="0" fontId="46" fillId="7" borderId="102" xfId="0" applyFont="1" applyFill="1" applyBorder="1" applyAlignment="1">
      <alignment horizontal="left" vertical="center" wrapText="1"/>
    </xf>
    <xf numFmtId="0" fontId="57" fillId="7" borderId="71" xfId="0" applyFont="1" applyFill="1" applyBorder="1" applyAlignment="1">
      <alignment horizontal="left" vertical="center" wrapText="1"/>
    </xf>
    <xf numFmtId="0" fontId="46" fillId="8" borderId="6" xfId="0" applyFont="1" applyFill="1" applyBorder="1" applyAlignment="1">
      <alignment vertical="center" wrapText="1"/>
    </xf>
    <xf numFmtId="0" fontId="49" fillId="21" borderId="6" xfId="0" applyFont="1" applyFill="1" applyBorder="1" applyAlignment="1">
      <alignment horizontal="left" vertical="center" wrapText="1"/>
    </xf>
    <xf numFmtId="0" fontId="49" fillId="21" borderId="6" xfId="0" applyFont="1" applyFill="1" applyBorder="1" applyAlignment="1">
      <alignment vertical="center" wrapText="1"/>
    </xf>
    <xf numFmtId="0" fontId="46" fillId="21" borderId="6" xfId="0" applyFont="1" applyFill="1" applyBorder="1" applyAlignment="1">
      <alignment vertical="center" wrapText="1"/>
    </xf>
    <xf numFmtId="0" fontId="46" fillId="10" borderId="6" xfId="0" applyFont="1" applyFill="1" applyBorder="1" applyAlignment="1">
      <alignment vertical="center" wrapText="1"/>
    </xf>
    <xf numFmtId="0" fontId="46" fillId="10" borderId="173" xfId="0" applyFont="1" applyFill="1" applyBorder="1" applyAlignment="1">
      <alignment vertical="center" wrapText="1"/>
    </xf>
    <xf numFmtId="0" fontId="46" fillId="22" borderId="6" xfId="0" applyFont="1" applyFill="1" applyBorder="1" applyAlignment="1">
      <alignment vertical="center" wrapText="1"/>
    </xf>
    <xf numFmtId="0" fontId="46" fillId="20" borderId="6" xfId="0" applyFont="1" applyFill="1" applyBorder="1" applyAlignment="1">
      <alignment vertical="center" wrapText="1"/>
    </xf>
    <xf numFmtId="0" fontId="46" fillId="11" borderId="157" xfId="0" applyFont="1" applyFill="1" applyBorder="1" applyAlignment="1">
      <alignment vertical="center" wrapText="1"/>
    </xf>
    <xf numFmtId="0" fontId="49" fillId="9" borderId="6" xfId="0" applyFont="1" applyFill="1" applyBorder="1" applyAlignment="1">
      <alignment horizontal="left" vertical="center" wrapText="1"/>
    </xf>
    <xf numFmtId="0" fontId="49" fillId="9" borderId="127" xfId="0" applyFont="1" applyFill="1" applyBorder="1" applyAlignment="1">
      <alignment horizontal="left" vertical="center" wrapText="1"/>
    </xf>
    <xf numFmtId="0" fontId="49" fillId="9" borderId="10" xfId="0" applyFont="1" applyFill="1" applyBorder="1" applyAlignment="1">
      <alignment horizontal="left" vertical="center" wrapText="1"/>
    </xf>
    <xf numFmtId="0" fontId="53" fillId="8" borderId="91" xfId="0" applyFont="1" applyFill="1" applyBorder="1" applyAlignment="1">
      <alignment horizontal="left" vertical="center" wrapText="1"/>
    </xf>
    <xf numFmtId="0" fontId="53" fillId="19" borderId="157" xfId="0" applyFont="1" applyFill="1" applyBorder="1" applyAlignment="1">
      <alignment horizontal="left" vertical="center" wrapText="1"/>
    </xf>
    <xf numFmtId="0" fontId="53" fillId="16" borderId="10" xfId="0" applyFont="1" applyFill="1" applyBorder="1" applyAlignment="1">
      <alignment horizontal="left" vertical="center" wrapText="1"/>
    </xf>
    <xf numFmtId="0" fontId="57" fillId="7" borderId="15" xfId="0" applyFont="1" applyFill="1" applyBorder="1" applyAlignment="1">
      <alignment horizontal="left" vertical="center" wrapText="1"/>
    </xf>
    <xf numFmtId="0" fontId="49" fillId="20" borderId="102" xfId="0" applyFont="1" applyFill="1" applyBorder="1" applyAlignment="1">
      <alignment horizontal="left" vertical="center" wrapText="1"/>
    </xf>
    <xf numFmtId="0" fontId="49" fillId="20" borderId="74" xfId="0" applyFont="1" applyFill="1" applyBorder="1" applyAlignment="1">
      <alignment horizontal="left" vertical="center" wrapText="1"/>
    </xf>
    <xf numFmtId="0" fontId="49" fillId="20" borderId="6" xfId="0" applyFont="1" applyFill="1" applyBorder="1" applyAlignment="1">
      <alignment horizontal="left" vertical="center" wrapText="1"/>
    </xf>
    <xf numFmtId="0" fontId="49" fillId="20" borderId="91" xfId="0" applyFont="1" applyFill="1" applyBorder="1" applyAlignment="1">
      <alignment horizontal="left" vertical="center" wrapText="1"/>
    </xf>
    <xf numFmtId="0" fontId="49" fillId="20" borderId="14" xfId="0" applyFont="1" applyFill="1" applyBorder="1" applyAlignment="1">
      <alignment horizontal="left" vertical="center" wrapText="1"/>
    </xf>
    <xf numFmtId="0" fontId="49" fillId="20" borderId="139" xfId="0" applyFont="1" applyFill="1" applyBorder="1" applyAlignment="1">
      <alignment horizontal="left" vertical="center" wrapText="1"/>
    </xf>
    <xf numFmtId="0" fontId="49" fillId="20" borderId="127" xfId="0" applyFont="1" applyFill="1" applyBorder="1" applyAlignment="1">
      <alignment horizontal="left" vertical="center" wrapText="1"/>
    </xf>
    <xf numFmtId="0" fontId="49" fillId="4" borderId="102" xfId="0" applyFont="1" applyFill="1" applyBorder="1" applyAlignment="1">
      <alignment horizontal="left" vertical="center" wrapText="1"/>
    </xf>
    <xf numFmtId="0" fontId="49" fillId="4" borderId="141" xfId="0" applyFont="1" applyFill="1" applyBorder="1" applyAlignment="1">
      <alignment horizontal="left" vertical="center" wrapText="1"/>
    </xf>
    <xf numFmtId="0" fontId="49" fillId="4" borderId="142" xfId="0" applyFont="1" applyFill="1" applyBorder="1" applyAlignment="1">
      <alignment horizontal="left" vertical="center" wrapText="1"/>
    </xf>
    <xf numFmtId="0" fontId="49" fillId="4" borderId="171" xfId="0" applyFont="1" applyFill="1" applyBorder="1" applyAlignment="1">
      <alignment horizontal="left" vertical="center" wrapText="1"/>
    </xf>
    <xf numFmtId="0" fontId="49" fillId="4" borderId="173" xfId="0" applyFont="1" applyFill="1" applyBorder="1" applyAlignment="1">
      <alignment horizontal="left" vertical="center" wrapText="1"/>
    </xf>
    <xf numFmtId="0" fontId="49" fillId="4" borderId="177" xfId="0" applyFont="1" applyFill="1" applyBorder="1" applyAlignment="1">
      <alignment horizontal="left" vertical="center" wrapText="1"/>
    </xf>
    <xf numFmtId="0" fontId="49" fillId="4" borderId="112" xfId="0" applyFont="1" applyFill="1" applyBorder="1" applyAlignment="1">
      <alignment horizontal="left" vertical="center" wrapText="1"/>
    </xf>
    <xf numFmtId="0" fontId="57" fillId="7" borderId="122" xfId="0" applyFont="1" applyFill="1" applyBorder="1" applyAlignment="1">
      <alignment horizontal="left" vertical="center" wrapText="1"/>
    </xf>
    <xf numFmtId="165" fontId="53" fillId="6" borderId="0" xfId="0" applyNumberFormat="1" applyFont="1" applyFill="1" applyAlignment="1">
      <alignment horizontal="left" vertical="center" wrapText="1"/>
    </xf>
    <xf numFmtId="0" fontId="57" fillId="7" borderId="64" xfId="0" applyFont="1" applyFill="1" applyBorder="1" applyAlignment="1">
      <alignment horizontal="left" vertical="center" wrapText="1"/>
    </xf>
    <xf numFmtId="165" fontId="53" fillId="0" borderId="0" xfId="0" applyNumberFormat="1" applyFont="1" applyAlignment="1">
      <alignment horizontal="left" vertical="center" wrapText="1"/>
    </xf>
    <xf numFmtId="0" fontId="57" fillId="7" borderId="40" xfId="0" applyFont="1" applyFill="1" applyBorder="1" applyAlignment="1">
      <alignment horizontal="left" vertical="center" wrapText="1"/>
    </xf>
    <xf numFmtId="0" fontId="57" fillId="7" borderId="42" xfId="0" applyFont="1" applyFill="1" applyBorder="1" applyAlignment="1">
      <alignment horizontal="left" vertical="center" wrapText="1"/>
    </xf>
    <xf numFmtId="0" fontId="57" fillId="7" borderId="97" xfId="0" applyFont="1" applyFill="1" applyBorder="1" applyAlignment="1">
      <alignment horizontal="left" vertical="center" wrapText="1"/>
    </xf>
    <xf numFmtId="0" fontId="56" fillId="0" borderId="0" xfId="0" applyFont="1" applyAlignment="1">
      <alignment horizontal="center" vertical="center" wrapText="1"/>
    </xf>
    <xf numFmtId="0" fontId="46" fillId="10" borderId="213" xfId="0" quotePrefix="1" applyFont="1" applyFill="1" applyBorder="1" applyAlignment="1">
      <alignment horizontal="left" vertical="center" wrapText="1"/>
    </xf>
    <xf numFmtId="0" fontId="46" fillId="10" borderId="173" xfId="0" quotePrefix="1" applyFont="1" applyFill="1" applyBorder="1" applyAlignment="1">
      <alignment horizontal="left" vertical="center" wrapText="1"/>
    </xf>
    <xf numFmtId="0" fontId="46" fillId="10" borderId="102" xfId="0" quotePrefix="1" applyFont="1" applyFill="1" applyBorder="1" applyAlignment="1">
      <alignment horizontal="left" vertical="center" wrapText="1"/>
    </xf>
    <xf numFmtId="0" fontId="49" fillId="10" borderId="175" xfId="0" applyFont="1" applyFill="1" applyBorder="1" applyAlignment="1">
      <alignment horizontal="left" vertical="center" wrapText="1"/>
    </xf>
    <xf numFmtId="167" fontId="46" fillId="10" borderId="173" xfId="0" applyNumberFormat="1" applyFont="1" applyFill="1" applyBorder="1" applyAlignment="1">
      <alignment horizontal="left" vertical="center" wrapText="1"/>
    </xf>
    <xf numFmtId="0" fontId="46" fillId="10" borderId="212" xfId="0" quotePrefix="1" applyFont="1" applyFill="1" applyBorder="1" applyAlignment="1">
      <alignment horizontal="left" vertical="center" wrapText="1"/>
    </xf>
    <xf numFmtId="0" fontId="46" fillId="10" borderId="101" xfId="0" quotePrefix="1" applyFont="1" applyFill="1" applyBorder="1" applyAlignment="1">
      <alignment horizontal="left" vertical="center" wrapText="1"/>
    </xf>
    <xf numFmtId="0" fontId="46" fillId="10" borderId="6" xfId="0" quotePrefix="1" applyFont="1" applyFill="1" applyBorder="1" applyAlignment="1">
      <alignment horizontal="left" vertical="center" wrapText="1"/>
    </xf>
    <xf numFmtId="167" fontId="46" fillId="10" borderId="6" xfId="0" applyNumberFormat="1" applyFont="1" applyFill="1" applyBorder="1" applyAlignment="1">
      <alignment horizontal="left" vertical="center" wrapText="1"/>
    </xf>
    <xf numFmtId="167" fontId="46" fillId="10" borderId="101" xfId="0" applyNumberFormat="1" applyFont="1" applyFill="1" applyBorder="1" applyAlignment="1">
      <alignment horizontal="left" vertical="center" wrapText="1"/>
    </xf>
    <xf numFmtId="0" fontId="46" fillId="10" borderId="10" xfId="0" quotePrefix="1" applyFont="1" applyFill="1" applyBorder="1" applyAlignment="1">
      <alignment horizontal="left" vertical="center" wrapText="1"/>
    </xf>
    <xf numFmtId="167" fontId="46" fillId="10" borderId="10" xfId="0" applyNumberFormat="1" applyFont="1" applyFill="1" applyBorder="1" applyAlignment="1">
      <alignment horizontal="left" vertical="center" wrapText="1"/>
    </xf>
    <xf numFmtId="167" fontId="46" fillId="10" borderId="115" xfId="0" applyNumberFormat="1" applyFont="1" applyFill="1" applyBorder="1" applyAlignment="1">
      <alignment horizontal="left" vertical="center" wrapText="1"/>
    </xf>
    <xf numFmtId="0" fontId="46" fillId="7" borderId="102" xfId="0" quotePrefix="1" applyFont="1" applyFill="1" applyBorder="1" applyAlignment="1">
      <alignment horizontal="left" vertical="center" wrapText="1"/>
    </xf>
    <xf numFmtId="0" fontId="46" fillId="7" borderId="101" xfId="0" applyFont="1" applyFill="1" applyBorder="1" applyAlignment="1">
      <alignment horizontal="left" vertical="center" wrapText="1"/>
    </xf>
    <xf numFmtId="0" fontId="46" fillId="7" borderId="6" xfId="0" quotePrefix="1" applyFont="1" applyFill="1" applyBorder="1" applyAlignment="1">
      <alignment horizontal="left" vertical="center" wrapText="1"/>
    </xf>
    <xf numFmtId="0" fontId="49" fillId="7" borderId="7" xfId="0" applyFont="1" applyFill="1" applyBorder="1" applyAlignment="1">
      <alignment horizontal="left" vertical="center" wrapText="1"/>
    </xf>
    <xf numFmtId="167" fontId="46" fillId="7" borderId="6" xfId="0" applyNumberFormat="1" applyFont="1" applyFill="1" applyBorder="1" applyAlignment="1">
      <alignment horizontal="left" vertical="center" wrapText="1"/>
    </xf>
    <xf numFmtId="0" fontId="46" fillId="7" borderId="101" xfId="0" quotePrefix="1" applyFont="1" applyFill="1" applyBorder="1" applyAlignment="1">
      <alignment horizontal="left" vertical="center" wrapText="1"/>
    </xf>
    <xf numFmtId="167" fontId="46" fillId="7" borderId="101" xfId="0" applyNumberFormat="1" applyFont="1" applyFill="1" applyBorder="1" applyAlignment="1">
      <alignment horizontal="left" vertical="center" wrapText="1"/>
    </xf>
    <xf numFmtId="0" fontId="46" fillId="7" borderId="115" xfId="0" quotePrefix="1" applyFont="1" applyFill="1" applyBorder="1" applyAlignment="1">
      <alignment horizontal="left" vertical="center" wrapText="1"/>
    </xf>
    <xf numFmtId="0" fontId="46" fillId="7" borderId="10" xfId="0" quotePrefix="1" applyFont="1" applyFill="1" applyBorder="1" applyAlignment="1">
      <alignment horizontal="left" vertical="center" wrapText="1"/>
    </xf>
    <xf numFmtId="167" fontId="46" fillId="7" borderId="10" xfId="0" applyNumberFormat="1" applyFont="1" applyFill="1" applyBorder="1" applyAlignment="1">
      <alignment horizontal="left" vertical="center" wrapText="1"/>
    </xf>
    <xf numFmtId="167" fontId="46" fillId="7" borderId="115" xfId="0" applyNumberFormat="1" applyFont="1" applyFill="1" applyBorder="1" applyAlignment="1">
      <alignment horizontal="left" vertical="center" wrapText="1"/>
    </xf>
    <xf numFmtId="0" fontId="49" fillId="8" borderId="7" xfId="0" quotePrefix="1" applyFont="1" applyFill="1" applyBorder="1" applyAlignment="1">
      <alignment horizontal="left" vertical="center" wrapText="1"/>
    </xf>
    <xf numFmtId="0" fontId="49" fillId="8" borderId="101" xfId="0" quotePrefix="1" applyFont="1" applyFill="1" applyBorder="1" applyAlignment="1">
      <alignment horizontal="left" vertical="center" wrapText="1"/>
    </xf>
    <xf numFmtId="0" fontId="49" fillId="8" borderId="6" xfId="0" quotePrefix="1" applyFont="1" applyFill="1" applyBorder="1" applyAlignment="1">
      <alignment horizontal="left" vertical="center" wrapText="1"/>
    </xf>
    <xf numFmtId="165" fontId="49" fillId="8" borderId="6" xfId="0" applyNumberFormat="1" applyFont="1" applyFill="1" applyBorder="1" applyAlignment="1">
      <alignment horizontal="left" vertical="center" wrapText="1"/>
    </xf>
    <xf numFmtId="2" fontId="49" fillId="8" borderId="6" xfId="0" applyNumberFormat="1" applyFont="1" applyFill="1" applyBorder="1" applyAlignment="1">
      <alignment horizontal="left" vertical="center" wrapText="1"/>
    </xf>
    <xf numFmtId="2" fontId="49" fillId="8" borderId="173" xfId="0" applyNumberFormat="1" applyFont="1" applyFill="1" applyBorder="1" applyAlignment="1">
      <alignment horizontal="left" vertical="center" wrapText="1"/>
    </xf>
    <xf numFmtId="167" fontId="49" fillId="8" borderId="6" xfId="0" applyNumberFormat="1" applyFont="1" applyFill="1" applyBorder="1" applyAlignment="1">
      <alignment horizontal="left" vertical="center" wrapText="1"/>
    </xf>
    <xf numFmtId="0" fontId="49" fillId="8" borderId="38" xfId="0" quotePrefix="1" applyFont="1" applyFill="1" applyBorder="1" applyAlignment="1">
      <alignment horizontal="left" vertical="center" wrapText="1"/>
    </xf>
    <xf numFmtId="0" fontId="49" fillId="8" borderId="102" xfId="0" quotePrefix="1" applyFont="1" applyFill="1" applyBorder="1" applyAlignment="1">
      <alignment horizontal="left" vertical="center" wrapText="1"/>
    </xf>
    <xf numFmtId="0" fontId="49" fillId="8" borderId="14" xfId="0" quotePrefix="1" applyFont="1" applyFill="1" applyBorder="1" applyAlignment="1">
      <alignment horizontal="left" vertical="center" wrapText="1"/>
    </xf>
    <xf numFmtId="2" fontId="49" fillId="8" borderId="14" xfId="0" applyNumberFormat="1" applyFont="1" applyFill="1" applyBorder="1" applyAlignment="1">
      <alignment horizontal="left" vertical="center" wrapText="1"/>
    </xf>
    <xf numFmtId="0" fontId="49" fillId="8" borderId="7" xfId="0" applyFont="1" applyFill="1" applyBorder="1" applyAlignment="1">
      <alignment horizontal="left" vertical="center" wrapText="1"/>
    </xf>
    <xf numFmtId="167" fontId="49" fillId="8" borderId="173" xfId="0" applyNumberFormat="1" applyFont="1" applyFill="1" applyBorder="1" applyAlignment="1">
      <alignment horizontal="left" vertical="center" wrapText="1"/>
    </xf>
    <xf numFmtId="166" fontId="49" fillId="8" borderId="173" xfId="0" applyNumberFormat="1" applyFont="1" applyFill="1" applyBorder="1" applyAlignment="1">
      <alignment horizontal="left" vertical="center" wrapText="1"/>
    </xf>
    <xf numFmtId="0" fontId="49" fillId="8" borderId="7" xfId="0" applyFont="1" applyFill="1" applyBorder="1" applyAlignment="1">
      <alignment vertical="center" wrapText="1"/>
    </xf>
    <xf numFmtId="0" fontId="49" fillId="8" borderId="143" xfId="0" quotePrefix="1" applyFont="1" applyFill="1" applyBorder="1" applyAlignment="1">
      <alignment horizontal="left" vertical="center" wrapText="1"/>
    </xf>
    <xf numFmtId="0" fontId="49" fillId="8" borderId="157" xfId="0" quotePrefix="1" applyFont="1" applyFill="1" applyBorder="1" applyAlignment="1">
      <alignment horizontal="left" vertical="center" wrapText="1"/>
    </xf>
    <xf numFmtId="1" fontId="49" fillId="8" borderId="157" xfId="0" applyNumberFormat="1" applyFont="1" applyFill="1" applyBorder="1" applyAlignment="1">
      <alignment horizontal="left" vertical="center" wrapText="1"/>
    </xf>
    <xf numFmtId="2" fontId="49" fillId="8" borderId="157" xfId="0" applyNumberFormat="1" applyFont="1" applyFill="1" applyBorder="1" applyAlignment="1">
      <alignment horizontal="left" vertical="center" wrapText="1"/>
    </xf>
    <xf numFmtId="0" fontId="49" fillId="8" borderId="145" xfId="0" quotePrefix="1" applyFont="1" applyFill="1" applyBorder="1" applyAlignment="1">
      <alignment horizontal="left" vertical="center" wrapText="1"/>
    </xf>
    <xf numFmtId="0" fontId="49" fillId="8" borderId="142" xfId="0" quotePrefix="1" applyFont="1" applyFill="1" applyBorder="1" applyAlignment="1">
      <alignment horizontal="left" vertical="center" wrapText="1"/>
    </xf>
    <xf numFmtId="1" fontId="49" fillId="8" borderId="142" xfId="0" applyNumberFormat="1" applyFont="1" applyFill="1" applyBorder="1" applyAlignment="1">
      <alignment horizontal="left" vertical="center" wrapText="1"/>
    </xf>
    <xf numFmtId="0" fontId="49" fillId="25" borderId="38" xfId="0" quotePrefix="1" applyFont="1" applyFill="1" applyBorder="1" applyAlignment="1">
      <alignment horizontal="left" vertical="center" wrapText="1"/>
    </xf>
    <xf numFmtId="0" fontId="49" fillId="25" borderId="14" xfId="0" quotePrefix="1" applyFont="1" applyFill="1" applyBorder="1" applyAlignment="1">
      <alignment horizontal="left" vertical="center" wrapText="1"/>
    </xf>
    <xf numFmtId="0" fontId="49" fillId="25" borderId="7" xfId="0" quotePrefix="1" applyFont="1" applyFill="1" applyBorder="1" applyAlignment="1">
      <alignment horizontal="left" vertical="center" wrapText="1"/>
    </xf>
    <xf numFmtId="0" fontId="49" fillId="25" borderId="6" xfId="0" quotePrefix="1" applyFont="1" applyFill="1" applyBorder="1" applyAlignment="1">
      <alignment horizontal="left" vertical="center" wrapText="1"/>
    </xf>
    <xf numFmtId="167" fontId="49" fillId="25" borderId="6" xfId="0" applyNumberFormat="1" applyFont="1" applyFill="1" applyBorder="1" applyAlignment="1">
      <alignment horizontal="left" vertical="center" wrapText="1"/>
    </xf>
    <xf numFmtId="166" fontId="49" fillId="25" borderId="6" xfId="0" applyNumberFormat="1" applyFont="1" applyFill="1" applyBorder="1" applyAlignment="1">
      <alignment horizontal="left" vertical="center" wrapText="1"/>
    </xf>
    <xf numFmtId="0" fontId="49" fillId="25" borderId="9" xfId="0" quotePrefix="1" applyFont="1" applyFill="1" applyBorder="1" applyAlignment="1">
      <alignment horizontal="left" vertical="center" wrapText="1"/>
    </xf>
    <xf numFmtId="0" fontId="49" fillId="25" borderId="10" xfId="0" quotePrefix="1" applyFont="1" applyFill="1" applyBorder="1" applyAlignment="1">
      <alignment horizontal="left" vertical="center" wrapText="1"/>
    </xf>
    <xf numFmtId="0" fontId="49" fillId="11" borderId="143" xfId="0" quotePrefix="1" applyFont="1" applyFill="1" applyBorder="1" applyAlignment="1">
      <alignment horizontal="left" vertical="center" wrapText="1"/>
    </xf>
    <xf numFmtId="0" fontId="49" fillId="11" borderId="157" xfId="0" quotePrefix="1" applyFont="1" applyFill="1" applyBorder="1" applyAlignment="1">
      <alignment horizontal="left" vertical="center" wrapText="1"/>
    </xf>
    <xf numFmtId="165" fontId="49" fillId="11" borderId="157" xfId="0" applyNumberFormat="1" applyFont="1" applyFill="1" applyBorder="1" applyAlignment="1">
      <alignment horizontal="left" vertical="center" wrapText="1"/>
    </xf>
    <xf numFmtId="0" fontId="49" fillId="11" borderId="143" xfId="0" applyFont="1" applyFill="1" applyBorder="1" applyAlignment="1">
      <alignment horizontal="left" vertical="center" wrapText="1"/>
    </xf>
    <xf numFmtId="167" fontId="49" fillId="11" borderId="157" xfId="0" applyNumberFormat="1" applyFont="1" applyFill="1" applyBorder="1" applyAlignment="1">
      <alignment horizontal="left" vertical="center" wrapText="1"/>
    </xf>
    <xf numFmtId="0" fontId="49" fillId="11" borderId="145" xfId="0" applyFont="1" applyFill="1" applyBorder="1" applyAlignment="1">
      <alignment horizontal="left" vertical="center" wrapText="1"/>
    </xf>
    <xf numFmtId="0" fontId="49" fillId="11" borderId="142" xfId="0" quotePrefix="1" applyFont="1" applyFill="1" applyBorder="1" applyAlignment="1">
      <alignment horizontal="left" vertical="center" wrapText="1"/>
    </xf>
    <xf numFmtId="0" fontId="57" fillId="7" borderId="76" xfId="0" applyFont="1" applyFill="1" applyBorder="1" applyAlignment="1">
      <alignment horizontal="left" vertical="center" wrapText="1"/>
    </xf>
    <xf numFmtId="0" fontId="57" fillId="7" borderId="72" xfId="0" applyFont="1" applyFill="1" applyBorder="1" applyAlignment="1">
      <alignment horizontal="left" vertical="center" wrapText="1"/>
    </xf>
    <xf numFmtId="0" fontId="49" fillId="12" borderId="138" xfId="0" quotePrefix="1" applyFont="1" applyFill="1" applyBorder="1" applyAlignment="1">
      <alignment horizontal="left" vertical="center" wrapText="1"/>
    </xf>
    <xf numFmtId="0" fontId="49" fillId="12" borderId="139" xfId="0" quotePrefix="1" applyFont="1" applyFill="1" applyBorder="1" applyAlignment="1">
      <alignment horizontal="left" vertical="center" wrapText="1"/>
    </xf>
    <xf numFmtId="0" fontId="49" fillId="12" borderId="143" xfId="0" quotePrefix="1" applyFont="1" applyFill="1" applyBorder="1" applyAlignment="1">
      <alignment horizontal="left" vertical="center" wrapText="1"/>
    </xf>
    <xf numFmtId="0" fontId="49" fillId="12" borderId="127" xfId="0" quotePrefix="1" applyFont="1" applyFill="1" applyBorder="1" applyAlignment="1">
      <alignment horizontal="left" vertical="center" wrapText="1"/>
    </xf>
    <xf numFmtId="0" fontId="49" fillId="12" borderId="145" xfId="0" quotePrefix="1" applyFont="1" applyFill="1" applyBorder="1" applyAlignment="1">
      <alignment horizontal="left" vertical="center" wrapText="1"/>
    </xf>
    <xf numFmtId="0" fontId="49" fillId="12" borderId="142" xfId="0" quotePrefix="1" applyFont="1" applyFill="1" applyBorder="1" applyAlignment="1">
      <alignment horizontal="left" vertical="center" wrapText="1"/>
    </xf>
    <xf numFmtId="0" fontId="49" fillId="12" borderId="38" xfId="0" quotePrefix="1" applyFont="1" applyFill="1" applyBorder="1" applyAlignment="1">
      <alignment horizontal="left" vertical="center" wrapText="1"/>
    </xf>
    <xf numFmtId="0" fontId="49" fillId="12" borderId="102" xfId="0" quotePrefix="1" applyFont="1" applyFill="1" applyBorder="1" applyAlignment="1">
      <alignment horizontal="left" vertical="center" wrapText="1"/>
    </xf>
    <xf numFmtId="0" fontId="49" fillId="12" borderId="14" xfId="0" quotePrefix="1" applyFont="1" applyFill="1" applyBorder="1" applyAlignment="1">
      <alignment horizontal="left" vertical="center" wrapText="1"/>
    </xf>
    <xf numFmtId="0" fontId="49" fillId="12" borderId="6" xfId="0" quotePrefix="1" applyFont="1" applyFill="1" applyBorder="1" applyAlignment="1">
      <alignment horizontal="left" vertical="center" wrapText="1"/>
    </xf>
    <xf numFmtId="0" fontId="49" fillId="12" borderId="7" xfId="0" quotePrefix="1" applyFont="1" applyFill="1" applyBorder="1" applyAlignment="1">
      <alignment horizontal="left" vertical="center" wrapText="1"/>
    </xf>
    <xf numFmtId="0" fontId="49" fillId="12" borderId="101" xfId="0" quotePrefix="1" applyFont="1" applyFill="1" applyBorder="1" applyAlignment="1">
      <alignment horizontal="left" vertical="center" wrapText="1"/>
    </xf>
    <xf numFmtId="167" fontId="49" fillId="12" borderId="6" xfId="0" applyNumberFormat="1" applyFont="1" applyFill="1" applyBorder="1" applyAlignment="1">
      <alignment horizontal="left" vertical="center" wrapText="1"/>
    </xf>
    <xf numFmtId="166" fontId="49" fillId="12" borderId="6" xfId="0" applyNumberFormat="1" applyFont="1" applyFill="1" applyBorder="1" applyAlignment="1">
      <alignment horizontal="left" vertical="center" wrapText="1"/>
    </xf>
    <xf numFmtId="0" fontId="49" fillId="12" borderId="9" xfId="0" quotePrefix="1" applyFont="1" applyFill="1" applyBorder="1" applyAlignment="1">
      <alignment horizontal="left" vertical="center" wrapText="1"/>
    </xf>
    <xf numFmtId="0" fontId="49" fillId="12" borderId="10" xfId="0" quotePrefix="1" applyFont="1" applyFill="1" applyBorder="1" applyAlignment="1">
      <alignment horizontal="left" vertical="center" wrapText="1"/>
    </xf>
    <xf numFmtId="0" fontId="49" fillId="10" borderId="109" xfId="0" applyFont="1" applyFill="1" applyBorder="1" applyAlignment="1">
      <alignment vertical="center" wrapText="1"/>
    </xf>
    <xf numFmtId="0" fontId="49" fillId="10" borderId="101" xfId="0" quotePrefix="1" applyFont="1" applyFill="1" applyBorder="1" applyAlignment="1">
      <alignment horizontal="left" vertical="center" wrapText="1"/>
    </xf>
    <xf numFmtId="2" fontId="49" fillId="10" borderId="101" xfId="0" applyNumberFormat="1" applyFont="1" applyFill="1" applyBorder="1" applyAlignment="1">
      <alignment horizontal="left" vertical="center" wrapText="1"/>
    </xf>
    <xf numFmtId="0" fontId="49" fillId="8" borderId="109" xfId="0" applyFont="1" applyFill="1" applyBorder="1" applyAlignment="1">
      <alignment horizontal="left" vertical="center" wrapText="1"/>
    </xf>
    <xf numFmtId="0" fontId="49" fillId="8" borderId="110" xfId="0" applyFont="1" applyFill="1" applyBorder="1" applyAlignment="1">
      <alignment horizontal="left" vertical="center" wrapText="1"/>
    </xf>
    <xf numFmtId="0" fontId="49" fillId="8" borderId="105" xfId="0" applyFont="1" applyFill="1" applyBorder="1" applyAlignment="1">
      <alignment horizontal="left" vertical="center" wrapText="1"/>
    </xf>
    <xf numFmtId="0" fontId="49" fillId="8" borderId="108" xfId="0" quotePrefix="1" applyFont="1" applyFill="1" applyBorder="1" applyAlignment="1">
      <alignment horizontal="left" vertical="center" wrapText="1"/>
    </xf>
    <xf numFmtId="0" fontId="49" fillId="8" borderId="106" xfId="0" applyFont="1" applyFill="1" applyBorder="1" applyAlignment="1">
      <alignment horizontal="left" vertical="center" wrapText="1"/>
    </xf>
    <xf numFmtId="0" fontId="46" fillId="8" borderId="6" xfId="0" quotePrefix="1" applyFont="1" applyFill="1" applyBorder="1" applyAlignment="1">
      <alignment horizontal="left" vertical="center" wrapText="1"/>
    </xf>
    <xf numFmtId="0" fontId="49" fillId="21" borderId="7" xfId="0" applyFont="1" applyFill="1" applyBorder="1" applyAlignment="1">
      <alignment horizontal="left" vertical="center" wrapText="1"/>
    </xf>
    <xf numFmtId="0" fontId="49" fillId="21" borderId="101" xfId="0" quotePrefix="1" applyFont="1" applyFill="1" applyBorder="1" applyAlignment="1">
      <alignment horizontal="left" vertical="center" wrapText="1"/>
    </xf>
    <xf numFmtId="0" fontId="49" fillId="21" borderId="6" xfId="0" quotePrefix="1" applyFont="1" applyFill="1" applyBorder="1" applyAlignment="1">
      <alignment horizontal="left" vertical="center" wrapText="1"/>
    </xf>
    <xf numFmtId="0" fontId="49" fillId="21" borderId="8" xfId="0" applyFont="1" applyFill="1" applyBorder="1" applyAlignment="1">
      <alignment horizontal="left" vertical="center" wrapText="1"/>
    </xf>
    <xf numFmtId="0" fontId="49" fillId="21" borderId="7" xfId="0" applyFont="1" applyFill="1" applyBorder="1" applyAlignment="1">
      <alignment vertical="center" wrapText="1"/>
    </xf>
    <xf numFmtId="2" fontId="49" fillId="21" borderId="6" xfId="0" applyNumberFormat="1" applyFont="1" applyFill="1" applyBorder="1" applyAlignment="1">
      <alignment horizontal="left" vertical="center" wrapText="1"/>
    </xf>
    <xf numFmtId="0" fontId="49" fillId="21" borderId="8" xfId="0" applyFont="1" applyFill="1" applyBorder="1" applyAlignment="1">
      <alignment vertical="center" wrapText="1"/>
    </xf>
    <xf numFmtId="0" fontId="46" fillId="21" borderId="6" xfId="0" quotePrefix="1" applyFont="1" applyFill="1" applyBorder="1" applyAlignment="1">
      <alignment horizontal="left" vertical="center" wrapText="1"/>
    </xf>
    <xf numFmtId="165" fontId="46" fillId="21" borderId="6" xfId="0" applyNumberFormat="1" applyFont="1" applyFill="1" applyBorder="1" applyAlignment="1">
      <alignment horizontal="left" vertical="center" wrapText="1"/>
    </xf>
    <xf numFmtId="0" fontId="46" fillId="10" borderId="7" xfId="0" applyFont="1" applyFill="1" applyBorder="1" applyAlignment="1">
      <alignment vertical="center" wrapText="1"/>
    </xf>
    <xf numFmtId="0" fontId="46" fillId="10" borderId="101" xfId="0" applyFont="1" applyFill="1" applyBorder="1" applyAlignment="1">
      <alignment horizontal="left" vertical="center" wrapText="1"/>
    </xf>
    <xf numFmtId="165" fontId="46" fillId="10" borderId="6" xfId="0" applyNumberFormat="1" applyFont="1" applyFill="1" applyBorder="1" applyAlignment="1">
      <alignment horizontal="left" vertical="center" wrapText="1"/>
    </xf>
    <xf numFmtId="165" fontId="46" fillId="10" borderId="173" xfId="0" applyNumberFormat="1" applyFont="1" applyFill="1" applyBorder="1" applyAlignment="1">
      <alignment horizontal="left" vertical="center" wrapText="1"/>
    </xf>
    <xf numFmtId="0" fontId="46" fillId="22" borderId="7" xfId="0" applyFont="1" applyFill="1" applyBorder="1" applyAlignment="1">
      <alignment vertical="center" wrapText="1"/>
    </xf>
    <xf numFmtId="0" fontId="46" fillId="22" borderId="101" xfId="0" applyFont="1" applyFill="1" applyBorder="1" applyAlignment="1">
      <alignment horizontal="left" vertical="center" wrapText="1"/>
    </xf>
    <xf numFmtId="0" fontId="46" fillId="22" borderId="6" xfId="0" quotePrefix="1" applyFont="1" applyFill="1" applyBorder="1" applyAlignment="1">
      <alignment horizontal="left" vertical="center" wrapText="1"/>
    </xf>
    <xf numFmtId="165" fontId="46" fillId="22" borderId="6" xfId="0" applyNumberFormat="1" applyFont="1" applyFill="1" applyBorder="1" applyAlignment="1">
      <alignment horizontal="left" vertical="center" wrapText="1"/>
    </xf>
    <xf numFmtId="0" fontId="49" fillId="22" borderId="6" xfId="0" applyFont="1" applyFill="1" applyBorder="1" applyAlignment="1">
      <alignment horizontal="left" vertical="center" wrapText="1"/>
    </xf>
    <xf numFmtId="0" fontId="46" fillId="20" borderId="7" xfId="0" applyFont="1" applyFill="1" applyBorder="1" applyAlignment="1">
      <alignment vertical="center" wrapText="1"/>
    </xf>
    <xf numFmtId="0" fontId="46" fillId="20" borderId="101" xfId="0" applyFont="1" applyFill="1" applyBorder="1" applyAlignment="1">
      <alignment horizontal="left" vertical="center" wrapText="1"/>
    </xf>
    <xf numFmtId="0" fontId="46" fillId="20" borderId="6" xfId="0" quotePrefix="1" applyFont="1" applyFill="1" applyBorder="1" applyAlignment="1">
      <alignment horizontal="left" vertical="center" wrapText="1"/>
    </xf>
    <xf numFmtId="165" fontId="46" fillId="20" borderId="6" xfId="0" applyNumberFormat="1" applyFont="1" applyFill="1" applyBorder="1" applyAlignment="1">
      <alignment horizontal="left" vertical="center" wrapText="1"/>
    </xf>
    <xf numFmtId="0" fontId="46" fillId="11" borderId="143" xfId="0" applyFont="1" applyFill="1" applyBorder="1" applyAlignment="1">
      <alignment horizontal="left" vertical="center" wrapText="1"/>
    </xf>
    <xf numFmtId="0" fontId="46" fillId="11" borderId="157" xfId="0" quotePrefix="1" applyFont="1" applyFill="1" applyBorder="1" applyAlignment="1">
      <alignment horizontal="left" vertical="center" wrapText="1"/>
    </xf>
    <xf numFmtId="165" fontId="46" fillId="11" borderId="157" xfId="0" applyNumberFormat="1" applyFont="1" applyFill="1" applyBorder="1" applyAlignment="1">
      <alignment horizontal="left" vertical="center" wrapText="1"/>
    </xf>
    <xf numFmtId="0" fontId="49" fillId="19" borderId="157" xfId="0" quotePrefix="1" applyFont="1" applyFill="1" applyBorder="1" applyAlignment="1">
      <alignment horizontal="left" vertical="center" wrapText="1"/>
    </xf>
    <xf numFmtId="0" fontId="49" fillId="12" borderId="7" xfId="0" applyFont="1" applyFill="1" applyBorder="1" applyAlignment="1">
      <alignment horizontal="left" vertical="center" wrapText="1"/>
    </xf>
    <xf numFmtId="0" fontId="46" fillId="12" borderId="6" xfId="0" quotePrefix="1" applyFont="1" applyFill="1" applyBorder="1" applyAlignment="1">
      <alignment horizontal="left" vertical="center" wrapText="1"/>
    </xf>
    <xf numFmtId="0" fontId="49" fillId="18" borderId="7" xfId="0" applyFont="1" applyFill="1" applyBorder="1" applyAlignment="1">
      <alignment horizontal="left" vertical="center" wrapText="1"/>
    </xf>
    <xf numFmtId="0" fontId="49" fillId="18" borderId="101" xfId="0" quotePrefix="1" applyFont="1" applyFill="1" applyBorder="1" applyAlignment="1">
      <alignment horizontal="left" vertical="center" wrapText="1"/>
    </xf>
    <xf numFmtId="0" fontId="49" fillId="18" borderId="6" xfId="0" quotePrefix="1" applyFont="1" applyFill="1" applyBorder="1" applyAlignment="1">
      <alignment horizontal="left" vertical="center" wrapText="1"/>
    </xf>
    <xf numFmtId="0" fontId="49" fillId="18" borderId="8" xfId="0" applyFont="1" applyFill="1" applyBorder="1" applyAlignment="1">
      <alignment horizontal="left" vertical="center" wrapText="1"/>
    </xf>
    <xf numFmtId="0" fontId="46" fillId="18" borderId="6" xfId="0" quotePrefix="1" applyFont="1" applyFill="1" applyBorder="1" applyAlignment="1">
      <alignment horizontal="left" vertical="center" wrapText="1"/>
    </xf>
    <xf numFmtId="0" fontId="49" fillId="7" borderId="109" xfId="0" applyFont="1" applyFill="1" applyBorder="1" applyAlignment="1">
      <alignment horizontal="left" vertical="center" wrapText="1"/>
    </xf>
    <xf numFmtId="0" fontId="49" fillId="7" borderId="101" xfId="0" quotePrefix="1" applyFont="1" applyFill="1" applyBorder="1" applyAlignment="1">
      <alignment horizontal="left" vertical="center" wrapText="1"/>
    </xf>
    <xf numFmtId="0" fontId="49" fillId="7" borderId="6" xfId="0" quotePrefix="1" applyFont="1" applyFill="1" applyBorder="1" applyAlignment="1">
      <alignment horizontal="left" vertical="center" wrapText="1"/>
    </xf>
    <xf numFmtId="0" fontId="49" fillId="7" borderId="8" xfId="0" applyFont="1" applyFill="1" applyBorder="1" applyAlignment="1">
      <alignment horizontal="left" vertical="center" wrapText="1"/>
    </xf>
    <xf numFmtId="0" fontId="58" fillId="7" borderId="7" xfId="0" applyFont="1" applyFill="1" applyBorder="1" applyAlignment="1">
      <alignment horizontal="left" vertical="center" wrapText="1"/>
    </xf>
    <xf numFmtId="0" fontId="46" fillId="9" borderId="101" xfId="0" applyFont="1" applyFill="1" applyBorder="1" applyAlignment="1">
      <alignment horizontal="left" vertical="center" wrapText="1"/>
    </xf>
    <xf numFmtId="0" fontId="46" fillId="9" borderId="6" xfId="0" quotePrefix="1" applyFont="1" applyFill="1" applyBorder="1" applyAlignment="1">
      <alignment horizontal="left" vertical="center" wrapText="1"/>
    </xf>
    <xf numFmtId="165" fontId="46" fillId="9" borderId="6" xfId="0" applyNumberFormat="1" applyFont="1" applyFill="1" applyBorder="1" applyAlignment="1">
      <alignment horizontal="left" vertical="center" wrapText="1"/>
    </xf>
    <xf numFmtId="0" fontId="49" fillId="9" borderId="7" xfId="0" applyFont="1" applyFill="1" applyBorder="1" applyAlignment="1">
      <alignment horizontal="left" vertical="center" wrapText="1"/>
    </xf>
    <xf numFmtId="0" fontId="49" fillId="9" borderId="6" xfId="0" quotePrefix="1" applyFont="1" applyFill="1" applyBorder="1" applyAlignment="1">
      <alignment horizontal="left" vertical="center" wrapText="1"/>
    </xf>
    <xf numFmtId="2" fontId="49" fillId="9" borderId="6" xfId="0" applyNumberFormat="1" applyFont="1" applyFill="1" applyBorder="1" applyAlignment="1">
      <alignment horizontal="left" vertical="center" wrapText="1"/>
    </xf>
    <xf numFmtId="0" fontId="49" fillId="9" borderId="8" xfId="0" applyFont="1" applyFill="1" applyBorder="1" applyAlignment="1">
      <alignment horizontal="left" vertical="center" wrapText="1"/>
    </xf>
    <xf numFmtId="0" fontId="49" fillId="9" borderId="127" xfId="0" quotePrefix="1" applyFont="1" applyFill="1" applyBorder="1" applyAlignment="1">
      <alignment horizontal="left" vertical="center" wrapText="1"/>
    </xf>
    <xf numFmtId="0" fontId="49" fillId="9" borderId="144" xfId="0" quotePrefix="1" applyFont="1" applyFill="1" applyBorder="1" applyAlignment="1">
      <alignment horizontal="left" vertical="center" wrapText="1"/>
    </xf>
    <xf numFmtId="0" fontId="49" fillId="9" borderId="101" xfId="0" quotePrefix="1" applyFont="1" applyFill="1" applyBorder="1" applyAlignment="1">
      <alignment horizontal="left" vertical="center" wrapText="1"/>
    </xf>
    <xf numFmtId="0" fontId="49" fillId="9" borderId="157" xfId="0" quotePrefix="1" applyFont="1" applyFill="1" applyBorder="1" applyAlignment="1">
      <alignment horizontal="left" vertical="center" wrapText="1"/>
    </xf>
    <xf numFmtId="0" fontId="49" fillId="9" borderId="8" xfId="0" quotePrefix="1" applyFont="1" applyFill="1" applyBorder="1" applyAlignment="1">
      <alignment horizontal="left" vertical="center" wrapText="1"/>
    </xf>
    <xf numFmtId="0" fontId="49" fillId="9" borderId="9" xfId="0" applyFont="1" applyFill="1" applyBorder="1" applyAlignment="1">
      <alignment horizontal="left" vertical="center" wrapText="1"/>
    </xf>
    <xf numFmtId="0" fontId="49" fillId="9" borderId="10" xfId="0" quotePrefix="1" applyFont="1" applyFill="1" applyBorder="1" applyAlignment="1">
      <alignment horizontal="left" vertical="center" wrapText="1"/>
    </xf>
    <xf numFmtId="0" fontId="49" fillId="9" borderId="11" xfId="0" quotePrefix="1" applyFont="1" applyFill="1" applyBorder="1" applyAlignment="1">
      <alignment horizontal="left" vertical="center" wrapText="1"/>
    </xf>
    <xf numFmtId="0" fontId="53" fillId="8" borderId="90" xfId="0" applyFont="1" applyFill="1" applyBorder="1" applyAlignment="1">
      <alignment horizontal="left" vertical="center" wrapText="1"/>
    </xf>
    <xf numFmtId="0" fontId="53" fillId="8" borderId="87" xfId="0" applyFont="1" applyFill="1" applyBorder="1" applyAlignment="1">
      <alignment horizontal="left" vertical="center" wrapText="1"/>
    </xf>
    <xf numFmtId="0" fontId="49" fillId="8" borderId="91" xfId="0" applyFont="1" applyFill="1" applyBorder="1" applyAlignment="1">
      <alignment horizontal="left" vertical="center" wrapText="1"/>
    </xf>
    <xf numFmtId="0" fontId="53" fillId="8" borderId="92" xfId="0" applyFont="1" applyFill="1" applyBorder="1" applyAlignment="1">
      <alignment horizontal="left" vertical="center" wrapText="1"/>
    </xf>
    <xf numFmtId="0" fontId="53" fillId="8" borderId="7" xfId="0" applyFont="1" applyFill="1" applyBorder="1" applyAlignment="1">
      <alignment horizontal="left" vertical="center" wrapText="1"/>
    </xf>
    <xf numFmtId="0" fontId="53" fillId="8" borderId="101" xfId="0" applyFont="1" applyFill="1" applyBorder="1" applyAlignment="1">
      <alignment horizontal="left" vertical="center" wrapText="1"/>
    </xf>
    <xf numFmtId="0" fontId="53" fillId="8" borderId="8" xfId="0" applyFont="1" applyFill="1" applyBorder="1" applyAlignment="1">
      <alignment horizontal="left" vertical="center" wrapText="1"/>
    </xf>
    <xf numFmtId="0" fontId="53" fillId="11" borderId="143" xfId="0" applyFont="1" applyFill="1" applyBorder="1" applyAlignment="1">
      <alignment horizontal="left" vertical="center" wrapText="1"/>
    </xf>
    <xf numFmtId="0" fontId="53" fillId="11" borderId="144" xfId="0" applyFont="1" applyFill="1" applyBorder="1" applyAlignment="1">
      <alignment horizontal="left" vertical="center" wrapText="1"/>
    </xf>
    <xf numFmtId="0" fontId="53" fillId="19" borderId="143" xfId="0" applyFont="1" applyFill="1" applyBorder="1" applyAlignment="1">
      <alignment horizontal="left" vertical="center" wrapText="1"/>
    </xf>
    <xf numFmtId="0" fontId="53" fillId="19" borderId="144" xfId="0" applyFont="1" applyFill="1" applyBorder="1" applyAlignment="1">
      <alignment horizontal="left" vertical="center" wrapText="1"/>
    </xf>
    <xf numFmtId="0" fontId="53" fillId="10" borderId="101" xfId="0" applyFont="1" applyFill="1" applyBorder="1" applyAlignment="1">
      <alignment horizontal="left" vertical="center" wrapText="1"/>
    </xf>
    <xf numFmtId="0" fontId="53" fillId="12" borderId="7" xfId="0" applyFont="1" applyFill="1" applyBorder="1" applyAlignment="1">
      <alignment horizontal="left" vertical="center" wrapText="1"/>
    </xf>
    <xf numFmtId="0" fontId="53" fillId="12" borderId="101" xfId="0" applyFont="1" applyFill="1" applyBorder="1" applyAlignment="1">
      <alignment horizontal="left" vertical="center" wrapText="1"/>
    </xf>
    <xf numFmtId="0" fontId="53" fillId="12" borderId="8" xfId="0" applyFont="1" applyFill="1" applyBorder="1" applyAlignment="1">
      <alignment horizontal="left" vertical="center" wrapText="1"/>
    </xf>
    <xf numFmtId="0" fontId="53" fillId="9" borderId="101" xfId="0" applyFont="1" applyFill="1" applyBorder="1" applyAlignment="1">
      <alignment horizontal="left" vertical="center" wrapText="1"/>
    </xf>
    <xf numFmtId="0" fontId="53" fillId="16" borderId="7" xfId="0" applyFont="1" applyFill="1" applyBorder="1" applyAlignment="1">
      <alignment horizontal="left" vertical="center" wrapText="1"/>
    </xf>
    <xf numFmtId="0" fontId="53" fillId="16" borderId="101" xfId="0" applyFont="1" applyFill="1" applyBorder="1" applyAlignment="1">
      <alignment horizontal="left" vertical="center" wrapText="1"/>
    </xf>
    <xf numFmtId="0" fontId="49" fillId="16" borderId="6" xfId="0" applyFont="1" applyFill="1" applyBorder="1" applyAlignment="1">
      <alignment horizontal="left" vertical="center" wrapText="1"/>
    </xf>
    <xf numFmtId="0" fontId="53" fillId="16" borderId="8" xfId="0" applyFont="1" applyFill="1" applyBorder="1" applyAlignment="1">
      <alignment horizontal="left" vertical="center" wrapText="1"/>
    </xf>
    <xf numFmtId="0" fontId="53" fillId="16" borderId="9" xfId="0" applyFont="1" applyFill="1" applyBorder="1" applyAlignment="1">
      <alignment horizontal="left" vertical="center" wrapText="1"/>
    </xf>
    <xf numFmtId="0" fontId="49" fillId="16" borderId="10" xfId="0" applyFont="1" applyFill="1" applyBorder="1" applyAlignment="1">
      <alignment horizontal="left" vertical="center" wrapText="1"/>
    </xf>
    <xf numFmtId="0" fontId="53" fillId="16" borderId="11" xfId="0" applyFont="1" applyFill="1" applyBorder="1" applyAlignment="1">
      <alignment horizontal="left" vertical="center" wrapText="1"/>
    </xf>
    <xf numFmtId="0" fontId="56" fillId="7" borderId="4" xfId="0" applyFont="1" applyFill="1" applyBorder="1" applyAlignment="1">
      <alignment horizontal="left" vertical="center" wrapText="1"/>
    </xf>
    <xf numFmtId="0" fontId="57" fillId="7" borderId="35" xfId="0" applyFont="1" applyFill="1" applyBorder="1" applyAlignment="1">
      <alignment horizontal="left" vertical="center" wrapText="1"/>
    </xf>
    <xf numFmtId="0" fontId="57" fillId="7" borderId="37" xfId="0" applyFont="1" applyFill="1" applyBorder="1" applyAlignment="1">
      <alignment horizontal="left" vertical="center" wrapText="1"/>
    </xf>
    <xf numFmtId="167" fontId="49" fillId="20" borderId="102" xfId="0" applyNumberFormat="1" applyFont="1" applyFill="1" applyBorder="1" applyAlignment="1">
      <alignment horizontal="left" vertical="center" wrapText="1"/>
    </xf>
    <xf numFmtId="0" fontId="49" fillId="20" borderId="106" xfId="0" applyFont="1" applyFill="1" applyBorder="1" applyAlignment="1">
      <alignment horizontal="left" vertical="center" wrapText="1"/>
    </xf>
    <xf numFmtId="167" fontId="49" fillId="20" borderId="157" xfId="0" applyNumberFormat="1" applyFont="1" applyFill="1" applyBorder="1" applyAlignment="1">
      <alignment horizontal="left" vertical="center" wrapText="1"/>
    </xf>
    <xf numFmtId="168" fontId="49" fillId="20" borderId="157" xfId="0" applyNumberFormat="1" applyFont="1" applyFill="1" applyBorder="1" applyAlignment="1">
      <alignment horizontal="left" vertical="center" wrapText="1"/>
    </xf>
    <xf numFmtId="0" fontId="49" fillId="20" borderId="157" xfId="0" quotePrefix="1" applyFont="1" applyFill="1" applyBorder="1" applyAlignment="1">
      <alignment horizontal="left" vertical="center" wrapText="1"/>
    </xf>
    <xf numFmtId="0" fontId="49" fillId="20" borderId="144" xfId="0" applyFont="1" applyFill="1" applyBorder="1" applyAlignment="1">
      <alignment horizontal="left" vertical="center" wrapText="1"/>
    </xf>
    <xf numFmtId="167" fontId="49" fillId="20" borderId="142" xfId="0" applyNumberFormat="1" applyFont="1" applyFill="1" applyBorder="1" applyAlignment="1">
      <alignment horizontal="left" vertical="center" wrapText="1"/>
    </xf>
    <xf numFmtId="0" fontId="49" fillId="20" borderId="142" xfId="0" quotePrefix="1" applyFont="1" applyFill="1" applyBorder="1" applyAlignment="1">
      <alignment horizontal="left" vertical="center" wrapText="1"/>
    </xf>
    <xf numFmtId="0" fontId="49" fillId="20" borderId="146" xfId="0" applyFont="1" applyFill="1" applyBorder="1" applyAlignment="1">
      <alignment horizontal="left" vertical="center" wrapText="1"/>
    </xf>
    <xf numFmtId="0" fontId="56" fillId="7" borderId="45" xfId="0" applyFont="1" applyFill="1" applyBorder="1" applyAlignment="1">
      <alignment horizontal="left" vertical="center" wrapText="1"/>
    </xf>
    <xf numFmtId="0" fontId="49" fillId="20" borderId="87" xfId="0" applyFont="1" applyFill="1" applyBorder="1" applyAlignment="1">
      <alignment horizontal="left" vertical="center" wrapText="1"/>
    </xf>
    <xf numFmtId="168" fontId="49" fillId="20" borderId="74" xfId="0" applyNumberFormat="1" applyFont="1" applyFill="1" applyBorder="1" applyAlignment="1">
      <alignment horizontal="left" vertical="center" wrapText="1"/>
    </xf>
    <xf numFmtId="0" fontId="49" fillId="20" borderId="74" xfId="0" quotePrefix="1" applyFont="1" applyFill="1" applyBorder="1" applyAlignment="1">
      <alignment horizontal="left" vertical="center" wrapText="1"/>
    </xf>
    <xf numFmtId="0" fontId="49" fillId="20" borderId="75" xfId="0" applyFont="1" applyFill="1" applyBorder="1" applyAlignment="1">
      <alignment horizontal="left" vertical="center" wrapText="1"/>
    </xf>
    <xf numFmtId="168" fontId="49" fillId="20" borderId="6" xfId="0" applyNumberFormat="1" applyFont="1" applyFill="1" applyBorder="1" applyAlignment="1">
      <alignment horizontal="left" vertical="center" wrapText="1"/>
    </xf>
    <xf numFmtId="0" fontId="49" fillId="20" borderId="6" xfId="0" quotePrefix="1" applyFont="1" applyFill="1" applyBorder="1" applyAlignment="1">
      <alignment horizontal="left" vertical="center" wrapText="1"/>
    </xf>
    <xf numFmtId="0" fontId="49" fillId="20" borderId="8" xfId="0" applyFont="1" applyFill="1" applyBorder="1" applyAlignment="1">
      <alignment horizontal="left" vertical="center" wrapText="1"/>
    </xf>
    <xf numFmtId="168" fontId="49" fillId="20" borderId="10" xfId="0" applyNumberFormat="1" applyFont="1" applyFill="1" applyBorder="1" applyAlignment="1">
      <alignment horizontal="left" vertical="center" wrapText="1"/>
    </xf>
    <xf numFmtId="0" fontId="49" fillId="20" borderId="10" xfId="0" quotePrefix="1" applyFont="1" applyFill="1" applyBorder="1" applyAlignment="1">
      <alignment horizontal="left" vertical="center" wrapText="1"/>
    </xf>
    <xf numFmtId="0" fontId="49" fillId="20" borderId="11" xfId="0" applyFont="1" applyFill="1" applyBorder="1" applyAlignment="1">
      <alignment horizontal="left" vertical="center" wrapText="1"/>
    </xf>
    <xf numFmtId="0" fontId="57" fillId="7" borderId="79" xfId="0" applyFont="1" applyFill="1" applyBorder="1" applyAlignment="1">
      <alignment horizontal="left" vertical="center" wrapText="1"/>
    </xf>
    <xf numFmtId="168" fontId="49" fillId="20" borderId="91" xfId="0" applyNumberFormat="1" applyFont="1" applyFill="1" applyBorder="1" applyAlignment="1">
      <alignment horizontal="left" vertical="center" wrapText="1"/>
    </xf>
    <xf numFmtId="0" fontId="49" fillId="20" borderId="91" xfId="0" quotePrefix="1" applyFont="1" applyFill="1" applyBorder="1" applyAlignment="1">
      <alignment horizontal="left" vertical="center" wrapText="1"/>
    </xf>
    <xf numFmtId="0" fontId="49" fillId="20" borderId="92" xfId="0" applyFont="1" applyFill="1" applyBorder="1" applyAlignment="1">
      <alignment horizontal="left" vertical="center" wrapText="1"/>
    </xf>
    <xf numFmtId="0" fontId="49" fillId="20" borderId="109" xfId="0" applyFont="1" applyFill="1" applyBorder="1" applyAlignment="1">
      <alignment horizontal="left" vertical="center" wrapText="1"/>
    </xf>
    <xf numFmtId="0" fontId="49" fillId="20" borderId="8" xfId="0" applyFont="1" applyFill="1" applyBorder="1" applyAlignment="1">
      <alignment horizontal="center" vertical="center" wrapText="1"/>
    </xf>
    <xf numFmtId="0" fontId="49" fillId="20" borderId="29" xfId="0" applyFont="1" applyFill="1" applyBorder="1" applyAlignment="1">
      <alignment horizontal="left" vertical="center" wrapText="1"/>
    </xf>
    <xf numFmtId="0" fontId="49" fillId="20" borderId="36" xfId="0" applyFont="1" applyFill="1" applyBorder="1" applyAlignment="1">
      <alignment horizontal="left" vertical="center" wrapText="1"/>
    </xf>
    <xf numFmtId="0" fontId="57" fillId="7" borderId="61" xfId="0" applyFont="1" applyFill="1" applyBorder="1" applyAlignment="1">
      <alignment horizontal="left" vertical="center" wrapText="1"/>
    </xf>
    <xf numFmtId="0" fontId="49" fillId="20" borderId="65" xfId="24" applyFont="1" applyFill="1" applyBorder="1" applyAlignment="1">
      <alignment horizontal="left" vertical="center" wrapText="1"/>
    </xf>
    <xf numFmtId="0" fontId="49" fillId="20" borderId="66" xfId="24" applyFont="1" applyFill="1" applyBorder="1" applyAlignment="1">
      <alignment horizontal="left" vertical="center" wrapText="1"/>
    </xf>
    <xf numFmtId="168" fontId="49" fillId="20" borderId="66" xfId="0" applyNumberFormat="1" applyFont="1" applyFill="1" applyBorder="1" applyAlignment="1">
      <alignment horizontal="left" vertical="center" wrapText="1"/>
    </xf>
    <xf numFmtId="0" fontId="49" fillId="20" borderId="66" xfId="0" quotePrefix="1" applyFont="1" applyFill="1" applyBorder="1" applyAlignment="1">
      <alignment horizontal="left" vertical="center" wrapText="1"/>
    </xf>
    <xf numFmtId="0" fontId="49" fillId="20" borderId="67" xfId="0" applyFont="1" applyFill="1" applyBorder="1" applyAlignment="1">
      <alignment horizontal="left" vertical="center" wrapText="1"/>
    </xf>
    <xf numFmtId="0" fontId="49" fillId="20" borderId="7" xfId="24" applyFont="1" applyFill="1" applyBorder="1" applyAlignment="1">
      <alignment horizontal="left" vertical="center" wrapText="1"/>
    </xf>
    <xf numFmtId="0" fontId="49" fillId="20" borderId="6" xfId="24" applyFont="1" applyFill="1" applyBorder="1" applyAlignment="1">
      <alignment horizontal="left" vertical="center" wrapText="1"/>
    </xf>
    <xf numFmtId="0" fontId="49" fillId="20" borderId="9" xfId="24" applyFont="1" applyFill="1" applyBorder="1" applyAlignment="1">
      <alignment horizontal="left" vertical="center" wrapText="1"/>
    </xf>
    <xf numFmtId="0" fontId="49" fillId="20" borderId="10" xfId="24" applyFont="1" applyFill="1" applyBorder="1" applyAlignment="1">
      <alignment horizontal="left" vertical="center" wrapText="1"/>
    </xf>
    <xf numFmtId="0" fontId="49" fillId="20" borderId="38" xfId="0" applyFont="1" applyFill="1" applyBorder="1" applyAlignment="1">
      <alignment horizontal="left" vertical="center" wrapText="1"/>
    </xf>
    <xf numFmtId="168" fontId="49" fillId="20" borderId="14" xfId="0" applyNumberFormat="1" applyFont="1" applyFill="1" applyBorder="1" applyAlignment="1">
      <alignment horizontal="left" vertical="center" wrapText="1"/>
    </xf>
    <xf numFmtId="0" fontId="49" fillId="20" borderId="39" xfId="0" applyFont="1" applyFill="1" applyBorder="1" applyAlignment="1">
      <alignment horizontal="left" vertical="center" wrapText="1"/>
    </xf>
    <xf numFmtId="166" fontId="49" fillId="20" borderId="10" xfId="0" applyNumberFormat="1" applyFont="1" applyFill="1" applyBorder="1" applyAlignment="1">
      <alignment horizontal="left" vertical="center" wrapText="1"/>
    </xf>
    <xf numFmtId="0" fontId="57" fillId="7" borderId="123" xfId="0" applyFont="1" applyFill="1" applyBorder="1" applyAlignment="1">
      <alignment horizontal="left" vertical="center" wrapText="1"/>
    </xf>
    <xf numFmtId="0" fontId="49" fillId="20" borderId="139" xfId="0" quotePrefix="1" applyFont="1" applyFill="1" applyBorder="1" applyAlignment="1">
      <alignment horizontal="left" vertical="center" wrapText="1"/>
    </xf>
    <xf numFmtId="0" fontId="49" fillId="20" borderId="140" xfId="0" applyFont="1" applyFill="1" applyBorder="1" applyAlignment="1">
      <alignment horizontal="left" vertical="center" wrapText="1"/>
    </xf>
    <xf numFmtId="0" fontId="49" fillId="20" borderId="127" xfId="0" quotePrefix="1" applyFont="1" applyFill="1" applyBorder="1" applyAlignment="1">
      <alignment horizontal="left" vertical="center" wrapText="1"/>
    </xf>
    <xf numFmtId="0" fontId="49" fillId="20" borderId="110" xfId="0" applyFont="1" applyFill="1" applyBorder="1" applyAlignment="1">
      <alignment horizontal="left" vertical="center" wrapText="1"/>
    </xf>
    <xf numFmtId="2" fontId="49" fillId="20" borderId="142" xfId="0" applyNumberFormat="1" applyFont="1" applyFill="1" applyBorder="1" applyAlignment="1">
      <alignment horizontal="left" vertical="center" wrapText="1"/>
    </xf>
    <xf numFmtId="0" fontId="56" fillId="7" borderId="151" xfId="0" applyFont="1" applyFill="1" applyBorder="1" applyAlignment="1">
      <alignment horizontal="left" vertical="center" wrapText="1"/>
    </xf>
    <xf numFmtId="0" fontId="49" fillId="20" borderId="102" xfId="0" quotePrefix="1" applyFont="1" applyFill="1" applyBorder="1" applyAlignment="1">
      <alignment horizontal="left" vertical="center" wrapText="1"/>
    </xf>
    <xf numFmtId="0" fontId="49" fillId="20" borderId="171" xfId="0" quotePrefix="1" applyFont="1" applyFill="1" applyBorder="1" applyAlignment="1">
      <alignment horizontal="left" vertical="center" wrapText="1"/>
    </xf>
    <xf numFmtId="11" fontId="49" fillId="20" borderId="139" xfId="0" applyNumberFormat="1" applyFont="1" applyFill="1" applyBorder="1" applyAlignment="1">
      <alignment horizontal="left" vertical="center" wrapText="1"/>
    </xf>
    <xf numFmtId="11" fontId="49" fillId="20" borderId="127" xfId="0" applyNumberFormat="1" applyFont="1" applyFill="1" applyBorder="1" applyAlignment="1">
      <alignment horizontal="left" vertical="center" wrapText="1"/>
    </xf>
    <xf numFmtId="0" fontId="49" fillId="20" borderId="125" xfId="0" applyFont="1" applyFill="1" applyBorder="1" applyAlignment="1">
      <alignment horizontal="left" vertical="center" wrapText="1"/>
    </xf>
    <xf numFmtId="0" fontId="49" fillId="20" borderId="100" xfId="0" applyFont="1" applyFill="1" applyBorder="1" applyAlignment="1">
      <alignment horizontal="left" vertical="center" wrapText="1"/>
    </xf>
    <xf numFmtId="11" fontId="49" fillId="20" borderId="100" xfId="0" applyNumberFormat="1" applyFont="1" applyFill="1" applyBorder="1" applyAlignment="1">
      <alignment horizontal="left" vertical="center" wrapText="1"/>
    </xf>
    <xf numFmtId="0" fontId="49" fillId="20" borderId="100" xfId="0" quotePrefix="1" applyFont="1" applyFill="1" applyBorder="1" applyAlignment="1">
      <alignment horizontal="left" vertical="center" wrapText="1"/>
    </xf>
    <xf numFmtId="0" fontId="49" fillId="20" borderId="124" xfId="0" applyFont="1" applyFill="1" applyBorder="1" applyAlignment="1">
      <alignment horizontal="left" vertical="center" wrapText="1"/>
    </xf>
    <xf numFmtId="0" fontId="49" fillId="4" borderId="105" xfId="0" applyFont="1" applyFill="1" applyBorder="1" applyAlignment="1">
      <alignment horizontal="left" vertical="center" wrapText="1"/>
    </xf>
    <xf numFmtId="11" fontId="49" fillId="4" borderId="102" xfId="0" applyNumberFormat="1" applyFont="1" applyFill="1" applyBorder="1" applyAlignment="1">
      <alignment horizontal="left" vertical="center" wrapText="1"/>
    </xf>
    <xf numFmtId="0" fontId="49" fillId="4" borderId="106" xfId="0" applyFont="1" applyFill="1" applyBorder="1" applyAlignment="1">
      <alignment horizontal="left" vertical="center" wrapText="1"/>
    </xf>
    <xf numFmtId="0" fontId="49" fillId="4" borderId="144" xfId="0" applyFont="1" applyFill="1" applyBorder="1" applyAlignment="1">
      <alignment horizontal="left" vertical="center" wrapText="1"/>
    </xf>
    <xf numFmtId="0" fontId="49" fillId="4" borderId="125" xfId="0" applyFont="1" applyFill="1" applyBorder="1" applyAlignment="1">
      <alignment horizontal="left" vertical="center" wrapText="1"/>
    </xf>
    <xf numFmtId="0" fontId="49" fillId="4" borderId="100" xfId="0" applyFont="1" applyFill="1" applyBorder="1" applyAlignment="1">
      <alignment horizontal="left" vertical="center" wrapText="1"/>
    </xf>
    <xf numFmtId="0" fontId="46" fillId="4" borderId="142" xfId="0" quotePrefix="1" applyFont="1" applyFill="1" applyBorder="1" applyAlignment="1">
      <alignment horizontal="left" vertical="center" wrapText="1"/>
    </xf>
    <xf numFmtId="11" fontId="49" fillId="4" borderId="100" xfId="0" applyNumberFormat="1" applyFont="1" applyFill="1" applyBorder="1" applyAlignment="1">
      <alignment horizontal="left" vertical="center" wrapText="1"/>
    </xf>
    <xf numFmtId="0" fontId="49" fillId="4" borderId="146" xfId="0" applyFont="1" applyFill="1" applyBorder="1" applyAlignment="1">
      <alignment horizontal="left" vertical="center" wrapText="1"/>
    </xf>
    <xf numFmtId="0" fontId="49" fillId="4" borderId="170" xfId="0" applyFont="1" applyFill="1" applyBorder="1" applyAlignment="1">
      <alignment horizontal="left" vertical="center" wrapText="1"/>
    </xf>
    <xf numFmtId="0" fontId="46" fillId="4" borderId="171" xfId="0" quotePrefix="1" applyFont="1" applyFill="1" applyBorder="1" applyAlignment="1">
      <alignment horizontal="left" vertical="center" wrapText="1"/>
    </xf>
    <xf numFmtId="165" fontId="49" fillId="4" borderId="171" xfId="0" applyNumberFormat="1" applyFont="1" applyFill="1" applyBorder="1" applyAlignment="1">
      <alignment horizontal="left" vertical="center" wrapText="1"/>
    </xf>
    <xf numFmtId="0" fontId="49" fillId="4" borderId="172" xfId="0" applyFont="1" applyFill="1" applyBorder="1" applyAlignment="1">
      <alignment horizontal="left" vertical="center" wrapText="1"/>
    </xf>
    <xf numFmtId="0" fontId="49" fillId="4" borderId="143" xfId="0" applyFont="1" applyFill="1" applyBorder="1" applyAlignment="1">
      <alignment horizontal="left" vertical="center" wrapText="1"/>
    </xf>
    <xf numFmtId="165" fontId="49" fillId="4" borderId="173" xfId="0" applyNumberFormat="1" applyFont="1" applyFill="1" applyBorder="1" applyAlignment="1">
      <alignment horizontal="left" vertical="center" wrapText="1"/>
    </xf>
    <xf numFmtId="0" fontId="49" fillId="4" borderId="174" xfId="0" applyFont="1" applyFill="1" applyBorder="1" applyAlignment="1">
      <alignment horizontal="left" vertical="center" wrapText="1"/>
    </xf>
    <xf numFmtId="0" fontId="49" fillId="4" borderId="175" xfId="0" applyFont="1" applyFill="1" applyBorder="1" applyAlignment="1">
      <alignment horizontal="left" vertical="center" wrapText="1"/>
    </xf>
    <xf numFmtId="0" fontId="46" fillId="4" borderId="173" xfId="0" quotePrefix="1" applyFont="1" applyFill="1" applyBorder="1" applyAlignment="1">
      <alignment horizontal="left" vertical="center" wrapText="1"/>
    </xf>
    <xf numFmtId="0" fontId="49" fillId="4" borderId="176" xfId="0" applyFont="1" applyFill="1" applyBorder="1" applyAlignment="1">
      <alignment horizontal="left" vertical="center" wrapText="1"/>
    </xf>
    <xf numFmtId="165" fontId="49" fillId="4" borderId="177" xfId="0" applyNumberFormat="1" applyFont="1" applyFill="1" applyBorder="1" applyAlignment="1">
      <alignment horizontal="left" vertical="center" wrapText="1"/>
    </xf>
    <xf numFmtId="0" fontId="49" fillId="4" borderId="178" xfId="0" applyFont="1" applyFill="1" applyBorder="1" applyAlignment="1">
      <alignment horizontal="left" vertical="center" wrapText="1"/>
    </xf>
    <xf numFmtId="0" fontId="49" fillId="4" borderId="111" xfId="0" applyFont="1" applyFill="1" applyBorder="1" applyAlignment="1">
      <alignment horizontal="left" vertical="center" wrapText="1"/>
    </xf>
    <xf numFmtId="0" fontId="46" fillId="4" borderId="112" xfId="0" quotePrefix="1" applyFont="1" applyFill="1" applyBorder="1" applyAlignment="1">
      <alignment horizontal="left" vertical="center" wrapText="1"/>
    </xf>
    <xf numFmtId="165" fontId="49" fillId="4" borderId="112" xfId="0" applyNumberFormat="1" applyFont="1" applyFill="1" applyBorder="1" applyAlignment="1">
      <alignment horizontal="left" vertical="center" wrapText="1"/>
    </xf>
    <xf numFmtId="0" fontId="49" fillId="4" borderId="113" xfId="0" applyFont="1" applyFill="1" applyBorder="1" applyAlignment="1">
      <alignment horizontal="left" vertical="center" wrapText="1"/>
    </xf>
    <xf numFmtId="0" fontId="46" fillId="4" borderId="102" xfId="0" quotePrefix="1" applyFont="1" applyFill="1" applyBorder="1" applyAlignment="1">
      <alignment horizontal="left" vertical="center" wrapText="1"/>
    </xf>
    <xf numFmtId="165" fontId="49" fillId="4" borderId="141" xfId="0" applyNumberFormat="1" applyFont="1" applyFill="1" applyBorder="1" applyAlignment="1">
      <alignment horizontal="left" vertical="center" wrapText="1"/>
    </xf>
    <xf numFmtId="0" fontId="46" fillId="4" borderId="141" xfId="0" quotePrefix="1" applyFont="1" applyFill="1" applyBorder="1" applyAlignment="1">
      <alignment horizontal="left" vertical="center" wrapText="1"/>
    </xf>
    <xf numFmtId="0" fontId="49" fillId="4" borderId="145" xfId="0" applyFont="1" applyFill="1" applyBorder="1" applyAlignment="1">
      <alignment horizontal="left" vertical="center" wrapText="1"/>
    </xf>
    <xf numFmtId="165" fontId="49" fillId="4" borderId="142" xfId="0" applyNumberFormat="1" applyFont="1" applyFill="1" applyBorder="1" applyAlignment="1">
      <alignment horizontal="left" vertical="center" wrapText="1"/>
    </xf>
    <xf numFmtId="2" fontId="49" fillId="20" borderId="171" xfId="0" applyNumberFormat="1" applyFont="1" applyFill="1" applyBorder="1" applyAlignment="1">
      <alignment horizontal="left" vertical="center" wrapText="1"/>
    </xf>
    <xf numFmtId="0" fontId="49" fillId="20" borderId="172" xfId="0" applyFont="1" applyFill="1" applyBorder="1" applyAlignment="1">
      <alignment horizontal="left" vertical="center" wrapText="1"/>
    </xf>
    <xf numFmtId="2" fontId="49" fillId="20" borderId="157" xfId="0" applyNumberFormat="1" applyFont="1" applyFill="1" applyBorder="1" applyAlignment="1">
      <alignment horizontal="left" vertical="center" wrapText="1"/>
    </xf>
    <xf numFmtId="0" fontId="49" fillId="28" borderId="106" xfId="0" applyFont="1" applyFill="1" applyBorder="1" applyAlignment="1">
      <alignment horizontal="center" vertical="center" wrapText="1"/>
    </xf>
    <xf numFmtId="0" fontId="49" fillId="28" borderId="146" xfId="0" applyFont="1" applyFill="1" applyBorder="1" applyAlignment="1">
      <alignment horizontal="center" vertical="center" wrapText="1"/>
    </xf>
    <xf numFmtId="0" fontId="49" fillId="20" borderId="126" xfId="0" applyFont="1" applyFill="1" applyBorder="1" applyAlignment="1">
      <alignment horizontal="left" vertical="center" wrapText="1"/>
    </xf>
    <xf numFmtId="0" fontId="49" fillId="10" borderId="175" xfId="0" applyFont="1" applyFill="1" applyBorder="1" applyAlignment="1">
      <alignment vertical="center" wrapText="1"/>
    </xf>
    <xf numFmtId="0" fontId="49" fillId="10" borderId="173" xfId="0" applyFont="1" applyFill="1" applyBorder="1" applyAlignment="1">
      <alignment vertical="center" wrapText="1"/>
    </xf>
    <xf numFmtId="0" fontId="49" fillId="10" borderId="173" xfId="0" quotePrefix="1" applyFont="1" applyFill="1" applyBorder="1" applyAlignment="1">
      <alignment horizontal="left" vertical="center" wrapText="1"/>
    </xf>
    <xf numFmtId="0" fontId="49" fillId="22" borderId="175" xfId="0" applyFont="1" applyFill="1" applyBorder="1" applyAlignment="1">
      <alignment vertical="center" wrapText="1"/>
    </xf>
    <xf numFmtId="0" fontId="49" fillId="22" borderId="173" xfId="0" applyFont="1" applyFill="1" applyBorder="1" applyAlignment="1">
      <alignment vertical="center" wrapText="1"/>
    </xf>
    <xf numFmtId="0" fontId="49" fillId="22" borderId="173" xfId="0" quotePrefix="1" applyFont="1" applyFill="1" applyBorder="1" applyAlignment="1">
      <alignment horizontal="left" vertical="center" wrapText="1"/>
    </xf>
    <xf numFmtId="2" fontId="49" fillId="22" borderId="173" xfId="0" applyNumberFormat="1" applyFont="1" applyFill="1" applyBorder="1" applyAlignment="1">
      <alignment horizontal="left" vertical="center" wrapText="1"/>
    </xf>
    <xf numFmtId="0" fontId="49" fillId="22" borderId="174" xfId="0" quotePrefix="1" applyFont="1" applyFill="1" applyBorder="1" applyAlignment="1">
      <alignment vertical="center" wrapText="1"/>
    </xf>
    <xf numFmtId="0" fontId="49" fillId="22" borderId="173" xfId="0" applyFont="1" applyFill="1" applyBorder="1" applyAlignment="1">
      <alignment horizontal="left" vertical="center" wrapText="1"/>
    </xf>
    <xf numFmtId="0" fontId="49" fillId="20" borderId="175" xfId="0" applyFont="1" applyFill="1" applyBorder="1" applyAlignment="1">
      <alignment vertical="center" wrapText="1"/>
    </xf>
    <xf numFmtId="0" fontId="49" fillId="20" borderId="173" xfId="0" applyFont="1" applyFill="1" applyBorder="1" applyAlignment="1">
      <alignment vertical="center" wrapText="1"/>
    </xf>
    <xf numFmtId="0" fontId="49" fillId="20" borderId="173" xfId="0" quotePrefix="1" applyFont="1" applyFill="1" applyBorder="1" applyAlignment="1">
      <alignment horizontal="left" vertical="center" wrapText="1"/>
    </xf>
    <xf numFmtId="0" fontId="46" fillId="20" borderId="173" xfId="0" quotePrefix="1" applyFont="1" applyFill="1" applyBorder="1" applyAlignment="1">
      <alignment horizontal="left" vertical="center" wrapText="1"/>
    </xf>
    <xf numFmtId="0" fontId="49" fillId="20" borderId="173" xfId="0" applyFont="1" applyFill="1" applyBorder="1" applyAlignment="1">
      <alignment horizontal="left" vertical="center" wrapText="1"/>
    </xf>
    <xf numFmtId="0" fontId="53" fillId="6" borderId="0" xfId="0" applyFont="1" applyFill="1" applyAlignment="1">
      <alignment vertical="center" wrapText="1"/>
    </xf>
    <xf numFmtId="0" fontId="57" fillId="7" borderId="122" xfId="0" applyFont="1" applyFill="1" applyBorder="1" applyAlignment="1">
      <alignment vertical="center" wrapText="1"/>
    </xf>
    <xf numFmtId="0" fontId="57" fillId="7" borderId="63" xfId="0" applyFont="1" applyFill="1" applyBorder="1" applyAlignment="1">
      <alignment vertical="center" wrapText="1"/>
    </xf>
    <xf numFmtId="0" fontId="57" fillId="7" borderId="41" xfId="0" applyFont="1" applyFill="1" applyBorder="1" applyAlignment="1">
      <alignment vertical="center" wrapText="1"/>
    </xf>
    <xf numFmtId="0" fontId="0" fillId="0" borderId="0" xfId="0" applyAlignment="1">
      <alignment vertical="center" wrapText="1"/>
    </xf>
    <xf numFmtId="0" fontId="46" fillId="10" borderId="213" xfId="0" applyFont="1" applyFill="1" applyBorder="1" applyAlignment="1">
      <alignment vertical="center" wrapText="1"/>
    </xf>
    <xf numFmtId="0" fontId="46" fillId="10" borderId="102" xfId="0" applyFont="1" applyFill="1" applyBorder="1" applyAlignment="1">
      <alignment vertical="center" wrapText="1"/>
    </xf>
    <xf numFmtId="0" fontId="46" fillId="10" borderId="212" xfId="0" applyFont="1" applyFill="1" applyBorder="1" applyAlignment="1">
      <alignment vertical="center" wrapText="1"/>
    </xf>
    <xf numFmtId="0" fontId="46" fillId="10" borderId="10" xfId="0" applyFont="1" applyFill="1" applyBorder="1" applyAlignment="1">
      <alignment vertical="center" wrapText="1"/>
    </xf>
    <xf numFmtId="0" fontId="46" fillId="7" borderId="102" xfId="0" applyFont="1" applyFill="1" applyBorder="1" applyAlignment="1">
      <alignment vertical="center" wrapText="1"/>
    </xf>
    <xf numFmtId="0" fontId="46" fillId="7" borderId="6" xfId="0" applyFont="1" applyFill="1" applyBorder="1" applyAlignment="1">
      <alignment vertical="center" wrapText="1"/>
    </xf>
    <xf numFmtId="0" fontId="46" fillId="7" borderId="10" xfId="0" applyFont="1" applyFill="1" applyBorder="1" applyAlignment="1">
      <alignment vertical="center" wrapText="1"/>
    </xf>
    <xf numFmtId="0" fontId="49" fillId="8" borderId="142" xfId="0" applyFont="1" applyFill="1" applyBorder="1" applyAlignment="1">
      <alignment vertical="center" wrapText="1"/>
    </xf>
    <xf numFmtId="0" fontId="49" fillId="25" borderId="14" xfId="0" applyFont="1" applyFill="1" applyBorder="1" applyAlignment="1">
      <alignment vertical="center" wrapText="1"/>
    </xf>
    <xf numFmtId="0" fontId="49" fillId="25" borderId="6" xfId="0" applyFont="1" applyFill="1" applyBorder="1" applyAlignment="1">
      <alignment vertical="center" wrapText="1"/>
    </xf>
    <xf numFmtId="0" fontId="49" fillId="25" borderId="10" xfId="0" applyFont="1" applyFill="1" applyBorder="1" applyAlignment="1">
      <alignment vertical="center" wrapText="1"/>
    </xf>
    <xf numFmtId="0" fontId="57" fillId="7" borderId="71" xfId="0" applyFont="1" applyFill="1" applyBorder="1" applyAlignment="1">
      <alignment vertical="center" wrapText="1"/>
    </xf>
    <xf numFmtId="0" fontId="49" fillId="12" borderId="139" xfId="0" applyFont="1" applyFill="1" applyBorder="1" applyAlignment="1">
      <alignment vertical="center" wrapText="1"/>
    </xf>
    <xf numFmtId="0" fontId="49" fillId="12" borderId="127" xfId="0" applyFont="1" applyFill="1" applyBorder="1" applyAlignment="1">
      <alignment vertical="center" wrapText="1"/>
    </xf>
    <xf numFmtId="0" fontId="49" fillId="12" borderId="142" xfId="0" applyFont="1" applyFill="1" applyBorder="1" applyAlignment="1">
      <alignment vertical="center" wrapText="1"/>
    </xf>
    <xf numFmtId="0" fontId="49" fillId="12" borderId="14" xfId="0" applyFont="1" applyFill="1" applyBorder="1" applyAlignment="1">
      <alignment vertical="center" wrapText="1"/>
    </xf>
    <xf numFmtId="0" fontId="49" fillId="12" borderId="10" xfId="0" applyFont="1" applyFill="1" applyBorder="1" applyAlignment="1">
      <alignment vertical="center" wrapText="1"/>
    </xf>
    <xf numFmtId="0" fontId="49" fillId="8" borderId="102" xfId="0" applyFont="1" applyFill="1" applyBorder="1" applyAlignment="1">
      <alignment vertical="center" wrapText="1"/>
    </xf>
    <xf numFmtId="0" fontId="49" fillId="18" borderId="6" xfId="0" applyFont="1" applyFill="1" applyBorder="1" applyAlignment="1">
      <alignment vertical="center" wrapText="1"/>
    </xf>
    <xf numFmtId="0" fontId="49" fillId="7" borderId="6" xfId="0" applyFont="1" applyFill="1" applyBorder="1" applyAlignment="1">
      <alignment vertical="center" wrapText="1"/>
    </xf>
    <xf numFmtId="0" fontId="46" fillId="9" borderId="6" xfId="0" applyFont="1" applyFill="1" applyBorder="1" applyAlignment="1">
      <alignment vertical="center" wrapText="1"/>
    </xf>
    <xf numFmtId="0" fontId="49" fillId="9" borderId="6" xfId="0" applyFont="1" applyFill="1" applyBorder="1" applyAlignment="1">
      <alignment vertical="center" wrapText="1"/>
    </xf>
    <xf numFmtId="0" fontId="49" fillId="9" borderId="127" xfId="0" applyFont="1" applyFill="1" applyBorder="1" applyAlignment="1">
      <alignment vertical="center" wrapText="1"/>
    </xf>
    <xf numFmtId="0" fontId="49" fillId="9" borderId="10" xfId="0" applyFont="1" applyFill="1" applyBorder="1" applyAlignment="1">
      <alignment vertical="center" wrapText="1"/>
    </xf>
    <xf numFmtId="0" fontId="53" fillId="8" borderId="91" xfId="0" applyFont="1" applyFill="1" applyBorder="1" applyAlignment="1">
      <alignment vertical="center" wrapText="1"/>
    </xf>
    <xf numFmtId="0" fontId="53" fillId="19" borderId="157" xfId="0" applyFont="1" applyFill="1" applyBorder="1" applyAlignment="1">
      <alignment vertical="center" wrapText="1"/>
    </xf>
    <xf numFmtId="0" fontId="53" fillId="16" borderId="10" xfId="0" applyFont="1" applyFill="1" applyBorder="1" applyAlignment="1">
      <alignment vertical="center" wrapText="1"/>
    </xf>
    <xf numFmtId="0" fontId="57" fillId="7" borderId="15" xfId="0" applyFont="1" applyFill="1" applyBorder="1" applyAlignment="1">
      <alignment vertical="center" wrapText="1"/>
    </xf>
    <xf numFmtId="0" fontId="49" fillId="20" borderId="102" xfId="0" applyFont="1" applyFill="1" applyBorder="1" applyAlignment="1">
      <alignment vertical="center" wrapText="1"/>
    </xf>
    <xf numFmtId="0" fontId="49" fillId="20" borderId="157" xfId="0" applyFont="1" applyFill="1" applyBorder="1" applyAlignment="1">
      <alignment vertical="center" wrapText="1"/>
    </xf>
    <xf numFmtId="0" fontId="49" fillId="20" borderId="142" xfId="0" applyFont="1" applyFill="1" applyBorder="1" applyAlignment="1">
      <alignment vertical="center" wrapText="1"/>
    </xf>
    <xf numFmtId="0" fontId="49" fillId="20" borderId="74" xfId="0" applyFont="1" applyFill="1" applyBorder="1" applyAlignment="1">
      <alignment vertical="center" wrapText="1"/>
    </xf>
    <xf numFmtId="0" fontId="49" fillId="20" borderId="10" xfId="0" applyFont="1" applyFill="1" applyBorder="1" applyAlignment="1">
      <alignment vertical="center" wrapText="1"/>
    </xf>
    <xf numFmtId="0" fontId="49" fillId="20" borderId="91" xfId="0" applyFont="1" applyFill="1" applyBorder="1" applyAlignment="1">
      <alignment vertical="center" wrapText="1"/>
    </xf>
    <xf numFmtId="0" fontId="49" fillId="20" borderId="66" xfId="0" applyFont="1" applyFill="1" applyBorder="1" applyAlignment="1">
      <alignment vertical="center" wrapText="1"/>
    </xf>
    <xf numFmtId="0" fontId="49" fillId="20" borderId="14" xfId="0" applyFont="1" applyFill="1" applyBorder="1" applyAlignment="1">
      <alignment vertical="center" wrapText="1"/>
    </xf>
    <xf numFmtId="0" fontId="57" fillId="7" borderId="147" xfId="0" applyFont="1" applyFill="1" applyBorder="1" applyAlignment="1">
      <alignment vertical="center" wrapText="1"/>
    </xf>
    <xf numFmtId="0" fontId="49" fillId="20" borderId="139" xfId="0" applyFont="1" applyFill="1" applyBorder="1" applyAlignment="1">
      <alignment vertical="center" wrapText="1"/>
    </xf>
    <xf numFmtId="0" fontId="49" fillId="20" borderId="127" xfId="0" applyFont="1" applyFill="1" applyBorder="1" applyAlignment="1">
      <alignment vertical="center" wrapText="1"/>
    </xf>
    <xf numFmtId="0" fontId="49" fillId="4" borderId="102" xfId="0" applyFont="1" applyFill="1" applyBorder="1" applyAlignment="1">
      <alignment vertical="center" wrapText="1"/>
    </xf>
    <xf numFmtId="0" fontId="49" fillId="4" borderId="141" xfId="0" applyFont="1" applyFill="1" applyBorder="1" applyAlignment="1">
      <alignment vertical="center" wrapText="1"/>
    </xf>
    <xf numFmtId="0" fontId="49" fillId="4" borderId="142" xfId="0" applyFont="1" applyFill="1" applyBorder="1" applyAlignment="1">
      <alignment vertical="center" wrapText="1"/>
    </xf>
    <xf numFmtId="0" fontId="49" fillId="4" borderId="171" xfId="0" applyFont="1" applyFill="1" applyBorder="1" applyAlignment="1">
      <alignment vertical="center" wrapText="1"/>
    </xf>
    <xf numFmtId="0" fontId="49" fillId="4" borderId="173" xfId="0" applyFont="1" applyFill="1" applyBorder="1" applyAlignment="1">
      <alignment vertical="center" wrapText="1"/>
    </xf>
    <xf numFmtId="0" fontId="49" fillId="4" borderId="177" xfId="0" applyFont="1" applyFill="1" applyBorder="1" applyAlignment="1">
      <alignment vertical="center" wrapText="1"/>
    </xf>
    <xf numFmtId="0" fontId="49" fillId="4" borderId="112" xfId="0" applyFont="1" applyFill="1" applyBorder="1" applyAlignment="1">
      <alignment vertical="center" wrapText="1"/>
    </xf>
    <xf numFmtId="0" fontId="49" fillId="20" borderId="171" xfId="0" applyFont="1" applyFill="1" applyBorder="1" applyAlignment="1">
      <alignment vertical="center" wrapText="1"/>
    </xf>
    <xf numFmtId="0" fontId="49" fillId="28" borderId="102" xfId="0" applyFont="1" applyFill="1" applyBorder="1" applyAlignment="1">
      <alignment vertical="center" wrapText="1"/>
    </xf>
    <xf numFmtId="0" fontId="49" fillId="28" borderId="142" xfId="0" applyFont="1" applyFill="1" applyBorder="1" applyAlignment="1">
      <alignment vertical="center" wrapText="1"/>
    </xf>
    <xf numFmtId="0" fontId="76" fillId="0" borderId="0" xfId="0" applyFont="1" applyAlignment="1">
      <alignment horizontal="left" vertical="center" wrapText="1"/>
    </xf>
    <xf numFmtId="0" fontId="49" fillId="10" borderId="194" xfId="0" applyFont="1" applyFill="1" applyBorder="1" applyAlignment="1">
      <alignment horizontal="left" vertical="center" wrapText="1"/>
    </xf>
    <xf numFmtId="0" fontId="49" fillId="10" borderId="213" xfId="0" applyFont="1" applyFill="1" applyBorder="1" applyAlignment="1">
      <alignment horizontal="left" vertical="center" wrapText="1"/>
    </xf>
    <xf numFmtId="0" fontId="46" fillId="10" borderId="195" xfId="0" applyFont="1" applyFill="1" applyBorder="1" applyAlignment="1">
      <alignment horizontal="left" vertical="center" wrapText="1"/>
    </xf>
    <xf numFmtId="0" fontId="34" fillId="0" borderId="0" xfId="0" applyFont="1" applyAlignment="1">
      <alignment horizontal="left" vertical="center" wrapText="1"/>
    </xf>
    <xf numFmtId="0" fontId="46" fillId="10" borderId="174" xfId="0" applyFont="1" applyFill="1" applyBorder="1" applyAlignment="1">
      <alignment horizontal="left" vertical="center" wrapText="1"/>
    </xf>
    <xf numFmtId="0" fontId="49" fillId="10" borderId="105" xfId="0" applyFont="1" applyFill="1" applyBorder="1" applyAlignment="1">
      <alignment horizontal="left" vertical="center" wrapText="1"/>
    </xf>
    <xf numFmtId="0" fontId="46" fillId="10" borderId="106" xfId="0" applyFont="1" applyFill="1" applyBorder="1" applyAlignment="1">
      <alignment horizontal="left" vertical="center" wrapText="1"/>
    </xf>
    <xf numFmtId="0" fontId="53" fillId="10" borderId="175" xfId="0" applyFont="1" applyFill="1" applyBorder="1" applyAlignment="1">
      <alignment horizontal="left" vertical="center" wrapText="1"/>
    </xf>
    <xf numFmtId="0" fontId="56" fillId="0" borderId="0" xfId="0" applyFont="1" applyAlignment="1">
      <alignment vertical="center" wrapText="1"/>
    </xf>
    <xf numFmtId="0" fontId="49" fillId="10" borderId="218" xfId="0" applyFont="1" applyFill="1" applyBorder="1" applyAlignment="1">
      <alignment horizontal="left" vertical="center" wrapText="1"/>
    </xf>
    <xf numFmtId="0" fontId="46" fillId="10" borderId="219" xfId="0" applyFont="1" applyFill="1" applyBorder="1" applyAlignment="1">
      <alignment horizontal="left" vertical="center" wrapText="1"/>
    </xf>
    <xf numFmtId="0" fontId="49" fillId="10" borderId="7" xfId="0" applyFont="1" applyFill="1" applyBorder="1" applyAlignment="1">
      <alignment horizontal="left" vertical="center" wrapText="1"/>
    </xf>
    <xf numFmtId="0" fontId="46" fillId="10" borderId="8" xfId="0" applyFont="1" applyFill="1" applyBorder="1" applyAlignment="1">
      <alignment horizontal="left" vertical="center" wrapText="1"/>
    </xf>
    <xf numFmtId="0" fontId="49" fillId="10" borderId="109" xfId="0" applyFont="1" applyFill="1" applyBorder="1" applyAlignment="1">
      <alignment horizontal="left" vertical="center" wrapText="1"/>
    </xf>
    <xf numFmtId="0" fontId="49" fillId="10" borderId="9" xfId="0" applyFont="1" applyFill="1" applyBorder="1" applyAlignment="1">
      <alignment horizontal="left" vertical="center" wrapText="1"/>
    </xf>
    <xf numFmtId="0" fontId="46" fillId="10" borderId="11" xfId="0" applyFont="1" applyFill="1" applyBorder="1" applyAlignment="1">
      <alignment horizontal="left" vertical="center" wrapText="1"/>
    </xf>
    <xf numFmtId="0" fontId="49" fillId="7" borderId="105" xfId="0" applyFont="1" applyFill="1" applyBorder="1" applyAlignment="1">
      <alignment horizontal="left" vertical="center" wrapText="1"/>
    </xf>
    <xf numFmtId="0" fontId="49" fillId="7" borderId="102" xfId="0" applyFont="1" applyFill="1" applyBorder="1" applyAlignment="1">
      <alignment horizontal="left" vertical="center" wrapText="1"/>
    </xf>
    <xf numFmtId="0" fontId="46" fillId="7" borderId="106" xfId="0" applyFont="1" applyFill="1" applyBorder="1" applyAlignment="1">
      <alignment horizontal="left" vertical="center" wrapText="1"/>
    </xf>
    <xf numFmtId="0" fontId="46" fillId="7" borderId="8" xfId="0" applyFont="1" applyFill="1" applyBorder="1" applyAlignment="1">
      <alignment horizontal="left" vertical="center" wrapText="1"/>
    </xf>
    <xf numFmtId="0" fontId="49" fillId="7" borderId="9" xfId="0" applyFont="1" applyFill="1" applyBorder="1" applyAlignment="1">
      <alignment horizontal="left" vertical="center" wrapText="1"/>
    </xf>
    <xf numFmtId="0" fontId="46" fillId="7" borderId="11" xfId="0" applyFont="1" applyFill="1" applyBorder="1" applyAlignment="1">
      <alignment horizontal="left" vertical="center" wrapText="1"/>
    </xf>
    <xf numFmtId="0" fontId="49" fillId="8" borderId="39" xfId="0" applyFont="1" applyFill="1" applyBorder="1" applyAlignment="1">
      <alignment horizontal="left" vertical="center" wrapText="1"/>
    </xf>
    <xf numFmtId="0" fontId="49" fillId="8" borderId="144" xfId="0" applyFont="1" applyFill="1" applyBorder="1" applyAlignment="1">
      <alignment horizontal="left" vertical="center" wrapText="1"/>
    </xf>
    <xf numFmtId="0" fontId="49" fillId="8" borderId="146" xfId="0" applyFont="1" applyFill="1" applyBorder="1" applyAlignment="1">
      <alignment horizontal="left" vertical="center" wrapText="1"/>
    </xf>
    <xf numFmtId="2" fontId="49" fillId="25" borderId="14" xfId="0" applyNumberFormat="1" applyFont="1" applyFill="1" applyBorder="1" applyAlignment="1">
      <alignment horizontal="left" vertical="center" wrapText="1"/>
    </xf>
    <xf numFmtId="0" fontId="49" fillId="25" borderId="39" xfId="0" applyFont="1" applyFill="1" applyBorder="1" applyAlignment="1">
      <alignment horizontal="left" vertical="center" wrapText="1"/>
    </xf>
    <xf numFmtId="0" fontId="49" fillId="25" borderId="8" xfId="0" applyFont="1" applyFill="1" applyBorder="1" applyAlignment="1">
      <alignment horizontal="left" vertical="center" wrapText="1"/>
    </xf>
    <xf numFmtId="166" fontId="49" fillId="25" borderId="10" xfId="0" applyNumberFormat="1" applyFont="1" applyFill="1" applyBorder="1" applyAlignment="1">
      <alignment horizontal="left" vertical="center" wrapText="1"/>
    </xf>
    <xf numFmtId="0" fontId="49" fillId="25" borderId="11" xfId="0" applyFont="1" applyFill="1" applyBorder="1" applyAlignment="1">
      <alignment horizontal="left" vertical="center" wrapText="1"/>
    </xf>
    <xf numFmtId="0" fontId="49" fillId="11" borderId="146" xfId="0" applyFont="1" applyFill="1" applyBorder="1" applyAlignment="1">
      <alignment horizontal="left" vertical="center" wrapText="1"/>
    </xf>
    <xf numFmtId="165" fontId="49" fillId="12" borderId="139" xfId="0" applyNumberFormat="1" applyFont="1" applyFill="1" applyBorder="1" applyAlignment="1">
      <alignment horizontal="left" vertical="center" wrapText="1"/>
    </xf>
    <xf numFmtId="0" fontId="49" fillId="12" borderId="140" xfId="0" applyFont="1" applyFill="1" applyBorder="1" applyAlignment="1">
      <alignment horizontal="left" vertical="center" wrapText="1"/>
    </xf>
    <xf numFmtId="165" fontId="49" fillId="12" borderId="127" xfId="0" applyNumberFormat="1" applyFont="1" applyFill="1" applyBorder="1" applyAlignment="1">
      <alignment horizontal="left" vertical="center" wrapText="1"/>
    </xf>
    <xf numFmtId="0" fontId="49" fillId="12" borderId="144" xfId="0" applyFont="1" applyFill="1" applyBorder="1" applyAlignment="1">
      <alignment horizontal="left" vertical="center" wrapText="1"/>
    </xf>
    <xf numFmtId="0" fontId="49" fillId="12" borderId="146" xfId="0" applyFont="1" applyFill="1" applyBorder="1" applyAlignment="1">
      <alignment horizontal="left" vertical="center" wrapText="1"/>
    </xf>
    <xf numFmtId="2" fontId="49" fillId="12" borderId="14" xfId="0" applyNumberFormat="1" applyFont="1" applyFill="1" applyBorder="1" applyAlignment="1">
      <alignment horizontal="left" vertical="center" wrapText="1"/>
    </xf>
    <xf numFmtId="0" fontId="49" fillId="12" borderId="39" xfId="0" applyFont="1" applyFill="1" applyBorder="1" applyAlignment="1">
      <alignment horizontal="left" vertical="center" wrapText="1"/>
    </xf>
    <xf numFmtId="166" fontId="49" fillId="12" borderId="10" xfId="0" applyNumberFormat="1" applyFont="1" applyFill="1" applyBorder="1" applyAlignment="1">
      <alignment horizontal="left" vertical="center" wrapText="1"/>
    </xf>
    <xf numFmtId="0" fontId="49" fillId="12" borderId="11" xfId="0" applyFont="1" applyFill="1" applyBorder="1" applyAlignment="1">
      <alignment horizontal="left" vertical="center" wrapText="1"/>
    </xf>
    <xf numFmtId="0" fontId="34" fillId="0" borderId="0" xfId="0" applyFont="1" applyAlignment="1">
      <alignment vertical="center" wrapText="1"/>
    </xf>
    <xf numFmtId="0" fontId="49" fillId="10" borderId="174" xfId="0" applyFont="1" applyFill="1" applyBorder="1" applyAlignment="1">
      <alignment vertical="center" wrapText="1"/>
    </xf>
    <xf numFmtId="0" fontId="49" fillId="22" borderId="174" xfId="0" applyFont="1" applyFill="1" applyBorder="1" applyAlignment="1">
      <alignment vertical="center" wrapText="1"/>
    </xf>
    <xf numFmtId="0" fontId="49" fillId="20" borderId="174" xfId="0" applyFont="1" applyFill="1" applyBorder="1" applyAlignment="1">
      <alignment vertical="center" wrapText="1"/>
    </xf>
    <xf numFmtId="0" fontId="46" fillId="8" borderId="7" xfId="0" applyFont="1" applyFill="1" applyBorder="1" applyAlignment="1">
      <alignment vertical="center" wrapText="1"/>
    </xf>
    <xf numFmtId="0" fontId="46" fillId="8" borderId="8" xfId="0" applyFont="1" applyFill="1" applyBorder="1" applyAlignment="1">
      <alignment vertical="center" wrapText="1"/>
    </xf>
    <xf numFmtId="0" fontId="46" fillId="21" borderId="7" xfId="0" applyFont="1" applyFill="1" applyBorder="1" applyAlignment="1">
      <alignment vertical="center" wrapText="1"/>
    </xf>
    <xf numFmtId="0" fontId="46" fillId="21" borderId="8" xfId="0" applyFont="1" applyFill="1" applyBorder="1" applyAlignment="1">
      <alignment vertical="center" wrapText="1"/>
    </xf>
    <xf numFmtId="0" fontId="46" fillId="10" borderId="8" xfId="0" applyFont="1" applyFill="1" applyBorder="1" applyAlignment="1">
      <alignment vertical="center" wrapText="1"/>
    </xf>
    <xf numFmtId="0" fontId="46" fillId="10" borderId="143" xfId="0" applyFont="1" applyFill="1" applyBorder="1" applyAlignment="1">
      <alignment vertical="center" wrapText="1"/>
    </xf>
    <xf numFmtId="0" fontId="46" fillId="10" borderId="144" xfId="0" applyFont="1" applyFill="1" applyBorder="1" applyAlignment="1">
      <alignment vertical="center" wrapText="1"/>
    </xf>
    <xf numFmtId="0" fontId="49" fillId="10" borderId="110" xfId="0" applyFont="1" applyFill="1" applyBorder="1" applyAlignment="1">
      <alignment vertical="center" wrapText="1"/>
    </xf>
    <xf numFmtId="0" fontId="46" fillId="22" borderId="8" xfId="0" applyFont="1" applyFill="1" applyBorder="1" applyAlignment="1">
      <alignment vertical="center" wrapText="1"/>
    </xf>
    <xf numFmtId="0" fontId="46" fillId="20" borderId="8" xfId="0" applyFont="1" applyFill="1" applyBorder="1" applyAlignment="1">
      <alignment vertical="center" wrapText="1"/>
    </xf>
    <xf numFmtId="0" fontId="46" fillId="11" borderId="144" xfId="0" applyFont="1" applyFill="1" applyBorder="1" applyAlignment="1">
      <alignment vertical="center" wrapText="1"/>
    </xf>
    <xf numFmtId="0" fontId="46" fillId="9" borderId="7" xfId="0" applyFont="1" applyFill="1" applyBorder="1" applyAlignment="1">
      <alignment horizontal="left" vertical="center" wrapText="1"/>
    </xf>
    <xf numFmtId="0" fontId="46" fillId="9" borderId="8" xfId="0" applyFont="1" applyFill="1" applyBorder="1" applyAlignment="1">
      <alignment horizontal="left" vertical="center" wrapText="1"/>
    </xf>
    <xf numFmtId="0" fontId="46" fillId="9" borderId="7" xfId="0" applyFont="1" applyFill="1" applyBorder="1" applyAlignment="1">
      <alignment vertical="center" wrapText="1"/>
    </xf>
    <xf numFmtId="0" fontId="0" fillId="10" borderId="107" xfId="0" applyFill="1" applyBorder="1" applyAlignment="1">
      <alignment vertical="center" wrapText="1"/>
    </xf>
    <xf numFmtId="0" fontId="0" fillId="10" borderId="6" xfId="0" applyFill="1" applyBorder="1" applyAlignment="1">
      <alignment horizontal="left" vertical="center" wrapText="1"/>
    </xf>
    <xf numFmtId="0" fontId="0" fillId="10" borderId="6" xfId="0" applyFill="1" applyBorder="1" applyAlignment="1">
      <alignment vertical="center" wrapText="1"/>
    </xf>
    <xf numFmtId="0" fontId="0" fillId="20" borderId="107" xfId="0" applyFill="1" applyBorder="1" applyAlignment="1">
      <alignment vertical="center" wrapText="1"/>
    </xf>
    <xf numFmtId="0" fontId="0" fillId="20" borderId="6" xfId="0" applyFill="1" applyBorder="1" applyAlignment="1">
      <alignment horizontal="left" vertical="center" wrapText="1"/>
    </xf>
    <xf numFmtId="0" fontId="0" fillId="20" borderId="6" xfId="0" applyFill="1" applyBorder="1" applyAlignment="1">
      <alignment vertical="center" wrapText="1"/>
    </xf>
    <xf numFmtId="0" fontId="0" fillId="20" borderId="102" xfId="0" applyFill="1" applyBorder="1" applyAlignment="1">
      <alignment horizontal="left" vertical="center" wrapText="1"/>
    </xf>
    <xf numFmtId="0" fontId="0" fillId="20" borderId="157" xfId="0" applyFill="1" applyBorder="1" applyAlignment="1">
      <alignment horizontal="left" vertical="center" wrapText="1"/>
    </xf>
    <xf numFmtId="0" fontId="0" fillId="20" borderId="142" xfId="0" applyFill="1" applyBorder="1" applyAlignment="1">
      <alignment horizontal="left" vertical="center" wrapText="1"/>
    </xf>
    <xf numFmtId="0" fontId="0" fillId="20" borderId="127" xfId="0" applyFill="1" applyBorder="1" applyAlignment="1">
      <alignment horizontal="left" vertical="center" wrapText="1"/>
    </xf>
    <xf numFmtId="0" fontId="9" fillId="20" borderId="127" xfId="0" applyFont="1" applyFill="1" applyBorder="1" applyAlignment="1">
      <alignment horizontal="left" vertical="center" wrapText="1"/>
    </xf>
    <xf numFmtId="0" fontId="49" fillId="28" borderId="102" xfId="0" applyFont="1" applyFill="1" applyBorder="1" applyAlignment="1">
      <alignment horizontal="left" vertical="center" wrapText="1"/>
    </xf>
    <xf numFmtId="0" fontId="91" fillId="28" borderId="102" xfId="0" applyFont="1" applyFill="1" applyBorder="1" applyAlignment="1">
      <alignment horizontal="left" vertical="center" wrapText="1"/>
    </xf>
    <xf numFmtId="166" fontId="49" fillId="28" borderId="102" xfId="0" applyNumberFormat="1" applyFont="1" applyFill="1" applyBorder="1" applyAlignment="1">
      <alignment horizontal="left" vertical="center" wrapText="1"/>
    </xf>
    <xf numFmtId="0" fontId="49" fillId="28" borderId="157" xfId="0" applyFont="1" applyFill="1" applyBorder="1" applyAlignment="1">
      <alignment horizontal="left" vertical="center" wrapText="1"/>
    </xf>
    <xf numFmtId="2" fontId="49" fillId="28" borderId="102" xfId="0" applyNumberFormat="1" applyFont="1" applyFill="1" applyBorder="1" applyAlignment="1">
      <alignment horizontal="left" vertical="center" wrapText="1"/>
    </xf>
    <xf numFmtId="0" fontId="49" fillId="28" borderId="142" xfId="0" applyFont="1" applyFill="1" applyBorder="1" applyAlignment="1">
      <alignment horizontal="left" vertical="center" wrapText="1"/>
    </xf>
    <xf numFmtId="0" fontId="91" fillId="28" borderId="142" xfId="0" applyFont="1" applyFill="1" applyBorder="1" applyAlignment="1">
      <alignment horizontal="left" vertical="center" wrapText="1"/>
    </xf>
    <xf numFmtId="2" fontId="49" fillId="28" borderId="142" xfId="0" applyNumberFormat="1" applyFont="1" applyFill="1" applyBorder="1" applyAlignment="1">
      <alignment horizontal="left" vertical="center" wrapText="1"/>
    </xf>
    <xf numFmtId="165" fontId="49" fillId="20" borderId="14" xfId="0" applyNumberFormat="1" applyFont="1" applyFill="1" applyBorder="1" applyAlignment="1">
      <alignment horizontal="left" vertical="center" wrapText="1"/>
    </xf>
    <xf numFmtId="165" fontId="49" fillId="20" borderId="126" xfId="0" applyNumberFormat="1" applyFont="1" applyFill="1" applyBorder="1" applyAlignment="1">
      <alignment horizontal="left" vertical="center" wrapText="1"/>
    </xf>
    <xf numFmtId="0" fontId="49" fillId="20" borderId="126" xfId="0" applyFont="1" applyFill="1" applyBorder="1" applyAlignment="1">
      <alignment vertical="center" wrapText="1"/>
    </xf>
    <xf numFmtId="0" fontId="56" fillId="7" borderId="220" xfId="0" applyFont="1" applyFill="1" applyBorder="1" applyAlignment="1">
      <alignment horizontal="left" vertical="center"/>
    </xf>
    <xf numFmtId="0" fontId="57" fillId="7" borderId="215" xfId="0" applyFont="1" applyFill="1" applyBorder="1" applyAlignment="1">
      <alignment horizontal="left" vertical="center"/>
    </xf>
    <xf numFmtId="0" fontId="57" fillId="7" borderId="216" xfId="0" applyFont="1" applyFill="1" applyBorder="1" applyAlignment="1">
      <alignment horizontal="left" vertical="center"/>
    </xf>
    <xf numFmtId="0" fontId="57" fillId="7" borderId="220" xfId="0" applyFont="1" applyFill="1" applyBorder="1" applyAlignment="1">
      <alignment horizontal="left" vertical="center" wrapText="1"/>
    </xf>
    <xf numFmtId="0" fontId="57" fillId="7" borderId="214" xfId="0" applyFont="1" applyFill="1" applyBorder="1" applyAlignment="1">
      <alignment horizontal="left" vertical="center" wrapText="1"/>
    </xf>
    <xf numFmtId="2" fontId="49" fillId="20" borderId="102" xfId="0" applyNumberFormat="1" applyFont="1" applyFill="1" applyBorder="1" applyAlignment="1">
      <alignment horizontal="left"/>
    </xf>
    <xf numFmtId="0" fontId="49" fillId="20" borderId="213" xfId="0" quotePrefix="1" applyFont="1" applyFill="1" applyBorder="1" applyAlignment="1">
      <alignment horizontal="left" vertical="center"/>
    </xf>
    <xf numFmtId="0" fontId="49" fillId="20" borderId="218" xfId="0" applyFont="1" applyFill="1" applyBorder="1" applyAlignment="1">
      <alignment horizontal="left" vertical="center"/>
    </xf>
    <xf numFmtId="0" fontId="49" fillId="20" borderId="212" xfId="0" applyFont="1" applyFill="1" applyBorder="1" applyAlignment="1">
      <alignment horizontal="left" vertical="center"/>
    </xf>
    <xf numFmtId="0" fontId="49" fillId="20" borderId="184" xfId="0" applyFont="1" applyFill="1" applyBorder="1" applyAlignment="1">
      <alignment horizontal="left" vertical="center"/>
    </xf>
    <xf numFmtId="0" fontId="49" fillId="20" borderId="177" xfId="0" applyFont="1" applyFill="1" applyBorder="1" applyAlignment="1">
      <alignment horizontal="left" vertical="center"/>
    </xf>
    <xf numFmtId="2" fontId="49" fillId="20" borderId="177" xfId="0" applyNumberFormat="1" applyFont="1" applyFill="1" applyBorder="1" applyAlignment="1">
      <alignment horizontal="left" vertical="center"/>
    </xf>
    <xf numFmtId="0" fontId="49" fillId="20" borderId="177" xfId="0" applyFont="1" applyFill="1" applyBorder="1" applyAlignment="1">
      <alignment horizontal="left"/>
    </xf>
    <xf numFmtId="0" fontId="49" fillId="20" borderId="178" xfId="0" applyFont="1" applyFill="1" applyBorder="1" applyAlignment="1">
      <alignment horizontal="left" vertical="center"/>
    </xf>
    <xf numFmtId="0" fontId="49" fillId="20" borderId="194" xfId="0" applyFont="1" applyFill="1" applyBorder="1" applyAlignment="1">
      <alignment horizontal="left" vertical="center"/>
    </xf>
    <xf numFmtId="0" fontId="49" fillId="20" borderId="213" xfId="0" applyFont="1" applyFill="1" applyBorder="1" applyAlignment="1">
      <alignment horizontal="left" vertical="center"/>
    </xf>
    <xf numFmtId="2" fontId="49" fillId="20" borderId="213" xfId="0" quotePrefix="1" applyNumberFormat="1" applyFont="1" applyFill="1" applyBorder="1" applyAlignment="1">
      <alignment horizontal="left" vertical="center"/>
    </xf>
    <xf numFmtId="0" fontId="49" fillId="20" borderId="213" xfId="0" applyFont="1" applyFill="1" applyBorder="1" applyAlignment="1">
      <alignment horizontal="left"/>
    </xf>
    <xf numFmtId="0" fontId="49" fillId="20" borderId="195" xfId="0" applyFont="1" applyFill="1" applyBorder="1" applyAlignment="1">
      <alignment horizontal="left" vertical="center"/>
    </xf>
    <xf numFmtId="0" fontId="49" fillId="20" borderId="175" xfId="0" applyFont="1" applyFill="1" applyBorder="1" applyAlignment="1">
      <alignment horizontal="left" vertical="center"/>
    </xf>
    <xf numFmtId="0" fontId="49" fillId="20" borderId="173" xfId="0" applyFont="1" applyFill="1" applyBorder="1" applyAlignment="1">
      <alignment horizontal="left" vertical="center"/>
    </xf>
    <xf numFmtId="2" fontId="49" fillId="20" borderId="173" xfId="0" quotePrefix="1" applyNumberFormat="1" applyFont="1" applyFill="1" applyBorder="1" applyAlignment="1">
      <alignment horizontal="left" vertical="center"/>
    </xf>
    <xf numFmtId="0" fontId="49" fillId="20" borderId="173" xfId="0" quotePrefix="1" applyFont="1" applyFill="1" applyBorder="1" applyAlignment="1">
      <alignment horizontal="left" vertical="center"/>
    </xf>
    <xf numFmtId="0" fontId="49" fillId="20" borderId="173" xfId="0" applyFont="1" applyFill="1" applyBorder="1" applyAlignment="1">
      <alignment horizontal="left"/>
    </xf>
    <xf numFmtId="0" fontId="49" fillId="20" borderId="174" xfId="0" applyFont="1" applyFill="1" applyBorder="1" applyAlignment="1">
      <alignment horizontal="left" vertical="center"/>
    </xf>
    <xf numFmtId="2" fontId="49" fillId="20" borderId="177" xfId="0" quotePrefix="1" applyNumberFormat="1" applyFont="1" applyFill="1" applyBorder="1" applyAlignment="1">
      <alignment horizontal="left" vertical="center"/>
    </xf>
    <xf numFmtId="0" fontId="49" fillId="20" borderId="177" xfId="0" quotePrefix="1" applyFont="1" applyFill="1" applyBorder="1" applyAlignment="1">
      <alignment horizontal="left" vertical="center"/>
    </xf>
    <xf numFmtId="0" fontId="49" fillId="14" borderId="194" xfId="0" applyFont="1" applyFill="1" applyBorder="1" applyAlignment="1">
      <alignment horizontal="left" vertical="center" wrapText="1"/>
    </xf>
    <xf numFmtId="0" fontId="49" fillId="14" borderId="213" xfId="0" applyFont="1" applyFill="1" applyBorder="1" applyAlignment="1">
      <alignment horizontal="left" vertical="center"/>
    </xf>
    <xf numFmtId="0" fontId="49" fillId="14" borderId="213" xfId="0" applyFont="1" applyFill="1" applyBorder="1" applyAlignment="1">
      <alignment horizontal="center" vertical="center"/>
    </xf>
    <xf numFmtId="167" fontId="49" fillId="14" borderId="213" xfId="0" applyNumberFormat="1" applyFont="1" applyFill="1" applyBorder="1" applyAlignment="1">
      <alignment horizontal="center" vertical="center"/>
    </xf>
    <xf numFmtId="0" fontId="49" fillId="14" borderId="213" xfId="0" quotePrefix="1" applyFont="1" applyFill="1" applyBorder="1" applyAlignment="1">
      <alignment horizontal="center" vertical="center"/>
    </xf>
    <xf numFmtId="0" fontId="49" fillId="14" borderId="195" xfId="0" applyFont="1" applyFill="1" applyBorder="1" applyAlignment="1">
      <alignment horizontal="left" vertical="center"/>
    </xf>
    <xf numFmtId="0" fontId="49" fillId="14" borderId="218" xfId="0" applyFont="1" applyFill="1" applyBorder="1" applyAlignment="1">
      <alignment horizontal="left" vertical="center" wrapText="1"/>
    </xf>
    <xf numFmtId="0" fontId="49" fillId="14" borderId="177" xfId="0" applyFont="1" applyFill="1" applyBorder="1" applyAlignment="1">
      <alignment horizontal="left" vertical="center"/>
    </xf>
    <xf numFmtId="0" fontId="49" fillId="14" borderId="177" xfId="0" applyFont="1" applyFill="1" applyBorder="1" applyAlignment="1">
      <alignment horizontal="center" vertical="center"/>
    </xf>
    <xf numFmtId="167" fontId="49" fillId="14" borderId="177" xfId="0" applyNumberFormat="1" applyFont="1" applyFill="1" applyBorder="1" applyAlignment="1">
      <alignment horizontal="center" vertical="center"/>
    </xf>
    <xf numFmtId="0" fontId="49" fillId="14" borderId="177" xfId="0" quotePrefix="1" applyFont="1" applyFill="1" applyBorder="1" applyAlignment="1">
      <alignment horizontal="center" vertical="center"/>
    </xf>
    <xf numFmtId="0" fontId="49" fillId="14" borderId="178" xfId="0" applyFont="1" applyFill="1" applyBorder="1" applyAlignment="1">
      <alignment horizontal="left" vertical="center"/>
    </xf>
    <xf numFmtId="0" fontId="49" fillId="14" borderId="173" xfId="0" applyFont="1" applyFill="1" applyBorder="1" applyAlignment="1">
      <alignment horizontal="left" vertical="center"/>
    </xf>
    <xf numFmtId="0" fontId="49" fillId="14" borderId="175" xfId="0" applyFont="1" applyFill="1" applyBorder="1" applyAlignment="1">
      <alignment horizontal="left" vertical="center" wrapText="1"/>
    </xf>
    <xf numFmtId="0" fontId="49" fillId="14" borderId="173" xfId="0" applyFont="1" applyFill="1" applyBorder="1" applyAlignment="1">
      <alignment horizontal="center" vertical="center"/>
    </xf>
    <xf numFmtId="167" fontId="49" fillId="14" borderId="173" xfId="0" applyNumberFormat="1" applyFont="1" applyFill="1" applyBorder="1" applyAlignment="1">
      <alignment horizontal="center" vertical="center"/>
    </xf>
    <xf numFmtId="0" fontId="49" fillId="14" borderId="173" xfId="0" quotePrefix="1" applyFont="1" applyFill="1" applyBorder="1" applyAlignment="1">
      <alignment horizontal="center" vertical="center"/>
    </xf>
    <xf numFmtId="0" fontId="49" fillId="14" borderId="174" xfId="0" applyFont="1" applyFill="1" applyBorder="1" applyAlignment="1">
      <alignment horizontal="left" vertical="center"/>
    </xf>
    <xf numFmtId="2" fontId="49" fillId="20" borderId="173" xfId="0" applyNumberFormat="1" applyFont="1" applyFill="1" applyBorder="1" applyAlignment="1">
      <alignment horizontal="left" vertical="center"/>
    </xf>
    <xf numFmtId="0" fontId="29" fillId="7" borderId="221" xfId="0" applyFont="1" applyFill="1" applyBorder="1" applyAlignment="1">
      <alignment horizontal="left" vertical="center" wrapText="1"/>
    </xf>
    <xf numFmtId="0" fontId="49" fillId="20" borderId="38" xfId="0" applyFont="1" applyFill="1" applyBorder="1" applyAlignment="1">
      <alignment horizontal="left" vertical="center"/>
    </xf>
    <xf numFmtId="167" fontId="49" fillId="9" borderId="173" xfId="0" applyNumberFormat="1" applyFont="1" applyFill="1" applyBorder="1" applyAlignment="1">
      <alignment horizontal="center" vertical="center" wrapText="1"/>
    </xf>
    <xf numFmtId="0" fontId="49" fillId="24" borderId="174" xfId="0" applyFont="1" applyFill="1" applyBorder="1" applyAlignment="1">
      <alignment horizontal="left" vertical="center" wrapText="1"/>
    </xf>
    <xf numFmtId="0" fontId="49" fillId="8" borderId="175" xfId="0" applyFont="1" applyFill="1" applyBorder="1" applyAlignment="1">
      <alignment horizontal="left" vertical="center"/>
    </xf>
    <xf numFmtId="0" fontId="53" fillId="8" borderId="218" xfId="0" applyFont="1" applyFill="1" applyBorder="1" applyAlignment="1">
      <alignment horizontal="left"/>
    </xf>
    <xf numFmtId="0" fontId="53" fillId="10" borderId="175" xfId="0" applyFont="1" applyFill="1" applyBorder="1" applyAlignment="1">
      <alignment horizontal="left"/>
    </xf>
    <xf numFmtId="165" fontId="53" fillId="10" borderId="173" xfId="0" applyNumberFormat="1" applyFont="1" applyFill="1" applyBorder="1" applyAlignment="1">
      <alignment horizontal="left" vertical="center" wrapText="1"/>
    </xf>
    <xf numFmtId="165" fontId="53" fillId="10" borderId="173" xfId="0" applyNumberFormat="1" applyFont="1" applyFill="1" applyBorder="1" applyAlignment="1">
      <alignment horizontal="center" vertical="center" wrapText="1"/>
    </xf>
    <xf numFmtId="0" fontId="49" fillId="10" borderId="174" xfId="0" applyFont="1" applyFill="1" applyBorder="1" applyAlignment="1">
      <alignment horizontal="center" vertical="center" wrapText="1"/>
    </xf>
    <xf numFmtId="0" fontId="49" fillId="8" borderId="173" xfId="0" applyFont="1" applyFill="1" applyBorder="1" applyAlignment="1">
      <alignment horizontal="center" vertical="center" wrapText="1"/>
    </xf>
    <xf numFmtId="0" fontId="49" fillId="8" borderId="174" xfId="0" applyFont="1" applyFill="1" applyBorder="1" applyAlignment="1">
      <alignment horizontal="left" vertical="center" wrapText="1"/>
    </xf>
    <xf numFmtId="0" fontId="49" fillId="11" borderId="175" xfId="0" applyFont="1" applyFill="1" applyBorder="1" applyAlignment="1">
      <alignment horizontal="left" vertical="center"/>
    </xf>
    <xf numFmtId="0" fontId="49" fillId="11" borderId="173" xfId="0" applyFont="1" applyFill="1" applyBorder="1" applyAlignment="1">
      <alignment horizontal="left" vertical="center" wrapText="1"/>
    </xf>
    <xf numFmtId="2" fontId="49" fillId="11" borderId="173" xfId="0" applyNumberFormat="1" applyFont="1" applyFill="1" applyBorder="1" applyAlignment="1">
      <alignment horizontal="center" vertical="center" wrapText="1"/>
    </xf>
    <xf numFmtId="0" fontId="49" fillId="11" borderId="173" xfId="0" applyFont="1" applyFill="1" applyBorder="1" applyAlignment="1">
      <alignment horizontal="center" vertical="center" wrapText="1"/>
    </xf>
    <xf numFmtId="0" fontId="49" fillId="11" borderId="173" xfId="0" applyFont="1" applyFill="1" applyBorder="1" applyAlignment="1">
      <alignment horizontal="center" vertical="center"/>
    </xf>
    <xf numFmtId="0" fontId="49" fillId="11" borderId="174" xfId="0" applyFont="1" applyFill="1" applyBorder="1" applyAlignment="1">
      <alignment horizontal="left" vertical="center" wrapText="1"/>
    </xf>
    <xf numFmtId="0" fontId="49" fillId="11" borderId="173" xfId="0" applyFont="1" applyFill="1" applyBorder="1" applyAlignment="1">
      <alignment horizontal="left" vertical="center"/>
    </xf>
    <xf numFmtId="2" fontId="49" fillId="11" borderId="173" xfId="0" applyNumberFormat="1" applyFont="1" applyFill="1" applyBorder="1" applyAlignment="1">
      <alignment horizontal="center" vertical="center"/>
    </xf>
    <xf numFmtId="0" fontId="49" fillId="11" borderId="174" xfId="0" applyFont="1" applyFill="1" applyBorder="1" applyAlignment="1">
      <alignment horizontal="left" vertical="center"/>
    </xf>
    <xf numFmtId="0" fontId="49" fillId="19" borderId="175" xfId="0" applyFont="1" applyFill="1" applyBorder="1" applyAlignment="1">
      <alignment horizontal="left" vertical="center"/>
    </xf>
    <xf numFmtId="0" fontId="0" fillId="19" borderId="173" xfId="0" applyFill="1" applyBorder="1" applyAlignment="1">
      <alignment horizontal="left"/>
    </xf>
    <xf numFmtId="2" fontId="49" fillId="19" borderId="158" xfId="0" applyNumberFormat="1" applyFont="1" applyFill="1" applyBorder="1" applyAlignment="1">
      <alignment horizontal="center" vertical="center"/>
    </xf>
    <xf numFmtId="0" fontId="49" fillId="19" borderId="173" xfId="0" quotePrefix="1" applyFont="1" applyFill="1" applyBorder="1" applyAlignment="1">
      <alignment horizontal="center" vertical="center" wrapText="1"/>
    </xf>
    <xf numFmtId="0" fontId="49" fillId="19" borderId="173" xfId="0" applyFont="1" applyFill="1" applyBorder="1" applyAlignment="1">
      <alignment horizontal="center" vertical="center" wrapText="1"/>
    </xf>
    <xf numFmtId="0" fontId="49" fillId="19" borderId="173" xfId="0" applyFont="1" applyFill="1" applyBorder="1" applyAlignment="1">
      <alignment horizontal="center" vertical="center"/>
    </xf>
    <xf numFmtId="0" fontId="49" fillId="19" borderId="158" xfId="0" applyFont="1" applyFill="1" applyBorder="1" applyAlignment="1">
      <alignment horizontal="left" vertical="center" wrapText="1"/>
    </xf>
    <xf numFmtId="0" fontId="49" fillId="10" borderId="175" xfId="0" applyFont="1" applyFill="1" applyBorder="1" applyAlignment="1">
      <alignment horizontal="left" vertical="center"/>
    </xf>
    <xf numFmtId="1" fontId="49" fillId="10" borderId="173" xfId="0" applyNumberFormat="1" applyFont="1" applyFill="1" applyBorder="1" applyAlignment="1">
      <alignment horizontal="left" vertical="center" wrapText="1"/>
    </xf>
    <xf numFmtId="2" fontId="49" fillId="10" borderId="173" xfId="0" applyNumberFormat="1" applyFont="1" applyFill="1" applyBorder="1" applyAlignment="1">
      <alignment horizontal="center" vertical="center" wrapText="1"/>
    </xf>
    <xf numFmtId="0" fontId="49" fillId="10" borderId="173" xfId="0" applyFont="1" applyFill="1" applyBorder="1" applyAlignment="1">
      <alignment horizontal="center" vertical="center" wrapText="1"/>
    </xf>
    <xf numFmtId="0" fontId="49" fillId="10" borderId="174" xfId="0" applyFont="1" applyFill="1" applyBorder="1" applyAlignment="1">
      <alignment horizontal="left" vertical="center" wrapText="1"/>
    </xf>
    <xf numFmtId="0" fontId="53" fillId="22" borderId="175" xfId="0" applyFont="1" applyFill="1" applyBorder="1" applyAlignment="1">
      <alignment horizontal="left"/>
    </xf>
    <xf numFmtId="0" fontId="53" fillId="22" borderId="173" xfId="0" applyFont="1" applyFill="1" applyBorder="1" applyAlignment="1">
      <alignment horizontal="center" vertical="center" wrapText="1"/>
    </xf>
    <xf numFmtId="0" fontId="53" fillId="22" borderId="173" xfId="0" applyFont="1" applyFill="1" applyBorder="1" applyAlignment="1">
      <alignment horizontal="left" vertical="center" wrapText="1"/>
    </xf>
    <xf numFmtId="0" fontId="53" fillId="22" borderId="174" xfId="0" applyFont="1" applyFill="1" applyBorder="1" applyAlignment="1">
      <alignment horizontal="left" vertical="center" wrapText="1"/>
    </xf>
    <xf numFmtId="2" fontId="53" fillId="22" borderId="173" xfId="0" applyNumberFormat="1" applyFont="1" applyFill="1" applyBorder="1" applyAlignment="1">
      <alignment horizontal="left" vertical="center" wrapText="1"/>
    </xf>
    <xf numFmtId="11" fontId="53" fillId="22" borderId="173" xfId="0" applyNumberFormat="1" applyFont="1" applyFill="1" applyBorder="1" applyAlignment="1">
      <alignment horizontal="left" vertical="center" wrapText="1"/>
    </xf>
    <xf numFmtId="0" fontId="53" fillId="20" borderId="175" xfId="0" applyFont="1" applyFill="1" applyBorder="1" applyAlignment="1">
      <alignment horizontal="left"/>
    </xf>
    <xf numFmtId="0" fontId="53" fillId="20" borderId="173" xfId="0" applyFont="1" applyFill="1" applyBorder="1" applyAlignment="1">
      <alignment horizontal="center" vertical="center" wrapText="1"/>
    </xf>
    <xf numFmtId="0" fontId="53" fillId="20" borderId="173" xfId="0" applyFont="1" applyFill="1" applyBorder="1" applyAlignment="1">
      <alignment horizontal="left" vertical="center" wrapText="1"/>
    </xf>
    <xf numFmtId="0" fontId="104" fillId="20" borderId="174" xfId="0" applyFont="1" applyFill="1" applyBorder="1" applyAlignment="1">
      <alignment horizontal="left" vertical="center"/>
    </xf>
    <xf numFmtId="0" fontId="49" fillId="7" borderId="175" xfId="0" applyFont="1" applyFill="1" applyBorder="1" applyAlignment="1">
      <alignment horizontal="left" vertical="center"/>
    </xf>
    <xf numFmtId="0" fontId="53" fillId="7" borderId="173" xfId="0" applyFont="1" applyFill="1" applyBorder="1" applyAlignment="1">
      <alignment horizontal="center" vertical="center" wrapText="1"/>
    </xf>
    <xf numFmtId="0" fontId="49" fillId="7" borderId="173" xfId="0" applyFont="1" applyFill="1" applyBorder="1" applyAlignment="1">
      <alignment horizontal="center" vertical="center"/>
    </xf>
    <xf numFmtId="0" fontId="49" fillId="7" borderId="173" xfId="0" applyFont="1" applyFill="1" applyBorder="1" applyAlignment="1">
      <alignment horizontal="left" vertical="center"/>
    </xf>
    <xf numFmtId="0" fontId="49" fillId="7" borderId="174" xfId="0" applyFont="1" applyFill="1" applyBorder="1" applyAlignment="1">
      <alignment horizontal="left" vertical="center"/>
    </xf>
    <xf numFmtId="167" fontId="49" fillId="7" borderId="173" xfId="0" applyNumberFormat="1" applyFont="1" applyFill="1" applyBorder="1" applyAlignment="1">
      <alignment horizontal="left" vertical="center" wrapText="1"/>
    </xf>
    <xf numFmtId="0" fontId="49" fillId="9" borderId="128" xfId="0" applyFont="1" applyFill="1" applyBorder="1" applyAlignment="1">
      <alignment horizontal="left" vertical="center"/>
    </xf>
    <xf numFmtId="167" fontId="49" fillId="9" borderId="158" xfId="0" applyNumberFormat="1" applyFont="1" applyFill="1" applyBorder="1" applyAlignment="1">
      <alignment horizontal="left" vertical="center" wrapText="1"/>
    </xf>
    <xf numFmtId="0" fontId="53" fillId="9" borderId="173" xfId="0" applyFont="1" applyFill="1" applyBorder="1" applyAlignment="1">
      <alignment horizontal="center" vertical="center" wrapText="1"/>
    </xf>
    <xf numFmtId="0" fontId="49" fillId="9" borderId="173" xfId="0" applyFont="1" applyFill="1" applyBorder="1" applyAlignment="1">
      <alignment horizontal="center" vertical="center"/>
    </xf>
    <xf numFmtId="0" fontId="49" fillId="9" borderId="173" xfId="0" applyFont="1" applyFill="1" applyBorder="1" applyAlignment="1">
      <alignment horizontal="left" vertical="center"/>
    </xf>
    <xf numFmtId="0" fontId="49" fillId="9" borderId="174" xfId="0" applyFont="1" applyFill="1" applyBorder="1" applyAlignment="1">
      <alignment horizontal="left" vertical="center"/>
    </xf>
    <xf numFmtId="0" fontId="49" fillId="10" borderId="175" xfId="0" quotePrefix="1" applyFont="1" applyFill="1" applyBorder="1" applyAlignment="1">
      <alignment horizontal="left" vertical="center"/>
    </xf>
    <xf numFmtId="0" fontId="49" fillId="10" borderId="173" xfId="0" quotePrefix="1" applyFont="1" applyFill="1" applyBorder="1" applyAlignment="1">
      <alignment horizontal="left" vertical="center"/>
    </xf>
    <xf numFmtId="165" fontId="49" fillId="10" borderId="173" xfId="0" applyNumberFormat="1" applyFont="1" applyFill="1" applyBorder="1" applyAlignment="1">
      <alignment horizontal="left"/>
    </xf>
    <xf numFmtId="0" fontId="49" fillId="10" borderId="175" xfId="0" applyFont="1" applyFill="1" applyBorder="1" applyAlignment="1">
      <alignment horizontal="left"/>
    </xf>
    <xf numFmtId="0" fontId="34" fillId="0" borderId="0" xfId="0" applyFont="1" applyAlignment="1">
      <alignment horizontal="left"/>
    </xf>
    <xf numFmtId="0" fontId="49" fillId="7" borderId="173" xfId="0" applyFont="1" applyFill="1" applyBorder="1" applyAlignment="1">
      <alignment horizontal="center" vertical="center" wrapText="1"/>
    </xf>
    <xf numFmtId="0" fontId="49" fillId="8" borderId="175" xfId="0" quotePrefix="1" applyFont="1" applyFill="1" applyBorder="1" applyAlignment="1">
      <alignment horizontal="left" vertical="center"/>
    </xf>
    <xf numFmtId="0" fontId="49" fillId="8" borderId="173" xfId="0" quotePrefix="1" applyFont="1" applyFill="1" applyBorder="1" applyAlignment="1">
      <alignment horizontal="left" vertical="center" wrapText="1"/>
    </xf>
    <xf numFmtId="165" fontId="49" fillId="8" borderId="173" xfId="0" applyNumberFormat="1" applyFont="1" applyFill="1" applyBorder="1" applyAlignment="1">
      <alignment horizontal="left" vertical="center"/>
    </xf>
    <xf numFmtId="0" fontId="49" fillId="8" borderId="173" xfId="0" quotePrefix="1" applyFont="1" applyFill="1" applyBorder="1" applyAlignment="1">
      <alignment horizontal="left" vertical="center"/>
    </xf>
    <xf numFmtId="0" fontId="49" fillId="8" borderId="173" xfId="0" applyFont="1" applyFill="1" applyBorder="1" applyAlignment="1">
      <alignment horizontal="left" vertical="center"/>
    </xf>
    <xf numFmtId="0" fontId="49" fillId="11" borderId="175" xfId="0" applyFont="1" applyFill="1" applyBorder="1" applyAlignment="1">
      <alignment horizontal="left" vertical="center" wrapText="1"/>
    </xf>
    <xf numFmtId="165" fontId="49" fillId="11" borderId="173" xfId="0" applyNumberFormat="1" applyFont="1" applyFill="1" applyBorder="1" applyAlignment="1">
      <alignment horizontal="left" vertical="center" wrapText="1"/>
    </xf>
    <xf numFmtId="0" fontId="49" fillId="19" borderId="173" xfId="0" quotePrefix="1" applyFont="1" applyFill="1" applyBorder="1" applyAlignment="1">
      <alignment horizontal="left" vertical="center"/>
    </xf>
    <xf numFmtId="0" fontId="49" fillId="19" borderId="173" xfId="0" quotePrefix="1" applyFont="1" applyFill="1" applyBorder="1" applyAlignment="1">
      <alignment horizontal="left" vertical="center" wrapText="1"/>
    </xf>
    <xf numFmtId="165" fontId="49" fillId="19" borderId="173" xfId="0" applyNumberFormat="1" applyFont="1" applyFill="1" applyBorder="1" applyAlignment="1">
      <alignment horizontal="left" vertical="center"/>
    </xf>
    <xf numFmtId="0" fontId="49" fillId="19" borderId="173" xfId="0" quotePrefix="1" applyFont="1" applyFill="1" applyBorder="1" applyAlignment="1">
      <alignment horizontal="center" vertical="center"/>
    </xf>
    <xf numFmtId="0" fontId="49" fillId="19" borderId="173" xfId="0" applyFont="1" applyFill="1" applyBorder="1" applyAlignment="1">
      <alignment horizontal="left" vertical="center"/>
    </xf>
    <xf numFmtId="0" fontId="49" fillId="19" borderId="174" xfId="0" applyFont="1" applyFill="1" applyBorder="1" applyAlignment="1">
      <alignment horizontal="left" vertical="center" wrapText="1"/>
    </xf>
    <xf numFmtId="167" fontId="49" fillId="9" borderId="175" xfId="0" applyNumberFormat="1" applyFont="1" applyFill="1" applyBorder="1" applyAlignment="1">
      <alignment horizontal="left" vertical="center" wrapText="1"/>
    </xf>
    <xf numFmtId="167" fontId="49" fillId="9" borderId="173" xfId="0" applyNumberFormat="1" applyFont="1" applyFill="1" applyBorder="1" applyAlignment="1">
      <alignment horizontal="left" vertical="center" wrapText="1"/>
    </xf>
    <xf numFmtId="165" fontId="49" fillId="9" borderId="173" xfId="0" applyNumberFormat="1" applyFont="1" applyFill="1" applyBorder="1" applyAlignment="1">
      <alignment horizontal="left" vertical="center" wrapText="1"/>
    </xf>
    <xf numFmtId="1" fontId="49" fillId="9" borderId="173" xfId="0" applyNumberFormat="1" applyFont="1" applyFill="1" applyBorder="1" applyAlignment="1">
      <alignment horizontal="left" vertical="center" wrapText="1"/>
    </xf>
    <xf numFmtId="167" fontId="49" fillId="9" borderId="174" xfId="0" applyNumberFormat="1" applyFont="1" applyFill="1" applyBorder="1" applyAlignment="1">
      <alignment horizontal="left" vertical="center" wrapText="1"/>
    </xf>
    <xf numFmtId="167" fontId="49" fillId="9" borderId="218" xfId="0" applyNumberFormat="1" applyFont="1" applyFill="1" applyBorder="1" applyAlignment="1">
      <alignment horizontal="left" vertical="center" wrapText="1"/>
    </xf>
    <xf numFmtId="167" fontId="49" fillId="9" borderId="177" xfId="0" applyNumberFormat="1" applyFont="1" applyFill="1" applyBorder="1" applyAlignment="1">
      <alignment horizontal="left" vertical="center" wrapText="1"/>
    </xf>
    <xf numFmtId="165" fontId="49" fillId="9" borderId="177" xfId="0" applyNumberFormat="1" applyFont="1" applyFill="1" applyBorder="1" applyAlignment="1">
      <alignment horizontal="left" vertical="center" wrapText="1"/>
    </xf>
    <xf numFmtId="167" fontId="49" fillId="9" borderId="177" xfId="0" applyNumberFormat="1" applyFont="1" applyFill="1" applyBorder="1" applyAlignment="1">
      <alignment horizontal="center" vertical="center" wrapText="1"/>
    </xf>
    <xf numFmtId="1" fontId="49" fillId="9" borderId="177" xfId="0" applyNumberFormat="1" applyFont="1" applyFill="1" applyBorder="1" applyAlignment="1">
      <alignment horizontal="left" vertical="center" wrapText="1"/>
    </xf>
    <xf numFmtId="167" fontId="49" fillId="9" borderId="178" xfId="0" applyNumberFormat="1" applyFont="1" applyFill="1" applyBorder="1" applyAlignment="1">
      <alignment horizontal="left" vertical="center" wrapText="1"/>
    </xf>
    <xf numFmtId="2" fontId="49" fillId="10" borderId="173" xfId="0" applyNumberFormat="1" applyFont="1" applyFill="1" applyBorder="1" applyAlignment="1">
      <alignment horizontal="left" vertical="center"/>
    </xf>
    <xf numFmtId="0" fontId="49" fillId="22" borderId="173" xfId="0" quotePrefix="1" applyFont="1" applyFill="1" applyBorder="1" applyAlignment="1">
      <alignment horizontal="left" vertical="center"/>
    </xf>
    <xf numFmtId="2" fontId="49" fillId="22" borderId="173" xfId="0" applyNumberFormat="1" applyFont="1" applyFill="1" applyBorder="1" applyAlignment="1">
      <alignment horizontal="left" vertical="center"/>
    </xf>
    <xf numFmtId="0" fontId="49" fillId="11" borderId="173" xfId="0" quotePrefix="1" applyFont="1" applyFill="1" applyBorder="1" applyAlignment="1">
      <alignment horizontal="left" vertical="center"/>
    </xf>
    <xf numFmtId="2" fontId="49" fillId="11" borderId="173" xfId="0" applyNumberFormat="1" applyFont="1" applyFill="1" applyBorder="1" applyAlignment="1">
      <alignment horizontal="left" vertical="center"/>
    </xf>
    <xf numFmtId="2" fontId="49" fillId="19" borderId="173" xfId="0" applyNumberFormat="1" applyFont="1" applyFill="1" applyBorder="1" applyAlignment="1">
      <alignment horizontal="left" vertical="center"/>
    </xf>
    <xf numFmtId="0" fontId="49" fillId="9" borderId="173" xfId="0" quotePrefix="1" applyFont="1" applyFill="1" applyBorder="1" applyAlignment="1">
      <alignment horizontal="left" vertical="center"/>
    </xf>
    <xf numFmtId="165" fontId="46" fillId="0" borderId="173" xfId="0" applyNumberFormat="1" applyFont="1" applyBorder="1" applyAlignment="1">
      <alignment horizontal="center" vertical="center"/>
    </xf>
    <xf numFmtId="167" fontId="10" fillId="0" borderId="173" xfId="35" applyNumberFormat="1" applyBorder="1" applyAlignment="1">
      <alignment horizontal="center" vertical="center"/>
    </xf>
    <xf numFmtId="167" fontId="49" fillId="10" borderId="173" xfId="0" applyNumberFormat="1" applyFont="1" applyFill="1" applyBorder="1" applyAlignment="1">
      <alignment horizontal="center" vertical="center" wrapText="1"/>
    </xf>
    <xf numFmtId="167" fontId="53" fillId="10" borderId="173" xfId="0" applyNumberFormat="1" applyFont="1" applyFill="1" applyBorder="1" applyAlignment="1">
      <alignment horizontal="center" vertical="center" wrapText="1"/>
    </xf>
    <xf numFmtId="0" fontId="56" fillId="0" borderId="0" xfId="0" applyFont="1" applyAlignment="1">
      <alignment horizontal="left" vertical="center"/>
    </xf>
    <xf numFmtId="0" fontId="53" fillId="0" borderId="0" xfId="0" applyFont="1" applyAlignment="1">
      <alignment horizontal="left"/>
    </xf>
    <xf numFmtId="0" fontId="49" fillId="0" borderId="73" xfId="0" applyFont="1" applyBorder="1" applyAlignment="1">
      <alignment horizontal="left" vertical="center"/>
    </xf>
    <xf numFmtId="0" fontId="49" fillId="0" borderId="7" xfId="0" applyFont="1" applyBorder="1" applyAlignment="1">
      <alignment horizontal="left" vertical="center"/>
    </xf>
    <xf numFmtId="0" fontId="53" fillId="0" borderId="7" xfId="0" applyFont="1" applyBorder="1" applyAlignment="1">
      <alignment horizontal="left" vertical="center"/>
    </xf>
    <xf numFmtId="0" fontId="49" fillId="0" borderId="9" xfId="0" applyFont="1" applyBorder="1" applyAlignment="1">
      <alignment horizontal="left" vertical="center"/>
    </xf>
    <xf numFmtId="0" fontId="58" fillId="0" borderId="29" xfId="0" applyFont="1" applyBorder="1" applyAlignment="1">
      <alignment horizontal="left" vertical="center"/>
    </xf>
    <xf numFmtId="0" fontId="49" fillId="0" borderId="29" xfId="0" applyFont="1" applyBorder="1" applyAlignment="1">
      <alignment horizontal="left" vertical="center"/>
    </xf>
    <xf numFmtId="0" fontId="49" fillId="0" borderId="138" xfId="0" applyFont="1" applyBorder="1" applyAlignment="1">
      <alignment horizontal="left" vertical="center" wrapText="1"/>
    </xf>
    <xf numFmtId="0" fontId="49" fillId="0" borderId="105" xfId="0" applyFont="1" applyBorder="1" applyAlignment="1">
      <alignment horizontal="left" vertical="center" wrapText="1"/>
    </xf>
    <xf numFmtId="0" fontId="49" fillId="0" borderId="125" xfId="0" applyFont="1" applyBorder="1" applyAlignment="1">
      <alignment horizontal="left" vertical="center" wrapText="1"/>
    </xf>
    <xf numFmtId="0" fontId="49" fillId="0" borderId="194" xfId="0" applyFont="1" applyBorder="1" applyAlignment="1">
      <alignment horizontal="left" vertical="center"/>
    </xf>
    <xf numFmtId="0" fontId="49" fillId="0" borderId="105" xfId="0" applyFont="1" applyBorder="1" applyAlignment="1">
      <alignment horizontal="left" vertical="center"/>
    </xf>
    <xf numFmtId="0" fontId="46" fillId="0" borderId="118" xfId="0" applyFont="1" applyBorder="1" applyAlignment="1">
      <alignment horizontal="left"/>
    </xf>
    <xf numFmtId="0" fontId="46" fillId="0" borderId="143" xfId="0" applyFont="1" applyBorder="1" applyAlignment="1">
      <alignment horizontal="left"/>
    </xf>
    <xf numFmtId="0" fontId="49" fillId="0" borderId="38" xfId="2" applyFont="1" applyBorder="1" applyAlignment="1">
      <alignment horizontal="left" vertical="center" wrapText="1"/>
    </xf>
    <xf numFmtId="0" fontId="49" fillId="0" borderId="109" xfId="2" applyFont="1" applyBorder="1" applyAlignment="1">
      <alignment horizontal="left" vertical="center" wrapText="1"/>
    </xf>
    <xf numFmtId="0" fontId="49" fillId="0" borderId="9" xfId="2" applyFont="1" applyBorder="1" applyAlignment="1">
      <alignment horizontal="left" vertical="center" wrapText="1"/>
    </xf>
    <xf numFmtId="0" fontId="49" fillId="0" borderId="143" xfId="2" applyFont="1" applyBorder="1" applyAlignment="1">
      <alignment horizontal="left" vertical="center" wrapText="1"/>
    </xf>
    <xf numFmtId="0" fontId="53" fillId="0" borderId="145" xfId="0" applyFont="1" applyBorder="1" applyAlignment="1">
      <alignment horizontal="left" vertical="center"/>
    </xf>
    <xf numFmtId="0" fontId="56" fillId="0" borderId="0" xfId="0" applyFont="1" applyAlignment="1">
      <alignment vertical="center"/>
    </xf>
    <xf numFmtId="167" fontId="49" fillId="0" borderId="112" xfId="0" applyNumberFormat="1" applyFont="1" applyBorder="1" applyAlignment="1">
      <alignment vertical="center" wrapText="1"/>
    </xf>
    <xf numFmtId="167" fontId="49" fillId="0" borderId="101" xfId="0" applyNumberFormat="1" applyFont="1" applyBorder="1" applyAlignment="1">
      <alignment vertical="center" wrapText="1"/>
    </xf>
    <xf numFmtId="165" fontId="53" fillId="0" borderId="101" xfId="0" applyNumberFormat="1" applyFont="1" applyBorder="1" applyAlignment="1">
      <alignment vertical="center"/>
    </xf>
    <xf numFmtId="0" fontId="49" fillId="0" borderId="101" xfId="0" applyFont="1" applyBorder="1" applyAlignment="1">
      <alignment vertical="center"/>
    </xf>
    <xf numFmtId="2" fontId="49" fillId="0" borderId="101" xfId="0" applyNumberFormat="1" applyFont="1" applyBorder="1" applyAlignment="1">
      <alignment vertical="center" wrapText="1"/>
    </xf>
    <xf numFmtId="0" fontId="49" fillId="0" borderId="10" xfId="0" applyFont="1" applyBorder="1" applyAlignment="1">
      <alignment vertical="center"/>
    </xf>
    <xf numFmtId="0" fontId="49" fillId="0" borderId="36" xfId="0" applyFont="1" applyBorder="1" applyAlignment="1">
      <alignment vertical="center" wrapText="1"/>
    </xf>
    <xf numFmtId="0" fontId="49" fillId="0" borderId="102" xfId="0" applyFont="1" applyBorder="1" applyAlignment="1">
      <alignment vertical="center" wrapText="1"/>
    </xf>
    <xf numFmtId="167" fontId="49" fillId="0" borderId="157" xfId="0" applyNumberFormat="1" applyFont="1" applyBorder="1" applyAlignment="1">
      <alignment vertical="center"/>
    </xf>
    <xf numFmtId="167" fontId="49" fillId="0" borderId="102" xfId="0" applyNumberFormat="1" applyFont="1" applyBorder="1" applyAlignment="1">
      <alignment vertical="center"/>
    </xf>
    <xf numFmtId="167" fontId="49" fillId="0" borderId="100" xfId="0" applyNumberFormat="1" applyFont="1" applyBorder="1" applyAlignment="1">
      <alignment vertical="center"/>
    </xf>
    <xf numFmtId="2" fontId="49" fillId="0" borderId="139" xfId="0" applyNumberFormat="1" applyFont="1" applyBorder="1" applyAlignment="1">
      <alignment vertical="center" wrapText="1"/>
    </xf>
    <xf numFmtId="0" fontId="49" fillId="0" borderId="100" xfId="0" applyFont="1" applyBorder="1" applyAlignment="1">
      <alignment vertical="center" wrapText="1"/>
    </xf>
    <xf numFmtId="0" fontId="49" fillId="0" borderId="193" xfId="0" applyFont="1" applyBorder="1" applyAlignment="1">
      <alignment vertical="center"/>
    </xf>
    <xf numFmtId="0" fontId="49" fillId="0" borderId="102" xfId="0" applyFont="1" applyBorder="1" applyAlignment="1">
      <alignment vertical="center"/>
    </xf>
    <xf numFmtId="0" fontId="49" fillId="0" borderId="119" xfId="0" applyFont="1" applyBorder="1" applyAlignment="1">
      <alignment vertical="center" wrapText="1"/>
    </xf>
    <xf numFmtId="0" fontId="49" fillId="0" borderId="157" xfId="0" applyFont="1" applyBorder="1" applyAlignment="1">
      <alignment vertical="center" wrapText="1"/>
    </xf>
    <xf numFmtId="0" fontId="49" fillId="0" borderId="14" xfId="0" applyFont="1" applyBorder="1" applyAlignment="1">
      <alignment vertical="center" wrapText="1"/>
    </xf>
    <xf numFmtId="0" fontId="49" fillId="0" borderId="127" xfId="0" applyFont="1" applyBorder="1" applyAlignment="1">
      <alignment vertical="center" wrapText="1"/>
    </xf>
    <xf numFmtId="0" fontId="49" fillId="0" borderId="126" xfId="0" applyFont="1" applyBorder="1" applyAlignment="1">
      <alignment vertical="center" wrapText="1"/>
    </xf>
    <xf numFmtId="0" fontId="49" fillId="0" borderId="142" xfId="0" applyFont="1" applyBorder="1" applyAlignment="1">
      <alignment vertical="center" wrapText="1"/>
    </xf>
    <xf numFmtId="2" fontId="53" fillId="0" borderId="0" xfId="0" applyNumberFormat="1" applyFont="1" applyAlignment="1">
      <alignment horizontal="center" vertical="center" wrapText="1"/>
    </xf>
    <xf numFmtId="167" fontId="53" fillId="0" borderId="0" xfId="0" applyNumberFormat="1" applyFont="1" applyAlignment="1">
      <alignment horizontal="center" vertical="center" wrapText="1"/>
    </xf>
    <xf numFmtId="167" fontId="49" fillId="0" borderId="74" xfId="0" applyNumberFormat="1" applyFont="1" applyBorder="1" applyAlignment="1">
      <alignment horizontal="center" vertical="center" wrapText="1"/>
    </xf>
    <xf numFmtId="167" fontId="49" fillId="0" borderId="6" xfId="0" applyNumberFormat="1" applyFont="1" applyBorder="1" applyAlignment="1">
      <alignment horizontal="center" vertical="center" wrapText="1"/>
    </xf>
    <xf numFmtId="165" fontId="53" fillId="0" borderId="6" xfId="0" applyNumberFormat="1" applyFont="1" applyBorder="1" applyAlignment="1">
      <alignment horizontal="center" vertical="center"/>
    </xf>
    <xf numFmtId="2" fontId="49" fillId="0" borderId="6" xfId="0" applyNumberFormat="1" applyFont="1" applyBorder="1" applyAlignment="1">
      <alignment horizontal="center" vertical="center" wrapText="1"/>
    </xf>
    <xf numFmtId="0" fontId="49" fillId="0" borderId="36" xfId="0" applyFont="1" applyBorder="1" applyAlignment="1">
      <alignment horizontal="center" vertical="center" wrapText="1"/>
    </xf>
    <xf numFmtId="165" fontId="49" fillId="0" borderId="36" xfId="0" applyNumberFormat="1" applyFont="1" applyBorder="1" applyAlignment="1">
      <alignment horizontal="center" vertical="center" wrapText="1"/>
    </xf>
    <xf numFmtId="0" fontId="49" fillId="0" borderId="14" xfId="0" applyFont="1" applyBorder="1" applyAlignment="1">
      <alignment horizontal="center" vertical="center" wrapText="1"/>
    </xf>
    <xf numFmtId="167" fontId="49" fillId="0" borderId="157" xfId="0" applyNumberFormat="1" applyFont="1" applyBorder="1" applyAlignment="1">
      <alignment horizontal="center" vertical="center"/>
    </xf>
    <xf numFmtId="167" fontId="49" fillId="0" borderId="102" xfId="0" applyNumberFormat="1" applyFont="1" applyBorder="1" applyAlignment="1">
      <alignment horizontal="center" vertical="center"/>
    </xf>
    <xf numFmtId="167" fontId="49" fillId="0" borderId="100" xfId="0" applyNumberFormat="1" applyFont="1" applyBorder="1" applyAlignment="1">
      <alignment horizontal="center" vertical="center"/>
    </xf>
    <xf numFmtId="166" fontId="53" fillId="0" borderId="0" xfId="0" applyNumberFormat="1" applyFont="1" applyAlignment="1">
      <alignment horizontal="center" vertical="center" wrapText="1"/>
    </xf>
    <xf numFmtId="2" fontId="49" fillId="0" borderId="139" xfId="0" applyNumberFormat="1" applyFont="1" applyBorder="1" applyAlignment="1">
      <alignment horizontal="center" vertical="center" wrapText="1"/>
    </xf>
    <xf numFmtId="2" fontId="49" fillId="0" borderId="102" xfId="0" applyNumberFormat="1" applyFont="1" applyBorder="1" applyAlignment="1">
      <alignment horizontal="center" vertical="center" wrapText="1"/>
    </xf>
    <xf numFmtId="2" fontId="49" fillId="0" borderId="100" xfId="0" applyNumberFormat="1" applyFont="1" applyBorder="1" applyAlignment="1">
      <alignment horizontal="center" vertical="center" wrapText="1"/>
    </xf>
    <xf numFmtId="0" fontId="49" fillId="0" borderId="193" xfId="0" applyFont="1" applyBorder="1" applyAlignment="1">
      <alignment horizontal="center" vertical="center"/>
    </xf>
    <xf numFmtId="0" fontId="49" fillId="0" borderId="157" xfId="0" applyFont="1" applyBorder="1" applyAlignment="1">
      <alignment horizontal="center" vertical="center"/>
    </xf>
    <xf numFmtId="0" fontId="49" fillId="0" borderId="102" xfId="0" applyFont="1" applyBorder="1" applyAlignment="1">
      <alignment horizontal="center" vertical="center"/>
    </xf>
    <xf numFmtId="0" fontId="49" fillId="0" borderId="142" xfId="0" applyFont="1" applyBorder="1" applyAlignment="1">
      <alignment horizontal="center" vertical="center"/>
    </xf>
    <xf numFmtId="0" fontId="49" fillId="0" borderId="119" xfId="0" applyFont="1" applyBorder="1" applyAlignment="1">
      <alignment horizontal="center" vertical="center" wrapText="1"/>
    </xf>
    <xf numFmtId="0" fontId="49" fillId="0" borderId="157" xfId="0" applyFont="1" applyBorder="1" applyAlignment="1">
      <alignment horizontal="center" vertical="center" wrapText="1"/>
    </xf>
    <xf numFmtId="0" fontId="53" fillId="0" borderId="142" xfId="0" applyFont="1" applyBorder="1" applyAlignment="1">
      <alignment horizontal="center" vertical="center"/>
    </xf>
    <xf numFmtId="0" fontId="49" fillId="0" borderId="0" xfId="0" applyFont="1" applyAlignment="1">
      <alignment horizontal="center" vertical="center"/>
    </xf>
    <xf numFmtId="0" fontId="49" fillId="0" borderId="74" xfId="0" applyFont="1" applyBorder="1" applyAlignment="1">
      <alignment horizontal="center" vertical="center" wrapText="1"/>
    </xf>
    <xf numFmtId="0" fontId="49" fillId="0" borderId="6" xfId="0" applyFont="1" applyBorder="1" applyAlignment="1">
      <alignment horizontal="center" vertical="center" wrapText="1"/>
    </xf>
    <xf numFmtId="0" fontId="49" fillId="0" borderId="139" xfId="0" applyFont="1" applyBorder="1" applyAlignment="1">
      <alignment horizontal="center" vertical="center" wrapText="1"/>
    </xf>
    <xf numFmtId="0" fontId="49" fillId="0" borderId="142" xfId="0" applyFont="1" applyBorder="1" applyAlignment="1">
      <alignment horizontal="center" vertical="center" wrapText="1"/>
    </xf>
    <xf numFmtId="0" fontId="49" fillId="0" borderId="57" xfId="0" applyFont="1" applyBorder="1" applyAlignment="1">
      <alignment horizontal="center" vertical="center" wrapText="1"/>
    </xf>
    <xf numFmtId="0" fontId="49" fillId="0" borderId="157" xfId="0" quotePrefix="1" applyFont="1" applyBorder="1" applyAlignment="1">
      <alignment horizontal="center" vertical="center" wrapText="1"/>
    </xf>
    <xf numFmtId="0" fontId="53" fillId="0" borderId="6" xfId="0" applyFont="1" applyBorder="1" applyAlignment="1">
      <alignment horizontal="center" vertical="center"/>
    </xf>
    <xf numFmtId="0" fontId="49" fillId="0" borderId="100" xfId="0" applyFont="1" applyBorder="1" applyAlignment="1">
      <alignment horizontal="center" vertical="center"/>
    </xf>
    <xf numFmtId="0" fontId="49" fillId="0" borderId="6" xfId="0" quotePrefix="1" applyFont="1" applyBorder="1" applyAlignment="1">
      <alignment horizontal="center" vertical="center" wrapText="1"/>
    </xf>
    <xf numFmtId="0" fontId="49" fillId="0" borderId="36" xfId="0" quotePrefix="1" applyFont="1" applyBorder="1" applyAlignment="1">
      <alignment horizontal="center" vertical="center" wrapText="1"/>
    </xf>
    <xf numFmtId="0" fontId="49" fillId="0" borderId="108" xfId="0" quotePrefix="1" applyFont="1" applyBorder="1" applyAlignment="1">
      <alignment horizontal="center" vertical="center" wrapText="1"/>
    </xf>
    <xf numFmtId="0" fontId="0" fillId="0" borderId="152" xfId="0" applyBorder="1" applyAlignment="1">
      <alignment horizontal="center"/>
    </xf>
    <xf numFmtId="0" fontId="49" fillId="0" borderId="127" xfId="0" quotePrefix="1" applyFont="1" applyBorder="1" applyAlignment="1">
      <alignment horizontal="center" vertical="center" wrapText="1"/>
    </xf>
    <xf numFmtId="0" fontId="49" fillId="0" borderId="142" xfId="0" quotePrefix="1" applyFont="1" applyBorder="1" applyAlignment="1">
      <alignment horizontal="center" vertical="center" wrapText="1"/>
    </xf>
    <xf numFmtId="0" fontId="49" fillId="0" borderId="74" xfId="0" applyFont="1" applyBorder="1" applyAlignment="1">
      <alignment horizontal="left" vertical="center" wrapText="1"/>
    </xf>
    <xf numFmtId="0" fontId="49" fillId="0" borderId="6" xfId="0" applyFont="1" applyBorder="1" applyAlignment="1">
      <alignment horizontal="left" vertical="center" wrapText="1"/>
    </xf>
    <xf numFmtId="0" fontId="53" fillId="0" borderId="6" xfId="0" applyFont="1" applyBorder="1" applyAlignment="1">
      <alignment horizontal="left" vertical="center"/>
    </xf>
    <xf numFmtId="0" fontId="49" fillId="0" borderId="10" xfId="0" applyFont="1" applyBorder="1" applyAlignment="1">
      <alignment horizontal="left" vertical="center"/>
    </xf>
    <xf numFmtId="0" fontId="49" fillId="0" borderId="36" xfId="0" applyFont="1" applyBorder="1" applyAlignment="1">
      <alignment horizontal="left" vertical="center" wrapText="1"/>
    </xf>
    <xf numFmtId="0" fontId="49" fillId="0" borderId="14" xfId="0" applyFont="1" applyBorder="1" applyAlignment="1">
      <alignment horizontal="left" vertical="center" wrapText="1"/>
    </xf>
    <xf numFmtId="0" fontId="49" fillId="0" borderId="102" xfId="0" applyFont="1" applyBorder="1" applyAlignment="1">
      <alignment horizontal="left" vertical="center"/>
    </xf>
    <xf numFmtId="0" fontId="49" fillId="0" borderId="100" xfId="0" applyFont="1" applyBorder="1" applyAlignment="1">
      <alignment horizontal="left" vertical="center"/>
    </xf>
    <xf numFmtId="0" fontId="49" fillId="0" borderId="139" xfId="0" applyFont="1" applyBorder="1" applyAlignment="1">
      <alignment horizontal="left" vertical="center" wrapText="1"/>
    </xf>
    <xf numFmtId="0" fontId="49" fillId="0" borderId="127" xfId="0" applyFont="1" applyBorder="1" applyAlignment="1">
      <alignment horizontal="left" vertical="center" wrapText="1"/>
    </xf>
    <xf numFmtId="0" fontId="49" fillId="0" borderId="142" xfId="0" applyFont="1" applyBorder="1" applyAlignment="1">
      <alignment horizontal="left" vertical="center" wrapText="1"/>
    </xf>
    <xf numFmtId="0" fontId="49" fillId="0" borderId="193" xfId="0" applyFont="1" applyBorder="1" applyAlignment="1">
      <alignment horizontal="left" vertical="center"/>
    </xf>
    <xf numFmtId="0" fontId="49" fillId="0" borderId="119" xfId="0" applyFont="1" applyBorder="1" applyAlignment="1">
      <alignment horizontal="left" vertical="center" wrapText="1"/>
    </xf>
    <xf numFmtId="0" fontId="49" fillId="0" borderId="157" xfId="0" applyFont="1" applyBorder="1" applyAlignment="1">
      <alignment horizontal="left" vertical="center" wrapText="1"/>
    </xf>
    <xf numFmtId="0" fontId="49" fillId="0" borderId="126" xfId="0" applyFont="1" applyBorder="1" applyAlignment="1">
      <alignment horizontal="left" vertical="center" wrapText="1"/>
    </xf>
    <xf numFmtId="0" fontId="53" fillId="0" borderId="142" xfId="0" applyFont="1" applyBorder="1" applyAlignment="1">
      <alignment horizontal="left" vertical="center"/>
    </xf>
    <xf numFmtId="0" fontId="49" fillId="0" borderId="75" xfId="0" applyFont="1" applyBorder="1" applyAlignment="1">
      <alignment horizontal="left" vertical="center" wrapText="1"/>
    </xf>
    <xf numFmtId="0" fontId="49" fillId="0" borderId="8" xfId="0" applyFont="1" applyBorder="1" applyAlignment="1">
      <alignment horizontal="left" vertical="center" wrapText="1"/>
    </xf>
    <xf numFmtId="0" fontId="53" fillId="0" borderId="8" xfId="0" applyFont="1" applyBorder="1" applyAlignment="1">
      <alignment horizontal="left" vertical="center"/>
    </xf>
    <xf numFmtId="0" fontId="49" fillId="0" borderId="8" xfId="0" applyFont="1" applyBorder="1" applyAlignment="1">
      <alignment horizontal="left" vertical="center"/>
    </xf>
    <xf numFmtId="0" fontId="49" fillId="0" borderId="11" xfId="0" applyFont="1" applyBorder="1" applyAlignment="1">
      <alignment horizontal="left" vertical="center"/>
    </xf>
    <xf numFmtId="0" fontId="57" fillId="0" borderId="43" xfId="0" applyFont="1" applyBorder="1" applyAlignment="1">
      <alignment horizontal="left" vertical="center"/>
    </xf>
    <xf numFmtId="0" fontId="49" fillId="0" borderId="43" xfId="0" applyFont="1" applyBorder="1" applyAlignment="1">
      <alignment horizontal="left" vertical="center" wrapText="1"/>
    </xf>
    <xf numFmtId="0" fontId="49" fillId="0" borderId="39" xfId="0" applyFont="1" applyBorder="1" applyAlignment="1">
      <alignment horizontal="left" vertical="center" wrapText="1"/>
    </xf>
    <xf numFmtId="0" fontId="49" fillId="0" borderId="144" xfId="0" applyFont="1" applyBorder="1" applyAlignment="1">
      <alignment horizontal="left" vertical="center"/>
    </xf>
    <xf numFmtId="0" fontId="49" fillId="0" borderId="39" xfId="0" applyFont="1" applyBorder="1" applyAlignment="1">
      <alignment horizontal="left" vertical="center"/>
    </xf>
    <xf numFmtId="0" fontId="49" fillId="0" borderId="124" xfId="0" applyFont="1" applyBorder="1" applyAlignment="1">
      <alignment horizontal="left" vertical="center"/>
    </xf>
    <xf numFmtId="0" fontId="49" fillId="0" borderId="140" xfId="0" applyFont="1" applyBorder="1" applyAlignment="1">
      <alignment horizontal="left" vertical="center" wrapText="1"/>
    </xf>
    <xf numFmtId="0" fontId="49" fillId="0" borderId="144" xfId="0" applyFont="1" applyBorder="1" applyAlignment="1">
      <alignment horizontal="left" vertical="center" wrapText="1"/>
    </xf>
    <xf numFmtId="0" fontId="49" fillId="0" borderId="146" xfId="0" applyFont="1" applyBorder="1" applyAlignment="1">
      <alignment horizontal="left" vertical="center" wrapText="1"/>
    </xf>
    <xf numFmtId="0" fontId="49" fillId="0" borderId="195" xfId="0" applyFont="1" applyBorder="1" applyAlignment="1">
      <alignment horizontal="left" vertical="center"/>
    </xf>
    <xf numFmtId="0" fontId="49" fillId="0" borderId="106" xfId="0" applyFont="1" applyBorder="1" applyAlignment="1">
      <alignment horizontal="left" vertical="center"/>
    </xf>
    <xf numFmtId="0" fontId="49" fillId="0" borderId="146" xfId="0" applyFont="1" applyBorder="1" applyAlignment="1">
      <alignment horizontal="left" vertical="center"/>
    </xf>
    <xf numFmtId="0" fontId="49" fillId="0" borderId="120" xfId="0" applyFont="1" applyBorder="1" applyAlignment="1">
      <alignment horizontal="left" vertical="center" wrapText="1"/>
    </xf>
    <xf numFmtId="0" fontId="49" fillId="0" borderId="110" xfId="0" applyFont="1" applyBorder="1" applyAlignment="1">
      <alignment horizontal="left" vertical="center" wrapText="1"/>
    </xf>
    <xf numFmtId="0" fontId="49" fillId="0" borderId="11" xfId="0" applyFont="1" applyBorder="1" applyAlignment="1">
      <alignment horizontal="left" vertical="center" wrapText="1"/>
    </xf>
    <xf numFmtId="0" fontId="53" fillId="0" borderId="146" xfId="0" applyFont="1" applyBorder="1" applyAlignment="1">
      <alignment horizontal="left" vertical="center"/>
    </xf>
    <xf numFmtId="166" fontId="53" fillId="0" borderId="0" xfId="0" applyNumberFormat="1" applyFont="1" applyAlignment="1">
      <alignment horizontal="center" vertical="center"/>
    </xf>
    <xf numFmtId="166" fontId="76" fillId="0" borderId="0" xfId="0" applyNumberFormat="1" applyFont="1" applyAlignment="1">
      <alignment horizontal="center" vertical="center"/>
    </xf>
    <xf numFmtId="0" fontId="53" fillId="0" borderId="116" xfId="0" applyFont="1" applyBorder="1" applyAlignment="1">
      <alignment horizontal="center" vertical="center" wrapText="1"/>
    </xf>
    <xf numFmtId="0" fontId="57" fillId="0" borderId="0" xfId="0" applyFont="1" applyAlignment="1">
      <alignment horizontal="center" vertical="center"/>
    </xf>
    <xf numFmtId="0" fontId="53" fillId="0" borderId="127" xfId="0" applyFont="1" applyBorder="1" applyAlignment="1">
      <alignment horizontal="center" vertical="center"/>
    </xf>
    <xf numFmtId="0" fontId="53" fillId="0" borderId="108" xfId="0" applyFont="1" applyBorder="1" applyAlignment="1">
      <alignment horizontal="center" vertical="center"/>
    </xf>
    <xf numFmtId="166" fontId="56" fillId="0" borderId="0" xfId="0" applyNumberFormat="1" applyFont="1" applyAlignment="1">
      <alignment horizontal="center" vertical="center"/>
    </xf>
    <xf numFmtId="0" fontId="53" fillId="0" borderId="157" xfId="0" applyFont="1" applyBorder="1" applyAlignment="1">
      <alignment horizontal="center" vertical="center"/>
    </xf>
    <xf numFmtId="166" fontId="53" fillId="10" borderId="173" xfId="0" applyNumberFormat="1" applyFont="1" applyFill="1" applyBorder="1" applyAlignment="1">
      <alignment horizontal="center" vertical="center" wrapText="1"/>
    </xf>
    <xf numFmtId="0" fontId="29" fillId="0" borderId="0" xfId="0" applyFont="1" applyAlignment="1">
      <alignment horizontal="left" vertical="center"/>
    </xf>
    <xf numFmtId="0" fontId="29" fillId="0" borderId="0" xfId="0" applyFont="1" applyAlignment="1">
      <alignment horizontal="center" vertical="center" wrapText="1"/>
    </xf>
    <xf numFmtId="0" fontId="29" fillId="0" borderId="0" xfId="0" applyFont="1" applyAlignment="1">
      <alignment horizontal="left" vertical="center" wrapText="1"/>
    </xf>
    <xf numFmtId="0" fontId="48" fillId="0" borderId="0" xfId="0" applyFont="1"/>
    <xf numFmtId="0" fontId="55" fillId="0" borderId="0" xfId="0" applyFont="1"/>
    <xf numFmtId="0" fontId="46" fillId="0" borderId="0" xfId="0" applyFont="1" applyAlignment="1">
      <alignment horizontal="left"/>
    </xf>
    <xf numFmtId="0" fontId="46" fillId="0" borderId="0" xfId="0" applyFont="1" applyAlignment="1">
      <alignment horizontal="center"/>
    </xf>
    <xf numFmtId="0" fontId="49" fillId="0" borderId="109" xfId="0" applyFont="1" applyBorder="1" applyAlignment="1">
      <alignment horizontal="left" vertical="center" wrapText="1"/>
    </xf>
    <xf numFmtId="0" fontId="46" fillId="0" borderId="109" xfId="0" applyFont="1" applyBorder="1" applyAlignment="1">
      <alignment horizontal="left" vertical="center" wrapText="1"/>
    </xf>
    <xf numFmtId="0" fontId="49" fillId="0" borderId="143" xfId="0" applyFont="1" applyBorder="1" applyAlignment="1">
      <alignment horizontal="left" vertical="center" wrapText="1"/>
    </xf>
    <xf numFmtId="0" fontId="49" fillId="0" borderId="175" xfId="0" applyFont="1" applyBorder="1" applyAlignment="1">
      <alignment horizontal="left" vertical="center"/>
    </xf>
    <xf numFmtId="0" fontId="49" fillId="0" borderId="128" xfId="0" applyFont="1" applyBorder="1" applyAlignment="1">
      <alignment horizontal="left" vertical="center" wrapText="1"/>
    </xf>
    <xf numFmtId="0" fontId="46" fillId="0" borderId="143" xfId="0" applyFont="1" applyBorder="1" applyAlignment="1">
      <alignment horizontal="left" vertical="center" wrapText="1"/>
    </xf>
    <xf numFmtId="0" fontId="46" fillId="0" borderId="145" xfId="0" applyFont="1" applyBorder="1" applyAlignment="1">
      <alignment horizontal="left" vertical="center" wrapText="1"/>
    </xf>
    <xf numFmtId="0" fontId="49" fillId="0" borderId="145" xfId="0" applyFont="1" applyBorder="1" applyAlignment="1">
      <alignment horizontal="left" vertical="center" wrapText="1"/>
    </xf>
    <xf numFmtId="0" fontId="11" fillId="0" borderId="111" xfId="0" applyFont="1" applyBorder="1" applyAlignment="1">
      <alignment horizontal="left" vertical="center" wrapText="1"/>
    </xf>
    <xf numFmtId="0" fontId="11" fillId="0" borderId="109" xfId="0" applyFont="1" applyBorder="1" applyAlignment="1">
      <alignment horizontal="left" vertical="center" wrapText="1"/>
    </xf>
    <xf numFmtId="0" fontId="11" fillId="0" borderId="105" xfId="0" applyFont="1" applyBorder="1" applyAlignment="1">
      <alignment horizontal="left" vertical="center" wrapText="1"/>
    </xf>
    <xf numFmtId="0" fontId="6" fillId="0" borderId="105" xfId="0" applyFont="1" applyBorder="1" applyAlignment="1">
      <alignment horizontal="left" vertical="center" wrapText="1"/>
    </xf>
    <xf numFmtId="0" fontId="6" fillId="0" borderId="143" xfId="0" applyFont="1" applyBorder="1" applyAlignment="1">
      <alignment horizontal="left" vertical="center" wrapText="1"/>
    </xf>
    <xf numFmtId="0" fontId="11" fillId="0" borderId="9" xfId="0" applyFont="1" applyBorder="1" applyAlignment="1">
      <alignment horizontal="left" vertical="center" wrapText="1"/>
    </xf>
    <xf numFmtId="0" fontId="49" fillId="0" borderId="175" xfId="0" applyFont="1" applyBorder="1" applyAlignment="1">
      <alignment horizontal="left" vertical="center" wrapText="1"/>
    </xf>
    <xf numFmtId="0" fontId="49" fillId="0" borderId="218" xfId="0" applyFont="1" applyBorder="1" applyAlignment="1">
      <alignment horizontal="left" vertical="center" wrapText="1"/>
    </xf>
    <xf numFmtId="0" fontId="49" fillId="0" borderId="86" xfId="0" applyFont="1" applyBorder="1" applyAlignment="1">
      <alignment vertical="center" wrapText="1"/>
    </xf>
    <xf numFmtId="0" fontId="49" fillId="0" borderId="9" xfId="0" applyFont="1" applyBorder="1" applyAlignment="1">
      <alignment vertical="center" wrapText="1"/>
    </xf>
    <xf numFmtId="0" fontId="49" fillId="0" borderId="118" xfId="0" applyFont="1" applyBorder="1" applyAlignment="1">
      <alignment horizontal="left" vertical="center" wrapText="1"/>
    </xf>
    <xf numFmtId="0" fontId="49" fillId="0" borderId="143" xfId="0" quotePrefix="1" applyFont="1" applyBorder="1" applyAlignment="1">
      <alignment horizontal="left" vertical="center" wrapText="1"/>
    </xf>
    <xf numFmtId="0" fontId="49" fillId="0" borderId="143" xfId="0" applyFont="1" applyBorder="1" applyAlignment="1">
      <alignment vertical="center" wrapText="1"/>
    </xf>
    <xf numFmtId="0" fontId="49" fillId="0" borderId="145" xfId="0" applyFont="1" applyBorder="1" applyAlignment="1">
      <alignment vertical="center" wrapText="1"/>
    </xf>
    <xf numFmtId="0" fontId="49" fillId="0" borderId="194" xfId="0" applyFont="1" applyBorder="1" applyAlignment="1">
      <alignment vertical="center" wrapText="1"/>
    </xf>
    <xf numFmtId="0" fontId="49" fillId="0" borderId="175" xfId="0" applyFont="1" applyBorder="1" applyAlignment="1">
      <alignment vertical="center" wrapText="1"/>
    </xf>
    <xf numFmtId="0" fontId="49" fillId="0" borderId="7" xfId="0" applyFont="1" applyBorder="1" applyAlignment="1">
      <alignment horizontal="left" vertical="center" wrapText="1"/>
    </xf>
    <xf numFmtId="0" fontId="49" fillId="0" borderId="112" xfId="0" applyFont="1" applyBorder="1" applyAlignment="1">
      <alignment horizontal="left" vertical="center" wrapText="1"/>
    </xf>
    <xf numFmtId="0" fontId="49" fillId="0" borderId="101" xfId="0" applyFont="1" applyBorder="1" applyAlignment="1">
      <alignment horizontal="left" vertical="center" wrapText="1"/>
    </xf>
    <xf numFmtId="0" fontId="46" fillId="0" borderId="101" xfId="0" applyFont="1" applyBorder="1" applyAlignment="1">
      <alignment horizontal="left" vertical="center" wrapText="1"/>
    </xf>
    <xf numFmtId="0" fontId="49" fillId="0" borderId="108" xfId="0" applyFont="1" applyBorder="1" applyAlignment="1">
      <alignment horizontal="left" vertical="center" wrapText="1"/>
    </xf>
    <xf numFmtId="0" fontId="49" fillId="0" borderId="13" xfId="0" applyFont="1" applyBorder="1" applyAlignment="1">
      <alignment horizontal="left" vertical="center" wrapText="1"/>
    </xf>
    <xf numFmtId="0" fontId="49" fillId="0" borderId="173" xfId="0" applyFont="1" applyBorder="1" applyAlignment="1">
      <alignment horizontal="left" vertical="center"/>
    </xf>
    <xf numFmtId="0" fontId="49" fillId="0" borderId="158" xfId="0" applyFont="1" applyBorder="1" applyAlignment="1">
      <alignment horizontal="left" vertical="center" wrapText="1"/>
    </xf>
    <xf numFmtId="0" fontId="46" fillId="0" borderId="157" xfId="0" applyFont="1" applyBorder="1" applyAlignment="1">
      <alignment horizontal="left" vertical="center" wrapText="1"/>
    </xf>
    <xf numFmtId="0" fontId="46" fillId="0" borderId="142" xfId="0" applyFont="1" applyBorder="1" applyAlignment="1">
      <alignment horizontal="left" vertical="center" wrapText="1"/>
    </xf>
    <xf numFmtId="0" fontId="49" fillId="0" borderId="210" xfId="0" applyFont="1" applyBorder="1" applyAlignment="1">
      <alignment horizontal="left" vertical="center" wrapText="1"/>
    </xf>
    <xf numFmtId="167" fontId="49" fillId="0" borderId="142" xfId="0" applyNumberFormat="1" applyFont="1" applyBorder="1" applyAlignment="1">
      <alignment horizontal="left" vertical="center" wrapText="1"/>
    </xf>
    <xf numFmtId="0" fontId="46" fillId="0" borderId="102" xfId="0" applyFont="1" applyBorder="1" applyAlignment="1">
      <alignment horizontal="left" vertical="center" wrapText="1"/>
    </xf>
    <xf numFmtId="0" fontId="11" fillId="0" borderId="112" xfId="0" applyFont="1" applyBorder="1" applyAlignment="1">
      <alignment horizontal="left" vertical="center" wrapText="1"/>
    </xf>
    <xf numFmtId="0" fontId="11" fillId="0" borderId="101" xfId="0" applyFont="1" applyBorder="1" applyAlignment="1">
      <alignment horizontal="left" vertical="center" wrapText="1"/>
    </xf>
    <xf numFmtId="0" fontId="11" fillId="0" borderId="102" xfId="0" applyFont="1" applyBorder="1" applyAlignment="1">
      <alignment horizontal="left" vertical="center" wrapText="1"/>
    </xf>
    <xf numFmtId="0" fontId="6" fillId="0" borderId="102" xfId="0" applyFont="1" applyBorder="1" applyAlignment="1">
      <alignment horizontal="left" vertical="center" wrapText="1"/>
    </xf>
    <xf numFmtId="0" fontId="6" fillId="0" borderId="157" xfId="0" applyFont="1" applyBorder="1" applyAlignment="1">
      <alignment horizontal="left" vertical="center" wrapText="1"/>
    </xf>
    <xf numFmtId="0" fontId="11" fillId="0" borderId="10" xfId="0" applyFont="1" applyBorder="1" applyAlignment="1">
      <alignment horizontal="left" vertical="center" wrapText="1"/>
    </xf>
    <xf numFmtId="0" fontId="49" fillId="0" borderId="173" xfId="0" applyFont="1" applyBorder="1" applyAlignment="1">
      <alignment horizontal="left" vertical="center" wrapText="1"/>
    </xf>
    <xf numFmtId="0" fontId="49" fillId="0" borderId="102" xfId="0" applyFont="1" applyBorder="1" applyAlignment="1">
      <alignment horizontal="left" vertical="center" wrapText="1"/>
    </xf>
    <xf numFmtId="0" fontId="49" fillId="0" borderId="212" xfId="0" applyFont="1" applyBorder="1" applyAlignment="1">
      <alignment horizontal="left" vertical="center" wrapText="1"/>
    </xf>
    <xf numFmtId="0" fontId="49" fillId="0" borderId="10" xfId="0" applyFont="1" applyBorder="1" applyAlignment="1">
      <alignment horizontal="left" vertical="center" wrapText="1"/>
    </xf>
    <xf numFmtId="0" fontId="49" fillId="0" borderId="153" xfId="0" applyFont="1" applyBorder="1" applyAlignment="1">
      <alignment horizontal="left" vertical="center" wrapText="1"/>
    </xf>
    <xf numFmtId="0" fontId="49" fillId="0" borderId="153" xfId="0" quotePrefix="1" applyFont="1" applyBorder="1" applyAlignment="1">
      <alignment horizontal="left" vertical="center" wrapText="1"/>
    </xf>
    <xf numFmtId="0" fontId="49" fillId="0" borderId="213" xfId="0" quotePrefix="1" applyFont="1" applyBorder="1" applyAlignment="1">
      <alignment vertical="center" wrapText="1"/>
    </xf>
    <xf numFmtId="0" fontId="49" fillId="0" borderId="173" xfId="0" quotePrefix="1" applyFont="1" applyBorder="1" applyAlignment="1">
      <alignment vertical="center" wrapText="1"/>
    </xf>
    <xf numFmtId="0" fontId="49" fillId="0" borderId="102" xfId="0" quotePrefix="1" applyFont="1" applyBorder="1" applyAlignment="1">
      <alignment horizontal="left" vertical="center" wrapText="1"/>
    </xf>
    <xf numFmtId="0" fontId="49" fillId="0" borderId="101" xfId="0" quotePrefix="1" applyFont="1" applyBorder="1" applyAlignment="1">
      <alignment horizontal="left" vertical="center" wrapText="1"/>
    </xf>
    <xf numFmtId="0" fontId="49" fillId="0" borderId="157" xfId="0" quotePrefix="1" applyFont="1" applyBorder="1" applyAlignment="1">
      <alignment horizontal="left" vertical="center" wrapText="1"/>
    </xf>
    <xf numFmtId="0" fontId="56" fillId="0" borderId="0" xfId="0" applyFont="1" applyAlignment="1">
      <alignment horizontal="left" vertical="center" wrapText="1"/>
    </xf>
    <xf numFmtId="0" fontId="46" fillId="0" borderId="108" xfId="0" applyFont="1" applyBorder="1" applyAlignment="1">
      <alignment horizontal="left" vertical="center" wrapText="1"/>
    </xf>
    <xf numFmtId="164" fontId="49" fillId="0" borderId="157" xfId="0" applyNumberFormat="1" applyFont="1" applyBorder="1" applyAlignment="1">
      <alignment horizontal="left" vertical="center" wrapText="1"/>
    </xf>
    <xf numFmtId="164" fontId="49" fillId="0" borderId="142" xfId="0" applyNumberFormat="1" applyFont="1" applyBorder="1" applyAlignment="1">
      <alignment horizontal="left" vertical="center" wrapText="1"/>
    </xf>
    <xf numFmtId="164" fontId="49" fillId="0" borderId="102" xfId="0" applyNumberFormat="1" applyFont="1" applyBorder="1" applyAlignment="1">
      <alignment horizontal="left" vertical="center" wrapText="1"/>
    </xf>
    <xf numFmtId="164" fontId="0" fillId="0" borderId="102" xfId="0" applyNumberFormat="1" applyBorder="1" applyAlignment="1">
      <alignment horizontal="left" vertical="center" wrapText="1"/>
    </xf>
    <xf numFmtId="0" fontId="46" fillId="0" borderId="157" xfId="0" quotePrefix="1" applyFont="1" applyBorder="1" applyAlignment="1">
      <alignment horizontal="left" vertical="center" wrapText="1"/>
    </xf>
    <xf numFmtId="0" fontId="46" fillId="0" borderId="142" xfId="0" quotePrefix="1" applyFont="1" applyBorder="1" applyAlignment="1">
      <alignment horizontal="left" vertical="center" wrapText="1"/>
    </xf>
    <xf numFmtId="0" fontId="49" fillId="0" borderId="213" xfId="0" quotePrefix="1" applyFont="1" applyBorder="1" applyAlignment="1">
      <alignment horizontal="left" vertical="center" wrapText="1"/>
    </xf>
    <xf numFmtId="0" fontId="49" fillId="0" borderId="173" xfId="0" quotePrefix="1" applyFont="1" applyBorder="1" applyAlignment="1">
      <alignment horizontal="left" vertical="center" wrapText="1"/>
    </xf>
    <xf numFmtId="0" fontId="49" fillId="0" borderId="103" xfId="0" applyFont="1" applyBorder="1" applyAlignment="1">
      <alignment horizontal="left" vertical="center" wrapText="1"/>
    </xf>
    <xf numFmtId="0" fontId="35" fillId="0" borderId="0" xfId="0" applyFont="1" applyAlignment="1">
      <alignment horizontal="left" vertical="center" wrapText="1"/>
    </xf>
    <xf numFmtId="0" fontId="49" fillId="0" borderId="6" xfId="0" quotePrefix="1" applyFont="1" applyBorder="1" applyAlignment="1">
      <alignment horizontal="left" vertical="center" wrapText="1"/>
    </xf>
    <xf numFmtId="0" fontId="49" fillId="0" borderId="0" xfId="24" applyFont="1" applyAlignment="1">
      <alignment horizontal="left" vertical="center" wrapText="1"/>
    </xf>
    <xf numFmtId="165" fontId="56" fillId="0" borderId="0" xfId="0" applyNumberFormat="1" applyFont="1" applyAlignment="1">
      <alignment horizontal="left" vertical="center" wrapText="1"/>
    </xf>
    <xf numFmtId="165" fontId="49" fillId="0" borderId="101" xfId="0" applyNumberFormat="1" applyFont="1" applyBorder="1" applyAlignment="1">
      <alignment horizontal="left" vertical="center" wrapText="1"/>
    </xf>
    <xf numFmtId="165" fontId="46" fillId="0" borderId="101" xfId="0" applyNumberFormat="1" applyFont="1" applyBorder="1" applyAlignment="1">
      <alignment horizontal="left" vertical="center" wrapText="1"/>
    </xf>
    <xf numFmtId="165" fontId="49" fillId="0" borderId="157" xfId="0" applyNumberFormat="1" applyFont="1" applyBorder="1" applyAlignment="1">
      <alignment horizontal="left" vertical="center" wrapText="1"/>
    </xf>
    <xf numFmtId="165" fontId="49" fillId="0" borderId="108" xfId="0" applyNumberFormat="1" applyFont="1" applyBorder="1" applyAlignment="1">
      <alignment horizontal="left" vertical="center" wrapText="1"/>
    </xf>
    <xf numFmtId="165" fontId="49" fillId="0" borderId="173" xfId="0" applyNumberFormat="1" applyFont="1" applyBorder="1" applyAlignment="1">
      <alignment horizontal="left" vertical="center"/>
    </xf>
    <xf numFmtId="2" fontId="49" fillId="0" borderId="157" xfId="0" applyNumberFormat="1" applyFont="1" applyBorder="1" applyAlignment="1">
      <alignment horizontal="left" vertical="center" wrapText="1"/>
    </xf>
    <xf numFmtId="165" fontId="49" fillId="0" borderId="158" xfId="0" applyNumberFormat="1" applyFont="1" applyBorder="1" applyAlignment="1">
      <alignment horizontal="left" vertical="center" wrapText="1"/>
    </xf>
    <xf numFmtId="165" fontId="46" fillId="0" borderId="157" xfId="0" applyNumberFormat="1" applyFont="1" applyBorder="1" applyAlignment="1">
      <alignment horizontal="left" vertical="center" wrapText="1"/>
    </xf>
    <xf numFmtId="165" fontId="46" fillId="0" borderId="142" xfId="0" applyNumberFormat="1" applyFont="1" applyBorder="1" applyAlignment="1">
      <alignment horizontal="left" vertical="center" wrapText="1"/>
    </xf>
    <xf numFmtId="2" fontId="49" fillId="0" borderId="142" xfId="0" applyNumberFormat="1" applyFont="1" applyBorder="1" applyAlignment="1">
      <alignment horizontal="left" vertical="center" wrapText="1"/>
    </xf>
    <xf numFmtId="165" fontId="49" fillId="0" borderId="102" xfId="0" quotePrefix="1" applyNumberFormat="1" applyFont="1" applyBorder="1" applyAlignment="1">
      <alignment horizontal="left" vertical="center" wrapText="1"/>
    </xf>
    <xf numFmtId="2" fontId="46" fillId="0" borderId="157" xfId="0" applyNumberFormat="1" applyFont="1" applyBorder="1" applyAlignment="1">
      <alignment horizontal="left" vertical="center" wrapText="1"/>
    </xf>
    <xf numFmtId="2" fontId="46" fillId="0" borderId="142" xfId="0" applyNumberFormat="1" applyFont="1" applyBorder="1" applyAlignment="1">
      <alignment horizontal="left" vertical="center" wrapText="1"/>
    </xf>
    <xf numFmtId="2" fontId="14" fillId="0" borderId="74" xfId="0" applyNumberFormat="1" applyFont="1" applyBorder="1" applyAlignment="1">
      <alignment horizontal="left" vertical="center" wrapText="1"/>
    </xf>
    <xf numFmtId="0" fontId="14" fillId="0" borderId="6" xfId="0" applyFont="1" applyBorder="1" applyAlignment="1">
      <alignment horizontal="left" vertical="center" wrapText="1"/>
    </xf>
    <xf numFmtId="2" fontId="14" fillId="0" borderId="14" xfId="0" applyNumberFormat="1" applyFont="1" applyBorder="1" applyAlignment="1">
      <alignment horizontal="left" vertical="center" wrapText="1"/>
    </xf>
    <xf numFmtId="2" fontId="6" fillId="0" borderId="102" xfId="0" applyNumberFormat="1" applyFont="1" applyBorder="1" applyAlignment="1">
      <alignment horizontal="left" vertical="center" wrapText="1"/>
    </xf>
    <xf numFmtId="2" fontId="12" fillId="0" borderId="102" xfId="0" applyNumberFormat="1" applyFont="1" applyBorder="1" applyAlignment="1">
      <alignment horizontal="left" vertical="center" wrapText="1"/>
    </xf>
    <xf numFmtId="0" fontId="12" fillId="0" borderId="101" xfId="0" applyFont="1" applyBorder="1" applyAlignment="1">
      <alignment horizontal="left" vertical="center" wrapText="1"/>
    </xf>
    <xf numFmtId="0" fontId="14" fillId="0" borderId="10" xfId="0" applyFont="1" applyBorder="1" applyAlignment="1">
      <alignment horizontal="left" vertical="center" wrapText="1"/>
    </xf>
    <xf numFmtId="165" fontId="49" fillId="0" borderId="173" xfId="0" applyNumberFormat="1" applyFont="1" applyBorder="1" applyAlignment="1">
      <alignment horizontal="left" vertical="center" wrapText="1"/>
    </xf>
    <xf numFmtId="165" fontId="49" fillId="0" borderId="212" xfId="0" applyNumberFormat="1" applyFont="1" applyBorder="1" applyAlignment="1">
      <alignment horizontal="left" vertical="center" wrapText="1"/>
    </xf>
    <xf numFmtId="0" fontId="49" fillId="0" borderId="87" xfId="0" applyFont="1" applyBorder="1" applyAlignment="1">
      <alignment horizontal="left" vertical="center" wrapText="1"/>
    </xf>
    <xf numFmtId="165" fontId="46" fillId="0" borderId="0" xfId="0" applyNumberFormat="1" applyFont="1" applyAlignment="1">
      <alignment horizontal="left" vertical="center" wrapText="1"/>
    </xf>
    <xf numFmtId="0" fontId="35" fillId="0" borderId="0" xfId="0" applyFont="1" applyAlignment="1">
      <alignment horizontal="center" vertical="center"/>
    </xf>
    <xf numFmtId="165" fontId="0" fillId="0" borderId="0" xfId="0" applyNumberFormat="1" applyAlignment="1">
      <alignment horizontal="center" vertical="center"/>
    </xf>
    <xf numFmtId="2" fontId="49" fillId="0" borderId="213" xfId="0" applyNumberFormat="1" applyFont="1" applyBorder="1" applyAlignment="1">
      <alignment horizontal="left" vertical="center" wrapText="1"/>
    </xf>
    <xf numFmtId="2" fontId="49" fillId="0" borderId="173" xfId="0" applyNumberFormat="1" applyFont="1" applyBorder="1" applyAlignment="1">
      <alignment horizontal="left" vertical="center" wrapText="1"/>
    </xf>
    <xf numFmtId="165" fontId="53" fillId="0" borderId="0" xfId="0" applyNumberFormat="1" applyFont="1" applyAlignment="1">
      <alignment horizontal="left" vertical="center"/>
    </xf>
    <xf numFmtId="165" fontId="0" fillId="0" borderId="0" xfId="0" applyNumberFormat="1" applyAlignment="1">
      <alignment horizontal="center" vertical="center" wrapText="1"/>
    </xf>
    <xf numFmtId="0" fontId="35" fillId="0" borderId="0" xfId="0" applyFont="1" applyAlignment="1">
      <alignment horizontal="center" vertical="center" wrapText="1"/>
    </xf>
    <xf numFmtId="0" fontId="46" fillId="0" borderId="6" xfId="0" applyFont="1" applyBorder="1" applyAlignment="1">
      <alignment horizontal="left" vertical="center"/>
    </xf>
    <xf numFmtId="0" fontId="13" fillId="0" borderId="74" xfId="0" applyFont="1" applyBorder="1" applyAlignment="1">
      <alignment horizontal="left" vertical="center" wrapText="1"/>
    </xf>
    <xf numFmtId="0" fontId="13" fillId="0" borderId="6" xfId="0" applyFont="1" applyBorder="1" applyAlignment="1">
      <alignment horizontal="left" vertical="center" wrapText="1"/>
    </xf>
    <xf numFmtId="0" fontId="14" fillId="0" borderId="74" xfId="0" applyFont="1" applyBorder="1" applyAlignment="1">
      <alignment horizontal="left" vertical="center" wrapText="1"/>
    </xf>
    <xf numFmtId="0" fontId="14" fillId="0" borderId="14" xfId="0" applyFont="1" applyBorder="1" applyAlignment="1">
      <alignment horizontal="left" vertical="center" wrapText="1"/>
    </xf>
    <xf numFmtId="0" fontId="12" fillId="0" borderId="102" xfId="0" applyFont="1" applyBorder="1" applyAlignment="1">
      <alignment horizontal="left" vertical="center" wrapText="1"/>
    </xf>
    <xf numFmtId="0" fontId="49" fillId="0" borderId="87" xfId="0" quotePrefix="1" applyFont="1" applyBorder="1" applyAlignment="1">
      <alignment horizontal="left" vertical="center" wrapText="1"/>
    </xf>
    <xf numFmtId="0" fontId="49" fillId="0" borderId="10" xfId="0" quotePrefix="1" applyFont="1" applyBorder="1" applyAlignment="1">
      <alignment horizontal="left" vertical="center" wrapText="1"/>
    </xf>
    <xf numFmtId="0" fontId="49" fillId="0" borderId="119" xfId="0" quotePrefix="1" applyFont="1" applyBorder="1" applyAlignment="1">
      <alignment horizontal="left" vertical="center" wrapText="1"/>
    </xf>
    <xf numFmtId="0" fontId="49" fillId="0" borderId="142" xfId="0" quotePrefix="1" applyFont="1" applyBorder="1" applyAlignment="1">
      <alignment horizontal="left" vertical="center" wrapText="1"/>
    </xf>
    <xf numFmtId="0" fontId="49" fillId="0" borderId="101" xfId="0" applyFont="1" applyBorder="1" applyAlignment="1">
      <alignment vertical="center" wrapText="1"/>
    </xf>
    <xf numFmtId="0" fontId="46" fillId="0" borderId="101" xfId="0" applyFont="1" applyBorder="1" applyAlignment="1">
      <alignment vertical="center" wrapText="1"/>
    </xf>
    <xf numFmtId="0" fontId="49" fillId="0" borderId="108" xfId="0" applyFont="1" applyBorder="1" applyAlignment="1">
      <alignment vertical="center" wrapText="1"/>
    </xf>
    <xf numFmtId="0" fontId="49" fillId="0" borderId="158" xfId="0" applyFont="1" applyBorder="1" applyAlignment="1">
      <alignment vertical="center" wrapText="1"/>
    </xf>
    <xf numFmtId="0" fontId="46" fillId="0" borderId="157" xfId="0" applyFont="1" applyBorder="1" applyAlignment="1">
      <alignment vertical="center" wrapText="1"/>
    </xf>
    <xf numFmtId="0" fontId="46" fillId="0" borderId="142" xfId="0" applyFont="1" applyBorder="1" applyAlignment="1">
      <alignment vertical="center" wrapText="1"/>
    </xf>
    <xf numFmtId="0" fontId="14" fillId="0" borderId="74" xfId="0" applyFont="1" applyBorder="1" applyAlignment="1">
      <alignment vertical="center" wrapText="1"/>
    </xf>
    <xf numFmtId="0" fontId="14" fillId="0" borderId="6" xfId="0" applyFont="1" applyBorder="1" applyAlignment="1">
      <alignment vertical="center" wrapText="1"/>
    </xf>
    <xf numFmtId="0" fontId="14" fillId="0" borderId="14" xfId="0" applyFont="1" applyBorder="1" applyAlignment="1">
      <alignment vertical="center" wrapText="1"/>
    </xf>
    <xf numFmtId="0" fontId="6" fillId="0" borderId="102" xfId="0" applyFont="1" applyBorder="1" applyAlignment="1">
      <alignment vertical="center" wrapText="1"/>
    </xf>
    <xf numFmtId="0" fontId="6" fillId="0" borderId="157" xfId="0" applyFont="1" applyBorder="1" applyAlignment="1">
      <alignment vertical="center" wrapText="1"/>
    </xf>
    <xf numFmtId="0" fontId="14" fillId="0" borderId="10" xfId="0" applyFont="1" applyBorder="1" applyAlignment="1">
      <alignment vertical="center" wrapText="1"/>
    </xf>
    <xf numFmtId="0" fontId="49" fillId="0" borderId="173" xfId="0" applyFont="1" applyBorder="1" applyAlignment="1">
      <alignment vertical="center" wrapText="1"/>
    </xf>
    <xf numFmtId="0" fontId="49" fillId="0" borderId="212" xfId="0" applyFont="1" applyBorder="1" applyAlignment="1">
      <alignment vertical="center" wrapText="1"/>
    </xf>
    <xf numFmtId="0" fontId="49" fillId="0" borderId="87" xfId="0" applyFont="1" applyBorder="1" applyAlignment="1">
      <alignment vertical="center" wrapText="1"/>
    </xf>
    <xf numFmtId="0" fontId="49" fillId="0" borderId="10" xfId="0" applyFont="1" applyBorder="1" applyAlignment="1">
      <alignment vertical="center" wrapText="1"/>
    </xf>
    <xf numFmtId="0" fontId="49" fillId="0" borderId="153" xfId="0" applyFont="1" applyBorder="1" applyAlignment="1">
      <alignment vertical="center" wrapText="1"/>
    </xf>
    <xf numFmtId="0" fontId="46" fillId="0" borderId="153" xfId="0" applyFont="1" applyBorder="1" applyAlignment="1">
      <alignment vertical="center" wrapText="1"/>
    </xf>
    <xf numFmtId="0" fontId="46" fillId="0" borderId="0" xfId="0" applyFont="1" applyAlignment="1">
      <alignment vertical="center" wrapText="1"/>
    </xf>
    <xf numFmtId="0" fontId="49" fillId="0" borderId="213" xfId="0" applyFont="1" applyBorder="1" applyAlignment="1">
      <alignment vertical="center" wrapText="1"/>
    </xf>
    <xf numFmtId="0" fontId="49" fillId="0" borderId="6" xfId="0" applyFont="1" applyBorder="1" applyAlignment="1">
      <alignment vertical="center" wrapText="1"/>
    </xf>
    <xf numFmtId="0" fontId="46" fillId="0" borderId="110" xfId="0" applyFont="1" applyBorder="1" applyAlignment="1">
      <alignment vertical="center" wrapText="1"/>
    </xf>
    <xf numFmtId="0" fontId="49" fillId="0" borderId="144" xfId="0" applyFont="1" applyBorder="1" applyAlignment="1">
      <alignment horizontal="center" vertical="center" wrapText="1"/>
    </xf>
    <xf numFmtId="0" fontId="46" fillId="0" borderId="110" xfId="0" applyFont="1" applyBorder="1" applyAlignment="1">
      <alignment horizontal="left" vertical="center" wrapText="1"/>
    </xf>
    <xf numFmtId="0" fontId="49" fillId="0" borderId="174" xfId="0" applyFont="1" applyBorder="1" applyAlignment="1">
      <alignment horizontal="left" vertical="center"/>
    </xf>
    <xf numFmtId="0" fontId="49" fillId="0" borderId="130" xfId="0" applyFont="1" applyBorder="1" applyAlignment="1">
      <alignment horizontal="left" vertical="center" wrapText="1"/>
    </xf>
    <xf numFmtId="0" fontId="46" fillId="0" borderId="144" xfId="0" applyFont="1" applyBorder="1" applyAlignment="1">
      <alignment horizontal="center" vertical="center" wrapText="1"/>
    </xf>
    <xf numFmtId="0" fontId="46" fillId="0" borderId="146" xfId="0" applyFont="1" applyBorder="1" applyAlignment="1">
      <alignment horizontal="center" vertical="center" wrapText="1"/>
    </xf>
    <xf numFmtId="0" fontId="46" fillId="0" borderId="106" xfId="0" applyFont="1" applyBorder="1" applyAlignment="1">
      <alignment horizontal="center" vertical="center" wrapText="1"/>
    </xf>
    <xf numFmtId="0" fontId="14" fillId="0" borderId="75" xfId="0" applyFont="1" applyBorder="1" applyAlignment="1">
      <alignment horizontal="left" vertical="center" wrapText="1"/>
    </xf>
    <xf numFmtId="0" fontId="14" fillId="0" borderId="8" xfId="0" applyFont="1" applyBorder="1" applyAlignment="1">
      <alignment horizontal="left" vertical="center" wrapText="1"/>
    </xf>
    <xf numFmtId="0" fontId="14" fillId="0" borderId="39" xfId="0" applyFont="1" applyBorder="1" applyAlignment="1">
      <alignment horizontal="left" vertical="center" wrapText="1"/>
    </xf>
    <xf numFmtId="0" fontId="6" fillId="0" borderId="106" xfId="0" applyFont="1" applyBorder="1" applyAlignment="1">
      <alignment horizontal="left" vertical="center" wrapText="1"/>
    </xf>
    <xf numFmtId="0" fontId="6" fillId="0" borderId="144" xfId="0" applyFont="1" applyBorder="1" applyAlignment="1">
      <alignment horizontal="left" vertical="center" wrapText="1"/>
    </xf>
    <xf numFmtId="0" fontId="14" fillId="0" borderId="53" xfId="0" applyFont="1" applyBorder="1" applyAlignment="1">
      <alignment horizontal="left" vertical="center" wrapText="1"/>
    </xf>
    <xf numFmtId="0" fontId="14" fillId="0" borderId="11" xfId="0" applyFont="1" applyBorder="1" applyAlignment="1">
      <alignment horizontal="left" vertical="center" wrapText="1"/>
    </xf>
    <xf numFmtId="0" fontId="49" fillId="0" borderId="106" xfId="0" quotePrefix="1" applyFont="1" applyBorder="1" applyAlignment="1">
      <alignment horizontal="left" vertical="center" wrapText="1"/>
    </xf>
    <xf numFmtId="0" fontId="49" fillId="0" borderId="174" xfId="0" quotePrefix="1" applyFont="1" applyBorder="1" applyAlignment="1">
      <alignment horizontal="left" vertical="center" wrapText="1"/>
    </xf>
    <xf numFmtId="0" fontId="49" fillId="0" borderId="219" xfId="0" quotePrefix="1" applyFont="1" applyBorder="1" applyAlignment="1">
      <alignment horizontal="left" vertical="center" wrapText="1"/>
    </xf>
    <xf numFmtId="0" fontId="49" fillId="0" borderId="88" xfId="0" applyFont="1" applyBorder="1" applyAlignment="1">
      <alignment horizontal="center" vertical="center" wrapText="1"/>
    </xf>
    <xf numFmtId="0" fontId="46" fillId="0" borderId="144" xfId="0" applyFont="1" applyBorder="1" applyAlignment="1">
      <alignment vertical="center" wrapText="1"/>
    </xf>
    <xf numFmtId="0" fontId="46" fillId="0" borderId="146" xfId="0" applyFont="1" applyBorder="1" applyAlignment="1">
      <alignment vertical="center" wrapText="1"/>
    </xf>
    <xf numFmtId="0" fontId="49" fillId="0" borderId="195" xfId="0" applyFont="1" applyBorder="1" applyAlignment="1">
      <alignment vertical="center" wrapText="1"/>
    </xf>
    <xf numFmtId="0" fontId="49" fillId="0" borderId="174" xfId="0" applyFont="1" applyBorder="1" applyAlignment="1">
      <alignment vertical="center" wrapText="1"/>
    </xf>
    <xf numFmtId="0" fontId="49" fillId="0" borderId="106" xfId="0" applyFont="1" applyBorder="1" applyAlignment="1">
      <alignment horizontal="left" vertical="center" wrapText="1"/>
    </xf>
    <xf numFmtId="0" fontId="57" fillId="7" borderId="190" xfId="0" applyFont="1" applyFill="1" applyBorder="1" applyAlignment="1">
      <alignment horizontal="left" vertical="center" wrapText="1"/>
    </xf>
    <xf numFmtId="0" fontId="57" fillId="7" borderId="181" xfId="0" applyFont="1" applyFill="1" applyBorder="1" applyAlignment="1">
      <alignment horizontal="left" vertical="center"/>
    </xf>
    <xf numFmtId="0" fontId="57" fillId="7" borderId="182" xfId="0" applyFont="1" applyFill="1" applyBorder="1" applyAlignment="1">
      <alignment horizontal="left" vertical="center"/>
    </xf>
    <xf numFmtId="2" fontId="49" fillId="9" borderId="174" xfId="0" quotePrefix="1" applyNumberFormat="1" applyFont="1" applyFill="1" applyBorder="1" applyAlignment="1">
      <alignment horizontal="left" vertical="center" wrapText="1"/>
    </xf>
    <xf numFmtId="2" fontId="49" fillId="24" borderId="174" xfId="0" quotePrefix="1" applyNumberFormat="1" applyFont="1" applyFill="1" applyBorder="1" applyAlignment="1">
      <alignment horizontal="left" vertical="center" wrapText="1"/>
    </xf>
    <xf numFmtId="0" fontId="53" fillId="10" borderId="218" xfId="0" applyFont="1" applyFill="1" applyBorder="1" applyAlignment="1">
      <alignment horizontal="left"/>
    </xf>
    <xf numFmtId="165" fontId="53" fillId="10" borderId="177" xfId="0" applyNumberFormat="1" applyFont="1" applyFill="1" applyBorder="1" applyAlignment="1">
      <alignment horizontal="left" vertical="center" wrapText="1"/>
    </xf>
    <xf numFmtId="165" fontId="53" fillId="10" borderId="177" xfId="0" applyNumberFormat="1" applyFont="1" applyFill="1" applyBorder="1" applyAlignment="1">
      <alignment horizontal="center" vertical="center" wrapText="1"/>
    </xf>
    <xf numFmtId="0" fontId="53" fillId="10" borderId="177" xfId="0" applyFont="1" applyFill="1" applyBorder="1" applyAlignment="1">
      <alignment horizontal="center" vertical="center" wrapText="1"/>
    </xf>
    <xf numFmtId="0" fontId="49" fillId="10" borderId="178" xfId="0" applyFont="1" applyFill="1" applyBorder="1" applyAlignment="1">
      <alignment horizontal="center" vertical="center" wrapText="1"/>
    </xf>
    <xf numFmtId="0" fontId="46" fillId="0" borderId="99" xfId="47" applyFont="1" applyBorder="1" applyAlignment="1">
      <alignment horizontal="left" vertical="center"/>
    </xf>
    <xf numFmtId="0" fontId="49" fillId="0" borderId="99" xfId="47" applyFont="1" applyBorder="1" applyAlignment="1">
      <alignment horizontal="left" vertical="center"/>
    </xf>
    <xf numFmtId="0" fontId="49" fillId="0" borderId="99" xfId="47" applyFont="1" applyBorder="1" applyAlignment="1">
      <alignment horizontal="left" vertical="center" wrapText="1"/>
    </xf>
    <xf numFmtId="0" fontId="49" fillId="0" borderId="99" xfId="47" applyFont="1" applyBorder="1" applyAlignment="1">
      <alignment horizontal="left"/>
    </xf>
    <xf numFmtId="0" fontId="5" fillId="0" borderId="0" xfId="48" applyAlignment="1">
      <alignment horizontal="left" vertical="center"/>
    </xf>
    <xf numFmtId="0" fontId="49" fillId="0" borderId="99" xfId="47" applyFont="1" applyBorder="1" applyAlignment="1">
      <alignment horizontal="center" vertical="center"/>
    </xf>
    <xf numFmtId="167" fontId="49" fillId="8" borderId="173" xfId="0" applyNumberFormat="1" applyFont="1" applyFill="1" applyBorder="1" applyAlignment="1">
      <alignment horizontal="center" vertical="center" wrapText="1"/>
    </xf>
    <xf numFmtId="2" fontId="49" fillId="7" borderId="173" xfId="0" applyNumberFormat="1" applyFont="1" applyFill="1" applyBorder="1" applyAlignment="1">
      <alignment horizontal="center" vertical="center" wrapText="1"/>
    </xf>
    <xf numFmtId="2" fontId="49" fillId="22" borderId="173" xfId="0" applyNumberFormat="1" applyFont="1" applyFill="1" applyBorder="1" applyAlignment="1">
      <alignment horizontal="center" vertical="center" wrapText="1"/>
    </xf>
    <xf numFmtId="2" fontId="49" fillId="20" borderId="173" xfId="0" applyNumberFormat="1" applyFont="1" applyFill="1" applyBorder="1" applyAlignment="1">
      <alignment horizontal="center" vertical="center" wrapText="1"/>
    </xf>
    <xf numFmtId="0" fontId="49" fillId="22" borderId="175" xfId="0" applyFont="1" applyFill="1" applyBorder="1" applyAlignment="1">
      <alignment vertical="center"/>
    </xf>
    <xf numFmtId="0" fontId="49" fillId="22" borderId="173" xfId="0" applyFont="1" applyFill="1" applyBorder="1" applyAlignment="1">
      <alignment vertical="center"/>
    </xf>
    <xf numFmtId="165" fontId="49" fillId="22" borderId="173" xfId="0" applyNumberFormat="1" applyFont="1" applyFill="1" applyBorder="1" applyAlignment="1">
      <alignment horizontal="left" vertical="center"/>
    </xf>
    <xf numFmtId="0" fontId="49" fillId="22" borderId="173" xfId="0" applyFont="1" applyFill="1" applyBorder="1" applyAlignment="1">
      <alignment horizontal="center" vertical="center"/>
    </xf>
    <xf numFmtId="0" fontId="49" fillId="22" borderId="173" xfId="0" applyFont="1" applyFill="1" applyBorder="1" applyAlignment="1">
      <alignment horizontal="left" vertical="center"/>
    </xf>
    <xf numFmtId="0" fontId="49" fillId="22" borderId="174" xfId="0" applyFont="1" applyFill="1" applyBorder="1" applyAlignment="1">
      <alignment vertical="center"/>
    </xf>
    <xf numFmtId="0" fontId="46" fillId="7" borderId="174" xfId="0" applyFont="1" applyFill="1" applyBorder="1" applyAlignment="1">
      <alignment horizontal="left" vertical="center" wrapText="1"/>
    </xf>
    <xf numFmtId="0" fontId="49" fillId="8" borderId="174" xfId="0" applyFont="1" applyFill="1" applyBorder="1" applyAlignment="1">
      <alignment horizontal="left" vertical="center"/>
    </xf>
    <xf numFmtId="2" fontId="53" fillId="10" borderId="173" xfId="0" applyNumberFormat="1" applyFont="1" applyFill="1" applyBorder="1" applyAlignment="1">
      <alignment horizontal="center" vertical="center" wrapText="1"/>
    </xf>
    <xf numFmtId="165" fontId="49" fillId="8" borderId="173" xfId="0" applyNumberFormat="1" applyFont="1" applyFill="1" applyBorder="1" applyAlignment="1">
      <alignment horizontal="center" vertical="center" wrapText="1"/>
    </xf>
    <xf numFmtId="2" fontId="49" fillId="8" borderId="173" xfId="0" applyNumberFormat="1" applyFont="1" applyFill="1" applyBorder="1" applyAlignment="1">
      <alignment horizontal="center" vertical="center" wrapText="1"/>
    </xf>
    <xf numFmtId="165" fontId="53" fillId="8" borderId="177" xfId="0" applyNumberFormat="1" applyFont="1" applyFill="1" applyBorder="1" applyAlignment="1">
      <alignment horizontal="center" vertical="center" wrapText="1"/>
    </xf>
    <xf numFmtId="0" fontId="29" fillId="9" borderId="173" xfId="0" applyFont="1" applyFill="1" applyBorder="1" applyAlignment="1">
      <alignment horizontal="center" vertical="center"/>
    </xf>
    <xf numFmtId="0" fontId="0" fillId="9" borderId="173" xfId="0" applyFill="1" applyBorder="1" applyAlignment="1">
      <alignment horizontal="left" vertical="center"/>
    </xf>
    <xf numFmtId="0" fontId="57" fillId="15" borderId="173" xfId="0" applyFont="1" applyFill="1" applyBorder="1" applyAlignment="1">
      <alignment horizontal="center" vertical="center"/>
    </xf>
    <xf numFmtId="0" fontId="49" fillId="15" borderId="173" xfId="0" applyFont="1" applyFill="1" applyBorder="1" applyAlignment="1">
      <alignment horizontal="left" vertical="center"/>
    </xf>
    <xf numFmtId="0" fontId="29" fillId="27" borderId="173" xfId="0" applyFont="1" applyFill="1" applyBorder="1" applyAlignment="1">
      <alignment horizontal="center" vertical="center"/>
    </xf>
    <xf numFmtId="0" fontId="0" fillId="27" borderId="173" xfId="0" applyFill="1" applyBorder="1" applyAlignment="1">
      <alignment horizontal="left" vertical="center"/>
    </xf>
    <xf numFmtId="0" fontId="48" fillId="4" borderId="158" xfId="0" applyFont="1" applyFill="1" applyBorder="1" applyAlignment="1">
      <alignment horizontal="center" vertical="center"/>
    </xf>
    <xf numFmtId="0" fontId="46" fillId="4" borderId="158" xfId="0" applyFont="1" applyFill="1" applyBorder="1" applyAlignment="1">
      <alignment horizontal="left" vertical="center"/>
    </xf>
    <xf numFmtId="0" fontId="48" fillId="18" borderId="213" xfId="0" applyFont="1" applyFill="1" applyBorder="1" applyAlignment="1">
      <alignment horizontal="center" vertical="center"/>
    </xf>
    <xf numFmtId="0" fontId="46" fillId="18" borderId="213" xfId="0" applyFont="1" applyFill="1" applyBorder="1" applyAlignment="1">
      <alignment horizontal="left" vertical="center"/>
    </xf>
    <xf numFmtId="0" fontId="48" fillId="18" borderId="158" xfId="0" applyFont="1" applyFill="1" applyBorder="1" applyAlignment="1">
      <alignment horizontal="center" vertical="center"/>
    </xf>
    <xf numFmtId="0" fontId="46" fillId="18" borderId="158" xfId="0" applyFont="1" applyFill="1" applyBorder="1" applyAlignment="1">
      <alignment horizontal="left" vertical="center"/>
    </xf>
    <xf numFmtId="0" fontId="48" fillId="18" borderId="177" xfId="0" applyFont="1" applyFill="1" applyBorder="1" applyAlignment="1">
      <alignment horizontal="center" vertical="center"/>
    </xf>
    <xf numFmtId="0" fontId="46" fillId="18" borderId="177" xfId="0" applyFont="1" applyFill="1" applyBorder="1" applyAlignment="1">
      <alignment horizontal="left" vertical="center"/>
    </xf>
    <xf numFmtId="0" fontId="49" fillId="0" borderId="177" xfId="0" quotePrefix="1" applyFont="1" applyBorder="1" applyAlignment="1">
      <alignment horizontal="left" vertical="center" wrapText="1"/>
    </xf>
    <xf numFmtId="0" fontId="52" fillId="0" borderId="0" xfId="4" applyAlignment="1" applyProtection="1">
      <alignment horizontal="left"/>
    </xf>
    <xf numFmtId="0" fontId="46" fillId="0" borderId="175" xfId="0" applyFont="1" applyBorder="1" applyAlignment="1">
      <alignment horizontal="left" vertical="center"/>
    </xf>
    <xf numFmtId="0" fontId="46" fillId="0" borderId="173" xfId="0" applyFont="1" applyBorder="1" applyAlignment="1">
      <alignment horizontal="left" vertical="center" wrapText="1"/>
    </xf>
    <xf numFmtId="165" fontId="46" fillId="0" borderId="173" xfId="0" applyNumberFormat="1" applyFont="1" applyBorder="1" applyAlignment="1">
      <alignment horizontal="left" vertical="center"/>
    </xf>
    <xf numFmtId="0" fontId="46" fillId="0" borderId="173" xfId="0" applyFont="1" applyBorder="1" applyAlignment="1">
      <alignment horizontal="left" vertical="center"/>
    </xf>
    <xf numFmtId="0" fontId="46" fillId="0" borderId="174" xfId="0" applyFont="1" applyBorder="1" applyAlignment="1">
      <alignment horizontal="left" vertical="center"/>
    </xf>
    <xf numFmtId="0" fontId="49" fillId="12" borderId="175" xfId="0" applyFont="1" applyFill="1" applyBorder="1" applyAlignment="1">
      <alignment horizontal="left" vertical="center"/>
    </xf>
    <xf numFmtId="0" fontId="81" fillId="12" borderId="173" xfId="0" applyFont="1" applyFill="1" applyBorder="1" applyAlignment="1">
      <alignment horizontal="center" vertical="center"/>
    </xf>
    <xf numFmtId="0" fontId="49" fillId="12" borderId="173" xfId="0" applyFont="1" applyFill="1" applyBorder="1" applyAlignment="1">
      <alignment horizontal="center" vertical="center"/>
    </xf>
    <xf numFmtId="0" fontId="49" fillId="12" borderId="173" xfId="0" applyFont="1" applyFill="1" applyBorder="1" applyAlignment="1">
      <alignment horizontal="left" vertical="center"/>
    </xf>
    <xf numFmtId="0" fontId="49" fillId="12" borderId="174" xfId="0" applyFont="1" applyFill="1" applyBorder="1" applyAlignment="1">
      <alignment horizontal="left" vertical="center"/>
    </xf>
    <xf numFmtId="0" fontId="49" fillId="12" borderId="173" xfId="0" quotePrefix="1" applyFont="1" applyFill="1" applyBorder="1" applyAlignment="1">
      <alignment horizontal="left" vertical="center" wrapText="1"/>
    </xf>
    <xf numFmtId="0" fontId="49" fillId="12" borderId="173" xfId="0" applyFont="1" applyFill="1" applyBorder="1" applyAlignment="1">
      <alignment horizontal="left" vertical="center" wrapText="1"/>
    </xf>
    <xf numFmtId="0" fontId="76" fillId="0" borderId="0" xfId="0" applyFont="1" applyAlignment="1">
      <alignment horizontal="left" vertical="center"/>
    </xf>
    <xf numFmtId="0" fontId="49" fillId="12" borderId="175" xfId="0" quotePrefix="1" applyFont="1" applyFill="1" applyBorder="1" applyAlignment="1">
      <alignment horizontal="left" vertical="center"/>
    </xf>
    <xf numFmtId="165" fontId="49" fillId="12" borderId="173" xfId="0" applyNumberFormat="1" applyFont="1" applyFill="1" applyBorder="1" applyAlignment="1">
      <alignment horizontal="left" vertical="center"/>
    </xf>
    <xf numFmtId="0" fontId="49" fillId="12" borderId="173" xfId="0" quotePrefix="1" applyFont="1" applyFill="1" applyBorder="1" applyAlignment="1">
      <alignment horizontal="left" vertical="center"/>
    </xf>
    <xf numFmtId="0" fontId="76" fillId="0" borderId="0" xfId="0" applyFont="1" applyAlignment="1">
      <alignment horizontal="left"/>
    </xf>
    <xf numFmtId="167" fontId="49" fillId="12" borderId="173" xfId="0" applyNumberFormat="1" applyFont="1" applyFill="1" applyBorder="1" applyAlignment="1">
      <alignment horizontal="left" vertical="center"/>
    </xf>
    <xf numFmtId="0" fontId="49" fillId="12" borderId="218" xfId="0" quotePrefix="1" applyFont="1" applyFill="1" applyBorder="1" applyAlignment="1">
      <alignment horizontal="left" vertical="center"/>
    </xf>
    <xf numFmtId="0" fontId="49" fillId="12" borderId="177" xfId="0" quotePrefix="1" applyFont="1" applyFill="1" applyBorder="1" applyAlignment="1">
      <alignment horizontal="left" vertical="center" wrapText="1"/>
    </xf>
    <xf numFmtId="167" fontId="49" fillId="12" borderId="177" xfId="0" applyNumberFormat="1" applyFont="1" applyFill="1" applyBorder="1" applyAlignment="1">
      <alignment horizontal="left" vertical="center"/>
    </xf>
    <xf numFmtId="0" fontId="49" fillId="12" borderId="177" xfId="0" applyFont="1" applyFill="1" applyBorder="1" applyAlignment="1">
      <alignment horizontal="left" vertical="center" wrapText="1"/>
    </xf>
    <xf numFmtId="0" fontId="49" fillId="12" borderId="177" xfId="0" quotePrefix="1" applyFont="1" applyFill="1" applyBorder="1" applyAlignment="1">
      <alignment horizontal="left" vertical="center"/>
    </xf>
    <xf numFmtId="0" fontId="49" fillId="12" borderId="177" xfId="0" applyFont="1" applyFill="1" applyBorder="1" applyAlignment="1">
      <alignment horizontal="left" vertical="center"/>
    </xf>
    <xf numFmtId="0" fontId="49" fillId="12" borderId="178" xfId="0" applyFont="1" applyFill="1" applyBorder="1" applyAlignment="1">
      <alignment horizontal="left" vertical="center"/>
    </xf>
    <xf numFmtId="0" fontId="80" fillId="23" borderId="196" xfId="48" applyFont="1" applyFill="1" applyBorder="1" applyAlignment="1">
      <alignment horizontal="left" vertical="center"/>
    </xf>
    <xf numFmtId="0" fontId="80" fillId="23" borderId="197" xfId="48" applyFont="1" applyFill="1" applyBorder="1" applyAlignment="1">
      <alignment horizontal="left" vertical="center"/>
    </xf>
    <xf numFmtId="0" fontId="80" fillId="23" borderId="198" xfId="48" applyFont="1" applyFill="1" applyBorder="1" applyAlignment="1">
      <alignment horizontal="left" vertical="center"/>
    </xf>
    <xf numFmtId="0" fontId="80" fillId="23" borderId="199" xfId="48" applyFont="1" applyFill="1" applyBorder="1" applyAlignment="1">
      <alignment horizontal="left" vertical="center"/>
    </xf>
    <xf numFmtId="0" fontId="80" fillId="23" borderId="200" xfId="48" applyFont="1" applyFill="1" applyBorder="1" applyAlignment="1">
      <alignment horizontal="left" vertical="center"/>
    </xf>
    <xf numFmtId="0" fontId="5" fillId="2" borderId="0" xfId="48" applyFill="1" applyAlignment="1">
      <alignment horizontal="left" vertical="center"/>
    </xf>
    <xf numFmtId="0" fontId="4" fillId="0" borderId="0" xfId="162" applyAlignment="1">
      <alignment horizontal="left" vertical="center"/>
    </xf>
    <xf numFmtId="0" fontId="49" fillId="0" borderId="99" xfId="162" applyFont="1" applyBorder="1" applyAlignment="1">
      <alignment horizontal="center" vertical="center"/>
    </xf>
    <xf numFmtId="0" fontId="49" fillId="0" borderId="99" xfId="162" applyFont="1" applyBorder="1" applyAlignment="1">
      <alignment horizontal="left" vertical="center"/>
    </xf>
    <xf numFmtId="0" fontId="46" fillId="0" borderId="99" xfId="162" applyFont="1" applyBorder="1" applyAlignment="1">
      <alignment horizontal="left" vertical="center"/>
    </xf>
    <xf numFmtId="0" fontId="49" fillId="0" borderId="99" xfId="162" applyFont="1" applyBorder="1" applyAlignment="1">
      <alignment horizontal="left"/>
    </xf>
    <xf numFmtId="0" fontId="80" fillId="23" borderId="201" xfId="48" applyFont="1" applyFill="1" applyBorder="1" applyAlignment="1">
      <alignment horizontal="left" vertical="center"/>
    </xf>
    <xf numFmtId="0" fontId="80" fillId="23" borderId="202" xfId="48" applyFont="1" applyFill="1" applyBorder="1" applyAlignment="1">
      <alignment horizontal="left" vertical="center"/>
    </xf>
    <xf numFmtId="0" fontId="80" fillId="23" borderId="203" xfId="48" applyFont="1" applyFill="1" applyBorder="1" applyAlignment="1">
      <alignment horizontal="left" vertical="center"/>
    </xf>
    <xf numFmtId="0" fontId="80" fillId="23" borderId="204" xfId="48" applyFont="1" applyFill="1" applyBorder="1" applyAlignment="1">
      <alignment horizontal="left" vertical="center"/>
    </xf>
    <xf numFmtId="11" fontId="49" fillId="0" borderId="99" xfId="47" applyNumberFormat="1" applyFont="1" applyBorder="1" applyAlignment="1">
      <alignment horizontal="left" vertical="center"/>
    </xf>
    <xf numFmtId="0" fontId="5" fillId="0" borderId="0" xfId="47"/>
    <xf numFmtId="0" fontId="49" fillId="0" borderId="205" xfId="48" applyFont="1" applyBorder="1" applyAlignment="1">
      <alignment horizontal="left" vertical="center"/>
    </xf>
    <xf numFmtId="0" fontId="49" fillId="0" borderId="205" xfId="60" applyFont="1" applyBorder="1" applyAlignment="1">
      <alignment horizontal="left" vertical="center"/>
    </xf>
    <xf numFmtId="168" fontId="49" fillId="0" borderId="205" xfId="60" applyNumberFormat="1" applyFont="1" applyBorder="1" applyAlignment="1">
      <alignment horizontal="left" vertical="center"/>
    </xf>
    <xf numFmtId="0" fontId="49" fillId="0" borderId="99" xfId="60" applyFont="1" applyBorder="1" applyAlignment="1">
      <alignment horizontal="left" vertical="center"/>
    </xf>
    <xf numFmtId="0" fontId="49" fillId="0" borderId="205" xfId="60" quotePrefix="1" applyFont="1" applyBorder="1" applyAlignment="1">
      <alignment horizontal="center" vertical="center"/>
    </xf>
    <xf numFmtId="0" fontId="46" fillId="0" borderId="194" xfId="6" applyFont="1" applyBorder="1"/>
    <xf numFmtId="0" fontId="46" fillId="0" borderId="213" xfId="6" applyFont="1" applyBorder="1"/>
    <xf numFmtId="0" fontId="46" fillId="0" borderId="195" xfId="6" applyFont="1" applyBorder="1"/>
    <xf numFmtId="0" fontId="46" fillId="0" borderId="222" xfId="6" applyFont="1" applyBorder="1"/>
    <xf numFmtId="0" fontId="46" fillId="0" borderId="210" xfId="6" applyFont="1" applyBorder="1"/>
    <xf numFmtId="0" fontId="46" fillId="0" borderId="223" xfId="6" applyFont="1" applyBorder="1"/>
    <xf numFmtId="0" fontId="46" fillId="0" borderId="210" xfId="0" applyFont="1" applyBorder="1"/>
    <xf numFmtId="0" fontId="46" fillId="0" borderId="218" xfId="6" applyFont="1" applyBorder="1"/>
    <xf numFmtId="0" fontId="46" fillId="0" borderId="212" xfId="6" applyFont="1" applyBorder="1"/>
    <xf numFmtId="0" fontId="46" fillId="0" borderId="219" xfId="6" applyFont="1" applyBorder="1"/>
    <xf numFmtId="165" fontId="49" fillId="20" borderId="102" xfId="0" quotePrefix="1" applyNumberFormat="1" applyFont="1" applyFill="1" applyBorder="1" applyAlignment="1">
      <alignment horizontal="left" vertical="center" wrapText="1"/>
    </xf>
    <xf numFmtId="165" fontId="49" fillId="20" borderId="157" xfId="0" quotePrefix="1" applyNumberFormat="1" applyFont="1" applyFill="1" applyBorder="1" applyAlignment="1">
      <alignment horizontal="left" vertical="center" wrapText="1"/>
    </xf>
    <xf numFmtId="165" fontId="49" fillId="20" borderId="142" xfId="0" applyNumberFormat="1" applyFont="1" applyFill="1" applyBorder="1" applyAlignment="1">
      <alignment horizontal="left" vertical="center" wrapText="1"/>
    </xf>
    <xf numFmtId="165" fontId="49" fillId="20" borderId="127" xfId="0" quotePrefix="1" applyNumberFormat="1" applyFont="1" applyFill="1" applyBorder="1" applyAlignment="1">
      <alignment horizontal="left" vertical="center" wrapText="1"/>
    </xf>
    <xf numFmtId="166" fontId="49" fillId="12" borderId="173" xfId="0" applyNumberFormat="1" applyFont="1" applyFill="1" applyBorder="1" applyAlignment="1">
      <alignment horizontal="left" vertical="center"/>
    </xf>
    <xf numFmtId="0" fontId="57" fillId="7" borderId="215" xfId="0" applyFont="1" applyFill="1" applyBorder="1" applyAlignment="1">
      <alignment horizontal="center" vertical="center" wrapText="1"/>
    </xf>
    <xf numFmtId="2" fontId="46" fillId="0" borderId="173" xfId="0" applyNumberFormat="1" applyFont="1" applyBorder="1" applyAlignment="1">
      <alignment horizontal="center" vertical="center"/>
    </xf>
    <xf numFmtId="167" fontId="7" fillId="0" borderId="173" xfId="45" applyNumberFormat="1" applyBorder="1" applyAlignment="1">
      <alignment horizontal="center"/>
    </xf>
    <xf numFmtId="0" fontId="46" fillId="0" borderId="173" xfId="0" applyFont="1" applyBorder="1" applyAlignment="1">
      <alignment horizontal="center" vertical="center"/>
    </xf>
    <xf numFmtId="167" fontId="7" fillId="0" borderId="173" xfId="46" applyNumberFormat="1" applyBorder="1" applyAlignment="1">
      <alignment horizontal="center"/>
    </xf>
    <xf numFmtId="167" fontId="7" fillId="0" borderId="212" xfId="45" applyNumberFormat="1" applyBorder="1" applyAlignment="1">
      <alignment horizontal="center"/>
    </xf>
    <xf numFmtId="167" fontId="10" fillId="0" borderId="213" xfId="35" applyNumberFormat="1" applyBorder="1" applyAlignment="1">
      <alignment horizontal="center"/>
    </xf>
    <xf numFmtId="167" fontId="10" fillId="0" borderId="173" xfId="35" applyNumberFormat="1" applyBorder="1" applyAlignment="1">
      <alignment horizontal="center"/>
    </xf>
    <xf numFmtId="167" fontId="10" fillId="0" borderId="212" xfId="35" applyNumberFormat="1" applyBorder="1" applyAlignment="1">
      <alignment horizontal="center"/>
    </xf>
    <xf numFmtId="0" fontId="56" fillId="7" borderId="221" xfId="0" applyFont="1" applyFill="1" applyBorder="1" applyAlignment="1">
      <alignment vertical="center" wrapText="1"/>
    </xf>
    <xf numFmtId="0" fontId="57" fillId="7" borderId="167" xfId="0" applyFont="1" applyFill="1" applyBorder="1" applyAlignment="1">
      <alignment vertical="center"/>
    </xf>
    <xf numFmtId="0" fontId="49" fillId="29" borderId="183" xfId="0" applyFont="1" applyFill="1" applyBorder="1" applyAlignment="1">
      <alignment vertical="center"/>
    </xf>
    <xf numFmtId="0" fontId="49" fillId="29" borderId="184" xfId="0" applyFont="1" applyFill="1" applyBorder="1" applyAlignment="1">
      <alignment vertical="center"/>
    </xf>
    <xf numFmtId="0" fontId="49" fillId="29" borderId="184" xfId="0" applyFont="1" applyFill="1" applyBorder="1" applyAlignment="1">
      <alignment horizontal="center" vertical="center" wrapText="1"/>
    </xf>
    <xf numFmtId="0" fontId="49" fillId="29" borderId="184" xfId="0" applyFont="1" applyFill="1" applyBorder="1" applyAlignment="1">
      <alignment horizontal="left" vertical="center"/>
    </xf>
    <xf numFmtId="0" fontId="49" fillId="29" borderId="185" xfId="0" applyFont="1" applyFill="1" applyBorder="1" applyAlignment="1">
      <alignment horizontal="left" vertical="center"/>
    </xf>
    <xf numFmtId="0" fontId="49" fillId="29" borderId="125" xfId="0" applyFont="1" applyFill="1" applyBorder="1" applyAlignment="1">
      <alignment vertical="center"/>
    </xf>
    <xf numFmtId="0" fontId="49" fillId="29" borderId="100" xfId="0" applyFont="1" applyFill="1" applyBorder="1" applyAlignment="1">
      <alignment vertical="center"/>
    </xf>
    <xf numFmtId="0" fontId="49" fillId="29" borderId="100" xfId="0" applyFont="1" applyFill="1" applyBorder="1" applyAlignment="1">
      <alignment horizontal="center" vertical="center" wrapText="1"/>
    </xf>
    <xf numFmtId="0" fontId="49" fillId="29" borderId="212" xfId="0" applyFont="1" applyFill="1" applyBorder="1" applyAlignment="1">
      <alignment horizontal="left" vertical="center"/>
    </xf>
    <xf numFmtId="0" fontId="49" fillId="29" borderId="219" xfId="0" applyFont="1" applyFill="1" applyBorder="1" applyAlignment="1">
      <alignment horizontal="left" vertical="center"/>
    </xf>
    <xf numFmtId="0" fontId="49" fillId="29" borderId="184" xfId="0" applyFont="1" applyFill="1" applyBorder="1" applyAlignment="1">
      <alignment horizontal="center" vertical="center"/>
    </xf>
    <xf numFmtId="0" fontId="49" fillId="29" borderId="222" xfId="0" applyFont="1" applyFill="1" applyBorder="1" applyAlignment="1">
      <alignment vertical="center"/>
    </xf>
    <xf numFmtId="0" fontId="49" fillId="29" borderId="173" xfId="0" applyFont="1" applyFill="1" applyBorder="1" applyAlignment="1">
      <alignment vertical="center"/>
    </xf>
    <xf numFmtId="0" fontId="49" fillId="29" borderId="173" xfId="0" applyFont="1" applyFill="1" applyBorder="1" applyAlignment="1">
      <alignment horizontal="center" vertical="center" wrapText="1"/>
    </xf>
    <xf numFmtId="0" fontId="49" fillId="29" borderId="173" xfId="0" applyFont="1" applyFill="1" applyBorder="1" applyAlignment="1">
      <alignment horizontal="center" vertical="center"/>
    </xf>
    <xf numFmtId="0" fontId="49" fillId="29" borderId="173" xfId="0" applyFont="1" applyFill="1" applyBorder="1" applyAlignment="1">
      <alignment horizontal="left" vertical="center"/>
    </xf>
    <xf numFmtId="0" fontId="49" fillId="29" borderId="223" xfId="0" applyFont="1" applyFill="1" applyBorder="1" applyAlignment="1">
      <alignment horizontal="left" vertical="center"/>
    </xf>
    <xf numFmtId="0" fontId="49" fillId="29" borderId="218" xfId="0" applyFont="1" applyFill="1" applyBorder="1" applyAlignment="1">
      <alignment vertical="center"/>
    </xf>
    <xf numFmtId="0" fontId="49" fillId="29" borderId="212" xfId="0" applyFont="1" applyFill="1" applyBorder="1" applyAlignment="1">
      <alignment vertical="center"/>
    </xf>
    <xf numFmtId="0" fontId="49" fillId="29" borderId="212" xfId="0" applyFont="1" applyFill="1" applyBorder="1" applyAlignment="1">
      <alignment horizontal="center" vertical="center" wrapText="1"/>
    </xf>
    <xf numFmtId="0" fontId="49" fillId="29" borderId="212" xfId="0" applyFont="1" applyFill="1" applyBorder="1" applyAlignment="1">
      <alignment horizontal="center" vertical="center"/>
    </xf>
    <xf numFmtId="0" fontId="49" fillId="30" borderId="183" xfId="0" applyFont="1" applyFill="1" applyBorder="1" applyAlignment="1">
      <alignment vertical="center"/>
    </xf>
    <xf numFmtId="0" fontId="49" fillId="30" borderId="173" xfId="0" applyFont="1" applyFill="1" applyBorder="1" applyAlignment="1">
      <alignment vertical="center"/>
    </xf>
    <xf numFmtId="0" fontId="49" fillId="30" borderId="184" xfId="0" applyFont="1" applyFill="1" applyBorder="1" applyAlignment="1">
      <alignment horizontal="center" vertical="center" wrapText="1"/>
    </xf>
    <xf numFmtId="0" fontId="49" fillId="30" borderId="184" xfId="0" applyFont="1" applyFill="1" applyBorder="1" applyAlignment="1">
      <alignment horizontal="center" vertical="center"/>
    </xf>
    <xf numFmtId="0" fontId="49" fillId="30" borderId="184" xfId="0" applyFont="1" applyFill="1" applyBorder="1" applyAlignment="1">
      <alignment horizontal="left" vertical="center"/>
    </xf>
    <xf numFmtId="0" fontId="49" fillId="30" borderId="185" xfId="0" applyFont="1" applyFill="1" applyBorder="1" applyAlignment="1">
      <alignment horizontal="left" vertical="center"/>
    </xf>
    <xf numFmtId="0" fontId="49" fillId="30" borderId="222" xfId="0" applyFont="1" applyFill="1" applyBorder="1" applyAlignment="1">
      <alignment vertical="center"/>
    </xf>
    <xf numFmtId="0" fontId="49" fillId="30" borderId="173" xfId="0" applyFont="1" applyFill="1" applyBorder="1" applyAlignment="1">
      <alignment horizontal="center" vertical="center" wrapText="1"/>
    </xf>
    <xf numFmtId="0" fontId="49" fillId="30" borderId="173" xfId="0" applyFont="1" applyFill="1" applyBorder="1" applyAlignment="1">
      <alignment horizontal="center" vertical="center"/>
    </xf>
    <xf numFmtId="0" fontId="49" fillId="30" borderId="173" xfId="0" applyFont="1" applyFill="1" applyBorder="1" applyAlignment="1">
      <alignment horizontal="left" vertical="center"/>
    </xf>
    <xf numFmtId="0" fontId="49" fillId="30" borderId="223" xfId="0" applyFont="1" applyFill="1" applyBorder="1" applyAlignment="1">
      <alignment horizontal="left" vertical="center"/>
    </xf>
    <xf numFmtId="0" fontId="49" fillId="30" borderId="218" xfId="0" applyFont="1" applyFill="1" applyBorder="1" applyAlignment="1">
      <alignment vertical="center"/>
    </xf>
    <xf numFmtId="0" fontId="49" fillId="30" borderId="212" xfId="0" applyFont="1" applyFill="1" applyBorder="1" applyAlignment="1">
      <alignment vertical="center"/>
    </xf>
    <xf numFmtId="0" fontId="49" fillId="30" borderId="212" xfId="0" applyFont="1" applyFill="1" applyBorder="1" applyAlignment="1">
      <alignment horizontal="center" vertical="center" wrapText="1"/>
    </xf>
    <xf numFmtId="0" fontId="49" fillId="30" borderId="212" xfId="0" applyFont="1" applyFill="1" applyBorder="1" applyAlignment="1">
      <alignment horizontal="center" vertical="center"/>
    </xf>
    <xf numFmtId="0" fontId="49" fillId="30" borderId="212" xfId="0" applyFont="1" applyFill="1" applyBorder="1" applyAlignment="1">
      <alignment horizontal="left" vertical="center"/>
    </xf>
    <xf numFmtId="0" fontId="49" fillId="30" borderId="219" xfId="0" applyFont="1" applyFill="1" applyBorder="1" applyAlignment="1">
      <alignment horizontal="left" vertical="center"/>
    </xf>
    <xf numFmtId="0" fontId="57" fillId="7" borderId="180" xfId="0" applyFont="1" applyFill="1" applyBorder="1" applyAlignment="1">
      <alignment vertical="center"/>
    </xf>
    <xf numFmtId="0" fontId="49" fillId="31" borderId="183" xfId="0" applyFont="1" applyFill="1" applyBorder="1" applyAlignment="1">
      <alignment vertical="center"/>
    </xf>
    <xf numFmtId="0" fontId="49" fillId="31" borderId="184" xfId="0" applyFont="1" applyFill="1" applyBorder="1" applyAlignment="1">
      <alignment vertical="center"/>
    </xf>
    <xf numFmtId="165" fontId="49" fillId="31" borderId="184" xfId="0" applyNumberFormat="1" applyFont="1" applyFill="1" applyBorder="1" applyAlignment="1">
      <alignment horizontal="center" vertical="center" wrapText="1"/>
    </xf>
    <xf numFmtId="0" fontId="49" fillId="31" borderId="184" xfId="0" applyFont="1" applyFill="1" applyBorder="1" applyAlignment="1">
      <alignment horizontal="center" vertical="center"/>
    </xf>
    <xf numFmtId="0" fontId="49" fillId="31" borderId="184" xfId="0" applyFont="1" applyFill="1" applyBorder="1" applyAlignment="1">
      <alignment horizontal="left" vertical="center"/>
    </xf>
    <xf numFmtId="0" fontId="49" fillId="31" borderId="185" xfId="0" applyFont="1" applyFill="1" applyBorder="1" applyAlignment="1">
      <alignment horizontal="left" vertical="center"/>
    </xf>
    <xf numFmtId="0" fontId="49" fillId="31" borderId="222" xfId="0" applyFont="1" applyFill="1" applyBorder="1" applyAlignment="1">
      <alignment vertical="center"/>
    </xf>
    <xf numFmtId="0" fontId="49" fillId="31" borderId="173" xfId="0" applyFont="1" applyFill="1" applyBorder="1" applyAlignment="1">
      <alignment vertical="center"/>
    </xf>
    <xf numFmtId="165" fontId="49" fillId="31" borderId="173" xfId="0" applyNumberFormat="1" applyFont="1" applyFill="1" applyBorder="1" applyAlignment="1">
      <alignment horizontal="center" vertical="center" wrapText="1"/>
    </xf>
    <xf numFmtId="0" fontId="49" fillId="31" borderId="173" xfId="0" applyFont="1" applyFill="1" applyBorder="1" applyAlignment="1">
      <alignment horizontal="center" vertical="center"/>
    </xf>
    <xf numFmtId="0" fontId="49" fillId="31" borderId="173" xfId="0" applyFont="1" applyFill="1" applyBorder="1" applyAlignment="1">
      <alignment horizontal="left" vertical="center"/>
    </xf>
    <xf numFmtId="0" fontId="49" fillId="31" borderId="223" xfId="0" applyFont="1" applyFill="1" applyBorder="1" applyAlignment="1">
      <alignment horizontal="left" vertical="center"/>
    </xf>
    <xf numFmtId="0" fontId="49" fillId="31" borderId="173" xfId="0" applyFont="1" applyFill="1" applyBorder="1" applyAlignment="1">
      <alignment horizontal="center" vertical="center" wrapText="1"/>
    </xf>
    <xf numFmtId="0" fontId="49" fillId="31" borderId="218" xfId="0" applyFont="1" applyFill="1" applyBorder="1" applyAlignment="1">
      <alignment vertical="center"/>
    </xf>
    <xf numFmtId="0" fontId="49" fillId="31" borderId="212" xfId="0" applyFont="1" applyFill="1" applyBorder="1" applyAlignment="1">
      <alignment vertical="center"/>
    </xf>
    <xf numFmtId="0" fontId="49" fillId="31" borderId="212" xfId="0" applyFont="1" applyFill="1" applyBorder="1" applyAlignment="1">
      <alignment horizontal="center" vertical="center" wrapText="1"/>
    </xf>
    <xf numFmtId="0" fontId="49" fillId="31" borderId="212" xfId="0" applyFont="1" applyFill="1" applyBorder="1" applyAlignment="1">
      <alignment horizontal="center" vertical="center"/>
    </xf>
    <xf numFmtId="0" fontId="49" fillId="31" borderId="212" xfId="0" applyFont="1" applyFill="1" applyBorder="1" applyAlignment="1">
      <alignment horizontal="left" vertical="center"/>
    </xf>
    <xf numFmtId="0" fontId="49" fillId="31" borderId="219" xfId="0" applyFont="1" applyFill="1" applyBorder="1" applyAlignment="1">
      <alignment horizontal="left" vertical="center"/>
    </xf>
    <xf numFmtId="0" fontId="49" fillId="15" borderId="173" xfId="0" applyFont="1" applyFill="1" applyBorder="1" applyAlignment="1">
      <alignment vertical="center" wrapText="1"/>
    </xf>
    <xf numFmtId="0" fontId="49" fillId="15" borderId="173" xfId="0" applyFont="1" applyFill="1" applyBorder="1" applyAlignment="1">
      <alignment horizontal="center" vertical="center" wrapText="1"/>
    </xf>
    <xf numFmtId="1" fontId="49" fillId="15" borderId="173" xfId="0" applyNumberFormat="1" applyFont="1" applyFill="1" applyBorder="1" applyAlignment="1">
      <alignment horizontal="center" vertical="center" wrapText="1"/>
    </xf>
    <xf numFmtId="0" fontId="49" fillId="15" borderId="223" xfId="0" applyFont="1" applyFill="1" applyBorder="1" applyAlignment="1">
      <alignment horizontal="left" vertical="center"/>
    </xf>
    <xf numFmtId="0" fontId="49" fillId="15" borderId="222" xfId="0" applyFont="1" applyFill="1" applyBorder="1" applyAlignment="1">
      <alignment vertical="center"/>
    </xf>
    <xf numFmtId="0" fontId="49" fillId="15" borderId="173" xfId="0" applyFont="1" applyFill="1" applyBorder="1" applyAlignment="1">
      <alignment vertical="center"/>
    </xf>
    <xf numFmtId="11" fontId="49" fillId="15" borderId="173" xfId="0" applyNumberFormat="1" applyFont="1" applyFill="1" applyBorder="1" applyAlignment="1">
      <alignment horizontal="center" vertical="center" wrapText="1"/>
    </xf>
    <xf numFmtId="0" fontId="53" fillId="15" borderId="173" xfId="0" applyFont="1" applyFill="1" applyBorder="1" applyAlignment="1">
      <alignment horizontal="center" vertical="center" wrapText="1"/>
    </xf>
    <xf numFmtId="0" fontId="49" fillId="15" borderId="173" xfId="0" applyFont="1" applyFill="1" applyBorder="1" applyAlignment="1">
      <alignment horizontal="center" vertical="center"/>
    </xf>
    <xf numFmtId="0" fontId="53" fillId="15" borderId="173" xfId="0" applyFont="1" applyFill="1" applyBorder="1" applyAlignment="1">
      <alignment horizontal="left" vertical="center" wrapText="1"/>
    </xf>
    <xf numFmtId="0" fontId="53" fillId="15" borderId="223" xfId="0" applyFont="1" applyFill="1" applyBorder="1" applyAlignment="1">
      <alignment horizontal="left" vertical="center" wrapText="1"/>
    </xf>
    <xf numFmtId="167" fontId="53" fillId="15" borderId="173" xfId="0" applyNumberFormat="1" applyFont="1" applyFill="1" applyBorder="1" applyAlignment="1">
      <alignment horizontal="center" vertical="center" wrapText="1"/>
    </xf>
    <xf numFmtId="165" fontId="53" fillId="7" borderId="173" xfId="0" applyNumberFormat="1" applyFont="1" applyFill="1" applyBorder="1" applyAlignment="1">
      <alignment horizontal="center" vertical="center" wrapText="1"/>
    </xf>
    <xf numFmtId="0" fontId="53" fillId="7" borderId="173" xfId="0" applyFont="1" applyFill="1" applyBorder="1" applyAlignment="1">
      <alignment horizontal="left" vertical="center" wrapText="1"/>
    </xf>
    <xf numFmtId="0" fontId="53" fillId="7" borderId="223" xfId="0" applyFont="1" applyFill="1" applyBorder="1" applyAlignment="1">
      <alignment horizontal="left" vertical="center" wrapText="1"/>
    </xf>
    <xf numFmtId="0" fontId="53" fillId="7" borderId="105" xfId="0" applyFont="1" applyFill="1" applyBorder="1" applyAlignment="1">
      <alignment vertical="center"/>
    </xf>
    <xf numFmtId="0" fontId="49" fillId="7" borderId="102" xfId="0" applyFont="1" applyFill="1" applyBorder="1" applyAlignment="1">
      <alignment vertical="center"/>
    </xf>
    <xf numFmtId="165" fontId="53" fillId="7" borderId="102" xfId="0" applyNumberFormat="1" applyFont="1" applyFill="1" applyBorder="1" applyAlignment="1">
      <alignment horizontal="center" vertical="center" wrapText="1"/>
    </xf>
    <xf numFmtId="0" fontId="53" fillId="7" borderId="102" xfId="0" applyFont="1" applyFill="1" applyBorder="1" applyAlignment="1">
      <alignment horizontal="center" vertical="center" wrapText="1"/>
    </xf>
    <xf numFmtId="0" fontId="53" fillId="7" borderId="102" xfId="0" applyFont="1" applyFill="1" applyBorder="1" applyAlignment="1">
      <alignment horizontal="left" vertical="center" wrapText="1"/>
    </xf>
    <xf numFmtId="0" fontId="51" fillId="7" borderId="106" xfId="0" applyFont="1" applyFill="1" applyBorder="1" applyAlignment="1">
      <alignment horizontal="left" vertical="center" wrapText="1"/>
    </xf>
    <xf numFmtId="0" fontId="53" fillId="7" borderId="222" xfId="0" applyFont="1" applyFill="1" applyBorder="1" applyAlignment="1">
      <alignment vertical="center" wrapText="1"/>
    </xf>
    <xf numFmtId="0" fontId="49" fillId="7" borderId="173" xfId="0" applyFont="1" applyFill="1" applyBorder="1" applyAlignment="1">
      <alignment vertical="center"/>
    </xf>
    <xf numFmtId="0" fontId="49" fillId="7" borderId="218" xfId="0" applyFont="1" applyFill="1" applyBorder="1" applyAlignment="1">
      <alignment vertical="center"/>
    </xf>
    <xf numFmtId="2" fontId="49" fillId="7" borderId="212" xfId="0" applyNumberFormat="1" applyFont="1" applyFill="1" applyBorder="1" applyAlignment="1">
      <alignment vertical="center" wrapText="1"/>
    </xf>
    <xf numFmtId="2" fontId="49" fillId="7" borderId="212" xfId="0" applyNumberFormat="1" applyFont="1" applyFill="1" applyBorder="1" applyAlignment="1">
      <alignment horizontal="center" vertical="center" wrapText="1"/>
    </xf>
    <xf numFmtId="0" fontId="53" fillId="7" borderId="212" xfId="0" applyFont="1" applyFill="1" applyBorder="1" applyAlignment="1">
      <alignment horizontal="center" vertical="center" wrapText="1"/>
    </xf>
    <xf numFmtId="0" fontId="49" fillId="7" borderId="212" xfId="0" applyFont="1" applyFill="1" applyBorder="1" applyAlignment="1">
      <alignment horizontal="center" vertical="center"/>
    </xf>
    <xf numFmtId="0" fontId="49" fillId="7" borderId="212" xfId="0" applyFont="1" applyFill="1" applyBorder="1" applyAlignment="1">
      <alignment horizontal="left" vertical="center"/>
    </xf>
    <xf numFmtId="0" fontId="49" fillId="7" borderId="219" xfId="0" applyFont="1" applyFill="1" applyBorder="1" applyAlignment="1">
      <alignment horizontal="left" vertical="center"/>
    </xf>
    <xf numFmtId="0" fontId="49" fillId="28" borderId="194" xfId="0" applyFont="1" applyFill="1" applyBorder="1" applyAlignment="1">
      <alignment vertical="center"/>
    </xf>
    <xf numFmtId="0" fontId="49" fillId="28" borderId="184" xfId="0" applyFont="1" applyFill="1" applyBorder="1" applyAlignment="1">
      <alignment vertical="center" wrapText="1"/>
    </xf>
    <xf numFmtId="0" fontId="49" fillId="28" borderId="184" xfId="0" applyFont="1" applyFill="1" applyBorder="1" applyAlignment="1">
      <alignment horizontal="center" vertical="center" wrapText="1"/>
    </xf>
    <xf numFmtId="0" fontId="49" fillId="28" borderId="184" xfId="0" applyFont="1" applyFill="1" applyBorder="1" applyAlignment="1">
      <alignment horizontal="center" vertical="center"/>
    </xf>
    <xf numFmtId="0" fontId="57" fillId="28" borderId="184" xfId="0" applyFont="1" applyFill="1" applyBorder="1" applyAlignment="1">
      <alignment horizontal="center" vertical="center" wrapText="1"/>
    </xf>
    <xf numFmtId="0" fontId="57" fillId="28" borderId="184" xfId="0" applyFont="1" applyFill="1" applyBorder="1" applyAlignment="1">
      <alignment horizontal="left" vertical="center" wrapText="1"/>
    </xf>
    <xf numFmtId="0" fontId="57" fillId="28" borderId="185" xfId="0" applyFont="1" applyFill="1" applyBorder="1" applyAlignment="1">
      <alignment horizontal="left" vertical="center" wrapText="1"/>
    </xf>
    <xf numFmtId="0" fontId="49" fillId="28" borderId="222" xfId="0" applyFont="1" applyFill="1" applyBorder="1" applyAlignment="1">
      <alignment vertical="center"/>
    </xf>
    <xf numFmtId="0" fontId="49" fillId="28" borderId="173" xfId="0" applyFont="1" applyFill="1" applyBorder="1" applyAlignment="1">
      <alignment vertical="center" wrapText="1"/>
    </xf>
    <xf numFmtId="0" fontId="49" fillId="28" borderId="173" xfId="0" applyFont="1" applyFill="1" applyBorder="1" applyAlignment="1">
      <alignment horizontal="center" vertical="center" wrapText="1"/>
    </xf>
    <xf numFmtId="0" fontId="49" fillId="28" borderId="173" xfId="0" applyFont="1" applyFill="1" applyBorder="1" applyAlignment="1">
      <alignment horizontal="center" vertical="center"/>
    </xf>
    <xf numFmtId="0" fontId="57" fillId="28" borderId="173" xfId="0" applyFont="1" applyFill="1" applyBorder="1" applyAlignment="1">
      <alignment horizontal="center" vertical="center" wrapText="1"/>
    </xf>
    <xf numFmtId="0" fontId="57" fillId="28" borderId="173" xfId="0" applyFont="1" applyFill="1" applyBorder="1" applyAlignment="1">
      <alignment horizontal="left" vertical="center" wrapText="1"/>
    </xf>
    <xf numFmtId="0" fontId="57" fillId="28" borderId="223" xfId="0" applyFont="1" applyFill="1" applyBorder="1" applyAlignment="1">
      <alignment horizontal="left" vertical="center" wrapText="1"/>
    </xf>
    <xf numFmtId="0" fontId="46" fillId="28" borderId="173" xfId="0" applyFont="1" applyFill="1" applyBorder="1" applyAlignment="1">
      <alignment horizontal="center"/>
    </xf>
    <xf numFmtId="0" fontId="49" fillId="28" borderId="218" xfId="0" applyFont="1" applyFill="1" applyBorder="1" applyAlignment="1">
      <alignment vertical="center"/>
    </xf>
    <xf numFmtId="0" fontId="49" fillId="28" borderId="212" xfId="0" applyFont="1" applyFill="1" applyBorder="1" applyAlignment="1">
      <alignment vertical="center" wrapText="1"/>
    </xf>
    <xf numFmtId="0" fontId="49" fillId="28" borderId="212" xfId="0" applyFont="1" applyFill="1" applyBorder="1" applyAlignment="1">
      <alignment horizontal="center" vertical="center" wrapText="1"/>
    </xf>
    <xf numFmtId="0" fontId="49" fillId="28" borderId="212" xfId="0" applyFont="1" applyFill="1" applyBorder="1" applyAlignment="1">
      <alignment horizontal="center" vertical="center"/>
    </xf>
    <xf numFmtId="0" fontId="57" fillId="28" borderId="212" xfId="0" applyFont="1" applyFill="1" applyBorder="1" applyAlignment="1">
      <alignment horizontal="center" vertical="center" wrapText="1"/>
    </xf>
    <xf numFmtId="0" fontId="57" fillId="28" borderId="212" xfId="0" applyFont="1" applyFill="1" applyBorder="1" applyAlignment="1">
      <alignment horizontal="left" vertical="center" wrapText="1"/>
    </xf>
    <xf numFmtId="0" fontId="57" fillId="28" borderId="219" xfId="0" applyFont="1" applyFill="1" applyBorder="1" applyAlignment="1">
      <alignment horizontal="left" vertical="center" wrapText="1"/>
    </xf>
    <xf numFmtId="167" fontId="49" fillId="0" borderId="0" xfId="0" applyNumberFormat="1" applyFont="1" applyAlignment="1">
      <alignment vertical="center" wrapText="1"/>
    </xf>
    <xf numFmtId="167" fontId="49" fillId="0" borderId="0" xfId="0" applyNumberFormat="1" applyFont="1" applyAlignment="1">
      <alignment horizontal="center" vertical="center" wrapText="1"/>
    </xf>
    <xf numFmtId="0" fontId="49" fillId="0" borderId="222" xfId="0" applyFont="1" applyBorder="1" applyAlignment="1">
      <alignment horizontal="left" vertical="center"/>
    </xf>
    <xf numFmtId="167" fontId="49" fillId="0" borderId="173" xfId="0" applyNumberFormat="1" applyFont="1" applyBorder="1" applyAlignment="1">
      <alignment vertical="center" wrapText="1"/>
    </xf>
    <xf numFmtId="0" fontId="49" fillId="17" borderId="222" xfId="0" applyFont="1" applyFill="1" applyBorder="1" applyAlignment="1">
      <alignment vertical="center"/>
    </xf>
    <xf numFmtId="167" fontId="49" fillId="17" borderId="173" xfId="0" applyNumberFormat="1" applyFont="1" applyFill="1" applyBorder="1" applyAlignment="1">
      <alignment horizontal="center" vertical="center" wrapText="1"/>
    </xf>
    <xf numFmtId="0" fontId="49" fillId="17" borderId="173" xfId="0" applyFont="1" applyFill="1" applyBorder="1" applyAlignment="1">
      <alignment horizontal="center" vertical="center" wrapText="1"/>
    </xf>
    <xf numFmtId="0" fontId="49" fillId="17" borderId="173" xfId="0" applyFont="1" applyFill="1" applyBorder="1" applyAlignment="1">
      <alignment horizontal="left" vertical="center" wrapText="1"/>
    </xf>
    <xf numFmtId="0" fontId="49" fillId="17" borderId="223" xfId="0" applyFont="1" applyFill="1" applyBorder="1" applyAlignment="1">
      <alignment horizontal="left" vertical="center" wrapText="1"/>
    </xf>
    <xf numFmtId="0" fontId="53" fillId="9" borderId="222" xfId="0" applyFont="1" applyFill="1" applyBorder="1" applyAlignment="1">
      <alignment vertical="center" wrapText="1"/>
    </xf>
    <xf numFmtId="167" fontId="53" fillId="9" borderId="173" xfId="0" applyNumberFormat="1" applyFont="1" applyFill="1" applyBorder="1" applyAlignment="1">
      <alignment vertical="center" wrapText="1"/>
    </xf>
    <xf numFmtId="167" fontId="53" fillId="9" borderId="173" xfId="0" applyNumberFormat="1" applyFont="1" applyFill="1" applyBorder="1" applyAlignment="1">
      <alignment horizontal="center" vertical="center" wrapText="1"/>
    </xf>
    <xf numFmtId="0" fontId="53" fillId="9" borderId="173" xfId="0" applyFont="1" applyFill="1" applyBorder="1" applyAlignment="1">
      <alignment horizontal="left" vertical="center" wrapText="1"/>
    </xf>
    <xf numFmtId="0" fontId="53" fillId="9" borderId="223" xfId="0" applyFont="1" applyFill="1" applyBorder="1" applyAlignment="1">
      <alignment horizontal="left" vertical="center" wrapText="1"/>
    </xf>
    <xf numFmtId="0" fontId="53" fillId="9" borderId="218" xfId="0" applyFont="1" applyFill="1" applyBorder="1" applyAlignment="1">
      <alignment vertical="center" wrapText="1"/>
    </xf>
    <xf numFmtId="167" fontId="53" fillId="9" borderId="212" xfId="0" applyNumberFormat="1" applyFont="1" applyFill="1" applyBorder="1" applyAlignment="1">
      <alignment vertical="center" wrapText="1"/>
    </xf>
    <xf numFmtId="167" fontId="53" fillId="9" borderId="212" xfId="0" applyNumberFormat="1" applyFont="1" applyFill="1" applyBorder="1" applyAlignment="1">
      <alignment horizontal="center" vertical="center" wrapText="1"/>
    </xf>
    <xf numFmtId="0" fontId="53" fillId="9" borderId="212" xfId="0" applyFont="1" applyFill="1" applyBorder="1" applyAlignment="1">
      <alignment horizontal="center" vertical="center" wrapText="1"/>
    </xf>
    <xf numFmtId="0" fontId="53" fillId="9" borderId="212" xfId="0" applyFont="1" applyFill="1" applyBorder="1" applyAlignment="1">
      <alignment horizontal="left" vertical="center" wrapText="1"/>
    </xf>
    <xf numFmtId="0" fontId="53" fillId="9" borderId="219" xfId="0" applyFont="1" applyFill="1" applyBorder="1" applyAlignment="1">
      <alignment horizontal="left" vertical="center" wrapText="1"/>
    </xf>
    <xf numFmtId="167" fontId="53" fillId="30" borderId="173" xfId="0" applyNumberFormat="1" applyFont="1" applyFill="1" applyBorder="1" applyAlignment="1">
      <alignment horizontal="center" vertical="center" wrapText="1"/>
    </xf>
    <xf numFmtId="0" fontId="53" fillId="30" borderId="173" xfId="0" applyFont="1" applyFill="1" applyBorder="1" applyAlignment="1">
      <alignment horizontal="center" vertical="center" wrapText="1"/>
    </xf>
    <xf numFmtId="0" fontId="53" fillId="30" borderId="173" xfId="0" quotePrefix="1" applyFont="1" applyFill="1" applyBorder="1" applyAlignment="1">
      <alignment horizontal="center" vertical="center" wrapText="1"/>
    </xf>
    <xf numFmtId="0" fontId="53" fillId="30" borderId="173" xfId="0" applyFont="1" applyFill="1" applyBorder="1" applyAlignment="1">
      <alignment horizontal="left" vertical="center" wrapText="1"/>
    </xf>
    <xf numFmtId="0" fontId="56" fillId="30" borderId="223" xfId="0" applyFont="1" applyFill="1" applyBorder="1" applyAlignment="1">
      <alignment horizontal="left" vertical="center"/>
    </xf>
    <xf numFmtId="167" fontId="53" fillId="31" borderId="173" xfId="0" applyNumberFormat="1" applyFont="1" applyFill="1" applyBorder="1" applyAlignment="1">
      <alignment horizontal="center" vertical="center" wrapText="1"/>
    </xf>
    <xf numFmtId="0" fontId="53" fillId="31" borderId="173" xfId="0" applyFont="1" applyFill="1" applyBorder="1" applyAlignment="1">
      <alignment horizontal="center" vertical="center" wrapText="1"/>
    </xf>
    <xf numFmtId="0" fontId="53" fillId="31" borderId="173" xfId="0" quotePrefix="1" applyFont="1" applyFill="1" applyBorder="1" applyAlignment="1">
      <alignment horizontal="center" vertical="center" wrapText="1"/>
    </xf>
    <xf numFmtId="0" fontId="53" fillId="31" borderId="173" xfId="0" applyFont="1" applyFill="1" applyBorder="1" applyAlignment="1">
      <alignment horizontal="left" vertical="center" wrapText="1"/>
    </xf>
    <xf numFmtId="0" fontId="56" fillId="31" borderId="223" xfId="0" applyFont="1" applyFill="1" applyBorder="1" applyAlignment="1">
      <alignment horizontal="left" vertical="center"/>
    </xf>
    <xf numFmtId="0" fontId="53" fillId="16" borderId="173" xfId="0" applyFont="1" applyFill="1" applyBorder="1" applyAlignment="1">
      <alignment vertical="center" wrapText="1"/>
    </xf>
    <xf numFmtId="167" fontId="53" fillId="16" borderId="173" xfId="0" applyNumberFormat="1" applyFont="1" applyFill="1" applyBorder="1" applyAlignment="1">
      <alignment horizontal="center" vertical="center" wrapText="1"/>
    </xf>
    <xf numFmtId="0" fontId="53" fillId="16" borderId="173" xfId="0" quotePrefix="1" applyFont="1" applyFill="1" applyBorder="1" applyAlignment="1">
      <alignment horizontal="center" vertical="center" wrapText="1"/>
    </xf>
    <xf numFmtId="0" fontId="53" fillId="16" borderId="173" xfId="0" applyFont="1" applyFill="1" applyBorder="1" applyAlignment="1">
      <alignment horizontal="left" vertical="center"/>
    </xf>
    <xf numFmtId="0" fontId="56" fillId="16" borderId="223" xfId="0" applyFont="1" applyFill="1" applyBorder="1" applyAlignment="1">
      <alignment horizontal="left" vertical="center"/>
    </xf>
    <xf numFmtId="0" fontId="53" fillId="16" borderId="222" xfId="0" applyFont="1" applyFill="1" applyBorder="1" applyAlignment="1">
      <alignment vertical="center"/>
    </xf>
    <xf numFmtId="0" fontId="53" fillId="16" borderId="173" xfId="0" applyFont="1" applyFill="1" applyBorder="1" applyAlignment="1">
      <alignment horizontal="center" vertical="center" wrapText="1"/>
    </xf>
    <xf numFmtId="0" fontId="53" fillId="16" borderId="173" xfId="0" applyFont="1" applyFill="1" applyBorder="1" applyAlignment="1">
      <alignment horizontal="center" vertical="center"/>
    </xf>
    <xf numFmtId="0" fontId="49" fillId="31" borderId="105" xfId="0" applyFont="1" applyFill="1" applyBorder="1" applyAlignment="1">
      <alignment vertical="center"/>
    </xf>
    <xf numFmtId="0" fontId="49" fillId="31" borderId="102" xfId="0" applyFont="1" applyFill="1" applyBorder="1" applyAlignment="1">
      <alignment vertical="center" wrapText="1"/>
    </xf>
    <xf numFmtId="0" fontId="49" fillId="31" borderId="102" xfId="0" applyFont="1" applyFill="1" applyBorder="1" applyAlignment="1">
      <alignment horizontal="center" vertical="center" wrapText="1"/>
    </xf>
    <xf numFmtId="0" fontId="49" fillId="31" borderId="102" xfId="0" applyFont="1" applyFill="1" applyBorder="1" applyAlignment="1">
      <alignment horizontal="left" vertical="center" wrapText="1"/>
    </xf>
    <xf numFmtId="0" fontId="49" fillId="31" borderId="106" xfId="0" applyFont="1" applyFill="1" applyBorder="1" applyAlignment="1">
      <alignment horizontal="left" vertical="center" wrapText="1"/>
    </xf>
    <xf numFmtId="0" fontId="49" fillId="31" borderId="173" xfId="0" applyFont="1" applyFill="1" applyBorder="1" applyAlignment="1">
      <alignment vertical="center" wrapText="1"/>
    </xf>
    <xf numFmtId="0" fontId="49" fillId="31" borderId="173" xfId="0" applyFont="1" applyFill="1" applyBorder="1" applyAlignment="1">
      <alignment horizontal="left" vertical="center" wrapText="1"/>
    </xf>
    <xf numFmtId="0" fontId="0" fillId="31" borderId="20" xfId="0" applyFill="1" applyBorder="1" applyAlignment="1">
      <alignment horizontal="left"/>
    </xf>
    <xf numFmtId="0" fontId="49" fillId="31" borderId="223" xfId="0" applyFont="1" applyFill="1" applyBorder="1" applyAlignment="1">
      <alignment horizontal="left" vertical="center" wrapText="1"/>
    </xf>
    <xf numFmtId="0" fontId="49" fillId="30" borderId="173" xfId="0" applyFont="1" applyFill="1" applyBorder="1" applyAlignment="1">
      <alignment vertical="center" wrapText="1"/>
    </xf>
    <xf numFmtId="0" fontId="49" fillId="30" borderId="173" xfId="0" applyFont="1" applyFill="1" applyBorder="1" applyAlignment="1">
      <alignment horizontal="left" vertical="center" wrapText="1"/>
    </xf>
    <xf numFmtId="0" fontId="49" fillId="30" borderId="223" xfId="0" applyFont="1" applyFill="1" applyBorder="1" applyAlignment="1">
      <alignment horizontal="left" vertical="center" wrapText="1"/>
    </xf>
    <xf numFmtId="0" fontId="49" fillId="30" borderId="212" xfId="0" applyFont="1" applyFill="1" applyBorder="1" applyAlignment="1">
      <alignment vertical="center" wrapText="1"/>
    </xf>
    <xf numFmtId="0" fontId="49" fillId="30" borderId="212" xfId="0" applyFont="1" applyFill="1" applyBorder="1" applyAlignment="1">
      <alignment horizontal="left" vertical="center" wrapText="1"/>
    </xf>
    <xf numFmtId="0" fontId="49" fillId="30" borderId="219" xfId="0" applyFont="1" applyFill="1" applyBorder="1" applyAlignment="1">
      <alignment horizontal="left" vertical="center" wrapText="1"/>
    </xf>
    <xf numFmtId="0" fontId="49" fillId="15" borderId="173" xfId="0" applyFont="1" applyFill="1" applyBorder="1" applyAlignment="1">
      <alignment horizontal="left" vertical="center" wrapText="1"/>
    </xf>
    <xf numFmtId="0" fontId="49" fillId="15" borderId="223" xfId="0" applyFont="1" applyFill="1" applyBorder="1" applyAlignment="1">
      <alignment horizontal="left" vertical="center" wrapText="1"/>
    </xf>
    <xf numFmtId="167" fontId="49" fillId="15" borderId="173" xfId="0" applyNumberFormat="1" applyFont="1" applyFill="1" applyBorder="1" applyAlignment="1">
      <alignment vertical="center" wrapText="1"/>
    </xf>
    <xf numFmtId="166" fontId="49" fillId="15" borderId="173" xfId="0" applyNumberFormat="1" applyFont="1" applyFill="1" applyBorder="1" applyAlignment="1">
      <alignment horizontal="center" vertical="center" wrapText="1"/>
    </xf>
    <xf numFmtId="0" fontId="49" fillId="0" borderId="105" xfId="2" applyFont="1" applyBorder="1" applyAlignment="1">
      <alignment vertical="center" wrapText="1"/>
    </xf>
    <xf numFmtId="0" fontId="49" fillId="0" borderId="102" xfId="0" applyFont="1" applyBorder="1" applyAlignment="1">
      <alignment horizontal="center" vertical="center" wrapText="1"/>
    </xf>
    <xf numFmtId="0" fontId="49" fillId="0" borderId="218" xfId="0" applyFont="1" applyBorder="1" applyAlignment="1">
      <alignment vertical="center"/>
    </xf>
    <xf numFmtId="0" fontId="49" fillId="0" borderId="212" xfId="0" applyFont="1" applyBorder="1" applyAlignment="1">
      <alignment vertical="center"/>
    </xf>
    <xf numFmtId="0" fontId="49" fillId="0" borderId="212" xfId="0" applyFont="1" applyBorder="1" applyAlignment="1">
      <alignment horizontal="center" vertical="center"/>
    </xf>
    <xf numFmtId="0" fontId="49" fillId="0" borderId="212" xfId="0" applyFont="1" applyBorder="1" applyAlignment="1">
      <alignment horizontal="left" vertical="center"/>
    </xf>
    <xf numFmtId="0" fontId="49" fillId="0" borderId="219" xfId="0" applyFont="1" applyBorder="1" applyAlignment="1">
      <alignment horizontal="left" vertical="center"/>
    </xf>
    <xf numFmtId="0" fontId="46" fillId="0" borderId="218" xfId="6" applyFont="1" applyBorder="1" applyAlignment="1">
      <alignment horizontal="left"/>
    </xf>
    <xf numFmtId="0" fontId="49" fillId="0" borderId="212" xfId="6" applyFont="1" applyBorder="1" applyAlignment="1">
      <alignment horizontal="left" vertical="center" wrapText="1"/>
    </xf>
    <xf numFmtId="0" fontId="49" fillId="0" borderId="212" xfId="6" applyFont="1" applyBorder="1" applyAlignment="1">
      <alignment horizontal="center" vertical="center" wrapText="1"/>
    </xf>
    <xf numFmtId="0" fontId="46" fillId="0" borderId="100" xfId="6" applyFont="1" applyBorder="1" applyAlignment="1">
      <alignment horizontal="center"/>
    </xf>
    <xf numFmtId="0" fontId="46" fillId="0" borderId="212" xfId="6" applyFont="1" applyBorder="1" applyAlignment="1">
      <alignment horizontal="center"/>
    </xf>
    <xf numFmtId="0" fontId="43" fillId="0" borderId="212" xfId="6" applyBorder="1"/>
    <xf numFmtId="0" fontId="46" fillId="0" borderId="212" xfId="6" applyFont="1" applyBorder="1" applyAlignment="1">
      <alignment horizontal="center" vertical="center" wrapText="1"/>
    </xf>
    <xf numFmtId="0" fontId="48" fillId="0" borderId="128" xfId="0" applyFont="1" applyBorder="1" applyAlignment="1">
      <alignment horizontal="center" vertical="center" wrapText="1"/>
    </xf>
    <xf numFmtId="0" fontId="46" fillId="0" borderId="158" xfId="0" applyFont="1" applyBorder="1"/>
    <xf numFmtId="0" fontId="49" fillId="0" borderId="173" xfId="0" applyFont="1" applyBorder="1" applyAlignment="1">
      <alignment horizontal="center" vertical="center"/>
    </xf>
    <xf numFmtId="0" fontId="46" fillId="0" borderId="130" xfId="0" applyFont="1" applyBorder="1"/>
    <xf numFmtId="0" fontId="48" fillId="0" borderId="222" xfId="0" applyFont="1" applyBorder="1" applyAlignment="1">
      <alignment horizontal="center" vertical="center" wrapText="1"/>
    </xf>
    <xf numFmtId="0" fontId="46" fillId="0" borderId="173" xfId="0" applyFont="1" applyBorder="1"/>
    <xf numFmtId="168" fontId="46" fillId="0" borderId="173" xfId="0" applyNumberFormat="1" applyFont="1" applyBorder="1" applyAlignment="1">
      <alignment horizontal="center"/>
    </xf>
    <xf numFmtId="0" fontId="49" fillId="0" borderId="173" xfId="88" applyFont="1" applyBorder="1" applyAlignment="1">
      <alignment horizontal="center" vertical="center" wrapText="1"/>
    </xf>
    <xf numFmtId="0" fontId="46" fillId="0" borderId="223" xfId="0" applyFont="1" applyBorder="1"/>
    <xf numFmtId="2" fontId="46" fillId="0" borderId="173" xfId="0" applyNumberFormat="1" applyFont="1" applyBorder="1" applyAlignment="1">
      <alignment horizontal="left" vertical="center"/>
    </xf>
    <xf numFmtId="0" fontId="35" fillId="0" borderId="0" xfId="88" applyFont="1" applyAlignment="1">
      <alignment horizontal="left" vertical="center" wrapText="1"/>
    </xf>
    <xf numFmtId="0" fontId="57" fillId="0" borderId="222" xfId="88" applyFont="1" applyBorder="1" applyAlignment="1">
      <alignment horizontal="left" vertical="center" wrapText="1"/>
    </xf>
    <xf numFmtId="0" fontId="46" fillId="0" borderId="223" xfId="0" applyFont="1" applyBorder="1" applyAlignment="1">
      <alignment horizontal="left" vertical="center"/>
    </xf>
    <xf numFmtId="11" fontId="46" fillId="0" borderId="173" xfId="0" applyNumberFormat="1" applyFont="1" applyBorder="1" applyAlignment="1">
      <alignment horizontal="center" vertical="center"/>
    </xf>
    <xf numFmtId="0" fontId="73" fillId="0" borderId="222" xfId="88" applyFont="1" applyBorder="1" applyAlignment="1">
      <alignment horizontal="left" vertical="center" wrapText="1"/>
    </xf>
    <xf numFmtId="0" fontId="67" fillId="0" borderId="218" xfId="0" applyFont="1" applyBorder="1" applyAlignment="1">
      <alignment horizontal="left" vertical="center"/>
    </xf>
    <xf numFmtId="0" fontId="46" fillId="0" borderId="212" xfId="0" applyFont="1" applyBorder="1" applyAlignment="1">
      <alignment horizontal="left" vertical="center" wrapText="1"/>
    </xf>
    <xf numFmtId="167" fontId="10" fillId="0" borderId="212" xfId="38" applyNumberFormat="1" applyBorder="1" applyAlignment="1">
      <alignment horizontal="center" vertical="center"/>
    </xf>
    <xf numFmtId="167" fontId="10" fillId="0" borderId="158" xfId="38" applyNumberFormat="1" applyBorder="1" applyAlignment="1">
      <alignment horizontal="center" vertical="center"/>
    </xf>
    <xf numFmtId="0" fontId="2" fillId="0" borderId="212" xfId="42" applyFont="1" applyBorder="1" applyAlignment="1">
      <alignment horizontal="center" vertical="center"/>
    </xf>
    <xf numFmtId="0" fontId="46" fillId="0" borderId="212" xfId="0" applyFont="1" applyBorder="1" applyAlignment="1">
      <alignment horizontal="center" vertical="center" wrapText="1"/>
    </xf>
    <xf numFmtId="0" fontId="46" fillId="0" borderId="212" xfId="0" applyFont="1" applyBorder="1" applyAlignment="1">
      <alignment horizontal="left" vertical="center"/>
    </xf>
    <xf numFmtId="0" fontId="46" fillId="0" borderId="219" xfId="0" applyFont="1" applyBorder="1" applyAlignment="1">
      <alignment horizontal="left" vertical="center"/>
    </xf>
    <xf numFmtId="0" fontId="67" fillId="0" borderId="214" xfId="0" applyFont="1" applyBorder="1" applyAlignment="1">
      <alignment horizontal="left" vertical="center"/>
    </xf>
    <xf numFmtId="0" fontId="0" fillId="0" borderId="215" xfId="0" applyBorder="1" applyAlignment="1">
      <alignment horizontal="left" vertical="center"/>
    </xf>
    <xf numFmtId="0" fontId="0" fillId="0" borderId="215" xfId="0" applyBorder="1" applyAlignment="1">
      <alignment horizontal="center" vertical="center"/>
    </xf>
    <xf numFmtId="0" fontId="46" fillId="0" borderId="215" xfId="0" applyFont="1" applyBorder="1" applyAlignment="1">
      <alignment horizontal="center" vertical="center" wrapText="1"/>
    </xf>
    <xf numFmtId="0" fontId="46" fillId="0" borderId="215" xfId="0" applyFont="1" applyBorder="1" applyAlignment="1">
      <alignment horizontal="center" vertical="center"/>
    </xf>
    <xf numFmtId="0" fontId="0" fillId="0" borderId="216" xfId="0" applyBorder="1" applyAlignment="1">
      <alignment horizontal="left" vertical="center"/>
    </xf>
    <xf numFmtId="0" fontId="67" fillId="0" borderId="128" xfId="0" applyFont="1" applyBorder="1" applyAlignment="1">
      <alignment horizontal="left" vertical="center"/>
    </xf>
    <xf numFmtId="0" fontId="46" fillId="0" borderId="158" xfId="0" applyFont="1" applyBorder="1" applyAlignment="1">
      <alignment horizontal="left" vertical="center" wrapText="1"/>
    </xf>
    <xf numFmtId="0" fontId="46" fillId="0" borderId="158" xfId="0" applyFont="1" applyBorder="1" applyAlignment="1">
      <alignment horizontal="center" vertical="center"/>
    </xf>
    <xf numFmtId="0" fontId="2" fillId="0" borderId="158" xfId="42" applyFont="1" applyBorder="1" applyAlignment="1">
      <alignment horizontal="center" vertical="center"/>
    </xf>
    <xf numFmtId="0" fontId="46" fillId="0" borderId="158" xfId="0" applyFont="1" applyBorder="1" applyAlignment="1">
      <alignment horizontal="center" vertical="center" wrapText="1"/>
    </xf>
    <xf numFmtId="0" fontId="46" fillId="0" borderId="158" xfId="0" applyFont="1" applyBorder="1" applyAlignment="1">
      <alignment horizontal="left" vertical="center"/>
    </xf>
    <xf numFmtId="0" fontId="46" fillId="0" borderId="130" xfId="0" applyFont="1" applyBorder="1" applyAlignment="1">
      <alignment horizontal="left" vertical="center"/>
    </xf>
    <xf numFmtId="0" fontId="49" fillId="0" borderId="223" xfId="0" applyFont="1" applyBorder="1" applyAlignment="1">
      <alignment horizontal="left" vertical="center"/>
    </xf>
    <xf numFmtId="0" fontId="46" fillId="0" borderId="222" xfId="0" applyFont="1" applyBorder="1" applyAlignment="1">
      <alignment horizontal="left" vertical="center"/>
    </xf>
    <xf numFmtId="0" fontId="46" fillId="0" borderId="218" xfId="0" applyFont="1" applyBorder="1" applyAlignment="1">
      <alignment horizontal="left" vertical="center"/>
    </xf>
    <xf numFmtId="164" fontId="49" fillId="0" borderId="212" xfId="0" applyNumberFormat="1" applyFont="1" applyBorder="1" applyAlignment="1">
      <alignment horizontal="left" vertical="center" wrapText="1"/>
    </xf>
    <xf numFmtId="165" fontId="46" fillId="0" borderId="212" xfId="0" applyNumberFormat="1" applyFont="1" applyBorder="1" applyAlignment="1">
      <alignment horizontal="left" vertical="center"/>
    </xf>
    <xf numFmtId="0" fontId="46" fillId="0" borderId="0" xfId="0" quotePrefix="1" applyFont="1" applyAlignment="1">
      <alignment horizontal="left" vertical="center" wrapText="1"/>
    </xf>
    <xf numFmtId="0" fontId="46" fillId="0" borderId="212" xfId="0" quotePrefix="1" applyFont="1" applyBorder="1" applyAlignment="1">
      <alignment horizontal="left" vertical="center" wrapText="1"/>
    </xf>
    <xf numFmtId="2" fontId="46" fillId="0" borderId="212" xfId="0" applyNumberFormat="1" applyFont="1" applyBorder="1" applyAlignment="1">
      <alignment horizontal="left" vertical="center"/>
    </xf>
    <xf numFmtId="0" fontId="46" fillId="0" borderId="212" xfId="0" quotePrefix="1" applyFont="1" applyBorder="1" applyAlignment="1">
      <alignment horizontal="left" vertical="center"/>
    </xf>
    <xf numFmtId="0" fontId="46" fillId="0" borderId="0" xfId="0" applyFont="1" applyAlignment="1">
      <alignment horizontal="left" vertical="center"/>
    </xf>
    <xf numFmtId="2" fontId="46" fillId="0" borderId="0" xfId="0" applyNumberFormat="1" applyFont="1" applyAlignment="1">
      <alignment horizontal="left" vertical="center"/>
    </xf>
    <xf numFmtId="0" fontId="46" fillId="0" borderId="0" xfId="0" quotePrefix="1" applyFont="1" applyAlignment="1">
      <alignment horizontal="left" vertical="center"/>
    </xf>
    <xf numFmtId="0" fontId="56" fillId="7" borderId="224" xfId="0" applyFont="1" applyFill="1" applyBorder="1" applyAlignment="1">
      <alignment horizontal="left" vertical="center"/>
    </xf>
    <xf numFmtId="0" fontId="73" fillId="7" borderId="215" xfId="301" applyFont="1" applyFill="1" applyBorder="1" applyAlignment="1">
      <alignment horizontal="left" vertical="center"/>
    </xf>
    <xf numFmtId="0" fontId="0" fillId="0" borderId="158" xfId="0" applyBorder="1" applyAlignment="1">
      <alignment horizontal="left" vertical="center" wrapText="1"/>
    </xf>
    <xf numFmtId="0" fontId="2" fillId="0" borderId="173" xfId="0" applyFont="1" applyBorder="1" applyAlignment="1">
      <alignment horizontal="left" vertical="center"/>
    </xf>
    <xf numFmtId="0" fontId="49" fillId="0" borderId="158" xfId="0" applyFont="1" applyBorder="1" applyAlignment="1">
      <alignment horizontal="left" vertical="center"/>
    </xf>
    <xf numFmtId="0" fontId="49" fillId="0" borderId="130" xfId="0" applyFont="1" applyBorder="1" applyAlignment="1">
      <alignment horizontal="left" vertical="center"/>
    </xf>
    <xf numFmtId="0" fontId="49" fillId="0" borderId="125" xfId="0" applyFont="1" applyBorder="1" applyAlignment="1">
      <alignment horizontal="left" vertical="center"/>
    </xf>
    <xf numFmtId="0" fontId="0" fillId="0" borderId="212" xfId="0" applyBorder="1" applyAlignment="1">
      <alignment horizontal="left" vertical="center" wrapText="1"/>
    </xf>
    <xf numFmtId="0" fontId="2" fillId="0" borderId="105" xfId="0" applyFont="1" applyBorder="1" applyAlignment="1">
      <alignment horizontal="left" vertical="center"/>
    </xf>
    <xf numFmtId="0" fontId="2" fillId="0" borderId="173" xfId="0" applyFont="1" applyBorder="1" applyAlignment="1">
      <alignment horizontal="left" vertical="center" wrapText="1"/>
    </xf>
    <xf numFmtId="0" fontId="2" fillId="0" borderId="102" xfId="0" applyFont="1" applyBorder="1" applyAlignment="1">
      <alignment horizontal="left" vertical="center" wrapText="1"/>
    </xf>
    <xf numFmtId="2" fontId="2" fillId="0" borderId="102" xfId="0" applyNumberFormat="1" applyFont="1" applyBorder="1" applyAlignment="1">
      <alignment horizontal="left" vertical="center"/>
    </xf>
    <xf numFmtId="0" fontId="2" fillId="0" borderId="102" xfId="0" applyFont="1" applyBorder="1" applyAlignment="1">
      <alignment horizontal="left" vertical="center"/>
    </xf>
    <xf numFmtId="0" fontId="2" fillId="0" borderId="106" xfId="0" applyFont="1" applyBorder="1" applyAlignment="1">
      <alignment horizontal="left" vertical="center"/>
    </xf>
    <xf numFmtId="0" fontId="2" fillId="0" borderId="222" xfId="0" applyFont="1" applyBorder="1" applyAlignment="1">
      <alignment horizontal="left" vertical="center"/>
    </xf>
    <xf numFmtId="0" fontId="2" fillId="0" borderId="223" xfId="0" applyFont="1" applyBorder="1" applyAlignment="1">
      <alignment horizontal="left" vertical="center"/>
    </xf>
    <xf numFmtId="171" fontId="2" fillId="0" borderId="173" xfId="0" applyNumberFormat="1" applyFont="1" applyBorder="1" applyAlignment="1">
      <alignment horizontal="left" vertical="center"/>
    </xf>
    <xf numFmtId="0" fontId="57" fillId="7" borderId="215" xfId="3" applyFont="1" applyFill="1" applyBorder="1" applyAlignment="1">
      <alignment horizontal="center" vertical="center" wrapText="1"/>
    </xf>
    <xf numFmtId="0" fontId="46" fillId="8" borderId="184" xfId="0" applyFont="1" applyFill="1" applyBorder="1" applyAlignment="1">
      <alignment horizontal="center" vertical="center"/>
    </xf>
    <xf numFmtId="0" fontId="46" fillId="11" borderId="173" xfId="0" applyFont="1" applyFill="1" applyBorder="1" applyAlignment="1">
      <alignment horizontal="center" vertical="center"/>
    </xf>
    <xf numFmtId="0" fontId="46" fillId="19" borderId="173" xfId="0" applyFont="1" applyFill="1" applyBorder="1" applyAlignment="1">
      <alignment horizontal="center" vertical="center"/>
    </xf>
    <xf numFmtId="0" fontId="57" fillId="27" borderId="173" xfId="0" applyFont="1" applyFill="1" applyBorder="1" applyAlignment="1">
      <alignment horizontal="center" vertical="center"/>
    </xf>
    <xf numFmtId="0" fontId="46" fillId="4" borderId="158" xfId="0" applyFont="1" applyFill="1" applyBorder="1" applyAlignment="1">
      <alignment horizontal="center" vertical="center"/>
    </xf>
    <xf numFmtId="0" fontId="46" fillId="18" borderId="184" xfId="0" applyFont="1" applyFill="1" applyBorder="1" applyAlignment="1">
      <alignment horizontal="center" vertical="center"/>
    </xf>
    <xf numFmtId="0" fontId="46" fillId="18" borderId="158" xfId="0" applyFont="1" applyFill="1" applyBorder="1" applyAlignment="1">
      <alignment horizontal="center" vertical="center"/>
    </xf>
    <xf numFmtId="0" fontId="46" fillId="18" borderId="212" xfId="0" applyFont="1" applyFill="1" applyBorder="1" applyAlignment="1">
      <alignment horizontal="center" vertical="center"/>
    </xf>
    <xf numFmtId="0" fontId="49" fillId="5" borderId="184" xfId="0" applyFont="1" applyFill="1" applyBorder="1" applyAlignment="1">
      <alignment horizontal="center" vertical="center"/>
    </xf>
    <xf numFmtId="0" fontId="49" fillId="5" borderId="212" xfId="0" applyFont="1" applyFill="1" applyBorder="1" applyAlignment="1">
      <alignment horizontal="center" vertical="center"/>
    </xf>
    <xf numFmtId="0" fontId="57" fillId="7" borderId="215" xfId="88" applyFont="1" applyFill="1" applyBorder="1" applyAlignment="1">
      <alignment horizontal="center" vertical="center" wrapText="1"/>
    </xf>
    <xf numFmtId="0" fontId="46" fillId="8" borderId="184" xfId="0" quotePrefix="1" applyFont="1" applyFill="1" applyBorder="1" applyAlignment="1">
      <alignment horizontal="center" vertical="center"/>
    </xf>
    <xf numFmtId="0" fontId="46" fillId="11" borderId="173" xfId="0" quotePrefix="1" applyFont="1" applyFill="1" applyBorder="1" applyAlignment="1">
      <alignment horizontal="center" vertical="center"/>
    </xf>
    <xf numFmtId="0" fontId="46" fillId="19" borderId="173" xfId="0" quotePrefix="1" applyFont="1" applyFill="1" applyBorder="1" applyAlignment="1">
      <alignment horizontal="center" vertical="center"/>
    </xf>
    <xf numFmtId="0" fontId="46" fillId="4" borderId="158" xfId="0" quotePrefix="1" applyFont="1" applyFill="1" applyBorder="1" applyAlignment="1">
      <alignment horizontal="center" vertical="center"/>
    </xf>
    <xf numFmtId="0" fontId="46" fillId="5" borderId="184" xfId="0" applyFont="1" applyFill="1" applyBorder="1" applyAlignment="1">
      <alignment horizontal="center" vertical="center"/>
    </xf>
    <xf numFmtId="0" fontId="46" fillId="5" borderId="173" xfId="0" applyFont="1" applyFill="1" applyBorder="1" applyAlignment="1">
      <alignment horizontal="center" vertical="center"/>
    </xf>
    <xf numFmtId="0" fontId="46" fillId="5" borderId="212" xfId="0" applyFont="1" applyFill="1" applyBorder="1" applyAlignment="1">
      <alignment horizontal="center" vertical="center"/>
    </xf>
    <xf numFmtId="0" fontId="49" fillId="5" borderId="225" xfId="0" quotePrefix="1" applyFont="1" applyFill="1" applyBorder="1" applyAlignment="1">
      <alignment horizontal="center" vertical="center"/>
    </xf>
    <xf numFmtId="0" fontId="49" fillId="5" borderId="225" xfId="0" applyFont="1" applyFill="1" applyBorder="1" applyAlignment="1">
      <alignment horizontal="center" vertical="center"/>
    </xf>
    <xf numFmtId="0" fontId="49" fillId="5" borderId="77" xfId="0" applyFont="1" applyFill="1" applyBorder="1" applyAlignment="1">
      <alignment horizontal="center" vertical="center"/>
    </xf>
    <xf numFmtId="0" fontId="49" fillId="5" borderId="226" xfId="0" applyFont="1" applyFill="1" applyBorder="1" applyAlignment="1">
      <alignment horizontal="center" vertical="center"/>
    </xf>
    <xf numFmtId="0" fontId="46" fillId="18" borderId="212" xfId="0" quotePrefix="1" applyFont="1" applyFill="1" applyBorder="1" applyAlignment="1">
      <alignment horizontal="center" vertical="center"/>
    </xf>
    <xf numFmtId="0" fontId="49" fillId="5" borderId="227" xfId="0" quotePrefix="1" applyFont="1" applyFill="1" applyBorder="1" applyAlignment="1">
      <alignment horizontal="center" vertical="center"/>
    </xf>
    <xf numFmtId="0" fontId="49" fillId="5" borderId="13" xfId="0" quotePrefix="1" applyFont="1" applyFill="1" applyBorder="1" applyAlignment="1">
      <alignment horizontal="center" vertical="center"/>
    </xf>
    <xf numFmtId="0" fontId="49" fillId="5" borderId="228" xfId="0" applyFont="1" applyFill="1" applyBorder="1" applyAlignment="1">
      <alignment horizontal="center" vertical="center"/>
    </xf>
    <xf numFmtId="0" fontId="49" fillId="5" borderId="184" xfId="0" quotePrefix="1" applyFont="1" applyFill="1" applyBorder="1" applyAlignment="1">
      <alignment horizontal="center" vertical="center"/>
    </xf>
    <xf numFmtId="0" fontId="46" fillId="18" borderId="223" xfId="0" applyFont="1" applyFill="1" applyBorder="1" applyAlignment="1">
      <alignment horizontal="left" vertical="center"/>
    </xf>
    <xf numFmtId="0" fontId="46" fillId="29" borderId="173" xfId="0" applyFont="1" applyFill="1" applyBorder="1" applyAlignment="1">
      <alignment horizontal="left" vertical="center"/>
    </xf>
    <xf numFmtId="0" fontId="46" fillId="29" borderId="173" xfId="0" quotePrefix="1" applyFont="1" applyFill="1" applyBorder="1" applyAlignment="1">
      <alignment horizontal="center"/>
    </xf>
    <xf numFmtId="0" fontId="46" fillId="29" borderId="173" xfId="0" applyFont="1" applyFill="1" applyBorder="1" applyAlignment="1">
      <alignment horizontal="center" vertical="center"/>
    </xf>
    <xf numFmtId="0" fontId="46" fillId="29" borderId="173" xfId="0" quotePrefix="1" applyFont="1" applyFill="1" applyBorder="1" applyAlignment="1">
      <alignment horizontal="center" vertical="center"/>
    </xf>
    <xf numFmtId="0" fontId="46" fillId="29" borderId="173" xfId="0" applyFont="1" applyFill="1" applyBorder="1"/>
    <xf numFmtId="0" fontId="46" fillId="29" borderId="173" xfId="0" applyFont="1" applyFill="1" applyBorder="1" applyAlignment="1">
      <alignment horizontal="center"/>
    </xf>
    <xf numFmtId="0" fontId="46" fillId="29" borderId="173" xfId="0" quotePrefix="1" applyFont="1" applyFill="1" applyBorder="1"/>
    <xf numFmtId="0" fontId="46" fillId="29" borderId="223" xfId="0" applyFont="1" applyFill="1" applyBorder="1" applyAlignment="1">
      <alignment horizontal="left" vertical="center"/>
    </xf>
    <xf numFmtId="0" fontId="46" fillId="30" borderId="173" xfId="0" applyFont="1" applyFill="1" applyBorder="1" applyAlignment="1">
      <alignment horizontal="left" vertical="center"/>
    </xf>
    <xf numFmtId="0" fontId="46" fillId="30" borderId="173" xfId="0" applyFont="1" applyFill="1" applyBorder="1" applyAlignment="1">
      <alignment horizontal="center" vertical="center"/>
    </xf>
    <xf numFmtId="0" fontId="46" fillId="30" borderId="173" xfId="0" quotePrefix="1" applyFont="1" applyFill="1" applyBorder="1" applyAlignment="1">
      <alignment horizontal="center" vertical="center"/>
    </xf>
    <xf numFmtId="0" fontId="46" fillId="30" borderId="173" xfId="0" quotePrefix="1" applyFont="1" applyFill="1" applyBorder="1" applyAlignment="1">
      <alignment horizontal="center"/>
    </xf>
    <xf numFmtId="0" fontId="46" fillId="30" borderId="173" xfId="0" applyFont="1" applyFill="1" applyBorder="1"/>
    <xf numFmtId="0" fontId="46" fillId="30" borderId="173" xfId="0" applyFont="1" applyFill="1" applyBorder="1" applyAlignment="1">
      <alignment horizontal="center"/>
    </xf>
    <xf numFmtId="0" fontId="46" fillId="30" borderId="173" xfId="0" quotePrefix="1" applyFont="1" applyFill="1" applyBorder="1"/>
    <xf numFmtId="0" fontId="46" fillId="30" borderId="223" xfId="0" applyFont="1" applyFill="1" applyBorder="1" applyAlignment="1">
      <alignment horizontal="left" vertical="center"/>
    </xf>
    <xf numFmtId="0" fontId="46" fillId="31" borderId="173" xfId="0" applyFont="1" applyFill="1" applyBorder="1" applyAlignment="1">
      <alignment horizontal="left" vertical="center"/>
    </xf>
    <xf numFmtId="0" fontId="46" fillId="31" borderId="173" xfId="0" applyFont="1" applyFill="1" applyBorder="1" applyAlignment="1">
      <alignment horizontal="center" vertical="center"/>
    </xf>
    <xf numFmtId="0" fontId="46" fillId="31" borderId="173" xfId="0" quotePrefix="1" applyFont="1" applyFill="1" applyBorder="1" applyAlignment="1">
      <alignment horizontal="center" vertical="center"/>
    </xf>
    <xf numFmtId="0" fontId="46" fillId="31" borderId="173" xfId="0" quotePrefix="1" applyFont="1" applyFill="1" applyBorder="1" applyAlignment="1">
      <alignment horizontal="center"/>
    </xf>
    <xf numFmtId="0" fontId="46" fillId="31" borderId="173" xfId="0" quotePrefix="1" applyFont="1" applyFill="1" applyBorder="1"/>
    <xf numFmtId="0" fontId="46" fillId="31" borderId="223" xfId="0" applyFont="1" applyFill="1" applyBorder="1" applyAlignment="1">
      <alignment horizontal="left" vertical="center"/>
    </xf>
    <xf numFmtId="0" fontId="46" fillId="31" borderId="173" xfId="0" applyFont="1" applyFill="1" applyBorder="1" applyAlignment="1">
      <alignment horizontal="center"/>
    </xf>
    <xf numFmtId="0" fontId="46" fillId="31" borderId="173" xfId="0" applyFont="1" applyFill="1" applyBorder="1"/>
    <xf numFmtId="0" fontId="0" fillId="5" borderId="0" xfId="0" applyFill="1"/>
    <xf numFmtId="0" fontId="46" fillId="16" borderId="223" xfId="0" applyFont="1" applyFill="1" applyBorder="1" applyAlignment="1">
      <alignment horizontal="left" vertical="center"/>
    </xf>
    <xf numFmtId="0" fontId="49" fillId="16" borderId="173" xfId="88" quotePrefix="1" applyFont="1" applyFill="1" applyBorder="1" applyAlignment="1">
      <alignment horizontal="center" vertical="center"/>
    </xf>
    <xf numFmtId="0" fontId="49" fillId="16" borderId="173" xfId="0" applyFont="1" applyFill="1" applyBorder="1" applyAlignment="1">
      <alignment horizontal="left" vertical="center"/>
    </xf>
    <xf numFmtId="0" fontId="46" fillId="15" borderId="223" xfId="0" applyFont="1" applyFill="1" applyBorder="1" applyAlignment="1">
      <alignment horizontal="left" vertical="center"/>
    </xf>
    <xf numFmtId="0" fontId="46" fillId="4" borderId="223" xfId="0" applyFont="1" applyFill="1" applyBorder="1" applyAlignment="1">
      <alignment horizontal="left" vertical="center"/>
    </xf>
    <xf numFmtId="0" fontId="46" fillId="28" borderId="173" xfId="0" applyFont="1" applyFill="1" applyBorder="1" applyAlignment="1">
      <alignment horizontal="left" vertical="center"/>
    </xf>
    <xf numFmtId="0" fontId="46" fillId="28" borderId="173" xfId="0" applyFont="1" applyFill="1" applyBorder="1" applyAlignment="1">
      <alignment horizontal="center" vertical="center"/>
    </xf>
    <xf numFmtId="0" fontId="46" fillId="28" borderId="173" xfId="0" quotePrefix="1" applyFont="1" applyFill="1" applyBorder="1" applyAlignment="1">
      <alignment horizontal="center" vertical="center"/>
    </xf>
    <xf numFmtId="0" fontId="46" fillId="28" borderId="173" xfId="0" quotePrefix="1" applyFont="1" applyFill="1" applyBorder="1" applyAlignment="1">
      <alignment horizontal="left" vertical="center"/>
    </xf>
    <xf numFmtId="0" fontId="46" fillId="28" borderId="223" xfId="0" applyFont="1" applyFill="1" applyBorder="1" applyAlignment="1">
      <alignment horizontal="left" vertical="center"/>
    </xf>
    <xf numFmtId="0" fontId="46" fillId="28" borderId="212" xfId="0" applyFont="1" applyFill="1" applyBorder="1" applyAlignment="1">
      <alignment horizontal="left" vertical="center"/>
    </xf>
    <xf numFmtId="0" fontId="46" fillId="28" borderId="212" xfId="0" applyFont="1" applyFill="1" applyBorder="1" applyAlignment="1">
      <alignment horizontal="center" vertical="center"/>
    </xf>
    <xf numFmtId="0" fontId="46" fillId="28" borderId="212" xfId="0" quotePrefix="1" applyFont="1" applyFill="1" applyBorder="1" applyAlignment="1">
      <alignment horizontal="center" vertical="center"/>
    </xf>
    <xf numFmtId="0" fontId="46" fillId="28" borderId="212" xfId="0" quotePrefix="1" applyFont="1" applyFill="1" applyBorder="1" applyAlignment="1">
      <alignment horizontal="left" vertical="center"/>
    </xf>
    <xf numFmtId="0" fontId="46" fillId="28" borderId="219" xfId="0" applyFont="1" applyFill="1" applyBorder="1" applyAlignment="1">
      <alignment horizontal="left" vertical="center"/>
    </xf>
    <xf numFmtId="0" fontId="48" fillId="5" borderId="222" xfId="0" applyFont="1" applyFill="1" applyBorder="1" applyAlignment="1">
      <alignment horizontal="center" vertical="center"/>
    </xf>
    <xf numFmtId="0" fontId="0" fillId="5" borderId="173" xfId="0" applyFill="1" applyBorder="1" applyAlignment="1">
      <alignment horizontal="center" vertical="center"/>
    </xf>
    <xf numFmtId="0" fontId="46" fillId="5" borderId="173" xfId="0" applyFont="1" applyFill="1" applyBorder="1" applyAlignment="1">
      <alignment horizontal="left" vertical="center"/>
    </xf>
    <xf numFmtId="0" fontId="0" fillId="0" borderId="0" xfId="0" applyAlignment="1">
      <alignment vertical="center"/>
    </xf>
    <xf numFmtId="0" fontId="57" fillId="26" borderId="215" xfId="0" applyFont="1" applyFill="1" applyBorder="1" applyAlignment="1">
      <alignment horizontal="center" vertical="center"/>
    </xf>
    <xf numFmtId="0" fontId="46" fillId="20" borderId="210" xfId="0" applyFont="1" applyFill="1" applyBorder="1" applyAlignment="1">
      <alignment horizontal="center" vertical="center" wrapText="1"/>
    </xf>
    <xf numFmtId="0" fontId="46" fillId="20" borderId="212" xfId="0" applyFont="1" applyFill="1" applyBorder="1" applyAlignment="1">
      <alignment horizontal="center" vertical="center" wrapText="1"/>
    </xf>
    <xf numFmtId="0" fontId="46" fillId="20" borderId="213" xfId="0" applyFont="1" applyFill="1" applyBorder="1" applyAlignment="1">
      <alignment horizontal="center" vertical="center" wrapText="1"/>
    </xf>
    <xf numFmtId="0" fontId="48" fillId="26" borderId="214" xfId="0" applyFont="1" applyFill="1" applyBorder="1" applyAlignment="1">
      <alignment horizontal="center" vertical="center" wrapText="1"/>
    </xf>
    <xf numFmtId="0" fontId="46" fillId="20" borderId="229" xfId="0" applyFont="1" applyFill="1" applyBorder="1" applyAlignment="1">
      <alignment horizontal="center" vertical="center" wrapText="1"/>
    </xf>
    <xf numFmtId="0" fontId="0" fillId="20" borderId="229" xfId="0" applyFill="1" applyBorder="1"/>
    <xf numFmtId="0" fontId="46" fillId="20" borderId="230" xfId="0" applyFont="1" applyFill="1" applyBorder="1"/>
    <xf numFmtId="0" fontId="46" fillId="20" borderId="222" xfId="0" applyFont="1" applyFill="1" applyBorder="1" applyAlignment="1">
      <alignment horizontal="center" vertical="center"/>
    </xf>
    <xf numFmtId="0" fontId="46" fillId="20" borderId="210" xfId="0" applyFont="1" applyFill="1" applyBorder="1"/>
    <xf numFmtId="0" fontId="46" fillId="20" borderId="210" xfId="0" applyFont="1" applyFill="1" applyBorder="1" applyAlignment="1">
      <alignment horizontal="center" vertical="center"/>
    </xf>
    <xf numFmtId="0" fontId="46" fillId="20" borderId="102" xfId="0" applyFont="1" applyFill="1" applyBorder="1"/>
    <xf numFmtId="0" fontId="49" fillId="12" borderId="0" xfId="0" quotePrefix="1" applyFont="1" applyFill="1" applyAlignment="1">
      <alignment horizontal="left" vertical="center" wrapText="1"/>
    </xf>
    <xf numFmtId="166" fontId="49" fillId="12" borderId="0" xfId="0" applyNumberFormat="1" applyFont="1" applyFill="1" applyAlignment="1">
      <alignment horizontal="left" vertical="center" wrapText="1"/>
    </xf>
    <xf numFmtId="0" fontId="49" fillId="12" borderId="0" xfId="0" applyFont="1" applyFill="1" applyAlignment="1">
      <alignment horizontal="left" vertical="center" wrapText="1"/>
    </xf>
    <xf numFmtId="0" fontId="49" fillId="12" borderId="0" xfId="0" applyFont="1" applyFill="1" applyAlignment="1">
      <alignment vertical="center" wrapText="1"/>
    </xf>
    <xf numFmtId="0" fontId="56" fillId="7" borderId="231" xfId="0" applyFont="1" applyFill="1" applyBorder="1" applyAlignment="1">
      <alignment horizontal="left" vertical="center"/>
    </xf>
    <xf numFmtId="0" fontId="49" fillId="29" borderId="194" xfId="0" quotePrefix="1" applyFont="1" applyFill="1" applyBorder="1" applyAlignment="1">
      <alignment horizontal="left" vertical="center"/>
    </xf>
    <xf numFmtId="0" fontId="49" fillId="29" borderId="213" xfId="0" applyFont="1" applyFill="1" applyBorder="1" applyAlignment="1">
      <alignment horizontal="left" vertical="center" wrapText="1"/>
    </xf>
    <xf numFmtId="0" fontId="49" fillId="29" borderId="213" xfId="0" quotePrefix="1" applyFont="1" applyFill="1" applyBorder="1" applyAlignment="1">
      <alignment horizontal="left" vertical="center" wrapText="1"/>
    </xf>
    <xf numFmtId="2" fontId="49" fillId="29" borderId="213" xfId="0" applyNumberFormat="1" applyFont="1" applyFill="1" applyBorder="1" applyAlignment="1">
      <alignment horizontal="left" vertical="center"/>
    </xf>
    <xf numFmtId="0" fontId="49" fillId="29" borderId="213" xfId="0" applyFont="1" applyFill="1" applyBorder="1" applyAlignment="1">
      <alignment horizontal="left" vertical="center"/>
    </xf>
    <xf numFmtId="0" fontId="49" fillId="29" borderId="213" xfId="0" quotePrefix="1" applyFont="1" applyFill="1" applyBorder="1" applyAlignment="1">
      <alignment horizontal="left" vertical="center"/>
    </xf>
    <xf numFmtId="0" fontId="49" fillId="29" borderId="195" xfId="0" applyFont="1" applyFill="1" applyBorder="1" applyAlignment="1">
      <alignment horizontal="left" vertical="center"/>
    </xf>
    <xf numFmtId="0" fontId="49" fillId="29" borderId="222" xfId="0" quotePrefix="1" applyFont="1" applyFill="1" applyBorder="1" applyAlignment="1">
      <alignment horizontal="left" vertical="center"/>
    </xf>
    <xf numFmtId="0" fontId="49" fillId="29" borderId="210" xfId="0" applyFont="1" applyFill="1" applyBorder="1" applyAlignment="1">
      <alignment horizontal="left" vertical="center" wrapText="1"/>
    </xf>
    <xf numFmtId="0" fontId="49" fillId="29" borderId="210" xfId="0" quotePrefix="1" applyFont="1" applyFill="1" applyBorder="1" applyAlignment="1">
      <alignment horizontal="left" vertical="center" wrapText="1"/>
    </xf>
    <xf numFmtId="2" fontId="49" fillId="29" borderId="210" xfId="0" applyNumberFormat="1" applyFont="1" applyFill="1" applyBorder="1" applyAlignment="1">
      <alignment horizontal="left" vertical="center"/>
    </xf>
    <xf numFmtId="0" fontId="49" fillId="29" borderId="210" xfId="0" applyFont="1" applyFill="1" applyBorder="1" applyAlignment="1">
      <alignment horizontal="left" vertical="center"/>
    </xf>
    <xf numFmtId="0" fontId="49" fillId="29" borderId="210" xfId="0" quotePrefix="1" applyFont="1" applyFill="1" applyBorder="1" applyAlignment="1">
      <alignment horizontal="left" vertical="center"/>
    </xf>
    <xf numFmtId="0" fontId="49" fillId="29" borderId="222" xfId="0" applyFont="1" applyFill="1" applyBorder="1" applyAlignment="1">
      <alignment horizontal="left" vertical="center"/>
    </xf>
    <xf numFmtId="165" fontId="49" fillId="29" borderId="210" xfId="0" applyNumberFormat="1" applyFont="1" applyFill="1" applyBorder="1" applyAlignment="1">
      <alignment horizontal="left" vertical="center"/>
    </xf>
    <xf numFmtId="0" fontId="49" fillId="29" borderId="218" xfId="0" applyFont="1" applyFill="1" applyBorder="1" applyAlignment="1">
      <alignment horizontal="left" vertical="center"/>
    </xf>
    <xf numFmtId="0" fontId="49" fillId="29" borderId="212" xfId="0" applyFont="1" applyFill="1" applyBorder="1" applyAlignment="1">
      <alignment horizontal="left" vertical="center" wrapText="1"/>
    </xf>
    <xf numFmtId="165" fontId="49" fillId="29" borderId="212" xfId="0" applyNumberFormat="1" applyFont="1" applyFill="1" applyBorder="1" applyAlignment="1">
      <alignment horizontal="left" vertical="center"/>
    </xf>
    <xf numFmtId="0" fontId="49" fillId="29" borderId="212" xfId="0" quotePrefix="1" applyFont="1" applyFill="1" applyBorder="1" applyAlignment="1">
      <alignment horizontal="left" vertical="center"/>
    </xf>
    <xf numFmtId="0" fontId="49" fillId="29" borderId="0" xfId="0" applyFont="1" applyFill="1" applyAlignment="1">
      <alignment horizontal="left" vertical="center"/>
    </xf>
    <xf numFmtId="0" fontId="49" fillId="29" borderId="0" xfId="0" applyFont="1" applyFill="1" applyAlignment="1">
      <alignment horizontal="left" vertical="center" wrapText="1"/>
    </xf>
    <xf numFmtId="165" fontId="49" fillId="29" borderId="0" xfId="0" applyNumberFormat="1" applyFont="1" applyFill="1" applyAlignment="1">
      <alignment horizontal="left" vertical="center"/>
    </xf>
    <xf numFmtId="0" fontId="49" fillId="29" borderId="0" xfId="0" quotePrefix="1" applyFont="1" applyFill="1" applyAlignment="1">
      <alignment horizontal="left" vertical="center"/>
    </xf>
    <xf numFmtId="0" fontId="56" fillId="7" borderId="232" xfId="0" applyFont="1" applyFill="1" applyBorder="1" applyAlignment="1">
      <alignment horizontal="left" vertical="center"/>
    </xf>
    <xf numFmtId="0" fontId="57" fillId="7" borderId="233" xfId="0" applyFont="1" applyFill="1" applyBorder="1" applyAlignment="1">
      <alignment horizontal="left" vertical="center"/>
    </xf>
    <xf numFmtId="0" fontId="73" fillId="7" borderId="234" xfId="301" applyFont="1" applyFill="1" applyBorder="1" applyAlignment="1">
      <alignment horizontal="left" vertical="center"/>
    </xf>
    <xf numFmtId="0" fontId="57" fillId="7" borderId="234" xfId="0" applyFont="1" applyFill="1" applyBorder="1" applyAlignment="1">
      <alignment horizontal="left" vertical="center"/>
    </xf>
    <xf numFmtId="0" fontId="57" fillId="7" borderId="235" xfId="0" applyFont="1" applyFill="1" applyBorder="1" applyAlignment="1">
      <alignment horizontal="left" vertical="center"/>
    </xf>
    <xf numFmtId="0" fontId="49" fillId="30" borderId="236" xfId="0" applyFont="1" applyFill="1" applyBorder="1" applyAlignment="1">
      <alignment horizontal="left" vertical="center"/>
    </xf>
    <xf numFmtId="0" fontId="49" fillId="30" borderId="213" xfId="0" applyFont="1" applyFill="1" applyBorder="1" applyAlignment="1">
      <alignment horizontal="left" vertical="center" wrapText="1"/>
    </xf>
    <xf numFmtId="0" fontId="49" fillId="30" borderId="213" xfId="0" applyFont="1" applyFill="1" applyBorder="1" applyAlignment="1">
      <alignment horizontal="left" vertical="center"/>
    </xf>
    <xf numFmtId="0" fontId="49" fillId="30" borderId="213" xfId="0" quotePrefix="1" applyFont="1" applyFill="1" applyBorder="1" applyAlignment="1">
      <alignment horizontal="left" vertical="center"/>
    </xf>
    <xf numFmtId="0" fontId="49" fillId="30" borderId="195" xfId="0" applyFont="1" applyFill="1" applyBorder="1" applyAlignment="1">
      <alignment horizontal="left" vertical="center"/>
    </xf>
    <xf numFmtId="0" fontId="49" fillId="30" borderId="222" xfId="0" applyFont="1" applyFill="1" applyBorder="1" applyAlignment="1">
      <alignment horizontal="left" vertical="center"/>
    </xf>
    <xf numFmtId="0" fontId="49" fillId="30" borderId="210" xfId="0" applyFont="1" applyFill="1" applyBorder="1" applyAlignment="1">
      <alignment horizontal="left" vertical="center" wrapText="1"/>
    </xf>
    <xf numFmtId="0" fontId="49" fillId="30" borderId="210" xfId="0" applyFont="1" applyFill="1" applyBorder="1" applyAlignment="1">
      <alignment horizontal="left" vertical="center"/>
    </xf>
    <xf numFmtId="0" fontId="49" fillId="30" borderId="210" xfId="0" quotePrefix="1" applyFont="1" applyFill="1" applyBorder="1" applyAlignment="1">
      <alignment horizontal="left" vertical="center"/>
    </xf>
    <xf numFmtId="165" fontId="49" fillId="30" borderId="210" xfId="0" applyNumberFormat="1" applyFont="1" applyFill="1" applyBorder="1" applyAlignment="1">
      <alignment horizontal="left" vertical="center"/>
    </xf>
    <xf numFmtId="0" fontId="49" fillId="30" borderId="218" xfId="0" applyFont="1" applyFill="1" applyBorder="1" applyAlignment="1">
      <alignment horizontal="left" vertical="center"/>
    </xf>
    <xf numFmtId="165" fontId="49" fillId="30" borderId="212" xfId="0" applyNumberFormat="1" applyFont="1" applyFill="1" applyBorder="1" applyAlignment="1">
      <alignment horizontal="left" vertical="center"/>
    </xf>
    <xf numFmtId="0" fontId="49" fillId="30" borderId="212" xfId="0" quotePrefix="1" applyFont="1" applyFill="1" applyBorder="1" applyAlignment="1">
      <alignment horizontal="left" vertical="center"/>
    </xf>
    <xf numFmtId="0" fontId="49" fillId="31" borderId="236" xfId="0" applyFont="1" applyFill="1" applyBorder="1" applyAlignment="1">
      <alignment horizontal="left" vertical="center"/>
    </xf>
    <xf numFmtId="0" fontId="49" fillId="31" borderId="213" xfId="0" applyFont="1" applyFill="1" applyBorder="1" applyAlignment="1">
      <alignment horizontal="left" vertical="center" wrapText="1"/>
    </xf>
    <xf numFmtId="2" fontId="49" fillId="31" borderId="213" xfId="0" applyNumberFormat="1" applyFont="1" applyFill="1" applyBorder="1" applyAlignment="1">
      <alignment horizontal="left" vertical="center"/>
    </xf>
    <xf numFmtId="0" fontId="49" fillId="31" borderId="213" xfId="0" applyFont="1" applyFill="1" applyBorder="1" applyAlignment="1">
      <alignment horizontal="left" vertical="center"/>
    </xf>
    <xf numFmtId="0" fontId="49" fillId="31" borderId="213" xfId="0" quotePrefix="1" applyFont="1" applyFill="1" applyBorder="1" applyAlignment="1">
      <alignment horizontal="left" vertical="center"/>
    </xf>
    <xf numFmtId="0" fontId="49" fillId="31" borderId="195" xfId="0" applyFont="1" applyFill="1" applyBorder="1" applyAlignment="1">
      <alignment horizontal="left" vertical="center"/>
    </xf>
    <xf numFmtId="0" fontId="49" fillId="31" borderId="222" xfId="0" applyFont="1" applyFill="1" applyBorder="1" applyAlignment="1">
      <alignment horizontal="left" vertical="center"/>
    </xf>
    <xf numFmtId="0" fontId="49" fillId="31" borderId="210" xfId="0" applyFont="1" applyFill="1" applyBorder="1" applyAlignment="1">
      <alignment horizontal="left" vertical="center" wrapText="1"/>
    </xf>
    <xf numFmtId="167" fontId="49" fillId="31" borderId="210" xfId="0" applyNumberFormat="1" applyFont="1" applyFill="1" applyBorder="1" applyAlignment="1">
      <alignment horizontal="left" vertical="center"/>
    </xf>
    <xf numFmtId="0" fontId="49" fillId="31" borderId="210" xfId="0" applyFont="1" applyFill="1" applyBorder="1" applyAlignment="1">
      <alignment horizontal="left" vertical="center"/>
    </xf>
    <xf numFmtId="0" fontId="49" fillId="31" borderId="210" xfId="0" quotePrefix="1" applyFont="1" applyFill="1" applyBorder="1" applyAlignment="1">
      <alignment horizontal="left" vertical="center"/>
    </xf>
    <xf numFmtId="166" fontId="49" fillId="31" borderId="210" xfId="0" applyNumberFormat="1" applyFont="1" applyFill="1" applyBorder="1" applyAlignment="1">
      <alignment horizontal="left" vertical="center"/>
    </xf>
    <xf numFmtId="0" fontId="49" fillId="31" borderId="38" xfId="0" applyFont="1" applyFill="1" applyBorder="1" applyAlignment="1">
      <alignment horizontal="left" vertical="center"/>
    </xf>
    <xf numFmtId="2" fontId="49" fillId="31" borderId="102" xfId="0" applyNumberFormat="1" applyFont="1" applyFill="1" applyBorder="1" applyAlignment="1">
      <alignment horizontal="left" vertical="center"/>
    </xf>
    <xf numFmtId="0" fontId="49" fillId="31" borderId="102" xfId="0" applyFont="1" applyFill="1" applyBorder="1" applyAlignment="1">
      <alignment horizontal="left" vertical="center"/>
    </xf>
    <xf numFmtId="0" fontId="49" fillId="31" borderId="102" xfId="0" quotePrefix="1" applyFont="1" applyFill="1" applyBorder="1" applyAlignment="1">
      <alignment horizontal="left" vertical="center"/>
    </xf>
    <xf numFmtId="0" fontId="49" fillId="31" borderId="106" xfId="0" applyFont="1" applyFill="1" applyBorder="1" applyAlignment="1">
      <alignment horizontal="left" vertical="center"/>
    </xf>
    <xf numFmtId="165" fontId="49" fillId="31" borderId="210" xfId="0" applyNumberFormat="1" applyFont="1" applyFill="1" applyBorder="1" applyAlignment="1">
      <alignment horizontal="left" vertical="center"/>
    </xf>
    <xf numFmtId="2" fontId="49" fillId="31" borderId="210" xfId="0" applyNumberFormat="1" applyFont="1" applyFill="1" applyBorder="1" applyAlignment="1">
      <alignment horizontal="left" vertical="center"/>
    </xf>
    <xf numFmtId="0" fontId="49" fillId="31" borderId="218" xfId="0" applyFont="1" applyFill="1" applyBorder="1" applyAlignment="1">
      <alignment horizontal="left" vertical="center"/>
    </xf>
    <xf numFmtId="0" fontId="49" fillId="31" borderId="212" xfId="0" applyFont="1" applyFill="1" applyBorder="1" applyAlignment="1">
      <alignment horizontal="left" vertical="center" wrapText="1"/>
    </xf>
    <xf numFmtId="0" fontId="49" fillId="31" borderId="212" xfId="0" quotePrefix="1" applyFont="1" applyFill="1" applyBorder="1" applyAlignment="1">
      <alignment horizontal="left" vertical="center"/>
    </xf>
    <xf numFmtId="0" fontId="49" fillId="0" borderId="210" xfId="0" quotePrefix="1" applyFont="1" applyBorder="1" applyAlignment="1">
      <alignment horizontal="left" vertical="center" wrapText="1"/>
    </xf>
    <xf numFmtId="0" fontId="0" fillId="0" borderId="210" xfId="0" applyBorder="1" applyAlignment="1">
      <alignment horizontal="left" vertical="center" wrapText="1"/>
    </xf>
    <xf numFmtId="0" fontId="49" fillId="0" borderId="210" xfId="0" applyFont="1" applyBorder="1" applyAlignment="1">
      <alignment horizontal="left" vertical="center"/>
    </xf>
    <xf numFmtId="0" fontId="49" fillId="0" borderId="210" xfId="0" quotePrefix="1" applyFont="1" applyBorder="1" applyAlignment="1">
      <alignment horizontal="left" vertical="center"/>
    </xf>
    <xf numFmtId="0" fontId="49" fillId="0" borderId="218" xfId="0" applyFont="1" applyBorder="1" applyAlignment="1">
      <alignment horizontal="left" vertical="center"/>
    </xf>
    <xf numFmtId="0" fontId="49" fillId="0" borderId="212" xfId="0" quotePrefix="1" applyFont="1" applyBorder="1" applyAlignment="1">
      <alignment horizontal="left" vertical="center"/>
    </xf>
    <xf numFmtId="0" fontId="49" fillId="10" borderId="222" xfId="0" applyFont="1" applyFill="1" applyBorder="1" applyAlignment="1">
      <alignment horizontal="left" vertical="center"/>
    </xf>
    <xf numFmtId="0" fontId="49" fillId="10" borderId="210" xfId="0" applyFont="1" applyFill="1" applyBorder="1" applyAlignment="1">
      <alignment horizontal="left" vertical="center" wrapText="1"/>
    </xf>
    <xf numFmtId="0" fontId="49" fillId="10" borderId="210" xfId="0" applyFont="1" applyFill="1" applyBorder="1" applyAlignment="1">
      <alignment horizontal="left" vertical="center"/>
    </xf>
    <xf numFmtId="0" fontId="49" fillId="10" borderId="223" xfId="0" applyFont="1" applyFill="1" applyBorder="1" applyAlignment="1">
      <alignment horizontal="left" vertical="center"/>
    </xf>
    <xf numFmtId="2" fontId="49" fillId="0" borderId="210" xfId="0" applyNumberFormat="1" applyFont="1" applyBorder="1" applyAlignment="1">
      <alignment horizontal="left" vertical="center"/>
    </xf>
    <xf numFmtId="0" fontId="49" fillId="30" borderId="210" xfId="0" quotePrefix="1" applyFont="1" applyFill="1" applyBorder="1" applyAlignment="1">
      <alignment horizontal="left" vertical="center" wrapText="1"/>
    </xf>
    <xf numFmtId="2" fontId="49" fillId="30" borderId="210" xfId="0" applyNumberFormat="1" applyFont="1" applyFill="1" applyBorder="1" applyAlignment="1">
      <alignment horizontal="left" vertical="center"/>
    </xf>
    <xf numFmtId="0" fontId="49" fillId="31" borderId="210" xfId="0" quotePrefix="1" applyFont="1" applyFill="1" applyBorder="1" applyAlignment="1">
      <alignment horizontal="left" vertical="center" wrapText="1"/>
    </xf>
    <xf numFmtId="0" fontId="49" fillId="9" borderId="210" xfId="0" quotePrefix="1" applyFont="1" applyFill="1" applyBorder="1" applyAlignment="1">
      <alignment horizontal="left" vertical="center" wrapText="1"/>
    </xf>
    <xf numFmtId="2" fontId="49" fillId="9" borderId="210" xfId="0" applyNumberFormat="1" applyFont="1" applyFill="1" applyBorder="1" applyAlignment="1">
      <alignment horizontal="left" vertical="center" wrapText="1"/>
    </xf>
    <xf numFmtId="2" fontId="49" fillId="9" borderId="222" xfId="0" applyNumberFormat="1" applyFont="1" applyFill="1" applyBorder="1" applyAlignment="1">
      <alignment horizontal="left" vertical="center"/>
    </xf>
    <xf numFmtId="2" fontId="49" fillId="9" borderId="210" xfId="0" applyNumberFormat="1" applyFont="1" applyFill="1" applyBorder="1" applyAlignment="1">
      <alignment horizontal="left" vertical="center"/>
    </xf>
    <xf numFmtId="0" fontId="49" fillId="9" borderId="210" xfId="0" quotePrefix="1" applyFont="1" applyFill="1" applyBorder="1" applyAlignment="1">
      <alignment horizontal="left" vertical="center"/>
    </xf>
    <xf numFmtId="0" fontId="49" fillId="9" borderId="210" xfId="0" applyFont="1" applyFill="1" applyBorder="1" applyAlignment="1">
      <alignment horizontal="left" vertical="center"/>
    </xf>
    <xf numFmtId="0" fontId="49" fillId="9" borderId="223" xfId="0" applyFont="1" applyFill="1" applyBorder="1" applyAlignment="1">
      <alignment horizontal="left" vertical="center"/>
    </xf>
    <xf numFmtId="0" fontId="49" fillId="9" borderId="222" xfId="0" applyFont="1" applyFill="1" applyBorder="1" applyAlignment="1">
      <alignment horizontal="left" vertical="center"/>
    </xf>
    <xf numFmtId="2" fontId="49" fillId="24" borderId="222" xfId="0" applyNumberFormat="1" applyFont="1" applyFill="1" applyBorder="1" applyAlignment="1">
      <alignment horizontal="left" vertical="center"/>
    </xf>
    <xf numFmtId="2" fontId="49" fillId="24" borderId="210" xfId="0" applyNumberFormat="1" applyFont="1" applyFill="1" applyBorder="1" applyAlignment="1">
      <alignment horizontal="left" vertical="center" wrapText="1"/>
    </xf>
    <xf numFmtId="2" fontId="49" fillId="24" borderId="210" xfId="0" applyNumberFormat="1" applyFont="1" applyFill="1" applyBorder="1" applyAlignment="1">
      <alignment horizontal="left" vertical="center"/>
    </xf>
    <xf numFmtId="0" fontId="49" fillId="24" borderId="210" xfId="0" quotePrefix="1" applyFont="1" applyFill="1" applyBorder="1" applyAlignment="1">
      <alignment horizontal="left" vertical="center"/>
    </xf>
    <xf numFmtId="0" fontId="49" fillId="24" borderId="210" xfId="0" applyFont="1" applyFill="1" applyBorder="1" applyAlignment="1">
      <alignment horizontal="left" vertical="center"/>
    </xf>
    <xf numFmtId="0" fontId="49" fillId="24" borderId="223" xfId="0" quotePrefix="1" applyFont="1" applyFill="1" applyBorder="1" applyAlignment="1">
      <alignment horizontal="left" vertical="center"/>
    </xf>
    <xf numFmtId="2" fontId="49" fillId="32" borderId="125" xfId="0" applyNumberFormat="1" applyFont="1" applyFill="1" applyBorder="1" applyAlignment="1">
      <alignment horizontal="left" vertical="center"/>
    </xf>
    <xf numFmtId="2" fontId="49" fillId="32" borderId="100" xfId="0" applyNumberFormat="1" applyFont="1" applyFill="1" applyBorder="1" applyAlignment="1">
      <alignment horizontal="left" vertical="center" wrapText="1"/>
    </xf>
    <xf numFmtId="2" fontId="49" fillId="32" borderId="100" xfId="0" applyNumberFormat="1" applyFont="1" applyFill="1" applyBorder="1" applyAlignment="1">
      <alignment horizontal="left" vertical="center"/>
    </xf>
    <xf numFmtId="0" fontId="49" fillId="32" borderId="100" xfId="0" quotePrefix="1" applyFont="1" applyFill="1" applyBorder="1" applyAlignment="1">
      <alignment horizontal="left" vertical="center"/>
    </xf>
    <xf numFmtId="0" fontId="49" fillId="32" borderId="100" xfId="0" applyFont="1" applyFill="1" applyBorder="1" applyAlignment="1">
      <alignment horizontal="left" vertical="center"/>
    </xf>
    <xf numFmtId="0" fontId="49" fillId="32" borderId="124" xfId="0" quotePrefix="1" applyFont="1" applyFill="1" applyBorder="1" applyAlignment="1">
      <alignment horizontal="left" vertical="center"/>
    </xf>
    <xf numFmtId="2" fontId="53" fillId="30" borderId="210" xfId="0" applyNumberFormat="1" applyFont="1" applyFill="1" applyBorder="1" applyAlignment="1">
      <alignment horizontal="left" vertical="center"/>
    </xf>
    <xf numFmtId="0" fontId="53" fillId="30" borderId="210" xfId="0" applyFont="1" applyFill="1" applyBorder="1" applyAlignment="1">
      <alignment horizontal="left" vertical="center"/>
    </xf>
    <xf numFmtId="0" fontId="53" fillId="30" borderId="223" xfId="0" applyFont="1" applyFill="1" applyBorder="1" applyAlignment="1">
      <alignment horizontal="left" vertical="center"/>
    </xf>
    <xf numFmtId="2" fontId="53" fillId="31" borderId="210" xfId="0" applyNumberFormat="1" applyFont="1" applyFill="1" applyBorder="1" applyAlignment="1">
      <alignment horizontal="left" vertical="center"/>
    </xf>
    <xf numFmtId="0" fontId="53" fillId="31" borderId="210" xfId="0" applyFont="1" applyFill="1" applyBorder="1" applyAlignment="1">
      <alignment horizontal="left" vertical="center"/>
    </xf>
    <xf numFmtId="0" fontId="53" fillId="31" borderId="223" xfId="0" applyFont="1" applyFill="1" applyBorder="1" applyAlignment="1">
      <alignment horizontal="left" vertical="center"/>
    </xf>
    <xf numFmtId="0" fontId="53" fillId="16" borderId="222" xfId="0" applyFont="1" applyFill="1" applyBorder="1" applyAlignment="1">
      <alignment horizontal="left" vertical="center"/>
    </xf>
    <xf numFmtId="0" fontId="53" fillId="16" borderId="210" xfId="0" applyFont="1" applyFill="1" applyBorder="1" applyAlignment="1">
      <alignment horizontal="left" vertical="center" wrapText="1"/>
    </xf>
    <xf numFmtId="2" fontId="53" fillId="16" borderId="210" xfId="0" applyNumberFormat="1" applyFont="1" applyFill="1" applyBorder="1" applyAlignment="1">
      <alignment horizontal="left" vertical="center"/>
    </xf>
    <xf numFmtId="0" fontId="49" fillId="16" borderId="210" xfId="0" applyFont="1" applyFill="1" applyBorder="1" applyAlignment="1">
      <alignment horizontal="left" vertical="center"/>
    </xf>
    <xf numFmtId="0" fontId="53" fillId="16" borderId="210" xfId="0" applyFont="1" applyFill="1" applyBorder="1" applyAlignment="1">
      <alignment horizontal="left" vertical="center"/>
    </xf>
    <xf numFmtId="0" fontId="53" fillId="16" borderId="223" xfId="0" applyFont="1" applyFill="1" applyBorder="1" applyAlignment="1">
      <alignment horizontal="left" vertical="center"/>
    </xf>
    <xf numFmtId="0" fontId="53" fillId="16" borderId="125" xfId="0" applyFont="1" applyFill="1" applyBorder="1" applyAlignment="1">
      <alignment horizontal="left" vertical="center"/>
    </xf>
    <xf numFmtId="0" fontId="53" fillId="16" borderId="100" xfId="0" applyFont="1" applyFill="1" applyBorder="1" applyAlignment="1">
      <alignment horizontal="left" vertical="center" wrapText="1"/>
    </xf>
    <xf numFmtId="2" fontId="53" fillId="16" borderId="100" xfId="0" applyNumberFormat="1" applyFont="1" applyFill="1" applyBorder="1" applyAlignment="1">
      <alignment horizontal="left" vertical="center"/>
    </xf>
    <xf numFmtId="0" fontId="49" fillId="16" borderId="100" xfId="0" applyFont="1" applyFill="1" applyBorder="1" applyAlignment="1">
      <alignment horizontal="left" vertical="center"/>
    </xf>
    <xf numFmtId="0" fontId="53" fillId="16" borderId="100" xfId="0" applyFont="1" applyFill="1" applyBorder="1" applyAlignment="1">
      <alignment horizontal="left" vertical="center"/>
    </xf>
    <xf numFmtId="0" fontId="53" fillId="16" borderId="124" xfId="0" applyFont="1" applyFill="1" applyBorder="1" applyAlignment="1">
      <alignment horizontal="left" vertical="center"/>
    </xf>
    <xf numFmtId="0" fontId="49" fillId="20" borderId="210" xfId="0" applyFont="1" applyFill="1" applyBorder="1" applyAlignment="1">
      <alignment horizontal="left" vertical="center" wrapText="1"/>
    </xf>
    <xf numFmtId="168" fontId="49" fillId="20" borderId="210" xfId="0" applyNumberFormat="1" applyFont="1" applyFill="1" applyBorder="1" applyAlignment="1">
      <alignment horizontal="left" vertical="center" wrapText="1"/>
    </xf>
    <xf numFmtId="0" fontId="49" fillId="20" borderId="222" xfId="0" applyFont="1" applyFill="1" applyBorder="1" applyAlignment="1">
      <alignment horizontal="left" vertical="center"/>
    </xf>
    <xf numFmtId="168" fontId="49" fillId="20" borderId="210" xfId="0" applyNumberFormat="1" applyFont="1" applyFill="1" applyBorder="1" applyAlignment="1">
      <alignment horizontal="left" vertical="center"/>
    </xf>
    <xf numFmtId="0" fontId="49" fillId="20" borderId="210" xfId="0" quotePrefix="1" applyFont="1" applyFill="1" applyBorder="1" applyAlignment="1">
      <alignment horizontal="left" vertical="center"/>
    </xf>
    <xf numFmtId="0" fontId="49" fillId="20" borderId="210" xfId="0" applyFont="1" applyFill="1" applyBorder="1" applyAlignment="1">
      <alignment horizontal="left" vertical="center"/>
    </xf>
    <xf numFmtId="0" fontId="49" fillId="20" borderId="223" xfId="0" applyFont="1" applyFill="1" applyBorder="1" applyAlignment="1">
      <alignment horizontal="left" vertical="center"/>
    </xf>
    <xf numFmtId="0" fontId="49" fillId="20" borderId="222" xfId="105" applyFont="1" applyFill="1" applyBorder="1" applyAlignment="1">
      <alignment horizontal="left" vertical="center"/>
    </xf>
    <xf numFmtId="0" fontId="49" fillId="20" borderId="210" xfId="105" applyFont="1" applyFill="1" applyBorder="1" applyAlignment="1">
      <alignment horizontal="left" vertical="center" wrapText="1"/>
    </xf>
    <xf numFmtId="0" fontId="49" fillId="20" borderId="229" xfId="0" applyFont="1" applyFill="1" applyBorder="1" applyAlignment="1">
      <alignment horizontal="left" vertical="center" wrapText="1"/>
    </xf>
    <xf numFmtId="168" fontId="49" fillId="20" borderId="229" xfId="0" applyNumberFormat="1" applyFont="1" applyFill="1" applyBorder="1" applyAlignment="1">
      <alignment horizontal="left" vertical="center"/>
    </xf>
    <xf numFmtId="0" fontId="49" fillId="20" borderId="229" xfId="0" applyFont="1" applyFill="1" applyBorder="1" applyAlignment="1">
      <alignment horizontal="left" vertical="center"/>
    </xf>
    <xf numFmtId="0" fontId="49" fillId="20" borderId="230" xfId="0" applyFont="1" applyFill="1" applyBorder="1" applyAlignment="1">
      <alignment horizontal="left" vertical="center"/>
    </xf>
    <xf numFmtId="0" fontId="49" fillId="4" borderId="38" xfId="0" applyFont="1" applyFill="1" applyBorder="1" applyAlignment="1">
      <alignment horizontal="left" vertical="center"/>
    </xf>
    <xf numFmtId="11" fontId="49" fillId="4" borderId="102" xfId="0" applyNumberFormat="1" applyFont="1" applyFill="1" applyBorder="1" applyAlignment="1">
      <alignment horizontal="left" vertical="center"/>
    </xf>
    <xf numFmtId="0" fontId="49" fillId="4" borderId="102" xfId="0" applyFont="1" applyFill="1" applyBorder="1" applyAlignment="1">
      <alignment horizontal="left" vertical="center"/>
    </xf>
    <xf numFmtId="0" fontId="49" fillId="4" borderId="210" xfId="0" applyFont="1" applyFill="1" applyBorder="1" applyAlignment="1">
      <alignment horizontal="left" vertical="center"/>
    </xf>
    <xf numFmtId="0" fontId="49" fillId="4" borderId="223" xfId="0" applyFont="1" applyFill="1" applyBorder="1" applyAlignment="1">
      <alignment horizontal="left" vertical="center"/>
    </xf>
    <xf numFmtId="165" fontId="49" fillId="4" borderId="102" xfId="0" applyNumberFormat="1" applyFont="1" applyFill="1" applyBorder="1" applyAlignment="1">
      <alignment horizontal="left" vertical="center"/>
    </xf>
    <xf numFmtId="0" fontId="49" fillId="4" borderId="106" xfId="0" applyFont="1" applyFill="1" applyBorder="1" applyAlignment="1">
      <alignment horizontal="left" vertical="center"/>
    </xf>
    <xf numFmtId="0" fontId="49" fillId="4" borderId="218" xfId="0" applyFont="1" applyFill="1" applyBorder="1" applyAlignment="1">
      <alignment horizontal="left" vertical="center"/>
    </xf>
    <xf numFmtId="0" fontId="49" fillId="4" borderId="212" xfId="0" applyFont="1" applyFill="1" applyBorder="1" applyAlignment="1">
      <alignment horizontal="left" vertical="center" wrapText="1"/>
    </xf>
    <xf numFmtId="165" fontId="49" fillId="4" borderId="212" xfId="0" applyNumberFormat="1" applyFont="1" applyFill="1" applyBorder="1" applyAlignment="1">
      <alignment horizontal="left" vertical="center"/>
    </xf>
    <xf numFmtId="0" fontId="49" fillId="4" borderId="212" xfId="0" applyFont="1" applyFill="1" applyBorder="1" applyAlignment="1">
      <alignment horizontal="left" vertical="center"/>
    </xf>
    <xf numFmtId="0" fontId="49" fillId="4" borderId="219" xfId="0" applyFont="1" applyFill="1" applyBorder="1" applyAlignment="1">
      <alignment horizontal="left" vertical="center"/>
    </xf>
    <xf numFmtId="0" fontId="49" fillId="20" borderId="222" xfId="2" applyFont="1" applyFill="1" applyBorder="1" applyAlignment="1">
      <alignment horizontal="left" vertical="center"/>
    </xf>
    <xf numFmtId="2" fontId="49" fillId="20" borderId="210" xfId="0" applyNumberFormat="1" applyFont="1" applyFill="1" applyBorder="1" applyAlignment="1">
      <alignment horizontal="left" vertical="center"/>
    </xf>
    <xf numFmtId="165" fontId="49" fillId="0" borderId="102" xfId="0" quotePrefix="1" applyNumberFormat="1" applyFont="1" applyBorder="1" applyAlignment="1">
      <alignment horizontal="left" vertical="center"/>
    </xf>
    <xf numFmtId="0" fontId="46" fillId="0" borderId="106" xfId="0" applyFont="1" applyBorder="1" applyAlignment="1">
      <alignment horizontal="left" vertical="center"/>
    </xf>
    <xf numFmtId="0" fontId="34" fillId="0" borderId="0" xfId="0" applyFont="1" applyAlignment="1">
      <alignment horizontal="left" vertical="center"/>
    </xf>
    <xf numFmtId="167" fontId="46" fillId="10" borderId="173" xfId="0" applyNumberFormat="1" applyFont="1" applyFill="1" applyBorder="1" applyAlignment="1">
      <alignment horizontal="left" vertical="center"/>
    </xf>
    <xf numFmtId="0" fontId="46" fillId="10" borderId="174" xfId="0" applyFont="1" applyFill="1" applyBorder="1" applyAlignment="1">
      <alignment horizontal="left" vertical="center"/>
    </xf>
    <xf numFmtId="0" fontId="49" fillId="10" borderId="218" xfId="0" applyFont="1" applyFill="1" applyBorder="1" applyAlignment="1">
      <alignment horizontal="left" vertical="center"/>
    </xf>
    <xf numFmtId="0" fontId="46" fillId="10" borderId="177" xfId="0" quotePrefix="1" applyFont="1" applyFill="1" applyBorder="1" applyAlignment="1">
      <alignment horizontal="left" vertical="center" wrapText="1"/>
    </xf>
    <xf numFmtId="167" fontId="46" fillId="10" borderId="177" xfId="0" applyNumberFormat="1" applyFont="1" applyFill="1" applyBorder="1" applyAlignment="1">
      <alignment horizontal="left" vertical="center"/>
    </xf>
    <xf numFmtId="0" fontId="46" fillId="10" borderId="177" xfId="0" quotePrefix="1" applyFont="1" applyFill="1" applyBorder="1" applyAlignment="1">
      <alignment horizontal="left" vertical="center"/>
    </xf>
    <xf numFmtId="0" fontId="46" fillId="10" borderId="177" xfId="0" applyFont="1" applyFill="1" applyBorder="1" applyAlignment="1">
      <alignment horizontal="left" vertical="center"/>
    </xf>
    <xf numFmtId="0" fontId="46" fillId="10" borderId="178" xfId="0" applyFont="1" applyFill="1" applyBorder="1" applyAlignment="1">
      <alignment horizontal="left" vertical="center"/>
    </xf>
    <xf numFmtId="0" fontId="49" fillId="0" borderId="236" xfId="0" applyFont="1" applyBorder="1" applyAlignment="1">
      <alignment horizontal="left" vertical="center"/>
    </xf>
    <xf numFmtId="0" fontId="49" fillId="0" borderId="184" xfId="0" applyFont="1" applyBorder="1" applyAlignment="1">
      <alignment horizontal="left" vertical="center" wrapText="1"/>
    </xf>
    <xf numFmtId="165" fontId="49" fillId="0" borderId="184" xfId="0" applyNumberFormat="1" applyFont="1" applyBorder="1" applyAlignment="1">
      <alignment horizontal="left" vertical="center"/>
    </xf>
    <xf numFmtId="0" fontId="49" fillId="0" borderId="184" xfId="0" applyFont="1" applyBorder="1" applyAlignment="1">
      <alignment horizontal="left" vertical="center"/>
    </xf>
    <xf numFmtId="0" fontId="49" fillId="0" borderId="185" xfId="0" applyFont="1" applyBorder="1" applyAlignment="1">
      <alignment horizontal="left" vertical="center"/>
    </xf>
    <xf numFmtId="2" fontId="49" fillId="0" borderId="173" xfId="0" applyNumberFormat="1" applyFont="1" applyBorder="1" applyAlignment="1">
      <alignment horizontal="left" vertical="center"/>
    </xf>
    <xf numFmtId="165" fontId="49" fillId="0" borderId="158" xfId="0" applyNumberFormat="1" applyFont="1" applyBorder="1" applyAlignment="1">
      <alignment horizontal="left" vertical="center"/>
    </xf>
    <xf numFmtId="0" fontId="49" fillId="0" borderId="174" xfId="0" quotePrefix="1" applyFont="1" applyBorder="1" applyAlignment="1">
      <alignment horizontal="left" vertical="center"/>
    </xf>
    <xf numFmtId="0" fontId="49" fillId="0" borderId="177" xfId="0" applyFont="1" applyBorder="1" applyAlignment="1">
      <alignment horizontal="left" vertical="center" wrapText="1"/>
    </xf>
    <xf numFmtId="165" fontId="49" fillId="0" borderId="177" xfId="0" applyNumberFormat="1" applyFont="1" applyBorder="1" applyAlignment="1">
      <alignment horizontal="left" vertical="center"/>
    </xf>
    <xf numFmtId="0" fontId="49" fillId="0" borderId="177" xfId="0" applyFont="1" applyBorder="1" applyAlignment="1">
      <alignment horizontal="left" vertical="center"/>
    </xf>
    <xf numFmtId="0" fontId="49" fillId="0" borderId="178" xfId="0" quotePrefix="1" applyFont="1" applyBorder="1" applyAlignment="1">
      <alignment horizontal="left" vertical="center"/>
    </xf>
    <xf numFmtId="0" fontId="0" fillId="17" borderId="0" xfId="0" applyFill="1"/>
    <xf numFmtId="0" fontId="46" fillId="17" borderId="0" xfId="0" applyFont="1" applyFill="1" applyAlignment="1">
      <alignment horizontal="left" vertical="center"/>
    </xf>
    <xf numFmtId="0" fontId="46" fillId="17" borderId="0" xfId="0" applyFont="1" applyFill="1" applyAlignment="1">
      <alignment horizontal="center" vertical="center"/>
    </xf>
    <xf numFmtId="0" fontId="46" fillId="17" borderId="0" xfId="0" quotePrefix="1" applyFont="1" applyFill="1" applyAlignment="1">
      <alignment horizontal="center" vertical="center"/>
    </xf>
    <xf numFmtId="0" fontId="49" fillId="0" borderId="184" xfId="0" quotePrefix="1" applyFont="1" applyBorder="1" applyAlignment="1">
      <alignment horizontal="left" vertical="center" wrapText="1"/>
    </xf>
    <xf numFmtId="165" fontId="49" fillId="0" borderId="184" xfId="0" quotePrefix="1" applyNumberFormat="1" applyFont="1" applyBorder="1" applyAlignment="1">
      <alignment horizontal="left" vertical="center"/>
    </xf>
    <xf numFmtId="0" fontId="49" fillId="0" borderId="168" xfId="0" applyFont="1" applyBorder="1" applyAlignment="1">
      <alignment horizontal="left" vertical="center"/>
    </xf>
    <xf numFmtId="0" fontId="49" fillId="0" borderId="185" xfId="0" quotePrefix="1" applyFont="1" applyBorder="1" applyAlignment="1">
      <alignment horizontal="left" vertical="center"/>
    </xf>
    <xf numFmtId="0" fontId="53" fillId="10" borderId="218" xfId="0" applyFont="1" applyFill="1" applyBorder="1"/>
    <xf numFmtId="2" fontId="53" fillId="10" borderId="212" xfId="0" applyNumberFormat="1" applyFont="1" applyFill="1" applyBorder="1" applyAlignment="1">
      <alignment vertical="center" wrapText="1"/>
    </xf>
    <xf numFmtId="1" fontId="81" fillId="10" borderId="212" xfId="0" applyNumberFormat="1" applyFont="1" applyFill="1" applyBorder="1" applyAlignment="1">
      <alignment horizontal="center" vertical="center" wrapText="1"/>
    </xf>
    <xf numFmtId="0" fontId="53" fillId="10" borderId="212" xfId="0" applyFont="1" applyFill="1" applyBorder="1" applyAlignment="1">
      <alignment horizontal="center" vertical="center" wrapText="1"/>
    </xf>
    <xf numFmtId="0" fontId="53" fillId="10" borderId="212" xfId="0" applyFont="1" applyFill="1" applyBorder="1" applyAlignment="1">
      <alignment horizontal="left" vertical="center" wrapText="1"/>
    </xf>
    <xf numFmtId="0" fontId="53" fillId="10" borderId="219" xfId="0" applyFont="1" applyFill="1" applyBorder="1" applyAlignment="1">
      <alignment horizontal="left" vertical="center" wrapText="1"/>
    </xf>
    <xf numFmtId="0" fontId="57" fillId="7" borderId="214" xfId="0" applyFont="1" applyFill="1" applyBorder="1" applyAlignment="1">
      <alignment vertical="center"/>
    </xf>
    <xf numFmtId="0" fontId="57" fillId="7" borderId="215" xfId="0" applyFont="1" applyFill="1" applyBorder="1" applyAlignment="1">
      <alignment vertical="center" wrapText="1"/>
    </xf>
    <xf numFmtId="0" fontId="57" fillId="7" borderId="216" xfId="0" applyFont="1" applyFill="1" applyBorder="1" applyAlignment="1">
      <alignment horizontal="left" vertical="center" wrapText="1"/>
    </xf>
    <xf numFmtId="0" fontId="49" fillId="8" borderId="175" xfId="0" applyFont="1" applyFill="1" applyBorder="1" applyAlignment="1">
      <alignment vertical="center"/>
    </xf>
    <xf numFmtId="0" fontId="49" fillId="8" borderId="173" xfId="0" applyFont="1" applyFill="1" applyBorder="1" applyAlignment="1">
      <alignment vertical="center" wrapText="1"/>
    </xf>
    <xf numFmtId="165" fontId="49" fillId="21" borderId="184" xfId="0" applyNumberFormat="1" applyFont="1" applyFill="1" applyBorder="1" applyAlignment="1">
      <alignment horizontal="center" vertical="center" wrapText="1"/>
    </xf>
    <xf numFmtId="0" fontId="49" fillId="21" borderId="184" xfId="0" applyFont="1" applyFill="1" applyBorder="1" applyAlignment="1">
      <alignment horizontal="center" vertical="center" wrapText="1"/>
    </xf>
    <xf numFmtId="0" fontId="49" fillId="21" borderId="184" xfId="0" applyFont="1" applyFill="1" applyBorder="1" applyAlignment="1">
      <alignment horizontal="left" vertical="center" wrapText="1"/>
    </xf>
    <xf numFmtId="0" fontId="49" fillId="21" borderId="185" xfId="0" applyFont="1" applyFill="1" applyBorder="1" applyAlignment="1">
      <alignment horizontal="left" vertical="center" wrapText="1"/>
    </xf>
    <xf numFmtId="2" fontId="49" fillId="21" borderId="173" xfId="0" applyNumberFormat="1" applyFont="1" applyFill="1" applyBorder="1" applyAlignment="1">
      <alignment horizontal="center" vertical="center" wrapText="1"/>
    </xf>
    <xf numFmtId="0" fontId="49" fillId="21" borderId="173" xfId="0" applyFont="1" applyFill="1" applyBorder="1" applyAlignment="1">
      <alignment horizontal="center" vertical="center" wrapText="1"/>
    </xf>
    <xf numFmtId="0" fontId="49" fillId="21" borderId="173" xfId="0" applyFont="1" applyFill="1" applyBorder="1" applyAlignment="1">
      <alignment horizontal="left" vertical="center" wrapText="1"/>
    </xf>
    <xf numFmtId="0" fontId="49" fillId="21" borderId="174" xfId="0" applyFont="1" applyFill="1" applyBorder="1" applyAlignment="1">
      <alignment horizontal="left" vertical="center" wrapText="1"/>
    </xf>
    <xf numFmtId="0" fontId="49" fillId="8" borderId="175" xfId="0" applyFont="1" applyFill="1" applyBorder="1" applyAlignment="1">
      <alignment horizontal="center" vertical="center"/>
    </xf>
    <xf numFmtId="0" fontId="46" fillId="18" borderId="177" xfId="0" quotePrefix="1" applyFont="1" applyFill="1" applyBorder="1" applyAlignment="1">
      <alignment horizontal="center" vertical="center"/>
    </xf>
    <xf numFmtId="0" fontId="46" fillId="28" borderId="177" xfId="0" quotePrefix="1" applyFont="1" applyFill="1" applyBorder="1" applyAlignment="1">
      <alignment horizontal="center" vertical="center"/>
    </xf>
    <xf numFmtId="0" fontId="0" fillId="32" borderId="173" xfId="0" applyFill="1" applyBorder="1"/>
    <xf numFmtId="0" fontId="48" fillId="32" borderId="173" xfId="0" applyFont="1" applyFill="1" applyBorder="1" applyAlignment="1">
      <alignment horizontal="center" vertical="center"/>
    </xf>
    <xf numFmtId="0" fontId="46" fillId="32" borderId="173" xfId="0" applyFont="1" applyFill="1" applyBorder="1" applyAlignment="1">
      <alignment horizontal="left" vertical="center"/>
    </xf>
    <xf numFmtId="0" fontId="46" fillId="32" borderId="173" xfId="0" applyFont="1" applyFill="1" applyBorder="1" applyAlignment="1">
      <alignment horizontal="center" vertical="center"/>
    </xf>
    <xf numFmtId="0" fontId="46" fillId="32" borderId="173" xfId="0" quotePrefix="1" applyFont="1" applyFill="1" applyBorder="1" applyAlignment="1">
      <alignment horizontal="center" vertical="center"/>
    </xf>
    <xf numFmtId="0" fontId="44" fillId="0" borderId="0" xfId="3" applyFont="1" applyAlignment="1">
      <alignment horizontal="left" vertical="center" wrapText="1"/>
    </xf>
    <xf numFmtId="0" fontId="44" fillId="0" borderId="175" xfId="3" applyFont="1" applyBorder="1" applyAlignment="1">
      <alignment horizontal="left" vertical="center" wrapText="1"/>
    </xf>
    <xf numFmtId="2" fontId="34" fillId="0" borderId="173" xfId="0" applyNumberFormat="1" applyFont="1" applyBorder="1" applyAlignment="1">
      <alignment horizontal="left" vertical="center"/>
    </xf>
    <xf numFmtId="2" fontId="34" fillId="0" borderId="173" xfId="0" applyNumberFormat="1" applyFont="1" applyBorder="1" applyAlignment="1">
      <alignment horizontal="center" vertical="center"/>
    </xf>
    <xf numFmtId="2" fontId="34" fillId="0" borderId="102" xfId="0" applyNumberFormat="1" applyFont="1" applyBorder="1" applyAlignment="1">
      <alignment horizontal="center" vertical="center"/>
    </xf>
    <xf numFmtId="0" fontId="34" fillId="0" borderId="173" xfId="0" applyFont="1" applyBorder="1" applyAlignment="1">
      <alignment horizontal="center" vertical="center"/>
    </xf>
    <xf numFmtId="0" fontId="34" fillId="0" borderId="102" xfId="0" applyFont="1" applyBorder="1" applyAlignment="1">
      <alignment horizontal="center" vertical="center"/>
    </xf>
    <xf numFmtId="0" fontId="34" fillId="0" borderId="173" xfId="0" applyFont="1" applyBorder="1" applyAlignment="1">
      <alignment horizontal="left" vertical="center"/>
    </xf>
    <xf numFmtId="0" fontId="34" fillId="0" borderId="174" xfId="0" applyFont="1" applyBorder="1" applyAlignment="1">
      <alignment horizontal="left" vertical="center"/>
    </xf>
    <xf numFmtId="167" fontId="34" fillId="0" borderId="0" xfId="0" applyNumberFormat="1" applyFont="1" applyAlignment="1">
      <alignment horizontal="left"/>
    </xf>
    <xf numFmtId="0" fontId="53" fillId="8" borderId="236" xfId="0" applyFont="1" applyFill="1" applyBorder="1" applyAlignment="1">
      <alignment horizontal="left" vertical="center"/>
    </xf>
    <xf numFmtId="0" fontId="53" fillId="8" borderId="184" xfId="0" applyFont="1" applyFill="1" applyBorder="1" applyAlignment="1">
      <alignment horizontal="left" vertical="center" wrapText="1"/>
    </xf>
    <xf numFmtId="0" fontId="49" fillId="8" borderId="184" xfId="0" applyFont="1" applyFill="1" applyBorder="1" applyAlignment="1">
      <alignment horizontal="left" vertical="center"/>
    </xf>
    <xf numFmtId="0" fontId="53" fillId="8" borderId="184" xfId="0" applyFont="1" applyFill="1" applyBorder="1" applyAlignment="1">
      <alignment horizontal="left" vertical="center"/>
    </xf>
    <xf numFmtId="0" fontId="53" fillId="8" borderId="185" xfId="0" applyFont="1" applyFill="1" applyBorder="1" applyAlignment="1">
      <alignment horizontal="left" vertical="center"/>
    </xf>
    <xf numFmtId="0" fontId="49" fillId="20" borderId="38" xfId="0" quotePrefix="1" applyFont="1" applyFill="1" applyBorder="1" applyAlignment="1">
      <alignment horizontal="left" vertical="center" wrapText="1"/>
    </xf>
    <xf numFmtId="0" fontId="46" fillId="33" borderId="173" xfId="0" quotePrefix="1" applyFont="1" applyFill="1" applyBorder="1" applyAlignment="1">
      <alignment horizontal="center" vertical="center"/>
    </xf>
    <xf numFmtId="0" fontId="46" fillId="33" borderId="173" xfId="0" applyFont="1" applyFill="1" applyBorder="1" applyAlignment="1">
      <alignment horizontal="center" vertical="center"/>
    </xf>
    <xf numFmtId="0" fontId="46" fillId="22" borderId="173" xfId="0" quotePrefix="1" applyFont="1" applyFill="1" applyBorder="1" applyAlignment="1">
      <alignment horizontal="left" vertical="center"/>
    </xf>
    <xf numFmtId="0" fontId="46" fillId="27" borderId="157" xfId="0" quotePrefix="1" applyFont="1" applyFill="1" applyBorder="1" applyAlignment="1">
      <alignment horizontal="left" vertical="center"/>
    </xf>
    <xf numFmtId="0" fontId="46" fillId="32" borderId="173" xfId="0" quotePrefix="1" applyFont="1" applyFill="1" applyBorder="1" applyAlignment="1">
      <alignment horizontal="left" vertical="center"/>
    </xf>
    <xf numFmtId="0" fontId="46" fillId="34" borderId="161" xfId="0" quotePrefix="1" applyFont="1" applyFill="1" applyBorder="1" applyAlignment="1">
      <alignment horizontal="left" vertical="center"/>
    </xf>
    <xf numFmtId="0" fontId="46" fillId="34" borderId="173" xfId="0" quotePrefix="1" applyFont="1" applyFill="1" applyBorder="1" applyAlignment="1">
      <alignment horizontal="left" vertical="center"/>
    </xf>
    <xf numFmtId="0" fontId="46" fillId="35" borderId="173" xfId="0" quotePrefix="1" applyFont="1" applyFill="1" applyBorder="1" applyAlignment="1">
      <alignment horizontal="left" vertical="center"/>
    </xf>
    <xf numFmtId="0" fontId="46" fillId="36" borderId="157" xfId="0" quotePrefix="1" applyFont="1" applyFill="1" applyBorder="1" applyAlignment="1">
      <alignment horizontal="left" vertical="center"/>
    </xf>
    <xf numFmtId="0" fontId="46" fillId="37" borderId="157" xfId="0" quotePrefix="1" applyFont="1" applyFill="1" applyBorder="1" applyAlignment="1">
      <alignment horizontal="left" vertical="center"/>
    </xf>
    <xf numFmtId="0" fontId="46" fillId="38" borderId="173" xfId="0" quotePrefix="1" applyFont="1" applyFill="1" applyBorder="1" applyAlignment="1">
      <alignment horizontal="left" vertical="center"/>
    </xf>
    <xf numFmtId="0" fontId="46" fillId="39" borderId="173" xfId="0" quotePrefix="1" applyFont="1" applyFill="1" applyBorder="1" applyAlignment="1">
      <alignment horizontal="left" vertical="center"/>
    </xf>
    <xf numFmtId="0" fontId="46" fillId="40" borderId="173" xfId="0" quotePrefix="1" applyFont="1" applyFill="1" applyBorder="1" applyAlignment="1">
      <alignment horizontal="left" vertical="center"/>
    </xf>
    <xf numFmtId="0" fontId="46" fillId="41" borderId="173" xfId="0" quotePrefix="1" applyFont="1" applyFill="1" applyBorder="1" applyAlignment="1">
      <alignment horizontal="left" vertical="center"/>
    </xf>
    <xf numFmtId="0" fontId="46" fillId="42" borderId="173" xfId="0" quotePrefix="1" applyFont="1" applyFill="1" applyBorder="1" applyAlignment="1">
      <alignment horizontal="left" vertical="center"/>
    </xf>
    <xf numFmtId="0" fontId="46" fillId="43" borderId="173" xfId="0" quotePrefix="1" applyFont="1" applyFill="1" applyBorder="1" applyAlignment="1">
      <alignment horizontal="left" vertical="center"/>
    </xf>
    <xf numFmtId="0" fontId="46" fillId="41" borderId="157" xfId="0" quotePrefix="1" applyFont="1" applyFill="1" applyBorder="1" applyAlignment="1">
      <alignment horizontal="left" vertical="center"/>
    </xf>
    <xf numFmtId="0" fontId="46" fillId="44" borderId="173" xfId="0" quotePrefix="1" applyFont="1" applyFill="1" applyBorder="1" applyAlignment="1">
      <alignment horizontal="left" vertical="center"/>
    </xf>
    <xf numFmtId="0" fontId="46" fillId="44" borderId="157" xfId="0" quotePrefix="1" applyFont="1" applyFill="1" applyBorder="1" applyAlignment="1">
      <alignment horizontal="left" vertical="center"/>
    </xf>
    <xf numFmtId="0" fontId="46" fillId="45" borderId="173" xfId="0" quotePrefix="1" applyFont="1" applyFill="1" applyBorder="1" applyAlignment="1">
      <alignment horizontal="left" vertical="center"/>
    </xf>
    <xf numFmtId="0" fontId="46" fillId="45" borderId="129" xfId="0" quotePrefix="1" applyFont="1" applyFill="1" applyBorder="1" applyAlignment="1">
      <alignment horizontal="left" vertical="center"/>
    </xf>
    <xf numFmtId="0" fontId="46" fillId="40" borderId="161" xfId="0" quotePrefix="1" applyFont="1" applyFill="1" applyBorder="1" applyAlignment="1">
      <alignment horizontal="left" vertical="center"/>
    </xf>
    <xf numFmtId="0" fontId="46" fillId="40" borderId="142" xfId="0" quotePrefix="1" applyFont="1" applyFill="1" applyBorder="1" applyAlignment="1">
      <alignment horizontal="left" vertical="center"/>
    </xf>
    <xf numFmtId="0" fontId="46" fillId="46" borderId="173" xfId="0" quotePrefix="1" applyFont="1" applyFill="1" applyBorder="1" applyAlignment="1">
      <alignment horizontal="left" vertical="center"/>
    </xf>
    <xf numFmtId="0" fontId="46" fillId="46" borderId="212" xfId="0" quotePrefix="1" applyFont="1" applyFill="1" applyBorder="1" applyAlignment="1">
      <alignment horizontal="left" vertical="center"/>
    </xf>
    <xf numFmtId="0" fontId="46" fillId="47" borderId="173" xfId="0" quotePrefix="1" applyFont="1" applyFill="1" applyBorder="1" applyAlignment="1">
      <alignment horizontal="left" vertical="center"/>
    </xf>
    <xf numFmtId="0" fontId="46" fillId="48" borderId="173" xfId="0" quotePrefix="1" applyFont="1" applyFill="1" applyBorder="1" applyAlignment="1">
      <alignment horizontal="left" vertical="center"/>
    </xf>
    <xf numFmtId="0" fontId="46" fillId="49" borderId="173" xfId="0" quotePrefix="1" applyFont="1" applyFill="1" applyBorder="1" applyAlignment="1">
      <alignment horizontal="left" vertical="center"/>
    </xf>
    <xf numFmtId="0" fontId="46" fillId="50" borderId="173" xfId="0" quotePrefix="1" applyFont="1" applyFill="1" applyBorder="1" applyAlignment="1">
      <alignment horizontal="left" vertical="center"/>
    </xf>
    <xf numFmtId="0" fontId="48" fillId="5" borderId="0" xfId="0" applyFont="1" applyFill="1" applyAlignment="1">
      <alignment horizontal="center" vertical="center"/>
    </xf>
    <xf numFmtId="0" fontId="0" fillId="51" borderId="173" xfId="0" applyFill="1" applyBorder="1" applyAlignment="1">
      <alignment horizontal="left" vertical="center"/>
    </xf>
    <xf numFmtId="0" fontId="46" fillId="51" borderId="173" xfId="0" applyFont="1" applyFill="1" applyBorder="1"/>
    <xf numFmtId="0" fontId="0" fillId="51" borderId="173" xfId="0" applyFill="1" applyBorder="1"/>
    <xf numFmtId="0" fontId="0" fillId="32" borderId="0" xfId="0" applyFill="1"/>
    <xf numFmtId="0" fontId="46" fillId="32" borderId="0" xfId="0" applyFont="1" applyFill="1" applyAlignment="1">
      <alignment horizontal="left" vertical="center"/>
    </xf>
    <xf numFmtId="0" fontId="46" fillId="32" borderId="0" xfId="0" applyFont="1" applyFill="1" applyAlignment="1">
      <alignment horizontal="center" vertical="center"/>
    </xf>
    <xf numFmtId="0" fontId="49" fillId="21" borderId="184" xfId="0" quotePrefix="1" applyFont="1" applyFill="1" applyBorder="1" applyAlignment="1">
      <alignment horizontal="center" vertical="center" wrapText="1"/>
    </xf>
    <xf numFmtId="0" fontId="49" fillId="0" borderId="173" xfId="0" applyFont="1" applyBorder="1" applyAlignment="1">
      <alignment horizontal="center" vertical="center" wrapText="1"/>
    </xf>
    <xf numFmtId="0" fontId="49" fillId="7" borderId="173" xfId="0" quotePrefix="1" applyFont="1" applyFill="1" applyBorder="1" applyAlignment="1">
      <alignment horizontal="left" vertical="center" wrapText="1"/>
    </xf>
    <xf numFmtId="0" fontId="49" fillId="0" borderId="157" xfId="0" applyFont="1" applyBorder="1" applyAlignment="1">
      <alignment horizontal="left" vertical="center"/>
    </xf>
    <xf numFmtId="0" fontId="49" fillId="0" borderId="144" xfId="0" applyFont="1" applyBorder="1" applyAlignment="1">
      <alignment horizontal="left" vertical="center"/>
    </xf>
    <xf numFmtId="0" fontId="49" fillId="0" borderId="142" xfId="0" applyFont="1" applyBorder="1" applyAlignment="1">
      <alignment horizontal="left" vertical="center"/>
    </xf>
    <xf numFmtId="0" fontId="49" fillId="0" borderId="146" xfId="0" applyFont="1" applyBorder="1" applyAlignment="1">
      <alignment horizontal="left" vertical="center"/>
    </xf>
    <xf numFmtId="0" fontId="57" fillId="7" borderId="155" xfId="0" applyFont="1" applyFill="1" applyBorder="1" applyAlignment="1">
      <alignment horizontal="left" vertical="center" wrapText="1"/>
    </xf>
    <xf numFmtId="0" fontId="57" fillId="7" borderId="156" xfId="0" applyFont="1" applyFill="1" applyBorder="1" applyAlignment="1">
      <alignment horizontal="left" vertical="center" wrapText="1"/>
    </xf>
    <xf numFmtId="0" fontId="49" fillId="0" borderId="14" xfId="0" applyFont="1" applyBorder="1" applyAlignment="1">
      <alignment horizontal="left" vertical="center"/>
    </xf>
    <xf numFmtId="0" fontId="49" fillId="0" borderId="39" xfId="0" applyFont="1" applyBorder="1" applyAlignment="1">
      <alignment horizontal="left" vertical="center"/>
    </xf>
    <xf numFmtId="0" fontId="42" fillId="3" borderId="19" xfId="0" applyFont="1" applyFill="1" applyBorder="1" applyAlignment="1">
      <alignment horizontal="center" vertical="top" wrapText="1"/>
    </xf>
    <xf numFmtId="0" fontId="42" fillId="3" borderId="0" xfId="0" applyFont="1" applyFill="1" applyAlignment="1">
      <alignment horizontal="center" vertical="top" wrapText="1"/>
    </xf>
    <xf numFmtId="0" fontId="42" fillId="3" borderId="20" xfId="0" applyFont="1" applyFill="1" applyBorder="1" applyAlignment="1">
      <alignment horizontal="center" vertical="top" wrapText="1"/>
    </xf>
    <xf numFmtId="0" fontId="42" fillId="3" borderId="21" xfId="0" applyFont="1" applyFill="1" applyBorder="1" applyAlignment="1">
      <alignment wrapText="1"/>
    </xf>
    <xf numFmtId="0" fontId="42" fillId="3" borderId="22" xfId="0" applyFont="1" applyFill="1" applyBorder="1" applyAlignment="1">
      <alignment wrapText="1"/>
    </xf>
    <xf numFmtId="0" fontId="42" fillId="3" borderId="23" xfId="0" applyFont="1" applyFill="1" applyBorder="1" applyAlignment="1">
      <alignment wrapText="1"/>
    </xf>
    <xf numFmtId="0" fontId="0" fillId="2" borderId="0" xfId="0" applyFill="1" applyAlignment="1">
      <alignment wrapText="1"/>
    </xf>
  </cellXfs>
  <cellStyles count="302">
    <cellStyle name="Hyperlink" xfId="4" builtinId="8"/>
    <cellStyle name="Normal" xfId="0" builtinId="0"/>
    <cellStyle name="Normal 10" xfId="16" xr:uid="{00000000-0005-0000-0000-000002000000}"/>
    <cellStyle name="Normal 10 2" xfId="28" xr:uid="{00000000-0005-0000-0000-000003000000}"/>
    <cellStyle name="Normal 10 2 2" xfId="102" xr:uid="{00000000-0005-0000-0000-000004000000}"/>
    <cellStyle name="Normal 10 2 2 2" xfId="166" xr:uid="{00000000-0005-0000-0000-000005000000}"/>
    <cellStyle name="Normal 10 2 3" xfId="255" xr:uid="{00000000-0005-0000-0000-000006000000}"/>
    <cellStyle name="Normal 10 2 4" xfId="135" xr:uid="{00000000-0005-0000-0000-000007000000}"/>
    <cellStyle name="Normal 10 2 5" xfId="293" xr:uid="{00000000-0005-0000-0000-000008000000}"/>
    <cellStyle name="Normal 10 2 6" xfId="72" xr:uid="{00000000-0005-0000-0000-000009000000}"/>
    <cellStyle name="Normal 10 3" xfId="30" xr:uid="{00000000-0005-0000-0000-00000A000000}"/>
    <cellStyle name="Normal 10 3 2" xfId="104" xr:uid="{00000000-0005-0000-0000-00000B000000}"/>
    <cellStyle name="Normal 10 3 2 2" xfId="168" xr:uid="{00000000-0005-0000-0000-00000C000000}"/>
    <cellStyle name="Normal 10 3 3" xfId="257" xr:uid="{00000000-0005-0000-0000-00000D000000}"/>
    <cellStyle name="Normal 10 3 4" xfId="137" xr:uid="{00000000-0005-0000-0000-00000E000000}"/>
    <cellStyle name="Normal 10 3 5" xfId="295" xr:uid="{00000000-0005-0000-0000-00000F000000}"/>
    <cellStyle name="Normal 10 3 6" xfId="74" xr:uid="{00000000-0005-0000-0000-000010000000}"/>
    <cellStyle name="Normal 10 4" xfId="91" xr:uid="{00000000-0005-0000-0000-000011000000}"/>
    <cellStyle name="Normal 10 4 2" xfId="155" xr:uid="{00000000-0005-0000-0000-000012000000}"/>
    <cellStyle name="Normal 10 5" xfId="244" xr:uid="{00000000-0005-0000-0000-000013000000}"/>
    <cellStyle name="Normal 10 6" xfId="124" xr:uid="{00000000-0005-0000-0000-000014000000}"/>
    <cellStyle name="Normal 10 7" xfId="282" xr:uid="{00000000-0005-0000-0000-000015000000}"/>
    <cellStyle name="Normal 10 8" xfId="61" xr:uid="{00000000-0005-0000-0000-000016000000}"/>
    <cellStyle name="Normal 11" xfId="19" xr:uid="{00000000-0005-0000-0000-000017000000}"/>
    <cellStyle name="Normal 11 2" xfId="24" xr:uid="{00000000-0005-0000-0000-000018000000}"/>
    <cellStyle name="Normal 11 2 2" xfId="31" xr:uid="{00000000-0005-0000-0000-000019000000}"/>
    <cellStyle name="Normal 11 2 2 2" xfId="105" xr:uid="{00000000-0005-0000-0000-00001A000000}"/>
    <cellStyle name="Normal 11 2 2 2 2" xfId="169" xr:uid="{00000000-0005-0000-0000-00001B000000}"/>
    <cellStyle name="Normal 11 2 2 3" xfId="258" xr:uid="{00000000-0005-0000-0000-00001C000000}"/>
    <cellStyle name="Normal 11 2 2 4" xfId="138" xr:uid="{00000000-0005-0000-0000-00001D000000}"/>
    <cellStyle name="Normal 11 2 2 5" xfId="296" xr:uid="{00000000-0005-0000-0000-00001E000000}"/>
    <cellStyle name="Normal 11 2 2 6" xfId="75" xr:uid="{00000000-0005-0000-0000-00001F000000}"/>
    <cellStyle name="Normal 11 2 3" xfId="44" xr:uid="{00000000-0005-0000-0000-000020000000}"/>
    <cellStyle name="Normal 11 2 3 2" xfId="162" xr:uid="{00000000-0005-0000-0000-000021000000}"/>
    <cellStyle name="Normal 11 2 3 3" xfId="108" xr:uid="{00000000-0005-0000-0000-000022000000}"/>
    <cellStyle name="Normal 11 2 4" xfId="98" xr:uid="{00000000-0005-0000-0000-000023000000}"/>
    <cellStyle name="Normal 11 2 4 2" xfId="251" xr:uid="{00000000-0005-0000-0000-000024000000}"/>
    <cellStyle name="Normal 11 2 5" xfId="131" xr:uid="{00000000-0005-0000-0000-000025000000}"/>
    <cellStyle name="Normal 11 2 6" xfId="289" xr:uid="{00000000-0005-0000-0000-000026000000}"/>
    <cellStyle name="Normal 11 2 7" xfId="48" xr:uid="{00000000-0005-0000-0000-000027000000}"/>
    <cellStyle name="Normal 11 2 7 2" xfId="299" xr:uid="{00000000-0005-0000-0000-000028000000}"/>
    <cellStyle name="Normal 11 2 8" xfId="68" xr:uid="{00000000-0005-0000-0000-000029000000}"/>
    <cellStyle name="Normal 11 3" xfId="94" xr:uid="{00000000-0005-0000-0000-00002A000000}"/>
    <cellStyle name="Normal 11 3 2" xfId="158" xr:uid="{00000000-0005-0000-0000-00002B000000}"/>
    <cellStyle name="Normal 11 4" xfId="247" xr:uid="{00000000-0005-0000-0000-00002C000000}"/>
    <cellStyle name="Normal 11 5" xfId="127" xr:uid="{00000000-0005-0000-0000-00002D000000}"/>
    <cellStyle name="Normal 11 6" xfId="285" xr:uid="{00000000-0005-0000-0000-00002E000000}"/>
    <cellStyle name="Normal 11 7" xfId="64" xr:uid="{00000000-0005-0000-0000-00002F000000}"/>
    <cellStyle name="Normal 12" xfId="23" xr:uid="{00000000-0005-0000-0000-000030000000}"/>
    <cellStyle name="Normal 12 2" xfId="97" xr:uid="{00000000-0005-0000-0000-000031000000}"/>
    <cellStyle name="Normal 12 2 2" xfId="161" xr:uid="{00000000-0005-0000-0000-000032000000}"/>
    <cellStyle name="Normal 12 3" xfId="250" xr:uid="{00000000-0005-0000-0000-000033000000}"/>
    <cellStyle name="Normal 12 4" xfId="130" xr:uid="{00000000-0005-0000-0000-000034000000}"/>
    <cellStyle name="Normal 12 5" xfId="288" xr:uid="{00000000-0005-0000-0000-000035000000}"/>
    <cellStyle name="Normal 12 6" xfId="67" xr:uid="{00000000-0005-0000-0000-000036000000}"/>
    <cellStyle name="Normal 13" xfId="27" xr:uid="{00000000-0005-0000-0000-000037000000}"/>
    <cellStyle name="Normal 13 2" xfId="101" xr:uid="{00000000-0005-0000-0000-000038000000}"/>
    <cellStyle name="Normal 13 2 2" xfId="165" xr:uid="{00000000-0005-0000-0000-000039000000}"/>
    <cellStyle name="Normal 13 3" xfId="254" xr:uid="{00000000-0005-0000-0000-00003A000000}"/>
    <cellStyle name="Normal 13 4" xfId="134" xr:uid="{00000000-0005-0000-0000-00003B000000}"/>
    <cellStyle name="Normal 13 5" xfId="292" xr:uid="{00000000-0005-0000-0000-00003C000000}"/>
    <cellStyle name="Normal 13 6" xfId="71" xr:uid="{00000000-0005-0000-0000-00003D000000}"/>
    <cellStyle name="Normal 14" xfId="29" xr:uid="{00000000-0005-0000-0000-00003E000000}"/>
    <cellStyle name="Normal 14 2" xfId="103" xr:uid="{00000000-0005-0000-0000-00003F000000}"/>
    <cellStyle name="Normal 14 2 2" xfId="167" xr:uid="{00000000-0005-0000-0000-000040000000}"/>
    <cellStyle name="Normal 14 3" xfId="256" xr:uid="{00000000-0005-0000-0000-000041000000}"/>
    <cellStyle name="Normal 14 4" xfId="136" xr:uid="{00000000-0005-0000-0000-000042000000}"/>
    <cellStyle name="Normal 14 5" xfId="294" xr:uid="{00000000-0005-0000-0000-000043000000}"/>
    <cellStyle name="Normal 14 6" xfId="73" xr:uid="{00000000-0005-0000-0000-000044000000}"/>
    <cellStyle name="Normal 2" xfId="1" xr:uid="{00000000-0005-0000-0000-000045000000}"/>
    <cellStyle name="Normál 2" xfId="11" xr:uid="{00000000-0005-0000-0000-000046000000}"/>
    <cellStyle name="Normal 2 10" xfId="203" xr:uid="{00000000-0005-0000-0000-000047000000}"/>
    <cellStyle name="Normál 2 10" xfId="194" xr:uid="{00000000-0005-0000-0000-000048000000}"/>
    <cellStyle name="Normal 2 11" xfId="204" xr:uid="{00000000-0005-0000-0000-000049000000}"/>
    <cellStyle name="Normál 2 11" xfId="205" xr:uid="{00000000-0005-0000-0000-00004A000000}"/>
    <cellStyle name="Normal 2 12" xfId="176" xr:uid="{00000000-0005-0000-0000-00004B000000}"/>
    <cellStyle name="Normál 2 12" xfId="192" xr:uid="{00000000-0005-0000-0000-00004C000000}"/>
    <cellStyle name="Normal 2 13" xfId="206" xr:uid="{00000000-0005-0000-0000-00004D000000}"/>
    <cellStyle name="Normál 2 13" xfId="197" xr:uid="{00000000-0005-0000-0000-00004E000000}"/>
    <cellStyle name="Normal 2 14" xfId="208" xr:uid="{00000000-0005-0000-0000-00004F000000}"/>
    <cellStyle name="Normál 2 14" xfId="202" xr:uid="{00000000-0005-0000-0000-000050000000}"/>
    <cellStyle name="Normal 2 15" xfId="209" xr:uid="{00000000-0005-0000-0000-000051000000}"/>
    <cellStyle name="Normál 2 15" xfId="198" xr:uid="{00000000-0005-0000-0000-000052000000}"/>
    <cellStyle name="Normal 2 16" xfId="190" xr:uid="{00000000-0005-0000-0000-000053000000}"/>
    <cellStyle name="Normál 2 16" xfId="214" xr:uid="{00000000-0005-0000-0000-000054000000}"/>
    <cellStyle name="Normal 2 17" xfId="210" xr:uid="{00000000-0005-0000-0000-000055000000}"/>
    <cellStyle name="Normál 2 17" xfId="185" xr:uid="{00000000-0005-0000-0000-000056000000}"/>
    <cellStyle name="Normal 2 18" xfId="216" xr:uid="{00000000-0005-0000-0000-000057000000}"/>
    <cellStyle name="Normál 2 18" xfId="196" xr:uid="{00000000-0005-0000-0000-000058000000}"/>
    <cellStyle name="Normal 2 19" xfId="217" xr:uid="{00000000-0005-0000-0000-000059000000}"/>
    <cellStyle name="Normál 2 19" xfId="195" xr:uid="{00000000-0005-0000-0000-00005A000000}"/>
    <cellStyle name="Normal 2 2" xfId="6" xr:uid="{00000000-0005-0000-0000-00005B000000}"/>
    <cellStyle name="Normál 2 2" xfId="86" xr:uid="{00000000-0005-0000-0000-00005C000000}"/>
    <cellStyle name="Normál 2 2 2" xfId="150" xr:uid="{00000000-0005-0000-0000-00005D000000}"/>
    <cellStyle name="Normal 2 20" xfId="218" xr:uid="{00000000-0005-0000-0000-00005E000000}"/>
    <cellStyle name="Normál 2 20" xfId="213" xr:uid="{00000000-0005-0000-0000-00005F000000}"/>
    <cellStyle name="Normal 2 21" xfId="186" xr:uid="{00000000-0005-0000-0000-000060000000}"/>
    <cellStyle name="Normál 2 21" xfId="219" xr:uid="{00000000-0005-0000-0000-000061000000}"/>
    <cellStyle name="Normal 2 22" xfId="193" xr:uid="{00000000-0005-0000-0000-000062000000}"/>
    <cellStyle name="Normál 2 22" xfId="180" xr:uid="{00000000-0005-0000-0000-000063000000}"/>
    <cellStyle name="Normal 2 23" xfId="220" xr:uid="{00000000-0005-0000-0000-000064000000}"/>
    <cellStyle name="Normál 2 23" xfId="207" xr:uid="{00000000-0005-0000-0000-000065000000}"/>
    <cellStyle name="Normal 2 24" xfId="221" xr:uid="{00000000-0005-0000-0000-000066000000}"/>
    <cellStyle name="Normál 2 24" xfId="142" xr:uid="{00000000-0005-0000-0000-000067000000}"/>
    <cellStyle name="Normal 2 25" xfId="222" xr:uid="{00000000-0005-0000-0000-000068000000}"/>
    <cellStyle name="Normál 2 25" xfId="212" xr:uid="{00000000-0005-0000-0000-000069000000}"/>
    <cellStyle name="Normal 2 26" xfId="223" xr:uid="{00000000-0005-0000-0000-00006A000000}"/>
    <cellStyle name="Normál 2 26" xfId="211" xr:uid="{00000000-0005-0000-0000-00006B000000}"/>
    <cellStyle name="Normal 2 27" xfId="224" xr:uid="{00000000-0005-0000-0000-00006C000000}"/>
    <cellStyle name="Normál 2 27" xfId="215" xr:uid="{00000000-0005-0000-0000-00006D000000}"/>
    <cellStyle name="Normal 2 28" xfId="225" xr:uid="{00000000-0005-0000-0000-00006E000000}"/>
    <cellStyle name="Normál 2 28" xfId="178" xr:uid="{00000000-0005-0000-0000-00006F000000}"/>
    <cellStyle name="Normal 2 29" xfId="226" xr:uid="{00000000-0005-0000-0000-000070000000}"/>
    <cellStyle name="Normál 2 29" xfId="173" xr:uid="{00000000-0005-0000-0000-000071000000}"/>
    <cellStyle name="Normal 2 3" xfId="22" xr:uid="{00000000-0005-0000-0000-000072000000}"/>
    <cellStyle name="Normál 2 3" xfId="111" xr:uid="{00000000-0005-0000-0000-000073000000}"/>
    <cellStyle name="Normál 2 3 2" xfId="177" xr:uid="{00000000-0005-0000-0000-000074000000}"/>
    <cellStyle name="Normal 2 30" xfId="228" xr:uid="{00000000-0005-0000-0000-000075000000}"/>
    <cellStyle name="Normál 2 30" xfId="189" xr:uid="{00000000-0005-0000-0000-000076000000}"/>
    <cellStyle name="Normal 2 31" xfId="229" xr:uid="{00000000-0005-0000-0000-000077000000}"/>
    <cellStyle name="Normál 2 31" xfId="201" xr:uid="{00000000-0005-0000-0000-000078000000}"/>
    <cellStyle name="Normal 2 32" xfId="230" xr:uid="{00000000-0005-0000-0000-000079000000}"/>
    <cellStyle name="Normál 2 32" xfId="227" xr:uid="{00000000-0005-0000-0000-00007A000000}"/>
    <cellStyle name="Normal 2 33" xfId="231" xr:uid="{00000000-0005-0000-0000-00007B000000}"/>
    <cellStyle name="Normál 2 33" xfId="184" xr:uid="{00000000-0005-0000-0000-00007C000000}"/>
    <cellStyle name="Normal 2 34" xfId="187" xr:uid="{00000000-0005-0000-0000-00007D000000}"/>
    <cellStyle name="Normál 2 34" xfId="239" xr:uid="{00000000-0005-0000-0000-00007E000000}"/>
    <cellStyle name="Normal 2 35" xfId="174" xr:uid="{00000000-0005-0000-0000-00007F000000}"/>
    <cellStyle name="Normál 2 35" xfId="119" xr:uid="{00000000-0005-0000-0000-000080000000}"/>
    <cellStyle name="Normal 2 36" xfId="232" xr:uid="{00000000-0005-0000-0000-000081000000}"/>
    <cellStyle name="Normál 2 36" xfId="277" xr:uid="{00000000-0005-0000-0000-000082000000}"/>
    <cellStyle name="Normal 2 37" xfId="112" xr:uid="{00000000-0005-0000-0000-000083000000}"/>
    <cellStyle name="Normál 2 37" xfId="56" xr:uid="{00000000-0005-0000-0000-000084000000}"/>
    <cellStyle name="Normal 2 38" xfId="270" xr:uid="{00000000-0005-0000-0000-000085000000}"/>
    <cellStyle name="Normal 2 39" xfId="49" xr:uid="{00000000-0005-0000-0000-000086000000}"/>
    <cellStyle name="Normal 2 4" xfId="78" xr:uid="{00000000-0005-0000-0000-000087000000}"/>
    <cellStyle name="Normál 2 4" xfId="181" xr:uid="{00000000-0005-0000-0000-000088000000}"/>
    <cellStyle name="Normal 2 4 2" xfId="141" xr:uid="{00000000-0005-0000-0000-000089000000}"/>
    <cellStyle name="Normal 2 5" xfId="79" xr:uid="{00000000-0005-0000-0000-00008A000000}"/>
    <cellStyle name="Normál 2 5" xfId="182" xr:uid="{00000000-0005-0000-0000-00008B000000}"/>
    <cellStyle name="Normal 2 5 2" xfId="172" xr:uid="{00000000-0005-0000-0000-00008C000000}"/>
    <cellStyle name="Normal 2 6" xfId="175" xr:uid="{00000000-0005-0000-0000-00008D000000}"/>
    <cellStyle name="Normál 2 6" xfId="191" xr:uid="{00000000-0005-0000-0000-00008E000000}"/>
    <cellStyle name="Normal 2 7" xfId="183" xr:uid="{00000000-0005-0000-0000-00008F000000}"/>
    <cellStyle name="Normál 2 7" xfId="199" xr:uid="{00000000-0005-0000-0000-000090000000}"/>
    <cellStyle name="Normal 2 8" xfId="179" xr:uid="{00000000-0005-0000-0000-000091000000}"/>
    <cellStyle name="Normál 2 8" xfId="188" xr:uid="{00000000-0005-0000-0000-000092000000}"/>
    <cellStyle name="Normal 2 9" xfId="200" xr:uid="{00000000-0005-0000-0000-000093000000}"/>
    <cellStyle name="Normál 2 9" xfId="145" xr:uid="{00000000-0005-0000-0000-000094000000}"/>
    <cellStyle name="Normál 24" xfId="40" xr:uid="{00000000-0005-0000-0000-000095000000}"/>
    <cellStyle name="Normál 24 2" xfId="262" xr:uid="{00000000-0005-0000-0000-000096000000}"/>
    <cellStyle name="Normál 25" xfId="41" xr:uid="{00000000-0005-0000-0000-000097000000}"/>
    <cellStyle name="Normál 25 2" xfId="263" xr:uid="{00000000-0005-0000-0000-000098000000}"/>
    <cellStyle name="Normál 26" xfId="39" xr:uid="{00000000-0005-0000-0000-000099000000}"/>
    <cellStyle name="Normál 26 2" xfId="261" xr:uid="{00000000-0005-0000-0000-00009A000000}"/>
    <cellStyle name="Normál 27" xfId="43" xr:uid="{00000000-0005-0000-0000-00009B000000}"/>
    <cellStyle name="Normál 27 2" xfId="269" xr:uid="{00000000-0005-0000-0000-00009C000000}"/>
    <cellStyle name="Normál 28" xfId="42" xr:uid="{00000000-0005-0000-0000-00009D000000}"/>
    <cellStyle name="Normál 28 2" xfId="264" xr:uid="{00000000-0005-0000-0000-00009E000000}"/>
    <cellStyle name="Normal 3" xfId="3" xr:uid="{00000000-0005-0000-0000-00009F000000}"/>
    <cellStyle name="Normál 3" xfId="47" xr:uid="{00000000-0005-0000-0000-0000A0000000}"/>
    <cellStyle name="Normal 3 10" xfId="50" xr:uid="{00000000-0005-0000-0000-0000A1000000}"/>
    <cellStyle name="Normal 3 2" xfId="13" xr:uid="{00000000-0005-0000-0000-0000A2000000}"/>
    <cellStyle name="Normál 3 2" xfId="300" xr:uid="{00000000-0005-0000-0000-0000A3000000}"/>
    <cellStyle name="Normal 3 2 2" xfId="88" xr:uid="{00000000-0005-0000-0000-0000A4000000}"/>
    <cellStyle name="Normal 3 2 2 2" xfId="152" xr:uid="{00000000-0005-0000-0000-0000A5000000}"/>
    <cellStyle name="Normal 3 2 3" xfId="241" xr:uid="{00000000-0005-0000-0000-0000A6000000}"/>
    <cellStyle name="Normal 3 2 4" xfId="121" xr:uid="{00000000-0005-0000-0000-0000A7000000}"/>
    <cellStyle name="Normal 3 2 5" xfId="279" xr:uid="{00000000-0005-0000-0000-0000A8000000}"/>
    <cellStyle name="Normal 3 2 6" xfId="58" xr:uid="{00000000-0005-0000-0000-0000A9000000}"/>
    <cellStyle name="Normal 3 3" xfId="17" xr:uid="{00000000-0005-0000-0000-0000AA000000}"/>
    <cellStyle name="Normal 3 3 2" xfId="92" xr:uid="{00000000-0005-0000-0000-0000AB000000}"/>
    <cellStyle name="Normal 3 3 2 2" xfId="156" xr:uid="{00000000-0005-0000-0000-0000AC000000}"/>
    <cellStyle name="Normal 3 3 3" xfId="245" xr:uid="{00000000-0005-0000-0000-0000AD000000}"/>
    <cellStyle name="Normal 3 3 4" xfId="125" xr:uid="{00000000-0005-0000-0000-0000AE000000}"/>
    <cellStyle name="Normal 3 3 5" xfId="283" xr:uid="{00000000-0005-0000-0000-0000AF000000}"/>
    <cellStyle name="Normal 3 3 6" xfId="62" xr:uid="{00000000-0005-0000-0000-0000B0000000}"/>
    <cellStyle name="Normal 3 4" xfId="20" xr:uid="{00000000-0005-0000-0000-0000B1000000}"/>
    <cellStyle name="Normal 3 4 2" xfId="95" xr:uid="{00000000-0005-0000-0000-0000B2000000}"/>
    <cellStyle name="Normal 3 4 2 2" xfId="159" xr:uid="{00000000-0005-0000-0000-0000B3000000}"/>
    <cellStyle name="Normal 3 4 3" xfId="248" xr:uid="{00000000-0005-0000-0000-0000B4000000}"/>
    <cellStyle name="Normal 3 4 4" xfId="128" xr:uid="{00000000-0005-0000-0000-0000B5000000}"/>
    <cellStyle name="Normal 3 4 5" xfId="286" xr:uid="{00000000-0005-0000-0000-0000B6000000}"/>
    <cellStyle name="Normal 3 4 6" xfId="65" xr:uid="{00000000-0005-0000-0000-0000B7000000}"/>
    <cellStyle name="Normal 3 5" xfId="25" xr:uid="{00000000-0005-0000-0000-0000B8000000}"/>
    <cellStyle name="Normal 3 5 2" xfId="32" xr:uid="{00000000-0005-0000-0000-0000B9000000}"/>
    <cellStyle name="Normal 3 5 2 2" xfId="106" xr:uid="{00000000-0005-0000-0000-0000BA000000}"/>
    <cellStyle name="Normal 3 5 2 2 2" xfId="170" xr:uid="{00000000-0005-0000-0000-0000BB000000}"/>
    <cellStyle name="Normal 3 5 2 3" xfId="259" xr:uid="{00000000-0005-0000-0000-0000BC000000}"/>
    <cellStyle name="Normal 3 5 2 4" xfId="139" xr:uid="{00000000-0005-0000-0000-0000BD000000}"/>
    <cellStyle name="Normal 3 5 2 5" xfId="297" xr:uid="{00000000-0005-0000-0000-0000BE000000}"/>
    <cellStyle name="Normal 3 5 2 6" xfId="76" xr:uid="{00000000-0005-0000-0000-0000BF000000}"/>
    <cellStyle name="Normal 3 5 3" xfId="109" xr:uid="{00000000-0005-0000-0000-0000C0000000}"/>
    <cellStyle name="Normal 3 5 3 2" xfId="163" xr:uid="{00000000-0005-0000-0000-0000C1000000}"/>
    <cellStyle name="Normal 3 5 4" xfId="99" xr:uid="{00000000-0005-0000-0000-0000C2000000}"/>
    <cellStyle name="Normal 3 5 4 2" xfId="252" xr:uid="{00000000-0005-0000-0000-0000C3000000}"/>
    <cellStyle name="Normal 3 5 5" xfId="132" xr:uid="{00000000-0005-0000-0000-0000C4000000}"/>
    <cellStyle name="Normal 3 5 6" xfId="290" xr:uid="{00000000-0005-0000-0000-0000C5000000}"/>
    <cellStyle name="Normal 3 5 7" xfId="69" xr:uid="{00000000-0005-0000-0000-0000C6000000}"/>
    <cellStyle name="Normal 3 6" xfId="80" xr:uid="{00000000-0005-0000-0000-0000C7000000}"/>
    <cellStyle name="Normal 3 6 2" xfId="143" xr:uid="{00000000-0005-0000-0000-0000C8000000}"/>
    <cellStyle name="Normal 3 7" xfId="233" xr:uid="{00000000-0005-0000-0000-0000C9000000}"/>
    <cellStyle name="Normal 3 8" xfId="113" xr:uid="{00000000-0005-0000-0000-0000CA000000}"/>
    <cellStyle name="Normal 3 9" xfId="271" xr:uid="{00000000-0005-0000-0000-0000CB000000}"/>
    <cellStyle name="Normál 35" xfId="35" xr:uid="{00000000-0005-0000-0000-0000CC000000}"/>
    <cellStyle name="Normál 35 2" xfId="265" xr:uid="{00000000-0005-0000-0000-0000CD000000}"/>
    <cellStyle name="Normal 4" xfId="5" xr:uid="{00000000-0005-0000-0000-0000CE000000}"/>
    <cellStyle name="Normal 4 10" xfId="272" xr:uid="{00000000-0005-0000-0000-0000CF000000}"/>
    <cellStyle name="Normal 4 11" xfId="51" xr:uid="{00000000-0005-0000-0000-0000D0000000}"/>
    <cellStyle name="Normal 4 2" xfId="8" xr:uid="{00000000-0005-0000-0000-0000D1000000}"/>
    <cellStyle name="Normal 4 2 2" xfId="83" xr:uid="{00000000-0005-0000-0000-0000D2000000}"/>
    <cellStyle name="Normal 4 2 2 2" xfId="147" xr:uid="{00000000-0005-0000-0000-0000D3000000}"/>
    <cellStyle name="Normal 4 2 3" xfId="236" xr:uid="{00000000-0005-0000-0000-0000D4000000}"/>
    <cellStyle name="Normal 4 2 4" xfId="116" xr:uid="{00000000-0005-0000-0000-0000D5000000}"/>
    <cellStyle name="Normal 4 2 5" xfId="274" xr:uid="{00000000-0005-0000-0000-0000D6000000}"/>
    <cellStyle name="Normal 4 2 6" xfId="53" xr:uid="{00000000-0005-0000-0000-0000D7000000}"/>
    <cellStyle name="Normal 4 3" xfId="14" xr:uid="{00000000-0005-0000-0000-0000D8000000}"/>
    <cellStyle name="Normal 4 3 2" xfId="89" xr:uid="{00000000-0005-0000-0000-0000D9000000}"/>
    <cellStyle name="Normal 4 3 2 2" xfId="153" xr:uid="{00000000-0005-0000-0000-0000DA000000}"/>
    <cellStyle name="Normal 4 3 3" xfId="242" xr:uid="{00000000-0005-0000-0000-0000DB000000}"/>
    <cellStyle name="Normal 4 3 4" xfId="122" xr:uid="{00000000-0005-0000-0000-0000DC000000}"/>
    <cellStyle name="Normal 4 3 5" xfId="280" xr:uid="{00000000-0005-0000-0000-0000DD000000}"/>
    <cellStyle name="Normal 4 3 6" xfId="59" xr:uid="{00000000-0005-0000-0000-0000DE000000}"/>
    <cellStyle name="Normal 4 4" xfId="18" xr:uid="{00000000-0005-0000-0000-0000DF000000}"/>
    <cellStyle name="Normal 4 4 2" xfId="93" xr:uid="{00000000-0005-0000-0000-0000E0000000}"/>
    <cellStyle name="Normal 4 4 2 2" xfId="157" xr:uid="{00000000-0005-0000-0000-0000E1000000}"/>
    <cellStyle name="Normal 4 4 3" xfId="246" xr:uid="{00000000-0005-0000-0000-0000E2000000}"/>
    <cellStyle name="Normal 4 4 4" xfId="126" xr:uid="{00000000-0005-0000-0000-0000E3000000}"/>
    <cellStyle name="Normal 4 4 5" xfId="284" xr:uid="{00000000-0005-0000-0000-0000E4000000}"/>
    <cellStyle name="Normal 4 4 6" xfId="63" xr:uid="{00000000-0005-0000-0000-0000E5000000}"/>
    <cellStyle name="Normal 4 5" xfId="21" xr:uid="{00000000-0005-0000-0000-0000E6000000}"/>
    <cellStyle name="Normal 4 5 2" xfId="96" xr:uid="{00000000-0005-0000-0000-0000E7000000}"/>
    <cellStyle name="Normal 4 5 2 2" xfId="160" xr:uid="{00000000-0005-0000-0000-0000E8000000}"/>
    <cellStyle name="Normal 4 5 3" xfId="249" xr:uid="{00000000-0005-0000-0000-0000E9000000}"/>
    <cellStyle name="Normal 4 5 4" xfId="129" xr:uid="{00000000-0005-0000-0000-0000EA000000}"/>
    <cellStyle name="Normal 4 5 5" xfId="287" xr:uid="{00000000-0005-0000-0000-0000EB000000}"/>
    <cellStyle name="Normal 4 5 6" xfId="66" xr:uid="{00000000-0005-0000-0000-0000EC000000}"/>
    <cellStyle name="Normal 4 6" xfId="26" xr:uid="{00000000-0005-0000-0000-0000ED000000}"/>
    <cellStyle name="Normal 4 6 2" xfId="33" xr:uid="{00000000-0005-0000-0000-0000EE000000}"/>
    <cellStyle name="Normal 4 6 2 2" xfId="107" xr:uid="{00000000-0005-0000-0000-0000EF000000}"/>
    <cellStyle name="Normal 4 6 2 2 2" xfId="171" xr:uid="{00000000-0005-0000-0000-0000F0000000}"/>
    <cellStyle name="Normal 4 6 2 3" xfId="260" xr:uid="{00000000-0005-0000-0000-0000F1000000}"/>
    <cellStyle name="Normal 4 6 2 4" xfId="140" xr:uid="{00000000-0005-0000-0000-0000F2000000}"/>
    <cellStyle name="Normal 4 6 2 5" xfId="298" xr:uid="{00000000-0005-0000-0000-0000F3000000}"/>
    <cellStyle name="Normal 4 6 2 6" xfId="77" xr:uid="{00000000-0005-0000-0000-0000F4000000}"/>
    <cellStyle name="Normal 4 6 3" xfId="110" xr:uid="{00000000-0005-0000-0000-0000F5000000}"/>
    <cellStyle name="Normal 4 6 3 2" xfId="164" xr:uid="{00000000-0005-0000-0000-0000F6000000}"/>
    <cellStyle name="Normal 4 6 4" xfId="100" xr:uid="{00000000-0005-0000-0000-0000F7000000}"/>
    <cellStyle name="Normal 4 6 4 2" xfId="253" xr:uid="{00000000-0005-0000-0000-0000F8000000}"/>
    <cellStyle name="Normal 4 6 5" xfId="133" xr:uid="{00000000-0005-0000-0000-0000F9000000}"/>
    <cellStyle name="Normal 4 6 6" xfId="291" xr:uid="{00000000-0005-0000-0000-0000FA000000}"/>
    <cellStyle name="Normal 4 6 7" xfId="70" xr:uid="{00000000-0005-0000-0000-0000FB000000}"/>
    <cellStyle name="Normal 4 7" xfId="81" xr:uid="{00000000-0005-0000-0000-0000FC000000}"/>
    <cellStyle name="Normal 4 7 2" xfId="144" xr:uid="{00000000-0005-0000-0000-0000FD000000}"/>
    <cellStyle name="Normal 4 8" xfId="234" xr:uid="{00000000-0005-0000-0000-0000FE000000}"/>
    <cellStyle name="Normal 4 9" xfId="114" xr:uid="{00000000-0005-0000-0000-0000FF000000}"/>
    <cellStyle name="Normál 40" xfId="36" xr:uid="{00000000-0005-0000-0000-000000010000}"/>
    <cellStyle name="Normál 40 2" xfId="266" xr:uid="{00000000-0005-0000-0000-000001010000}"/>
    <cellStyle name="Normál 40 4" xfId="45" xr:uid="{00000000-0005-0000-0000-000002010000}"/>
    <cellStyle name="Normál 42" xfId="37" xr:uid="{00000000-0005-0000-0000-000003010000}"/>
    <cellStyle name="Normál 42 2" xfId="267" xr:uid="{00000000-0005-0000-0000-000004010000}"/>
    <cellStyle name="Normál 46" xfId="38" xr:uid="{00000000-0005-0000-0000-000005010000}"/>
    <cellStyle name="Normál 46 2" xfId="268" xr:uid="{00000000-0005-0000-0000-000006010000}"/>
    <cellStyle name="Normál 46 4" xfId="46" xr:uid="{00000000-0005-0000-0000-000007010000}"/>
    <cellStyle name="Normal 5" xfId="7" xr:uid="{00000000-0005-0000-0000-000008010000}"/>
    <cellStyle name="Normal 5 2" xfId="82" xr:uid="{00000000-0005-0000-0000-000009010000}"/>
    <cellStyle name="Normal 5 2 2" xfId="146" xr:uid="{00000000-0005-0000-0000-00000A010000}"/>
    <cellStyle name="Normal 5 3" xfId="235" xr:uid="{00000000-0005-0000-0000-00000B010000}"/>
    <cellStyle name="Normal 5 4" xfId="115" xr:uid="{00000000-0005-0000-0000-00000C010000}"/>
    <cellStyle name="Normal 5 5" xfId="273" xr:uid="{00000000-0005-0000-0000-00000D010000}"/>
    <cellStyle name="Normal 5 6" xfId="52" xr:uid="{00000000-0005-0000-0000-00000E010000}"/>
    <cellStyle name="Normal 6" xfId="9" xr:uid="{00000000-0005-0000-0000-00000F010000}"/>
    <cellStyle name="Normal 6 2" xfId="84" xr:uid="{00000000-0005-0000-0000-000010010000}"/>
    <cellStyle name="Normal 6 2 2" xfId="148" xr:uid="{00000000-0005-0000-0000-000011010000}"/>
    <cellStyle name="Normal 6 3" xfId="237" xr:uid="{00000000-0005-0000-0000-000012010000}"/>
    <cellStyle name="Normal 6 4" xfId="117" xr:uid="{00000000-0005-0000-0000-000013010000}"/>
    <cellStyle name="Normal 6 5" xfId="275" xr:uid="{00000000-0005-0000-0000-000014010000}"/>
    <cellStyle name="Normal 6 6" xfId="54" xr:uid="{00000000-0005-0000-0000-000015010000}"/>
    <cellStyle name="Normal 7" xfId="10" xr:uid="{00000000-0005-0000-0000-000016010000}"/>
    <cellStyle name="Normal 7 2" xfId="85" xr:uid="{00000000-0005-0000-0000-000017010000}"/>
    <cellStyle name="Normal 7 2 2" xfId="149" xr:uid="{00000000-0005-0000-0000-000018010000}"/>
    <cellStyle name="Normal 7 3" xfId="238" xr:uid="{00000000-0005-0000-0000-000019010000}"/>
    <cellStyle name="Normal 7 4" xfId="118" xr:uid="{00000000-0005-0000-0000-00001A010000}"/>
    <cellStyle name="Normal 7 5" xfId="276" xr:uid="{00000000-0005-0000-0000-00001B010000}"/>
    <cellStyle name="Normal 7 6" xfId="55" xr:uid="{00000000-0005-0000-0000-00001C010000}"/>
    <cellStyle name="Normal 8" xfId="12" xr:uid="{00000000-0005-0000-0000-00001D010000}"/>
    <cellStyle name="Normal 8 2" xfId="87" xr:uid="{00000000-0005-0000-0000-00001E010000}"/>
    <cellStyle name="Normal 8 2 2" xfId="151" xr:uid="{00000000-0005-0000-0000-00001F010000}"/>
    <cellStyle name="Normal 8 3" xfId="240" xr:uid="{00000000-0005-0000-0000-000020010000}"/>
    <cellStyle name="Normal 8 4" xfId="120" xr:uid="{00000000-0005-0000-0000-000021010000}"/>
    <cellStyle name="Normal 8 5" xfId="278" xr:uid="{00000000-0005-0000-0000-000022010000}"/>
    <cellStyle name="Normal 8 6" xfId="57" xr:uid="{00000000-0005-0000-0000-000023010000}"/>
    <cellStyle name="Normal 9" xfId="15" xr:uid="{00000000-0005-0000-0000-000024010000}"/>
    <cellStyle name="Normal 9 2" xfId="90" xr:uid="{00000000-0005-0000-0000-000025010000}"/>
    <cellStyle name="Normal 9 2 2" xfId="154" xr:uid="{00000000-0005-0000-0000-000026010000}"/>
    <cellStyle name="Normal 9 3" xfId="243" xr:uid="{00000000-0005-0000-0000-000027010000}"/>
    <cellStyle name="Normal 9 4" xfId="123" xr:uid="{00000000-0005-0000-0000-000028010000}"/>
    <cellStyle name="Normal 9 5" xfId="281" xr:uid="{00000000-0005-0000-0000-000029010000}"/>
    <cellStyle name="Normal 9 6" xfId="60" xr:uid="{00000000-0005-0000-0000-00002A010000}"/>
    <cellStyle name="Normal_ASM1" xfId="34" xr:uid="{00000000-0005-0000-0000-00002B010000}"/>
    <cellStyle name="Normal_Kinetic matrix" xfId="2" xr:uid="{00000000-0005-0000-0000-00002C010000}"/>
    <cellStyle name="Normal_States" xfId="301" xr:uid="{0F894A03-AB87-493E-A77D-98696BBD2D30}"/>
  </cellStyles>
  <dxfs count="156">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9" defaultPivotStyle="PivotStyleLight16"/>
  <colors>
    <mruColors>
      <color rgb="FFFFFFFF"/>
      <color rgb="FFFFFFCC"/>
      <color rgb="FF333333"/>
      <color rgb="FF498787"/>
      <color rgb="FF499687"/>
      <color rgb="FF498F87"/>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oneCellAnchor>
    <xdr:from>
      <xdr:col>4</xdr:col>
      <xdr:colOff>986872</xdr:colOff>
      <xdr:row>253</xdr:row>
      <xdr:rowOff>58232</xdr:rowOff>
    </xdr:from>
    <xdr:ext cx="5000625" cy="833438"/>
    <xdr:pic>
      <xdr:nvPicPr>
        <xdr:cNvPr id="3" name="Picture 1">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62763" y="44585536"/>
          <a:ext cx="5000625" cy="833438"/>
        </a:xfrm>
        <a:prstGeom prst="rect">
          <a:avLst/>
        </a:prstGeom>
        <a:noFill/>
        <a:ln w="1">
          <a:noFill/>
          <a:miter lim="800000"/>
          <a:headEnd/>
          <a:tailEnd type="none" w="med" len="med"/>
        </a:ln>
        <a:effectLst/>
      </xdr:spPr>
    </xdr:pic>
    <xdr:clientData/>
  </xdr:oneCellAnchor>
  <xdr:oneCellAnchor>
    <xdr:from>
      <xdr:col>4</xdr:col>
      <xdr:colOff>826190</xdr:colOff>
      <xdr:row>249</xdr:row>
      <xdr:rowOff>80341</xdr:rowOff>
    </xdr:from>
    <xdr:ext cx="3455193" cy="622300"/>
    <xdr:pic>
      <xdr:nvPicPr>
        <xdr:cNvPr id="4" name="Picture 2">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402081" y="43845645"/>
          <a:ext cx="3455193" cy="622300"/>
        </a:xfrm>
        <a:prstGeom prst="rect">
          <a:avLst/>
        </a:prstGeom>
        <a:noFill/>
        <a:ln w="1">
          <a:noFill/>
          <a:miter lim="800000"/>
          <a:headEnd/>
          <a:tailEnd type="none" w="med" len="med"/>
        </a:ln>
        <a:effectLst/>
      </xdr:spPr>
    </xdr:pic>
    <xdr:clientData/>
  </xdr:oneCellAnchor>
  <xdr:twoCellAnchor>
    <xdr:from>
      <xdr:col>3</xdr:col>
      <xdr:colOff>152401</xdr:colOff>
      <xdr:row>162</xdr:row>
      <xdr:rowOff>114300</xdr:rowOff>
    </xdr:from>
    <xdr:to>
      <xdr:col>5</xdr:col>
      <xdr:colOff>476251</xdr:colOff>
      <xdr:row>165</xdr:row>
      <xdr:rowOff>133350</xdr:rowOff>
    </xdr:to>
    <xdr:sp macro="" textlink="">
      <xdr:nvSpPr>
        <xdr:cNvPr id="5" name="Curved Up Arrow 3">
          <a:extLst>
            <a:ext uri="{FF2B5EF4-FFF2-40B4-BE49-F238E27FC236}">
              <a16:creationId xmlns:a16="http://schemas.microsoft.com/office/drawing/2014/main" id="{00000000-0008-0000-0000-000005000000}"/>
            </a:ext>
          </a:extLst>
        </xdr:cNvPr>
        <xdr:cNvSpPr/>
      </xdr:nvSpPr>
      <xdr:spPr>
        <a:xfrm>
          <a:off x="2105026" y="21497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absolute">
    <xdr:from>
      <xdr:col>3</xdr:col>
      <xdr:colOff>38100</xdr:colOff>
      <xdr:row>0</xdr:row>
      <xdr:rowOff>104775</xdr:rowOff>
    </xdr:from>
    <xdr:to>
      <xdr:col>4</xdr:col>
      <xdr:colOff>1038225</xdr:colOff>
      <xdr:row>0</xdr:row>
      <xdr:rowOff>504825</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1990725" y="104775"/>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261</xdr:row>
      <xdr:rowOff>58232</xdr:rowOff>
    </xdr:from>
    <xdr:ext cx="5000625" cy="833438"/>
    <xdr:pic>
      <xdr:nvPicPr>
        <xdr:cNvPr id="9" name="Picture 1">
          <a:extLst>
            <a:ext uri="{FF2B5EF4-FFF2-40B4-BE49-F238E27FC236}">
              <a16:creationId xmlns:a16="http://schemas.microsoft.com/office/drawing/2014/main" id="{53D5DA42-B198-48E7-83C3-087237997FD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257</xdr:row>
      <xdr:rowOff>80341</xdr:rowOff>
    </xdr:from>
    <xdr:ext cx="3455193" cy="622300"/>
    <xdr:pic>
      <xdr:nvPicPr>
        <xdr:cNvPr id="10" name="Picture 2">
          <a:extLst>
            <a:ext uri="{FF2B5EF4-FFF2-40B4-BE49-F238E27FC236}">
              <a16:creationId xmlns:a16="http://schemas.microsoft.com/office/drawing/2014/main" id="{1FC81D9A-8EEB-4555-A045-8E599C3DFAE5}"/>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169</xdr:row>
      <xdr:rowOff>114300</xdr:rowOff>
    </xdr:from>
    <xdr:to>
      <xdr:col>5</xdr:col>
      <xdr:colOff>476251</xdr:colOff>
      <xdr:row>172</xdr:row>
      <xdr:rowOff>133350</xdr:rowOff>
    </xdr:to>
    <xdr:sp macro="" textlink="">
      <xdr:nvSpPr>
        <xdr:cNvPr id="11" name="Curved Up Arrow 3">
          <a:extLst>
            <a:ext uri="{FF2B5EF4-FFF2-40B4-BE49-F238E27FC236}">
              <a16:creationId xmlns:a16="http://schemas.microsoft.com/office/drawing/2014/main" id="{2081C6EB-C793-4271-B6B5-8CFAA2009D4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455544</xdr:colOff>
      <xdr:row>25</xdr:row>
      <xdr:rowOff>41006</xdr:rowOff>
    </xdr:from>
    <xdr:to>
      <xdr:col>16</xdr:col>
      <xdr:colOff>215348</xdr:colOff>
      <xdr:row>38</xdr:row>
      <xdr:rowOff>142877</xdr:rowOff>
    </xdr:to>
    <xdr:pic>
      <xdr:nvPicPr>
        <xdr:cNvPr id="13" name="Image 12">
          <a:extLst>
            <a:ext uri="{FF2B5EF4-FFF2-40B4-BE49-F238E27FC236}">
              <a16:creationId xmlns:a16="http://schemas.microsoft.com/office/drawing/2014/main" id="{F08030B8-08EB-4C4F-98DA-945C38628D52}"/>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8125240" y="5014713"/>
          <a:ext cx="5362989" cy="2470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157370</xdr:colOff>
      <xdr:row>27</xdr:row>
      <xdr:rowOff>161510</xdr:rowOff>
    </xdr:from>
    <xdr:to>
      <xdr:col>5</xdr:col>
      <xdr:colOff>1258957</xdr:colOff>
      <xdr:row>30</xdr:row>
      <xdr:rowOff>33811</xdr:rowOff>
    </xdr:to>
    <xdr:pic>
      <xdr:nvPicPr>
        <xdr:cNvPr id="14" name="Image 13">
          <a:extLst>
            <a:ext uri="{FF2B5EF4-FFF2-40B4-BE49-F238E27FC236}">
              <a16:creationId xmlns:a16="http://schemas.microsoft.com/office/drawing/2014/main" id="{121DFAC5-F2CC-4C53-AC18-6DF86EC79CC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1153" y="5499652"/>
          <a:ext cx="3354456" cy="4189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161925</xdr:rowOff>
    </xdr:from>
    <xdr:to>
      <xdr:col>15</xdr:col>
      <xdr:colOff>327670</xdr:colOff>
      <xdr:row>13</xdr:row>
      <xdr:rowOff>1908</xdr:rowOff>
    </xdr:to>
    <xdr:pic>
      <xdr:nvPicPr>
        <xdr:cNvPr id="15" name="Kép 5">
          <a:extLst>
            <a:ext uri="{FF2B5EF4-FFF2-40B4-BE49-F238E27FC236}">
              <a16:creationId xmlns:a16="http://schemas.microsoft.com/office/drawing/2014/main" id="{D29D1846-D85C-4E21-A779-0080D54B0CD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162800" y="1333500"/>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593092</xdr:colOff>
      <xdr:row>0</xdr:row>
      <xdr:rowOff>59690</xdr:rowOff>
    </xdr:from>
    <xdr:to>
      <xdr:col>1</xdr:col>
      <xdr:colOff>1393293</xdr:colOff>
      <xdr:row>0</xdr:row>
      <xdr:rowOff>588011</xdr:rowOff>
    </xdr:to>
    <xdr:sp macro="[0]!bt_checkusages" textlink="">
      <xdr:nvSpPr>
        <xdr:cNvPr id="2" name="bt_chkunused">
          <a:extLst>
            <a:ext uri="{FF2B5EF4-FFF2-40B4-BE49-F238E27FC236}">
              <a16:creationId xmlns:a16="http://schemas.microsoft.com/office/drawing/2014/main" id="{00000000-0008-0000-0100-000002000000}"/>
            </a:ext>
          </a:extLst>
        </xdr:cNvPr>
        <xdr:cNvSpPr/>
      </xdr:nvSpPr>
      <xdr:spPr>
        <a:xfrm>
          <a:off x="590550" y="57150"/>
          <a:ext cx="1438275"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twoCellAnchor editAs="oneCell">
    <xdr:from>
      <xdr:col>10</xdr:col>
      <xdr:colOff>573665</xdr:colOff>
      <xdr:row>444</xdr:row>
      <xdr:rowOff>136070</xdr:rowOff>
    </xdr:from>
    <xdr:to>
      <xdr:col>15</xdr:col>
      <xdr:colOff>1540416</xdr:colOff>
      <xdr:row>468</xdr:row>
      <xdr:rowOff>111947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6249094" y="69913499"/>
          <a:ext cx="7214969" cy="590781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76010</xdr:colOff>
      <xdr:row>0</xdr:row>
      <xdr:rowOff>58965</xdr:rowOff>
    </xdr:from>
    <xdr:to>
      <xdr:col>3</xdr:col>
      <xdr:colOff>646529</xdr:colOff>
      <xdr:row>0</xdr:row>
      <xdr:rowOff>589871</xdr:rowOff>
    </xdr:to>
    <xdr:sp macro="[0]!bt_chkcont_click" textlink="">
      <xdr:nvSpPr>
        <xdr:cNvPr id="2" name="bt_chkcont">
          <a:extLst>
            <a:ext uri="{FF2B5EF4-FFF2-40B4-BE49-F238E27FC236}">
              <a16:creationId xmlns:a16="http://schemas.microsoft.com/office/drawing/2014/main" id="{00000000-0008-0000-0200-000002000000}"/>
            </a:ext>
          </a:extLst>
        </xdr:cNvPr>
        <xdr:cNvSpPr/>
      </xdr:nvSpPr>
      <xdr:spPr>
        <a:xfrm>
          <a:off x="339989" y="63500"/>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933713</xdr:colOff>
      <xdr:row>0</xdr:row>
      <xdr:rowOff>76200</xdr:rowOff>
    </xdr:from>
    <xdr:to>
      <xdr:col>3</xdr:col>
      <xdr:colOff>2345799</xdr:colOff>
      <xdr:row>0</xdr:row>
      <xdr:rowOff>608013</xdr:rowOff>
    </xdr:to>
    <xdr:sp macro="[0]!bt_chkcont_norates_click" textlink="">
      <xdr:nvSpPr>
        <xdr:cNvPr id="3" name="bt_chkcont">
          <a:extLst>
            <a:ext uri="{FF2B5EF4-FFF2-40B4-BE49-F238E27FC236}">
              <a16:creationId xmlns:a16="http://schemas.microsoft.com/office/drawing/2014/main" id="{00000000-0008-0000-0200-000003000000}"/>
            </a:ext>
          </a:extLst>
        </xdr:cNvPr>
        <xdr:cNvSpPr/>
      </xdr:nvSpPr>
      <xdr:spPr>
        <a:xfrm>
          <a:off x="2057400" y="76200"/>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190500</xdr:colOff>
      <xdr:row>0</xdr:row>
      <xdr:rowOff>96520</xdr:rowOff>
    </xdr:from>
    <xdr:to>
      <xdr:col>2</xdr:col>
      <xdr:colOff>92805</xdr:colOff>
      <xdr:row>0</xdr:row>
      <xdr:rowOff>476885</xdr:rowOff>
    </xdr:to>
    <xdr:sp macro="[0]!bt_pewpph" textlink="">
      <xdr:nvSpPr>
        <xdr:cNvPr id="2" name="bt_prepph">
          <a:extLst>
            <a:ext uri="{FF2B5EF4-FFF2-40B4-BE49-F238E27FC236}">
              <a16:creationId xmlns:a16="http://schemas.microsoft.com/office/drawing/2014/main" id="{00000000-0008-0000-0300-000002000000}"/>
            </a:ext>
          </a:extLst>
        </xdr:cNvPr>
        <xdr:cNvSpPr/>
      </xdr:nvSpPr>
      <xdr:spPr>
        <a:xfrm>
          <a:off x="190500" y="95250"/>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2" name="bt_creqma">
          <a:extLst>
            <a:ext uri="{FF2B5EF4-FFF2-40B4-BE49-F238E27FC236}">
              <a16:creationId xmlns:a16="http://schemas.microsoft.com/office/drawing/2014/main" id="{00000000-0008-0000-0400-000002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200025</xdr:colOff>
      <xdr:row>0</xdr:row>
      <xdr:rowOff>400050</xdr:rowOff>
    </xdr:to>
    <xdr:sp macro="[0]!bt_chksp_click" textlink="">
      <xdr:nvSpPr>
        <xdr:cNvPr id="3" name="bt_chksp">
          <a:extLst>
            <a:ext uri="{FF2B5EF4-FFF2-40B4-BE49-F238E27FC236}">
              <a16:creationId xmlns:a16="http://schemas.microsoft.com/office/drawing/2014/main" id="{00000000-0008-0000-0400-000003000000}"/>
            </a:ext>
          </a:extLst>
        </xdr:cNvPr>
        <xdr:cNvSpPr/>
      </xdr:nvSpPr>
      <xdr:spPr>
        <a:xfrm>
          <a:off x="2876550" y="0"/>
          <a:ext cx="1609725" cy="400050"/>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1</xdr:col>
      <xdr:colOff>1092993</xdr:colOff>
      <xdr:row>0</xdr:row>
      <xdr:rowOff>523875</xdr:rowOff>
    </xdr:to>
    <xdr:sp macro="[0]!bt_crkinma_click" textlink="">
      <xdr:nvSpPr>
        <xdr:cNvPr id="2" name="bt_crkinma">
          <a:extLst>
            <a:ext uri="{FF2B5EF4-FFF2-40B4-BE49-F238E27FC236}">
              <a16:creationId xmlns:a16="http://schemas.microsoft.com/office/drawing/2014/main" id="{00000000-0008-0000-06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0</xdr:colOff>
      <xdr:row>0</xdr:row>
      <xdr:rowOff>95250</xdr:rowOff>
    </xdr:from>
    <xdr:to>
      <xdr:col>2</xdr:col>
      <xdr:colOff>1581150</xdr:colOff>
      <xdr:row>0</xdr:row>
      <xdr:rowOff>523875</xdr:rowOff>
    </xdr:to>
    <xdr:sp macro="[0]!bt_chkst_click" textlink="">
      <xdr:nvSpPr>
        <xdr:cNvPr id="3" name="bt_chkst">
          <a:extLst>
            <a:ext uri="{FF2B5EF4-FFF2-40B4-BE49-F238E27FC236}">
              <a16:creationId xmlns:a16="http://schemas.microsoft.com/office/drawing/2014/main" id="{00000000-0008-0000-06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7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228600</xdr:colOff>
      <xdr:row>0</xdr:row>
      <xdr:rowOff>173583</xdr:rowOff>
    </xdr:from>
    <xdr:to>
      <xdr:col>1</xdr:col>
      <xdr:colOff>1467910</xdr:colOff>
      <xdr:row>0</xdr:row>
      <xdr:rowOff>554990</xdr:rowOff>
    </xdr:to>
    <xdr:sp macro="[0]!bt_calcvar" textlink="">
      <xdr:nvSpPr>
        <xdr:cNvPr id="2" name="bt_calc">
          <a:extLst>
            <a:ext uri="{FF2B5EF4-FFF2-40B4-BE49-F238E27FC236}">
              <a16:creationId xmlns:a16="http://schemas.microsoft.com/office/drawing/2014/main" id="{00000000-0008-0000-09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A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C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persons/person.xml><?xml version="1.0" encoding="utf-8"?>
<personList xmlns="http://schemas.microsoft.com/office/spreadsheetml/2018/threadedcomments" xmlns:x="http://schemas.openxmlformats.org/spreadsheetml/2006/main">
  <person displayName="Ferenc Házi" id="{16E345EB-53EB-4E6A-8D44-EEC08E635141}" userId="09190b45b532d636"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52" dT="2020-02-03T15:48:49.14" personId="{16E345EB-53EB-4E6A-8D44-EEC08E635141}" id="{D81AC52E-057E-418A-8316-03D86EFA570E}">
    <text>+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H2S&amp;NoIon=on&amp;Units=SI&amp;cSO=on" TargetMode="External"/><Relationship Id="rId7" Type="http://schemas.openxmlformats.org/officeDocument/2006/relationships/hyperlink" Target="http://webbook.nist.gov/cgi/cbook.cgi?Formula=CH4&amp;NoIon=on&amp;Units=SI&amp;cSO=on" TargetMode="External"/><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Formula=NH3&amp;NoIon=on&amp;Units=SI&amp;cSO=on"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printerSettings" Target="../printerSettings/printerSettings10.bin"/><Relationship Id="rId5" Type="http://schemas.openxmlformats.org/officeDocument/2006/relationships/hyperlink" Target="http://webbook.nist.gov/cgi/cbook.cgi?Formula=H2&amp;NoIon=on&amp;Units=SI&amp;cSO=on" TargetMode="External"/><Relationship Id="rId10" Type="http://schemas.openxmlformats.org/officeDocument/2006/relationships/hyperlink" Target="http://webbook.nist.gov/cgi/cbook.cgi?ID=C124389&amp;Mask=10"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ww.vias.org/genchem/standard_enthalpies_table.html"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12.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unka22"/>
  <dimension ref="A1:L281"/>
  <sheetViews>
    <sheetView showGridLines="0" zoomScaleNormal="100" workbookViewId="0">
      <selection activeCell="D5" sqref="D5"/>
    </sheetView>
  </sheetViews>
  <sheetFormatPr defaultColWidth="9.1328125" defaultRowHeight="14.25" x14ac:dyDescent="0.45"/>
  <cols>
    <col min="1" max="1" width="3.86328125" customWidth="1"/>
    <col min="2" max="2" width="13.1328125" customWidth="1"/>
    <col min="3" max="3" width="12.46484375" customWidth="1"/>
    <col min="5" max="5" width="22.46484375" customWidth="1"/>
    <col min="6" max="6" width="33" customWidth="1"/>
    <col min="7" max="7" width="13.46484375" customWidth="1"/>
    <col min="14" max="14" width="5.1328125" customWidth="1"/>
  </cols>
  <sheetData>
    <row r="1" spans="2:11" s="47" customFormat="1" ht="47.25" customHeight="1" x14ac:dyDescent="0.45"/>
    <row r="3" spans="2:11" x14ac:dyDescent="0.45">
      <c r="B3" s="52" t="s">
        <v>153</v>
      </c>
      <c r="C3" s="1" t="s">
        <v>4017</v>
      </c>
    </row>
    <row r="4" spans="2:11" x14ac:dyDescent="0.45">
      <c r="B4" s="131"/>
      <c r="C4" s="1"/>
      <c r="D4" s="134" t="s">
        <v>4168</v>
      </c>
    </row>
    <row r="5" spans="2:11" x14ac:dyDescent="0.45">
      <c r="D5" t="s">
        <v>220</v>
      </c>
    </row>
    <row r="6" spans="2:11" x14ac:dyDescent="0.45">
      <c r="D6" t="s">
        <v>221</v>
      </c>
    </row>
    <row r="7" spans="2:11" x14ac:dyDescent="0.45">
      <c r="D7" t="s">
        <v>4019</v>
      </c>
    </row>
    <row r="8" spans="2:11" x14ac:dyDescent="0.45">
      <c r="D8" t="s">
        <v>223</v>
      </c>
    </row>
    <row r="9" spans="2:11" x14ac:dyDescent="0.45">
      <c r="D9" t="s">
        <v>4018</v>
      </c>
    </row>
    <row r="10" spans="2:11" x14ac:dyDescent="0.45">
      <c r="D10" t="s">
        <v>222</v>
      </c>
    </row>
    <row r="11" spans="2:11" x14ac:dyDescent="0.45">
      <c r="D11" t="s">
        <v>284</v>
      </c>
    </row>
    <row r="12" spans="2:11" x14ac:dyDescent="0.45">
      <c r="D12" t="s">
        <v>1622</v>
      </c>
    </row>
    <row r="13" spans="2:11" x14ac:dyDescent="0.45">
      <c r="D13" t="s">
        <v>286</v>
      </c>
      <c r="H13" s="160"/>
      <c r="K13" s="159"/>
    </row>
    <row r="14" spans="2:11" x14ac:dyDescent="0.45">
      <c r="D14" t="s">
        <v>287</v>
      </c>
      <c r="H14" s="2224" t="s">
        <v>1168</v>
      </c>
    </row>
    <row r="15" spans="2:11" x14ac:dyDescent="0.45">
      <c r="D15" t="s">
        <v>2140</v>
      </c>
    </row>
    <row r="17" spans="2:9" x14ac:dyDescent="0.45">
      <c r="I17" t="s">
        <v>4105</v>
      </c>
    </row>
    <row r="18" spans="2:9" x14ac:dyDescent="0.45">
      <c r="B18" s="1" t="s">
        <v>4020</v>
      </c>
      <c r="C18" s="1"/>
      <c r="D18" s="1" t="s">
        <v>4021</v>
      </c>
    </row>
    <row r="19" spans="2:9" x14ac:dyDescent="0.45">
      <c r="D19" t="s">
        <v>4157</v>
      </c>
    </row>
    <row r="20" spans="2:9" x14ac:dyDescent="0.45">
      <c r="D20" t="s">
        <v>4158</v>
      </c>
    </row>
    <row r="21" spans="2:9" x14ac:dyDescent="0.45">
      <c r="D21" t="s">
        <v>4159</v>
      </c>
    </row>
    <row r="22" spans="2:9" x14ac:dyDescent="0.45">
      <c r="D22" t="s">
        <v>4160</v>
      </c>
    </row>
    <row r="23" spans="2:9" x14ac:dyDescent="0.45">
      <c r="D23" t="s">
        <v>4161</v>
      </c>
    </row>
    <row r="24" spans="2:9" x14ac:dyDescent="0.45">
      <c r="D24" t="s">
        <v>4162</v>
      </c>
    </row>
    <row r="25" spans="2:9" x14ac:dyDescent="0.45">
      <c r="D25" t="s">
        <v>4163</v>
      </c>
    </row>
    <row r="27" spans="2:9" x14ac:dyDescent="0.45">
      <c r="B27" s="1" t="s">
        <v>4033</v>
      </c>
      <c r="C27" s="1"/>
      <c r="D27" s="1" t="s">
        <v>4022</v>
      </c>
    </row>
    <row r="28" spans="2:9" x14ac:dyDescent="0.45">
      <c r="D28" t="s">
        <v>4164</v>
      </c>
    </row>
    <row r="31" spans="2:9" x14ac:dyDescent="0.45">
      <c r="D31" t="s">
        <v>4093</v>
      </c>
    </row>
    <row r="32" spans="2:9" x14ac:dyDescent="0.45">
      <c r="D32" t="s">
        <v>4094</v>
      </c>
    </row>
    <row r="33" spans="1:10" x14ac:dyDescent="0.45">
      <c r="D33" t="s">
        <v>4165</v>
      </c>
    </row>
    <row r="34" spans="1:10" x14ac:dyDescent="0.45">
      <c r="D34" t="s">
        <v>4156</v>
      </c>
    </row>
    <row r="35" spans="1:10" x14ac:dyDescent="0.45">
      <c r="D35" t="s">
        <v>4166</v>
      </c>
    </row>
    <row r="36" spans="1:10" x14ac:dyDescent="0.45">
      <c r="D36" t="s">
        <v>4167</v>
      </c>
    </row>
    <row r="40" spans="1:10" x14ac:dyDescent="0.45">
      <c r="B40" s="52" t="s">
        <v>27</v>
      </c>
      <c r="C40" s="53"/>
      <c r="H40" s="52" t="s">
        <v>212</v>
      </c>
      <c r="I40" s="53"/>
      <c r="J40" s="53"/>
    </row>
    <row r="41" spans="1:10" x14ac:dyDescent="0.45">
      <c r="A41" s="131" t="s">
        <v>1931</v>
      </c>
      <c r="H41">
        <v>1</v>
      </c>
      <c r="I41" t="s">
        <v>213</v>
      </c>
    </row>
    <row r="42" spans="1:10" x14ac:dyDescent="0.45">
      <c r="A42">
        <v>1</v>
      </c>
      <c r="B42" t="s">
        <v>1932</v>
      </c>
      <c r="H42">
        <v>2</v>
      </c>
      <c r="I42" t="s">
        <v>3660</v>
      </c>
    </row>
    <row r="43" spans="1:10" x14ac:dyDescent="0.45">
      <c r="A43">
        <v>2</v>
      </c>
      <c r="B43" t="s">
        <v>1933</v>
      </c>
    </row>
    <row r="44" spans="1:10" x14ac:dyDescent="0.45">
      <c r="B44">
        <v>1</v>
      </c>
      <c r="C44" t="s">
        <v>1934</v>
      </c>
    </row>
    <row r="45" spans="1:10" x14ac:dyDescent="0.45">
      <c r="B45">
        <v>2</v>
      </c>
      <c r="C45" t="s">
        <v>1935</v>
      </c>
    </row>
    <row r="46" spans="1:10" x14ac:dyDescent="0.45">
      <c r="B46">
        <v>3</v>
      </c>
      <c r="C46" t="s">
        <v>1936</v>
      </c>
    </row>
    <row r="47" spans="1:10" x14ac:dyDescent="0.45">
      <c r="B47">
        <v>4</v>
      </c>
      <c r="C47" t="s">
        <v>1937</v>
      </c>
    </row>
    <row r="48" spans="1:10" x14ac:dyDescent="0.45">
      <c r="B48">
        <v>5</v>
      </c>
      <c r="C48" t="s">
        <v>1938</v>
      </c>
    </row>
    <row r="49" spans="1:5" x14ac:dyDescent="0.45">
      <c r="A49">
        <v>3</v>
      </c>
      <c r="B49" t="s">
        <v>1939</v>
      </c>
    </row>
    <row r="50" spans="1:5" x14ac:dyDescent="0.45">
      <c r="C50" t="s">
        <v>1940</v>
      </c>
    </row>
    <row r="52" spans="1:5" x14ac:dyDescent="0.45">
      <c r="A52" s="1" t="s">
        <v>28</v>
      </c>
      <c r="B52" s="1" t="s">
        <v>29</v>
      </c>
    </row>
    <row r="53" spans="1:5" x14ac:dyDescent="0.45">
      <c r="B53">
        <v>1</v>
      </c>
      <c r="C53" t="s">
        <v>793</v>
      </c>
    </row>
    <row r="54" spans="1:5" x14ac:dyDescent="0.45">
      <c r="D54" t="s">
        <v>30</v>
      </c>
    </row>
    <row r="55" spans="1:5" x14ac:dyDescent="0.45">
      <c r="D55">
        <v>1</v>
      </c>
      <c r="E55" t="s">
        <v>31</v>
      </c>
    </row>
    <row r="56" spans="1:5" x14ac:dyDescent="0.45">
      <c r="D56">
        <v>2</v>
      </c>
      <c r="E56" t="s">
        <v>101</v>
      </c>
    </row>
    <row r="57" spans="1:5" x14ac:dyDescent="0.45">
      <c r="D57">
        <v>3</v>
      </c>
      <c r="E57" t="s">
        <v>154</v>
      </c>
    </row>
    <row r="58" spans="1:5" x14ac:dyDescent="0.45">
      <c r="D58">
        <v>4</v>
      </c>
      <c r="E58" t="s">
        <v>33</v>
      </c>
    </row>
    <row r="59" spans="1:5" x14ac:dyDescent="0.45">
      <c r="B59">
        <v>2</v>
      </c>
      <c r="C59" t="s">
        <v>794</v>
      </c>
    </row>
    <row r="60" spans="1:5" x14ac:dyDescent="0.45">
      <c r="D60">
        <v>1</v>
      </c>
      <c r="E60" t="s">
        <v>34</v>
      </c>
    </row>
    <row r="61" spans="1:5" x14ac:dyDescent="0.45">
      <c r="D61">
        <v>2</v>
      </c>
      <c r="E61" t="s">
        <v>155</v>
      </c>
    </row>
    <row r="62" spans="1:5" x14ac:dyDescent="0.45">
      <c r="D62">
        <v>3</v>
      </c>
      <c r="E62" t="s">
        <v>156</v>
      </c>
    </row>
    <row r="63" spans="1:5" x14ac:dyDescent="0.45">
      <c r="D63">
        <v>3</v>
      </c>
      <c r="E63" t="s">
        <v>157</v>
      </c>
    </row>
    <row r="64" spans="1:5" x14ac:dyDescent="0.45">
      <c r="D64">
        <v>4</v>
      </c>
      <c r="E64" t="s">
        <v>158</v>
      </c>
    </row>
    <row r="65" spans="2:10" x14ac:dyDescent="0.45">
      <c r="D65" s="132" t="s">
        <v>159</v>
      </c>
      <c r="E65" t="s">
        <v>36</v>
      </c>
    </row>
    <row r="66" spans="2:10" x14ac:dyDescent="0.45">
      <c r="D66">
        <v>6</v>
      </c>
      <c r="E66" t="s">
        <v>37</v>
      </c>
    </row>
    <row r="67" spans="2:10" x14ac:dyDescent="0.45">
      <c r="B67">
        <v>3</v>
      </c>
      <c r="C67" t="s">
        <v>38</v>
      </c>
    </row>
    <row r="68" spans="2:10" x14ac:dyDescent="0.45">
      <c r="D68">
        <v>1</v>
      </c>
      <c r="E68" t="s">
        <v>39</v>
      </c>
    </row>
    <row r="69" spans="2:10" x14ac:dyDescent="0.45">
      <c r="D69">
        <v>2</v>
      </c>
      <c r="E69" t="s">
        <v>40</v>
      </c>
    </row>
    <row r="70" spans="2:10" x14ac:dyDescent="0.45">
      <c r="D70">
        <v>3</v>
      </c>
      <c r="E70" t="s">
        <v>41</v>
      </c>
    </row>
    <row r="71" spans="2:10" x14ac:dyDescent="0.45">
      <c r="B71">
        <v>4</v>
      </c>
      <c r="C71" t="s">
        <v>160</v>
      </c>
    </row>
    <row r="72" spans="2:10" x14ac:dyDescent="0.45">
      <c r="D72">
        <v>1</v>
      </c>
      <c r="E72" t="s">
        <v>161</v>
      </c>
    </row>
    <row r="73" spans="2:10" x14ac:dyDescent="0.45">
      <c r="B73">
        <v>5</v>
      </c>
      <c r="C73" t="s">
        <v>794</v>
      </c>
    </row>
    <row r="74" spans="2:10" x14ac:dyDescent="0.45">
      <c r="D74">
        <v>1</v>
      </c>
      <c r="E74" t="s">
        <v>42</v>
      </c>
    </row>
    <row r="75" spans="2:10" x14ac:dyDescent="0.45">
      <c r="D75">
        <v>2</v>
      </c>
      <c r="E75" t="s">
        <v>99</v>
      </c>
    </row>
    <row r="76" spans="2:10" x14ac:dyDescent="0.45">
      <c r="D76">
        <v>3</v>
      </c>
      <c r="E76" t="s">
        <v>43</v>
      </c>
    </row>
    <row r="77" spans="2:10" x14ac:dyDescent="0.45">
      <c r="B77">
        <v>6</v>
      </c>
      <c r="C77" t="s">
        <v>1927</v>
      </c>
      <c r="J77" s="133"/>
    </row>
    <row r="78" spans="2:10" x14ac:dyDescent="0.45">
      <c r="D78">
        <v>1</v>
      </c>
      <c r="E78" t="s">
        <v>1926</v>
      </c>
    </row>
    <row r="79" spans="2:10" x14ac:dyDescent="0.45">
      <c r="D79">
        <v>2</v>
      </c>
      <c r="E79" t="s">
        <v>1928</v>
      </c>
    </row>
    <row r="80" spans="2:10" x14ac:dyDescent="0.45">
      <c r="D80">
        <v>3</v>
      </c>
      <c r="E80" t="s">
        <v>1929</v>
      </c>
    </row>
    <row r="81" spans="2:5" x14ac:dyDescent="0.45">
      <c r="D81">
        <v>4</v>
      </c>
      <c r="E81" t="s">
        <v>1930</v>
      </c>
    </row>
    <row r="83" spans="2:5" x14ac:dyDescent="0.45">
      <c r="B83" s="1" t="s">
        <v>795</v>
      </c>
    </row>
    <row r="84" spans="2:5" x14ac:dyDescent="0.45">
      <c r="B84">
        <v>1</v>
      </c>
      <c r="C84" t="s">
        <v>796</v>
      </c>
    </row>
    <row r="85" spans="2:5" x14ac:dyDescent="0.45">
      <c r="D85" t="s">
        <v>44</v>
      </c>
    </row>
    <row r="86" spans="2:5" x14ac:dyDescent="0.45">
      <c r="D86">
        <v>1</v>
      </c>
      <c r="E86" t="s">
        <v>45</v>
      </c>
    </row>
    <row r="87" spans="2:5" x14ac:dyDescent="0.45">
      <c r="D87">
        <v>2</v>
      </c>
      <c r="E87" t="s">
        <v>46</v>
      </c>
    </row>
    <row r="88" spans="2:5" x14ac:dyDescent="0.45">
      <c r="D88">
        <v>3</v>
      </c>
      <c r="E88" t="s">
        <v>119</v>
      </c>
    </row>
    <row r="89" spans="2:5" x14ac:dyDescent="0.45">
      <c r="D89">
        <v>4</v>
      </c>
      <c r="E89" t="s">
        <v>1925</v>
      </c>
    </row>
    <row r="90" spans="2:5" x14ac:dyDescent="0.45">
      <c r="B90">
        <v>2</v>
      </c>
      <c r="C90" t="s">
        <v>797</v>
      </c>
    </row>
    <row r="91" spans="2:5" x14ac:dyDescent="0.45">
      <c r="D91">
        <v>1</v>
      </c>
      <c r="E91" t="s">
        <v>162</v>
      </c>
    </row>
    <row r="92" spans="2:5" x14ac:dyDescent="0.45">
      <c r="D92">
        <v>2</v>
      </c>
      <c r="E92" t="s">
        <v>163</v>
      </c>
    </row>
    <row r="93" spans="2:5" x14ac:dyDescent="0.45">
      <c r="B93">
        <v>3</v>
      </c>
      <c r="C93" t="s">
        <v>3661</v>
      </c>
    </row>
    <row r="94" spans="2:5" x14ac:dyDescent="0.45">
      <c r="D94">
        <v>1</v>
      </c>
      <c r="E94" t="s">
        <v>3662</v>
      </c>
    </row>
    <row r="95" spans="2:5" x14ac:dyDescent="0.45">
      <c r="B95">
        <v>4</v>
      </c>
      <c r="C95" t="s">
        <v>3663</v>
      </c>
    </row>
    <row r="96" spans="2:5" x14ac:dyDescent="0.45">
      <c r="D96">
        <v>1</v>
      </c>
      <c r="E96" t="s">
        <v>3664</v>
      </c>
    </row>
    <row r="97" spans="1:6" x14ac:dyDescent="0.45">
      <c r="D97">
        <v>2</v>
      </c>
      <c r="E97" t="s">
        <v>3665</v>
      </c>
    </row>
    <row r="98" spans="1:6" x14ac:dyDescent="0.45">
      <c r="D98">
        <v>3</v>
      </c>
      <c r="E98" t="s">
        <v>3666</v>
      </c>
    </row>
    <row r="100" spans="1:6" x14ac:dyDescent="0.45">
      <c r="B100">
        <v>5</v>
      </c>
      <c r="C100" t="s">
        <v>797</v>
      </c>
    </row>
    <row r="101" spans="1:6" x14ac:dyDescent="0.45">
      <c r="D101">
        <v>1</v>
      </c>
      <c r="E101" t="s">
        <v>47</v>
      </c>
    </row>
    <row r="102" spans="1:6" x14ac:dyDescent="0.45">
      <c r="D102">
        <v>2</v>
      </c>
      <c r="E102" t="s">
        <v>164</v>
      </c>
    </row>
    <row r="104" spans="1:6" x14ac:dyDescent="0.45">
      <c r="A104" s="1" t="s">
        <v>48</v>
      </c>
      <c r="B104" s="1" t="s">
        <v>49</v>
      </c>
    </row>
    <row r="105" spans="1:6" x14ac:dyDescent="0.45">
      <c r="B105">
        <v>1</v>
      </c>
      <c r="C105" t="s">
        <v>793</v>
      </c>
    </row>
    <row r="106" spans="1:6" x14ac:dyDescent="0.45">
      <c r="D106" t="s">
        <v>30</v>
      </c>
    </row>
    <row r="107" spans="1:6" x14ac:dyDescent="0.45">
      <c r="D107">
        <v>1</v>
      </c>
      <c r="E107" t="s">
        <v>50</v>
      </c>
    </row>
    <row r="108" spans="1:6" x14ac:dyDescent="0.45">
      <c r="D108">
        <v>2</v>
      </c>
      <c r="E108" t="s">
        <v>102</v>
      </c>
    </row>
    <row r="109" spans="1:6" x14ac:dyDescent="0.45">
      <c r="D109">
        <v>3</v>
      </c>
      <c r="E109" t="s">
        <v>32</v>
      </c>
    </row>
    <row r="110" spans="1:6" x14ac:dyDescent="0.45">
      <c r="E110" s="592" t="s">
        <v>51</v>
      </c>
      <c r="F110" t="s">
        <v>52</v>
      </c>
    </row>
    <row r="111" spans="1:6" x14ac:dyDescent="0.45">
      <c r="E111" s="592" t="s">
        <v>53</v>
      </c>
      <c r="F111" t="s">
        <v>3667</v>
      </c>
    </row>
    <row r="112" spans="1:6" x14ac:dyDescent="0.45">
      <c r="F112" t="s">
        <v>54</v>
      </c>
    </row>
    <row r="113" spans="2:10" x14ac:dyDescent="0.45">
      <c r="B113">
        <v>2</v>
      </c>
      <c r="C113" t="s">
        <v>794</v>
      </c>
    </row>
    <row r="114" spans="2:10" x14ac:dyDescent="0.45">
      <c r="D114">
        <v>1</v>
      </c>
      <c r="E114" t="s">
        <v>55</v>
      </c>
    </row>
    <row r="115" spans="2:10" x14ac:dyDescent="0.45">
      <c r="D115">
        <v>2</v>
      </c>
      <c r="E115" t="s">
        <v>155</v>
      </c>
    </row>
    <row r="116" spans="2:10" x14ac:dyDescent="0.45">
      <c r="D116" s="132" t="s">
        <v>35</v>
      </c>
      <c r="E116" t="s">
        <v>36</v>
      </c>
    </row>
    <row r="117" spans="2:10" x14ac:dyDescent="0.45">
      <c r="D117">
        <v>4</v>
      </c>
      <c r="E117" t="s">
        <v>56</v>
      </c>
    </row>
    <row r="118" spans="2:10" x14ac:dyDescent="0.45">
      <c r="B118">
        <v>3</v>
      </c>
      <c r="C118" t="s">
        <v>38</v>
      </c>
    </row>
    <row r="119" spans="2:10" x14ac:dyDescent="0.45">
      <c r="D119">
        <v>1</v>
      </c>
      <c r="E119" t="s">
        <v>57</v>
      </c>
    </row>
    <row r="120" spans="2:10" x14ac:dyDescent="0.45">
      <c r="D120">
        <v>2</v>
      </c>
      <c r="E120" t="s">
        <v>40</v>
      </c>
    </row>
    <row r="121" spans="2:10" x14ac:dyDescent="0.45">
      <c r="D121">
        <v>3</v>
      </c>
      <c r="E121" t="s">
        <v>41</v>
      </c>
    </row>
    <row r="122" spans="2:10" x14ac:dyDescent="0.45">
      <c r="B122">
        <v>4</v>
      </c>
      <c r="C122" t="s">
        <v>160</v>
      </c>
    </row>
    <row r="123" spans="2:10" x14ac:dyDescent="0.45">
      <c r="D123">
        <v>1</v>
      </c>
      <c r="E123" t="s">
        <v>161</v>
      </c>
    </row>
    <row r="124" spans="2:10" x14ac:dyDescent="0.45">
      <c r="B124">
        <v>5</v>
      </c>
      <c r="C124" t="s">
        <v>794</v>
      </c>
    </row>
    <row r="125" spans="2:10" x14ac:dyDescent="0.45">
      <c r="D125">
        <v>1</v>
      </c>
      <c r="E125" t="s">
        <v>42</v>
      </c>
    </row>
    <row r="126" spans="2:10" x14ac:dyDescent="0.45">
      <c r="D126">
        <v>2</v>
      </c>
      <c r="E126" t="s">
        <v>99</v>
      </c>
    </row>
    <row r="127" spans="2:10" x14ac:dyDescent="0.45">
      <c r="D127">
        <v>3</v>
      </c>
      <c r="E127" t="s">
        <v>43</v>
      </c>
      <c r="J127" s="133"/>
    </row>
    <row r="128" spans="2:10" x14ac:dyDescent="0.45">
      <c r="B128">
        <v>6</v>
      </c>
      <c r="C128" t="s">
        <v>1927</v>
      </c>
    </row>
    <row r="129" spans="2:6" x14ac:dyDescent="0.45">
      <c r="D129">
        <v>1</v>
      </c>
      <c r="E129" t="s">
        <v>1926</v>
      </c>
    </row>
    <row r="130" spans="2:6" x14ac:dyDescent="0.45">
      <c r="D130">
        <v>2</v>
      </c>
      <c r="E130" t="s">
        <v>1928</v>
      </c>
    </row>
    <row r="131" spans="2:6" x14ac:dyDescent="0.45">
      <c r="D131">
        <v>3</v>
      </c>
      <c r="E131" t="s">
        <v>1929</v>
      </c>
    </row>
    <row r="132" spans="2:6" x14ac:dyDescent="0.45">
      <c r="D132">
        <v>4</v>
      </c>
      <c r="E132" t="s">
        <v>1930</v>
      </c>
    </row>
    <row r="133" spans="2:6" x14ac:dyDescent="0.45">
      <c r="B133" s="1" t="s">
        <v>58</v>
      </c>
    </row>
    <row r="134" spans="2:6" x14ac:dyDescent="0.45">
      <c r="B134">
        <v>1</v>
      </c>
      <c r="C134" t="s">
        <v>796</v>
      </c>
    </row>
    <row r="135" spans="2:6" x14ac:dyDescent="0.45">
      <c r="D135" t="s">
        <v>44</v>
      </c>
    </row>
    <row r="136" spans="2:6" x14ac:dyDescent="0.45">
      <c r="D136">
        <v>1</v>
      </c>
      <c r="E136" t="s">
        <v>59</v>
      </c>
    </row>
    <row r="137" spans="2:6" x14ac:dyDescent="0.45">
      <c r="D137">
        <v>2</v>
      </c>
      <c r="E137" t="s">
        <v>46</v>
      </c>
    </row>
    <row r="138" spans="2:6" x14ac:dyDescent="0.45">
      <c r="E138" s="592" t="s">
        <v>51</v>
      </c>
      <c r="F138" t="s">
        <v>60</v>
      </c>
    </row>
    <row r="139" spans="2:6" x14ac:dyDescent="0.45">
      <c r="E139" s="592" t="s">
        <v>53</v>
      </c>
      <c r="F139" t="s">
        <v>61</v>
      </c>
    </row>
    <row r="140" spans="2:6" x14ac:dyDescent="0.45">
      <c r="F140" t="s">
        <v>62</v>
      </c>
    </row>
    <row r="141" spans="2:6" x14ac:dyDescent="0.45">
      <c r="D141">
        <v>3</v>
      </c>
      <c r="E141" t="s">
        <v>1925</v>
      </c>
    </row>
    <row r="142" spans="2:6" x14ac:dyDescent="0.45">
      <c r="B142">
        <v>2</v>
      </c>
      <c r="C142" t="s">
        <v>797</v>
      </c>
    </row>
    <row r="143" spans="2:6" x14ac:dyDescent="0.45">
      <c r="D143">
        <v>1</v>
      </c>
      <c r="E143" t="s">
        <v>63</v>
      </c>
    </row>
    <row r="144" spans="2:6" x14ac:dyDescent="0.45">
      <c r="D144">
        <v>2</v>
      </c>
      <c r="E144" t="s">
        <v>163</v>
      </c>
    </row>
    <row r="145" spans="2:5" x14ac:dyDescent="0.45">
      <c r="E145" t="s">
        <v>3668</v>
      </c>
    </row>
    <row r="146" spans="2:5" x14ac:dyDescent="0.45">
      <c r="B146">
        <v>3</v>
      </c>
      <c r="C146" t="s">
        <v>3661</v>
      </c>
    </row>
    <row r="147" spans="2:5" x14ac:dyDescent="0.45">
      <c r="D147">
        <v>1</v>
      </c>
      <c r="E147" t="s">
        <v>3662</v>
      </c>
    </row>
    <row r="148" spans="2:5" x14ac:dyDescent="0.45">
      <c r="B148">
        <v>4</v>
      </c>
      <c r="C148" t="s">
        <v>3663</v>
      </c>
    </row>
    <row r="149" spans="2:5" x14ac:dyDescent="0.45">
      <c r="D149">
        <v>1</v>
      </c>
      <c r="E149" t="s">
        <v>3664</v>
      </c>
    </row>
    <row r="150" spans="2:5" x14ac:dyDescent="0.45">
      <c r="D150">
        <v>2</v>
      </c>
      <c r="E150" t="s">
        <v>3665</v>
      </c>
    </row>
    <row r="151" spans="2:5" x14ac:dyDescent="0.45">
      <c r="D151">
        <v>3</v>
      </c>
      <c r="E151" t="s">
        <v>3669</v>
      </c>
    </row>
    <row r="152" spans="2:5" x14ac:dyDescent="0.45">
      <c r="D152">
        <v>4</v>
      </c>
      <c r="E152" t="s">
        <v>3666</v>
      </c>
    </row>
    <row r="153" spans="2:5" x14ac:dyDescent="0.45">
      <c r="B153">
        <v>5</v>
      </c>
      <c r="C153" t="s">
        <v>797</v>
      </c>
    </row>
    <row r="154" spans="2:5" x14ac:dyDescent="0.45">
      <c r="D154">
        <v>1</v>
      </c>
      <c r="E154" t="s">
        <v>47</v>
      </c>
    </row>
    <row r="159" spans="2:5" x14ac:dyDescent="0.45">
      <c r="B159" s="52" t="s">
        <v>64</v>
      </c>
      <c r="C159" s="52"/>
      <c r="D159" s="52"/>
    </row>
    <row r="161" spans="2:7" x14ac:dyDescent="0.45">
      <c r="B161" s="1" t="s">
        <v>65</v>
      </c>
      <c r="C161" t="s">
        <v>66</v>
      </c>
    </row>
    <row r="162" spans="2:7" x14ac:dyDescent="0.45">
      <c r="C162" t="s">
        <v>67</v>
      </c>
    </row>
    <row r="163" spans="2:7" x14ac:dyDescent="0.45">
      <c r="C163" t="s">
        <v>125</v>
      </c>
    </row>
    <row r="164" spans="2:7" ht="14.65" thickBot="1" x14ac:dyDescent="0.5">
      <c r="C164" s="593"/>
      <c r="D164" s="594"/>
      <c r="E164" s="594"/>
      <c r="F164" s="594"/>
      <c r="G164" s="593"/>
    </row>
    <row r="165" spans="2:7" x14ac:dyDescent="0.45">
      <c r="C165" s="135"/>
      <c r="D165" s="595" t="s">
        <v>26</v>
      </c>
      <c r="E165" s="596"/>
      <c r="F165" s="597">
        <v>3.52</v>
      </c>
      <c r="G165" s="598"/>
    </row>
    <row r="166" spans="2:7" x14ac:dyDescent="0.45">
      <c r="C166" s="135"/>
      <c r="D166" s="599" t="s">
        <v>68</v>
      </c>
      <c r="E166" s="600"/>
      <c r="F166" s="601">
        <v>1.23</v>
      </c>
      <c r="G166" s="598"/>
    </row>
    <row r="167" spans="2:7" x14ac:dyDescent="0.45">
      <c r="C167" s="135"/>
      <c r="D167" s="599" t="s">
        <v>69</v>
      </c>
      <c r="E167" s="600"/>
      <c r="F167" s="601">
        <v>0.02</v>
      </c>
      <c r="G167" s="598"/>
    </row>
    <row r="168" spans="2:7" ht="14.65" thickBot="1" x14ac:dyDescent="0.5">
      <c r="C168" s="135"/>
      <c r="D168" s="602" t="s">
        <v>70</v>
      </c>
      <c r="E168" s="603"/>
      <c r="F168" s="604">
        <v>4.21</v>
      </c>
      <c r="G168" s="598"/>
    </row>
    <row r="169" spans="2:7" x14ac:dyDescent="0.45">
      <c r="C169" s="593"/>
      <c r="D169" s="136"/>
      <c r="E169" s="136"/>
      <c r="F169" s="136"/>
      <c r="G169" s="593"/>
    </row>
    <row r="177" spans="2:4" x14ac:dyDescent="0.45">
      <c r="B177" s="1" t="s">
        <v>793</v>
      </c>
    </row>
    <row r="178" spans="2:4" x14ac:dyDescent="0.45">
      <c r="C178" s="8" t="s">
        <v>71</v>
      </c>
    </row>
    <row r="179" spans="2:4" x14ac:dyDescent="0.45">
      <c r="C179" t="s">
        <v>72</v>
      </c>
    </row>
    <row r="180" spans="2:4" x14ac:dyDescent="0.45">
      <c r="C180" t="s">
        <v>73</v>
      </c>
    </row>
    <row r="181" spans="2:4" x14ac:dyDescent="0.45">
      <c r="C181" t="s">
        <v>74</v>
      </c>
    </row>
    <row r="183" spans="2:4" x14ac:dyDescent="0.45">
      <c r="C183" s="8" t="s">
        <v>75</v>
      </c>
    </row>
    <row r="184" spans="2:4" x14ac:dyDescent="0.45">
      <c r="C184" t="s">
        <v>76</v>
      </c>
    </row>
    <row r="185" spans="2:4" x14ac:dyDescent="0.45">
      <c r="D185" t="s">
        <v>16</v>
      </c>
    </row>
    <row r="186" spans="2:4" x14ac:dyDescent="0.45">
      <c r="C186" t="s">
        <v>103</v>
      </c>
    </row>
    <row r="188" spans="2:4" x14ac:dyDescent="0.45">
      <c r="B188" s="1" t="s">
        <v>796</v>
      </c>
    </row>
    <row r="189" spans="2:4" x14ac:dyDescent="0.45">
      <c r="C189" s="8" t="s">
        <v>77</v>
      </c>
    </row>
    <row r="190" spans="2:4" x14ac:dyDescent="0.45">
      <c r="C190" t="s">
        <v>78</v>
      </c>
    </row>
    <row r="191" spans="2:4" x14ac:dyDescent="0.45">
      <c r="C191" t="s">
        <v>73</v>
      </c>
    </row>
    <row r="193" spans="2:5" x14ac:dyDescent="0.45">
      <c r="C193" s="8" t="s">
        <v>79</v>
      </c>
    </row>
    <row r="194" spans="2:5" x14ac:dyDescent="0.45">
      <c r="C194" s="138" t="s">
        <v>17</v>
      </c>
    </row>
    <row r="195" spans="2:5" x14ac:dyDescent="0.45">
      <c r="C195" s="138"/>
      <c r="D195" t="s">
        <v>16</v>
      </c>
    </row>
    <row r="196" spans="2:5" x14ac:dyDescent="0.45">
      <c r="C196" s="138"/>
    </row>
    <row r="197" spans="2:5" x14ac:dyDescent="0.45">
      <c r="B197" s="1" t="s">
        <v>794</v>
      </c>
      <c r="C197" s="138"/>
    </row>
    <row r="198" spans="2:5" x14ac:dyDescent="0.45">
      <c r="C198" s="8" t="s">
        <v>104</v>
      </c>
    </row>
    <row r="199" spans="2:5" x14ac:dyDescent="0.45">
      <c r="C199" t="s">
        <v>105</v>
      </c>
    </row>
    <row r="200" spans="2:5" x14ac:dyDescent="0.45">
      <c r="D200" t="s">
        <v>80</v>
      </c>
    </row>
    <row r="201" spans="2:5" x14ac:dyDescent="0.45">
      <c r="E201" t="s">
        <v>81</v>
      </c>
    </row>
    <row r="202" spans="2:5" x14ac:dyDescent="0.45">
      <c r="E202" t="s">
        <v>82</v>
      </c>
    </row>
    <row r="203" spans="2:5" x14ac:dyDescent="0.45">
      <c r="D203" t="s">
        <v>18</v>
      </c>
    </row>
    <row r="204" spans="2:5" x14ac:dyDescent="0.45">
      <c r="E204" t="s">
        <v>19</v>
      </c>
    </row>
    <row r="205" spans="2:5" x14ac:dyDescent="0.45">
      <c r="E205" t="s">
        <v>10</v>
      </c>
    </row>
    <row r="206" spans="2:5" x14ac:dyDescent="0.45">
      <c r="E206" t="s">
        <v>83</v>
      </c>
    </row>
    <row r="207" spans="2:5" x14ac:dyDescent="0.45">
      <c r="D207" t="s">
        <v>84</v>
      </c>
    </row>
    <row r="208" spans="2:5" x14ac:dyDescent="0.45">
      <c r="D208" t="s">
        <v>100</v>
      </c>
    </row>
    <row r="209" spans="3:12" x14ac:dyDescent="0.45">
      <c r="D209" t="s">
        <v>20</v>
      </c>
    </row>
    <row r="210" spans="3:12" x14ac:dyDescent="0.45">
      <c r="C210" t="s">
        <v>106</v>
      </c>
    </row>
    <row r="212" spans="3:12" x14ac:dyDescent="0.45">
      <c r="D212" t="s">
        <v>798</v>
      </c>
    </row>
    <row r="213" spans="3:12" ht="14.65" thickBot="1" x14ac:dyDescent="0.5"/>
    <row r="214" spans="3:12" ht="14.65" thickBot="1" x14ac:dyDescent="0.5">
      <c r="E214" s="605" t="s">
        <v>0</v>
      </c>
      <c r="F214" s="606" t="s">
        <v>1</v>
      </c>
      <c r="G214" s="2893" t="s">
        <v>5</v>
      </c>
      <c r="H214" s="2893"/>
      <c r="I214" s="2893"/>
      <c r="J214" s="2893"/>
      <c r="K214" s="2893"/>
      <c r="L214" s="2894"/>
    </row>
    <row r="215" spans="3:12" x14ac:dyDescent="0.45">
      <c r="E215" s="146" t="s">
        <v>165</v>
      </c>
      <c r="F215" s="91" t="s">
        <v>166</v>
      </c>
      <c r="G215" s="2895" t="s">
        <v>167</v>
      </c>
      <c r="H215" s="2895"/>
      <c r="I215" s="2895"/>
      <c r="J215" s="2895"/>
      <c r="K215" s="2895"/>
      <c r="L215" s="2896"/>
    </row>
    <row r="216" spans="3:12" x14ac:dyDescent="0.45">
      <c r="E216" s="565" t="s">
        <v>168</v>
      </c>
      <c r="F216" s="567" t="s">
        <v>169</v>
      </c>
      <c r="G216" s="2889" t="s">
        <v>170</v>
      </c>
      <c r="H216" s="2889"/>
      <c r="I216" s="2889"/>
      <c r="J216" s="2889"/>
      <c r="K216" s="2889"/>
      <c r="L216" s="2890"/>
    </row>
    <row r="217" spans="3:12" x14ac:dyDescent="0.45">
      <c r="E217" s="565" t="s">
        <v>171</v>
      </c>
      <c r="F217" s="567" t="s">
        <v>172</v>
      </c>
      <c r="G217" s="2889" t="s">
        <v>173</v>
      </c>
      <c r="H217" s="2889"/>
      <c r="I217" s="2889"/>
      <c r="J217" s="2889"/>
      <c r="K217" s="2889"/>
      <c r="L217" s="2890"/>
    </row>
    <row r="218" spans="3:12" x14ac:dyDescent="0.45">
      <c r="E218" s="565" t="s">
        <v>174</v>
      </c>
      <c r="F218" s="567" t="s">
        <v>175</v>
      </c>
      <c r="G218" s="2889" t="s">
        <v>176</v>
      </c>
      <c r="H218" s="2889"/>
      <c r="I218" s="2889"/>
      <c r="J218" s="2889"/>
      <c r="K218" s="2889"/>
      <c r="L218" s="2890"/>
    </row>
    <row r="219" spans="3:12" x14ac:dyDescent="0.45">
      <c r="E219" s="565" t="s">
        <v>177</v>
      </c>
      <c r="F219" s="567" t="s">
        <v>178</v>
      </c>
      <c r="G219" s="2889" t="s">
        <v>179</v>
      </c>
      <c r="H219" s="2889"/>
      <c r="I219" s="2889"/>
      <c r="J219" s="2889"/>
      <c r="K219" s="2889"/>
      <c r="L219" s="2890"/>
    </row>
    <row r="220" spans="3:12" x14ac:dyDescent="0.45">
      <c r="E220" s="565" t="s">
        <v>180</v>
      </c>
      <c r="F220" s="567" t="s">
        <v>181</v>
      </c>
      <c r="G220" s="2889" t="s">
        <v>182</v>
      </c>
      <c r="H220" s="2889"/>
      <c r="I220" s="2889"/>
      <c r="J220" s="2889"/>
      <c r="K220" s="2889"/>
      <c r="L220" s="2890"/>
    </row>
    <row r="221" spans="3:12" x14ac:dyDescent="0.45">
      <c r="E221" s="565" t="s">
        <v>183</v>
      </c>
      <c r="F221" s="567" t="s">
        <v>184</v>
      </c>
      <c r="G221" s="2889" t="s">
        <v>185</v>
      </c>
      <c r="H221" s="2889"/>
      <c r="I221" s="2889"/>
      <c r="J221" s="2889"/>
      <c r="K221" s="2889"/>
      <c r="L221" s="2890"/>
    </row>
    <row r="222" spans="3:12" x14ac:dyDescent="0.45">
      <c r="E222" s="565" t="s">
        <v>151</v>
      </c>
      <c r="F222" s="567" t="s">
        <v>149</v>
      </c>
      <c r="G222" s="2889" t="s">
        <v>150</v>
      </c>
      <c r="H222" s="2889"/>
      <c r="I222" s="2889"/>
      <c r="J222" s="2889"/>
      <c r="K222" s="2889"/>
      <c r="L222" s="2890"/>
    </row>
    <row r="223" spans="3:12" ht="14.65" thickBot="1" x14ac:dyDescent="0.5">
      <c r="E223" s="607" t="s">
        <v>186</v>
      </c>
      <c r="F223" s="608" t="s">
        <v>187</v>
      </c>
      <c r="G223" s="2891" t="s">
        <v>188</v>
      </c>
      <c r="H223" s="2891"/>
      <c r="I223" s="2891"/>
      <c r="J223" s="2891"/>
      <c r="K223" s="2891"/>
      <c r="L223" s="2892"/>
    </row>
    <row r="224" spans="3:12" x14ac:dyDescent="0.45">
      <c r="E224" s="45"/>
      <c r="F224" s="46"/>
      <c r="G224" s="46"/>
    </row>
    <row r="225" spans="3:7" ht="14.65" thickBot="1" x14ac:dyDescent="0.5">
      <c r="D225" t="s">
        <v>189</v>
      </c>
    </row>
    <row r="226" spans="3:7" ht="14.65" thickBot="1" x14ac:dyDescent="0.5">
      <c r="E226" s="321" t="s">
        <v>0</v>
      </c>
      <c r="F226" s="266" t="s">
        <v>1</v>
      </c>
      <c r="G226" s="609" t="s">
        <v>5</v>
      </c>
    </row>
    <row r="227" spans="3:7" x14ac:dyDescent="0.45">
      <c r="E227" s="610" t="s">
        <v>190</v>
      </c>
      <c r="F227" s="611" t="s">
        <v>191</v>
      </c>
      <c r="G227" s="612" t="s">
        <v>192</v>
      </c>
    </row>
    <row r="228" spans="3:7" x14ac:dyDescent="0.45">
      <c r="E228" s="613" t="s">
        <v>193</v>
      </c>
      <c r="F228" s="614" t="s">
        <v>194</v>
      </c>
      <c r="G228" s="615" t="s">
        <v>195</v>
      </c>
    </row>
    <row r="229" spans="3:7" x14ac:dyDescent="0.45">
      <c r="E229" s="613" t="s">
        <v>196</v>
      </c>
      <c r="F229" s="616" t="s">
        <v>197</v>
      </c>
      <c r="G229" s="617" t="s">
        <v>198</v>
      </c>
    </row>
    <row r="230" spans="3:7" x14ac:dyDescent="0.45">
      <c r="E230" s="613" t="s">
        <v>199</v>
      </c>
      <c r="F230" s="616" t="s">
        <v>200</v>
      </c>
      <c r="G230" s="617" t="s">
        <v>201</v>
      </c>
    </row>
    <row r="231" spans="3:7" x14ac:dyDescent="0.45">
      <c r="E231" s="613" t="s">
        <v>202</v>
      </c>
      <c r="F231" s="616" t="s">
        <v>203</v>
      </c>
      <c r="G231" s="617" t="s">
        <v>204</v>
      </c>
    </row>
    <row r="232" spans="3:7" ht="14.65" thickBot="1" x14ac:dyDescent="0.5">
      <c r="E232" s="618" t="s">
        <v>205</v>
      </c>
      <c r="F232" s="619" t="s">
        <v>206</v>
      </c>
      <c r="G232" s="620" t="s">
        <v>207</v>
      </c>
    </row>
    <row r="234" spans="3:7" x14ac:dyDescent="0.45">
      <c r="D234" t="s">
        <v>208</v>
      </c>
    </row>
    <row r="236" spans="3:7" x14ac:dyDescent="0.45">
      <c r="C236" t="s">
        <v>3670</v>
      </c>
    </row>
    <row r="237" spans="3:7" x14ac:dyDescent="0.45">
      <c r="C237" t="s">
        <v>111</v>
      </c>
    </row>
    <row r="238" spans="3:7" x14ac:dyDescent="0.45">
      <c r="D238" t="s">
        <v>114</v>
      </c>
    </row>
    <row r="239" spans="3:7" x14ac:dyDescent="0.45">
      <c r="C239" t="s">
        <v>112</v>
      </c>
    </row>
    <row r="240" spans="3:7" x14ac:dyDescent="0.45">
      <c r="C240" t="s">
        <v>209</v>
      </c>
    </row>
    <row r="243" spans="2:7" x14ac:dyDescent="0.45">
      <c r="B243" s="1" t="s">
        <v>797</v>
      </c>
    </row>
    <row r="244" spans="2:7" x14ac:dyDescent="0.45">
      <c r="C244" s="8" t="s">
        <v>85</v>
      </c>
    </row>
    <row r="245" spans="2:7" x14ac:dyDescent="0.45">
      <c r="C245" t="s">
        <v>86</v>
      </c>
    </row>
    <row r="246" spans="2:7" x14ac:dyDescent="0.45">
      <c r="D246" t="s">
        <v>87</v>
      </c>
      <c r="F246" s="137"/>
      <c r="G246" s="137"/>
    </row>
    <row r="247" spans="2:7" x14ac:dyDescent="0.45">
      <c r="E247" t="s">
        <v>21</v>
      </c>
    </row>
    <row r="248" spans="2:7" x14ac:dyDescent="0.45">
      <c r="E248" t="s">
        <v>22</v>
      </c>
    </row>
    <row r="249" spans="2:7" x14ac:dyDescent="0.45">
      <c r="D249" t="s">
        <v>88</v>
      </c>
    </row>
    <row r="250" spans="2:7" ht="15.75" x14ac:dyDescent="0.55000000000000004">
      <c r="E250" t="s">
        <v>23</v>
      </c>
    </row>
    <row r="251" spans="2:7" ht="15.75" x14ac:dyDescent="0.55000000000000004">
      <c r="E251" t="s">
        <v>89</v>
      </c>
    </row>
    <row r="252" spans="2:7" x14ac:dyDescent="0.45">
      <c r="D252" t="s">
        <v>25</v>
      </c>
    </row>
    <row r="253" spans="2:7" x14ac:dyDescent="0.45">
      <c r="D253" t="s">
        <v>24</v>
      </c>
    </row>
    <row r="254" spans="2:7" x14ac:dyDescent="0.45">
      <c r="D254" t="s">
        <v>90</v>
      </c>
    </row>
    <row r="256" spans="2:7" x14ac:dyDescent="0.45">
      <c r="C256" s="8"/>
    </row>
    <row r="260" spans="2:4" x14ac:dyDescent="0.45">
      <c r="D260" t="s">
        <v>91</v>
      </c>
    </row>
    <row r="264" spans="2:4" x14ac:dyDescent="0.45">
      <c r="D264" t="s">
        <v>92</v>
      </c>
    </row>
    <row r="267" spans="2:4" x14ac:dyDescent="0.45">
      <c r="B267" s="8" t="s">
        <v>121</v>
      </c>
    </row>
    <row r="268" spans="2:4" x14ac:dyDescent="0.45">
      <c r="B268" s="8"/>
      <c r="C268" s="8" t="s">
        <v>122</v>
      </c>
    </row>
    <row r="269" spans="2:4" x14ac:dyDescent="0.45">
      <c r="B269" s="8"/>
      <c r="C269" t="s">
        <v>123</v>
      </c>
    </row>
    <row r="270" spans="2:4" x14ac:dyDescent="0.45">
      <c r="B270" s="8"/>
      <c r="D270" t="s">
        <v>124</v>
      </c>
    </row>
    <row r="271" spans="2:4" x14ac:dyDescent="0.45">
      <c r="B271" s="8"/>
    </row>
    <row r="272" spans="2:4" x14ac:dyDescent="0.45">
      <c r="B272" s="8" t="s">
        <v>160</v>
      </c>
    </row>
    <row r="273" spans="2:4" x14ac:dyDescent="0.45">
      <c r="B273" s="8"/>
      <c r="C273" s="8" t="s">
        <v>210</v>
      </c>
    </row>
    <row r="274" spans="2:4" x14ac:dyDescent="0.45">
      <c r="B274" s="8"/>
      <c r="C274" t="s">
        <v>211</v>
      </c>
    </row>
    <row r="275" spans="2:4" x14ac:dyDescent="0.45">
      <c r="B275" s="8"/>
    </row>
    <row r="276" spans="2:4" x14ac:dyDescent="0.45">
      <c r="B276" s="8" t="s">
        <v>94</v>
      </c>
    </row>
    <row r="277" spans="2:4" x14ac:dyDescent="0.45">
      <c r="C277" t="s">
        <v>799</v>
      </c>
    </row>
    <row r="278" spans="2:4" x14ac:dyDescent="0.45">
      <c r="C278" s="8" t="s">
        <v>98</v>
      </c>
    </row>
    <row r="279" spans="2:4" x14ac:dyDescent="0.45">
      <c r="D279" t="s">
        <v>95</v>
      </c>
    </row>
    <row r="280" spans="2:4" x14ac:dyDescent="0.45">
      <c r="D280" t="s">
        <v>96</v>
      </c>
    </row>
    <row r="281" spans="2:4" x14ac:dyDescent="0.45">
      <c r="D281" t="s">
        <v>97</v>
      </c>
    </row>
  </sheetData>
  <mergeCells count="10">
    <mergeCell ref="G220:L220"/>
    <mergeCell ref="G221:L221"/>
    <mergeCell ref="G222:L222"/>
    <mergeCell ref="G223:L223"/>
    <mergeCell ref="G214:L214"/>
    <mergeCell ref="G215:L215"/>
    <mergeCell ref="G216:L216"/>
    <mergeCell ref="G217:L217"/>
    <mergeCell ref="G218:L218"/>
    <mergeCell ref="G219:L219"/>
  </mergeCells>
  <hyperlinks>
    <hyperlink ref="H14" r:id="rId1" xr:uid="{00000000-0004-0000-00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unka2"/>
  <dimension ref="A1:R565"/>
  <sheetViews>
    <sheetView showGridLines="0" tabSelected="1" zoomScale="85" zoomScaleNormal="85" workbookViewId="0">
      <pane ySplit="1" topLeftCell="A329" activePane="bottomLeft" state="frozen"/>
      <selection pane="bottomLeft" activeCell="C365" sqref="C365"/>
    </sheetView>
  </sheetViews>
  <sheetFormatPr defaultColWidth="9.1328125" defaultRowHeight="14.25" x14ac:dyDescent="0.45"/>
  <cols>
    <col min="1" max="1" width="9" style="114" bestFit="1" customWidth="1"/>
    <col min="2" max="2" width="23.53125" style="124" bestFit="1" customWidth="1"/>
    <col min="3" max="3" width="88.46484375" style="370" bestFit="1" customWidth="1"/>
    <col min="4" max="4" width="21.1328125" style="114" customWidth="1"/>
    <col min="5" max="6" width="14.46484375" style="114" customWidth="1"/>
    <col min="7" max="7" width="16.46484375" style="114" customWidth="1"/>
    <col min="8" max="8" width="11.46484375" style="114" customWidth="1"/>
    <col min="9" max="9" width="18.53125" style="124" customWidth="1"/>
    <col min="10" max="10" width="63" style="124" customWidth="1"/>
    <col min="11" max="11" width="8.86328125" style="114" customWidth="1"/>
    <col min="12" max="12" width="19.53125" style="114" customWidth="1"/>
    <col min="13" max="13" width="7.86328125" style="114" customWidth="1"/>
    <col min="14" max="14" width="9.1328125" style="114" customWidth="1"/>
    <col min="15" max="15" width="48.1328125" style="114" bestFit="1" customWidth="1"/>
    <col min="16" max="16" width="53.86328125" style="114" bestFit="1" customWidth="1"/>
    <col min="17" max="16384" width="9.1328125" style="114"/>
  </cols>
  <sheetData>
    <row r="1" spans="1:16" s="112" customFormat="1" ht="57.7" customHeight="1" x14ac:dyDescent="0.45">
      <c r="A1" s="111"/>
      <c r="B1" s="151"/>
      <c r="C1" s="1043"/>
      <c r="I1" s="151"/>
      <c r="J1" s="151"/>
    </row>
    <row r="2" spans="1:16" s="113" customFormat="1" ht="14.65" thickBot="1" x14ac:dyDescent="0.5">
      <c r="B2" s="148"/>
      <c r="C2" s="1044"/>
      <c r="D2" s="149"/>
      <c r="E2" s="150"/>
      <c r="F2" s="150"/>
      <c r="G2" s="150"/>
      <c r="H2" s="150"/>
      <c r="I2" s="153"/>
      <c r="J2" s="153"/>
    </row>
    <row r="3" spans="1:16" s="989" customFormat="1" ht="14.65" thickBot="1" x14ac:dyDescent="0.5">
      <c r="A3" s="983" t="s">
        <v>4949</v>
      </c>
      <c r="B3" s="984"/>
      <c r="C3" s="1045"/>
      <c r="D3" s="986"/>
      <c r="E3" s="987"/>
      <c r="F3" s="987"/>
      <c r="G3" s="987"/>
      <c r="H3" s="987"/>
      <c r="I3" s="985"/>
      <c r="J3" s="985"/>
      <c r="K3" s="988"/>
      <c r="L3" s="988"/>
      <c r="M3" s="988"/>
      <c r="N3" s="988"/>
      <c r="O3" s="988"/>
      <c r="P3" s="988"/>
    </row>
    <row r="4" spans="1:16" s="113" customFormat="1" ht="14.65" thickBot="1" x14ac:dyDescent="0.5">
      <c r="B4" s="124"/>
      <c r="C4" s="1046"/>
      <c r="D4" s="1931"/>
      <c r="E4" s="116"/>
      <c r="F4" s="116"/>
      <c r="G4" s="116"/>
      <c r="H4" s="116"/>
      <c r="I4" s="115"/>
      <c r="J4" s="1889"/>
    </row>
    <row r="5" spans="1:16" ht="14.65" thickBot="1" x14ac:dyDescent="0.5">
      <c r="A5" s="113"/>
      <c r="C5" s="425" t="s">
        <v>2230</v>
      </c>
      <c r="D5" s="114" t="s">
        <v>301</v>
      </c>
    </row>
    <row r="6" spans="1:16" s="113" customFormat="1" ht="14.65" thickBot="1" x14ac:dyDescent="0.5">
      <c r="B6" s="262" t="s">
        <v>0</v>
      </c>
      <c r="C6" s="1047" t="s">
        <v>1</v>
      </c>
      <c r="D6" s="267" t="s">
        <v>841</v>
      </c>
      <c r="E6" s="267" t="s">
        <v>471</v>
      </c>
      <c r="F6" s="267" t="s">
        <v>472</v>
      </c>
      <c r="G6" s="267" t="s">
        <v>2</v>
      </c>
      <c r="H6" s="267" t="s">
        <v>300</v>
      </c>
      <c r="I6" s="265" t="s">
        <v>116</v>
      </c>
      <c r="J6" s="270" t="s">
        <v>117</v>
      </c>
    </row>
    <row r="7" spans="1:16" s="113" customFormat="1" ht="15.75" x14ac:dyDescent="0.45">
      <c r="B7" s="184" t="s">
        <v>1187</v>
      </c>
      <c r="C7" s="1048" t="s">
        <v>275</v>
      </c>
      <c r="D7" s="2206">
        <v>4</v>
      </c>
      <c r="E7" s="185">
        <v>0</v>
      </c>
      <c r="F7" s="185" t="s">
        <v>1256</v>
      </c>
      <c r="G7" s="185" t="s">
        <v>444</v>
      </c>
      <c r="H7" s="185">
        <v>1</v>
      </c>
      <c r="I7" s="824" t="s">
        <v>2027</v>
      </c>
      <c r="J7" s="1158"/>
    </row>
    <row r="8" spans="1:16" s="113" customFormat="1" ht="15.75" x14ac:dyDescent="0.45">
      <c r="B8" s="184" t="s">
        <v>1189</v>
      </c>
      <c r="C8" s="1048" t="s">
        <v>2516</v>
      </c>
      <c r="D8" s="2206">
        <v>0.3</v>
      </c>
      <c r="E8" s="185">
        <v>0</v>
      </c>
      <c r="F8" s="185" t="s">
        <v>1256</v>
      </c>
      <c r="G8" s="185" t="s">
        <v>444</v>
      </c>
      <c r="H8" s="185">
        <v>1</v>
      </c>
      <c r="I8" s="824"/>
      <c r="J8" s="1159"/>
    </row>
    <row r="9" spans="1:16" s="113" customFormat="1" ht="15.75" x14ac:dyDescent="0.45">
      <c r="B9" s="184" t="s">
        <v>1188</v>
      </c>
      <c r="C9" s="1048" t="s">
        <v>2517</v>
      </c>
      <c r="D9" s="2207">
        <v>0.62</v>
      </c>
      <c r="E9" s="185">
        <v>0</v>
      </c>
      <c r="F9" s="185" t="s">
        <v>1256</v>
      </c>
      <c r="G9" s="185" t="s">
        <v>444</v>
      </c>
      <c r="H9" s="185">
        <v>2</v>
      </c>
      <c r="I9" s="824"/>
      <c r="J9" s="1159"/>
    </row>
    <row r="10" spans="1:16" s="113" customFormat="1" ht="15.75" x14ac:dyDescent="0.45">
      <c r="B10" s="990" t="s">
        <v>3850</v>
      </c>
      <c r="C10" s="1049" t="s">
        <v>3851</v>
      </c>
      <c r="D10" s="2207">
        <v>0.28000000000000003</v>
      </c>
      <c r="E10" s="185">
        <v>0</v>
      </c>
      <c r="F10" s="185" t="s">
        <v>1256</v>
      </c>
      <c r="G10" s="326" t="s">
        <v>2017</v>
      </c>
      <c r="H10" s="185">
        <v>2</v>
      </c>
      <c r="I10" s="824"/>
      <c r="J10" s="1159" t="s">
        <v>3849</v>
      </c>
    </row>
    <row r="11" spans="1:16" s="113" customFormat="1" ht="15.75" x14ac:dyDescent="0.45">
      <c r="B11" s="990" t="s">
        <v>3853</v>
      </c>
      <c r="C11" s="1049" t="s">
        <v>3852</v>
      </c>
      <c r="D11" s="2207">
        <v>0.16</v>
      </c>
      <c r="E11" s="185">
        <v>0</v>
      </c>
      <c r="F11" s="185" t="s">
        <v>1256</v>
      </c>
      <c r="G11" s="326" t="s">
        <v>2017</v>
      </c>
      <c r="H11" s="185">
        <v>2</v>
      </c>
      <c r="I11" s="824"/>
      <c r="J11" s="1159" t="s">
        <v>3849</v>
      </c>
    </row>
    <row r="12" spans="1:16" s="113" customFormat="1" ht="15.75" x14ac:dyDescent="0.45">
      <c r="B12" s="990" t="s">
        <v>3854</v>
      </c>
      <c r="C12" s="1049" t="s">
        <v>3855</v>
      </c>
      <c r="D12" s="2207">
        <v>0.35</v>
      </c>
      <c r="E12" s="185">
        <v>0</v>
      </c>
      <c r="F12" s="185" t="s">
        <v>1256</v>
      </c>
      <c r="G12" s="326" t="s">
        <v>2017</v>
      </c>
      <c r="H12" s="185">
        <v>2</v>
      </c>
      <c r="I12" s="824"/>
      <c r="J12" s="1159" t="s">
        <v>3849</v>
      </c>
    </row>
    <row r="13" spans="1:16" s="113" customFormat="1" ht="15.75" x14ac:dyDescent="0.45">
      <c r="B13" s="990" t="s">
        <v>3856</v>
      </c>
      <c r="C13" s="1049" t="s">
        <v>3857</v>
      </c>
      <c r="D13" s="2207">
        <v>0.35</v>
      </c>
      <c r="E13" s="185">
        <v>0</v>
      </c>
      <c r="F13" s="185" t="s">
        <v>1256</v>
      </c>
      <c r="G13" s="326" t="s">
        <v>2017</v>
      </c>
      <c r="H13" s="185">
        <v>2</v>
      </c>
      <c r="I13" s="824"/>
      <c r="J13" s="1159" t="s">
        <v>3849</v>
      </c>
    </row>
    <row r="14" spans="1:16" s="113" customFormat="1" ht="15.75" x14ac:dyDescent="0.45">
      <c r="B14" s="184" t="s">
        <v>1941</v>
      </c>
      <c r="C14" s="1048" t="s">
        <v>2518</v>
      </c>
      <c r="D14" s="2206">
        <v>5</v>
      </c>
      <c r="E14" s="185">
        <v>0</v>
      </c>
      <c r="F14" s="185" t="s">
        <v>1256</v>
      </c>
      <c r="G14" s="185" t="s">
        <v>1182</v>
      </c>
      <c r="H14" s="185">
        <v>1</v>
      </c>
      <c r="I14" s="824" t="s">
        <v>2026</v>
      </c>
      <c r="J14" s="1158"/>
    </row>
    <row r="15" spans="1:16" s="113" customFormat="1" ht="15.75" x14ac:dyDescent="0.45">
      <c r="B15" s="184" t="s">
        <v>3858</v>
      </c>
      <c r="C15" s="1048" t="s">
        <v>3859</v>
      </c>
      <c r="D15" s="2206">
        <v>5</v>
      </c>
      <c r="E15" s="185">
        <v>0</v>
      </c>
      <c r="F15" s="185" t="s">
        <v>1256</v>
      </c>
      <c r="G15" s="185" t="s">
        <v>1182</v>
      </c>
      <c r="H15" s="185">
        <v>1</v>
      </c>
      <c r="I15" s="824" t="s">
        <v>2026</v>
      </c>
      <c r="J15" s="1158" t="s">
        <v>3866</v>
      </c>
    </row>
    <row r="16" spans="1:16" s="113" customFormat="1" ht="15.75" x14ac:dyDescent="0.45">
      <c r="B16" s="184" t="s">
        <v>3860</v>
      </c>
      <c r="C16" s="1048" t="s">
        <v>3861</v>
      </c>
      <c r="D16" s="2206">
        <v>5</v>
      </c>
      <c r="E16" s="185">
        <v>0</v>
      </c>
      <c r="F16" s="185" t="s">
        <v>1256</v>
      </c>
      <c r="G16" s="185" t="s">
        <v>1182</v>
      </c>
      <c r="H16" s="185">
        <v>1</v>
      </c>
      <c r="I16" s="824" t="s">
        <v>2026</v>
      </c>
      <c r="J16" s="1158" t="s">
        <v>3866</v>
      </c>
    </row>
    <row r="17" spans="2:12" s="113" customFormat="1" ht="15.75" x14ac:dyDescent="0.45">
      <c r="B17" s="184" t="s">
        <v>3862</v>
      </c>
      <c r="C17" s="1048" t="s">
        <v>3863</v>
      </c>
      <c r="D17" s="2206">
        <v>5</v>
      </c>
      <c r="E17" s="185">
        <v>0</v>
      </c>
      <c r="F17" s="185" t="s">
        <v>1256</v>
      </c>
      <c r="G17" s="185" t="s">
        <v>1182</v>
      </c>
      <c r="H17" s="185">
        <v>1</v>
      </c>
      <c r="I17" s="824" t="s">
        <v>2026</v>
      </c>
      <c r="J17" s="1158" t="s">
        <v>3866</v>
      </c>
    </row>
    <row r="18" spans="2:12" s="113" customFormat="1" ht="15.75" x14ac:dyDescent="0.45">
      <c r="B18" s="184" t="s">
        <v>3864</v>
      </c>
      <c r="C18" s="1048" t="s">
        <v>3865</v>
      </c>
      <c r="D18" s="2206">
        <v>5</v>
      </c>
      <c r="E18" s="185">
        <v>0</v>
      </c>
      <c r="F18" s="185" t="s">
        <v>1256</v>
      </c>
      <c r="G18" s="185" t="s">
        <v>1182</v>
      </c>
      <c r="H18" s="185">
        <v>1</v>
      </c>
      <c r="I18" s="824" t="s">
        <v>2026</v>
      </c>
      <c r="J18" s="1158" t="s">
        <v>3866</v>
      </c>
    </row>
    <row r="19" spans="2:12" s="113" customFormat="1" ht="16.5" x14ac:dyDescent="0.45">
      <c r="B19" s="184" t="s">
        <v>1944</v>
      </c>
      <c r="C19" s="1048" t="s">
        <v>2519</v>
      </c>
      <c r="D19" s="2207">
        <v>0.15</v>
      </c>
      <c r="E19" s="185">
        <v>0</v>
      </c>
      <c r="F19" s="185" t="s">
        <v>1256</v>
      </c>
      <c r="G19" s="185" t="s">
        <v>1181</v>
      </c>
      <c r="H19" s="185">
        <v>2</v>
      </c>
      <c r="I19" s="824" t="s">
        <v>2025</v>
      </c>
      <c r="J19" s="1158"/>
    </row>
    <row r="20" spans="2:12" s="113" customFormat="1" ht="16.5" x14ac:dyDescent="0.45">
      <c r="B20" s="184" t="s">
        <v>3872</v>
      </c>
      <c r="C20" s="1048" t="s">
        <v>3867</v>
      </c>
      <c r="D20" s="2207">
        <v>0.15</v>
      </c>
      <c r="E20" s="185">
        <v>0</v>
      </c>
      <c r="F20" s="185" t="s">
        <v>1256</v>
      </c>
      <c r="G20" s="185" t="s">
        <v>1181</v>
      </c>
      <c r="H20" s="185">
        <v>2</v>
      </c>
      <c r="I20" s="824" t="s">
        <v>2025</v>
      </c>
      <c r="J20" s="1158" t="s">
        <v>3875</v>
      </c>
    </row>
    <row r="21" spans="2:12" s="113" customFormat="1" ht="16.5" x14ac:dyDescent="0.45">
      <c r="B21" s="184" t="s">
        <v>3873</v>
      </c>
      <c r="C21" s="1048" t="s">
        <v>3868</v>
      </c>
      <c r="D21" s="2207">
        <v>0.15</v>
      </c>
      <c r="E21" s="185">
        <v>0</v>
      </c>
      <c r="F21" s="185" t="s">
        <v>1256</v>
      </c>
      <c r="G21" s="185" t="s">
        <v>1181</v>
      </c>
      <c r="H21" s="185">
        <v>2</v>
      </c>
      <c r="I21" s="824" t="s">
        <v>2025</v>
      </c>
      <c r="J21" s="1158" t="s">
        <v>3875</v>
      </c>
    </row>
    <row r="22" spans="2:12" s="113" customFormat="1" ht="16.5" x14ac:dyDescent="0.45">
      <c r="B22" s="184" t="s">
        <v>3874</v>
      </c>
      <c r="C22" s="1048" t="s">
        <v>3869</v>
      </c>
      <c r="D22" s="2207">
        <v>0.15</v>
      </c>
      <c r="E22" s="185">
        <v>0</v>
      </c>
      <c r="F22" s="185" t="s">
        <v>1256</v>
      </c>
      <c r="G22" s="185" t="s">
        <v>1181</v>
      </c>
      <c r="H22" s="185">
        <v>2</v>
      </c>
      <c r="I22" s="824" t="s">
        <v>2025</v>
      </c>
      <c r="J22" s="1158" t="s">
        <v>3875</v>
      </c>
    </row>
    <row r="23" spans="2:12" s="113" customFormat="1" ht="16.5" x14ac:dyDescent="0.45">
      <c r="B23" s="184" t="s">
        <v>3870</v>
      </c>
      <c r="C23" s="1048" t="s">
        <v>3871</v>
      </c>
      <c r="D23" s="2207">
        <v>0.15</v>
      </c>
      <c r="E23" s="185">
        <v>0</v>
      </c>
      <c r="F23" s="185" t="s">
        <v>1256</v>
      </c>
      <c r="G23" s="185" t="s">
        <v>1181</v>
      </c>
      <c r="H23" s="185">
        <v>2</v>
      </c>
      <c r="I23" s="824" t="s">
        <v>2025</v>
      </c>
      <c r="J23" s="1158" t="s">
        <v>3875</v>
      </c>
    </row>
    <row r="24" spans="2:12" s="113" customFormat="1" ht="15.75" x14ac:dyDescent="0.45">
      <c r="B24" s="184" t="s">
        <v>1942</v>
      </c>
      <c r="C24" s="1048" t="s">
        <v>2520</v>
      </c>
      <c r="D24" s="2206">
        <v>0.5</v>
      </c>
      <c r="E24" s="185">
        <v>0</v>
      </c>
      <c r="F24" s="185" t="s">
        <v>1256</v>
      </c>
      <c r="G24" s="185" t="s">
        <v>1182</v>
      </c>
      <c r="H24" s="185">
        <v>1</v>
      </c>
      <c r="I24" s="824"/>
      <c r="J24" s="1158"/>
    </row>
    <row r="25" spans="2:12" s="113" customFormat="1" ht="15.75" x14ac:dyDescent="0.45">
      <c r="B25" s="184" t="s">
        <v>3980</v>
      </c>
      <c r="C25" s="1048" t="s">
        <v>3984</v>
      </c>
      <c r="D25" s="2206">
        <v>0.5</v>
      </c>
      <c r="E25" s="185">
        <v>0</v>
      </c>
      <c r="F25" s="185" t="s">
        <v>1256</v>
      </c>
      <c r="G25" s="185" t="s">
        <v>1182</v>
      </c>
      <c r="H25" s="185">
        <v>1</v>
      </c>
      <c r="I25" s="824" t="s">
        <v>2026</v>
      </c>
      <c r="J25" s="1158" t="s">
        <v>3866</v>
      </c>
    </row>
    <row r="26" spans="2:12" s="113" customFormat="1" ht="15.75" x14ac:dyDescent="0.45">
      <c r="B26" s="184" t="s">
        <v>3981</v>
      </c>
      <c r="C26" s="1048" t="s">
        <v>3985</v>
      </c>
      <c r="D26" s="2206">
        <v>0.5</v>
      </c>
      <c r="E26" s="185">
        <v>0</v>
      </c>
      <c r="F26" s="185" t="s">
        <v>1256</v>
      </c>
      <c r="G26" s="185" t="s">
        <v>1182</v>
      </c>
      <c r="H26" s="185">
        <v>1</v>
      </c>
      <c r="I26" s="824" t="s">
        <v>2026</v>
      </c>
      <c r="J26" s="1158" t="s">
        <v>3866</v>
      </c>
    </row>
    <row r="27" spans="2:12" s="113" customFormat="1" ht="15.75" x14ac:dyDescent="0.45">
      <c r="B27" s="184" t="s">
        <v>3982</v>
      </c>
      <c r="C27" s="1048" t="s">
        <v>3986</v>
      </c>
      <c r="D27" s="2206">
        <v>0.5</v>
      </c>
      <c r="E27" s="185">
        <v>0</v>
      </c>
      <c r="F27" s="185" t="s">
        <v>1256</v>
      </c>
      <c r="G27" s="185" t="s">
        <v>1182</v>
      </c>
      <c r="H27" s="185">
        <v>1</v>
      </c>
      <c r="I27" s="824" t="s">
        <v>2026</v>
      </c>
      <c r="J27" s="1158" t="s">
        <v>3866</v>
      </c>
    </row>
    <row r="28" spans="2:12" s="113" customFormat="1" ht="15.75" x14ac:dyDescent="0.45">
      <c r="B28" s="184" t="s">
        <v>3983</v>
      </c>
      <c r="C28" s="1048" t="s">
        <v>3987</v>
      </c>
      <c r="D28" s="2206">
        <v>0.5</v>
      </c>
      <c r="E28" s="185">
        <v>0</v>
      </c>
      <c r="F28" s="185" t="s">
        <v>1256</v>
      </c>
      <c r="G28" s="185" t="s">
        <v>1182</v>
      </c>
      <c r="H28" s="185">
        <v>1</v>
      </c>
      <c r="I28" s="824" t="s">
        <v>2026</v>
      </c>
      <c r="J28" s="1158" t="s">
        <v>3866</v>
      </c>
    </row>
    <row r="29" spans="2:12" s="113" customFormat="1" ht="15.75" x14ac:dyDescent="0.45">
      <c r="B29" s="184" t="s">
        <v>1943</v>
      </c>
      <c r="C29" s="1048" t="s">
        <v>2521</v>
      </c>
      <c r="D29" s="2206">
        <v>0.1</v>
      </c>
      <c r="E29" s="185">
        <v>0</v>
      </c>
      <c r="F29" s="185" t="s">
        <v>1256</v>
      </c>
      <c r="G29" s="185" t="s">
        <v>1182</v>
      </c>
      <c r="H29" s="185">
        <v>1</v>
      </c>
      <c r="I29" s="824"/>
      <c r="J29" s="1158"/>
      <c r="L29" s="2009"/>
    </row>
    <row r="30" spans="2:12" s="113" customFormat="1" ht="15.75" x14ac:dyDescent="0.45">
      <c r="B30" s="184" t="s">
        <v>1945</v>
      </c>
      <c r="C30" s="1048" t="s">
        <v>2522</v>
      </c>
      <c r="D30" s="2207">
        <v>0.2</v>
      </c>
      <c r="E30" s="185">
        <v>0</v>
      </c>
      <c r="F30" s="185" t="s">
        <v>1256</v>
      </c>
      <c r="G30" s="185" t="s">
        <v>886</v>
      </c>
      <c r="H30" s="185">
        <v>2</v>
      </c>
      <c r="I30" s="824"/>
      <c r="J30" s="1158" t="s">
        <v>3876</v>
      </c>
    </row>
    <row r="31" spans="2:12" s="113" customFormat="1" ht="15.75" x14ac:dyDescent="0.45">
      <c r="B31" s="184" t="s">
        <v>2285</v>
      </c>
      <c r="C31" s="1048" t="s">
        <v>2523</v>
      </c>
      <c r="D31" s="2207">
        <v>0.2</v>
      </c>
      <c r="E31" s="185">
        <v>0</v>
      </c>
      <c r="F31" s="185" t="s">
        <v>1256</v>
      </c>
      <c r="G31" s="185" t="s">
        <v>886</v>
      </c>
      <c r="H31" s="185">
        <v>2</v>
      </c>
      <c r="I31" s="824"/>
      <c r="J31" s="1158" t="s">
        <v>3877</v>
      </c>
    </row>
    <row r="32" spans="2:12" s="113" customFormat="1" ht="15.75" x14ac:dyDescent="0.45">
      <c r="B32" s="184" t="s">
        <v>3878</v>
      </c>
      <c r="C32" s="1048" t="s">
        <v>3879</v>
      </c>
      <c r="D32" s="2207">
        <v>0.05</v>
      </c>
      <c r="E32" s="185">
        <v>0</v>
      </c>
      <c r="F32" s="185" t="s">
        <v>1256</v>
      </c>
      <c r="G32" s="185" t="s">
        <v>886</v>
      </c>
      <c r="H32" s="185">
        <v>2</v>
      </c>
      <c r="I32" s="824"/>
      <c r="J32" s="1159" t="s">
        <v>3888</v>
      </c>
    </row>
    <row r="33" spans="2:10" s="113" customFormat="1" ht="15.75" x14ac:dyDescent="0.45">
      <c r="B33" s="184" t="s">
        <v>3880</v>
      </c>
      <c r="C33" s="1048" t="s">
        <v>3881</v>
      </c>
      <c r="D33" s="2207">
        <v>0.05</v>
      </c>
      <c r="E33" s="185">
        <v>0</v>
      </c>
      <c r="F33" s="185" t="s">
        <v>1256</v>
      </c>
      <c r="G33" s="185" t="s">
        <v>886</v>
      </c>
      <c r="H33" s="185">
        <v>2</v>
      </c>
      <c r="I33" s="824"/>
      <c r="J33" s="1159" t="s">
        <v>3888</v>
      </c>
    </row>
    <row r="34" spans="2:10" s="113" customFormat="1" ht="15.75" x14ac:dyDescent="0.45">
      <c r="B34" s="184" t="s">
        <v>3883</v>
      </c>
      <c r="C34" s="1048" t="s">
        <v>3882</v>
      </c>
      <c r="D34" s="2207">
        <v>0.5</v>
      </c>
      <c r="E34" s="185">
        <v>0</v>
      </c>
      <c r="F34" s="185" t="s">
        <v>1256</v>
      </c>
      <c r="G34" s="185" t="s">
        <v>886</v>
      </c>
      <c r="H34" s="185">
        <v>2</v>
      </c>
      <c r="I34" s="824"/>
      <c r="J34" s="1159" t="s">
        <v>3888</v>
      </c>
    </row>
    <row r="35" spans="2:10" s="113" customFormat="1" ht="15.75" x14ac:dyDescent="0.45">
      <c r="B35" s="184" t="s">
        <v>3884</v>
      </c>
      <c r="C35" s="1048" t="s">
        <v>3885</v>
      </c>
      <c r="D35" s="2207">
        <v>0.3</v>
      </c>
      <c r="E35" s="185">
        <v>0</v>
      </c>
      <c r="F35" s="185" t="s">
        <v>1256</v>
      </c>
      <c r="G35" s="185" t="s">
        <v>886</v>
      </c>
      <c r="H35" s="185">
        <v>2</v>
      </c>
      <c r="I35" s="824"/>
      <c r="J35" s="1159" t="s">
        <v>3888</v>
      </c>
    </row>
    <row r="36" spans="2:10" s="113" customFormat="1" ht="15.75" x14ac:dyDescent="0.45">
      <c r="B36" s="184" t="s">
        <v>3886</v>
      </c>
      <c r="C36" s="1048" t="s">
        <v>3887</v>
      </c>
      <c r="D36" s="2207">
        <v>7.4999999999999997E-2</v>
      </c>
      <c r="E36" s="185">
        <v>0</v>
      </c>
      <c r="F36" s="185" t="s">
        <v>1256</v>
      </c>
      <c r="G36" s="185" t="s">
        <v>886</v>
      </c>
      <c r="H36" s="185">
        <v>2</v>
      </c>
      <c r="I36" s="824"/>
      <c r="J36" s="1159" t="s">
        <v>3888</v>
      </c>
    </row>
    <row r="37" spans="2:10" s="113" customFormat="1" ht="15.75" x14ac:dyDescent="0.45">
      <c r="B37" s="184" t="s">
        <v>2211</v>
      </c>
      <c r="C37" s="1048" t="s">
        <v>2750</v>
      </c>
      <c r="D37" s="2206">
        <v>50</v>
      </c>
      <c r="E37" s="185">
        <v>0</v>
      </c>
      <c r="F37" s="185" t="s">
        <v>1256</v>
      </c>
      <c r="G37" s="185" t="s">
        <v>1182</v>
      </c>
      <c r="H37" s="185">
        <v>1</v>
      </c>
      <c r="I37" s="824"/>
      <c r="J37" s="1158"/>
    </row>
    <row r="38" spans="2:10" s="113" customFormat="1" ht="15.75" x14ac:dyDescent="0.45">
      <c r="B38" s="1797" t="s">
        <v>4988</v>
      </c>
      <c r="C38" s="825" t="s">
        <v>4989</v>
      </c>
      <c r="D38" s="2193">
        <v>1.2E-2</v>
      </c>
      <c r="E38" s="1803">
        <v>0</v>
      </c>
      <c r="F38" s="1803">
        <v>2</v>
      </c>
      <c r="G38" s="1803" t="s">
        <v>2017</v>
      </c>
      <c r="H38" s="1803">
        <v>3</v>
      </c>
      <c r="I38" s="825"/>
      <c r="J38" s="1804" t="s">
        <v>4990</v>
      </c>
    </row>
    <row r="39" spans="2:10" s="113" customFormat="1" ht="15.75" x14ac:dyDescent="0.45">
      <c r="B39" s="1797" t="s">
        <v>1946</v>
      </c>
      <c r="C39" s="1048" t="s">
        <v>2524</v>
      </c>
      <c r="D39" s="2206">
        <v>5</v>
      </c>
      <c r="E39" s="185">
        <v>0</v>
      </c>
      <c r="F39" s="185" t="s">
        <v>1256</v>
      </c>
      <c r="G39" s="185" t="s">
        <v>4983</v>
      </c>
      <c r="H39" s="185">
        <v>1</v>
      </c>
      <c r="I39" s="824"/>
      <c r="J39" s="1158"/>
    </row>
    <row r="40" spans="2:10" s="113" customFormat="1" ht="16.149999999999999" thickBot="1" x14ac:dyDescent="0.6">
      <c r="B40" s="1798" t="s">
        <v>4500</v>
      </c>
      <c r="C40" s="1050" t="s">
        <v>4984</v>
      </c>
      <c r="D40" s="2208">
        <v>350</v>
      </c>
      <c r="E40" s="327">
        <v>0</v>
      </c>
      <c r="F40" s="183" t="s">
        <v>1256</v>
      </c>
      <c r="G40" s="183" t="s">
        <v>4983</v>
      </c>
      <c r="H40" s="183">
        <v>1</v>
      </c>
      <c r="I40" s="182"/>
      <c r="J40" s="1160"/>
    </row>
    <row r="41" spans="2:10" s="113" customFormat="1" ht="14.65" thickBot="1" x14ac:dyDescent="0.5">
      <c r="B41" s="124"/>
      <c r="C41" s="1046"/>
      <c r="D41" s="1931"/>
      <c r="E41" s="116"/>
      <c r="F41" s="116"/>
      <c r="G41" s="116"/>
      <c r="H41" s="116"/>
      <c r="I41" s="115"/>
      <c r="J41" s="1889"/>
    </row>
    <row r="42" spans="2:10" s="113" customFormat="1" ht="14.65" thickBot="1" x14ac:dyDescent="0.5">
      <c r="B42" s="124"/>
      <c r="C42" s="347" t="s">
        <v>2196</v>
      </c>
      <c r="D42" s="114" t="s">
        <v>301</v>
      </c>
      <c r="E42" s="114"/>
      <c r="F42" s="114"/>
      <c r="G42" s="114"/>
      <c r="H42" s="114"/>
      <c r="I42" s="124"/>
      <c r="J42" s="1889"/>
    </row>
    <row r="43" spans="2:10" s="113" customFormat="1" ht="14.65" thickBot="1" x14ac:dyDescent="0.5">
      <c r="B43" s="262" t="s">
        <v>0</v>
      </c>
      <c r="C43" s="1047" t="s">
        <v>1</v>
      </c>
      <c r="D43" s="267" t="s">
        <v>841</v>
      </c>
      <c r="E43" s="267" t="s">
        <v>471</v>
      </c>
      <c r="F43" s="267" t="s">
        <v>472</v>
      </c>
      <c r="G43" s="267" t="s">
        <v>2</v>
      </c>
      <c r="H43" s="267" t="s">
        <v>300</v>
      </c>
      <c r="I43" s="265" t="s">
        <v>116</v>
      </c>
      <c r="J43" s="1161" t="s">
        <v>117</v>
      </c>
    </row>
    <row r="44" spans="2:10" s="113" customFormat="1" ht="15.75" x14ac:dyDescent="0.45">
      <c r="B44" s="991" t="s">
        <v>1190</v>
      </c>
      <c r="C44" s="1051" t="s">
        <v>2525</v>
      </c>
      <c r="D44" s="394">
        <v>1.3</v>
      </c>
      <c r="E44" s="395">
        <v>0</v>
      </c>
      <c r="F44" s="395" t="s">
        <v>1256</v>
      </c>
      <c r="G44" s="395" t="s">
        <v>444</v>
      </c>
      <c r="H44" s="395">
        <v>1</v>
      </c>
      <c r="I44" s="393"/>
      <c r="J44" s="1162"/>
    </row>
    <row r="45" spans="2:10" s="113" customFormat="1" ht="15.75" x14ac:dyDescent="0.45">
      <c r="B45" s="992" t="s">
        <v>1191</v>
      </c>
      <c r="C45" s="1052" t="s">
        <v>2526</v>
      </c>
      <c r="D45" s="396">
        <v>0.05</v>
      </c>
      <c r="E45" s="397">
        <v>0</v>
      </c>
      <c r="F45" s="397" t="s">
        <v>1256</v>
      </c>
      <c r="G45" s="397" t="s">
        <v>444</v>
      </c>
      <c r="H45" s="397">
        <v>2</v>
      </c>
      <c r="I45" s="387"/>
      <c r="J45" s="1163"/>
    </row>
    <row r="46" spans="2:10" s="113" customFormat="1" ht="28.5" x14ac:dyDescent="0.45">
      <c r="B46" s="993" t="s">
        <v>1192</v>
      </c>
      <c r="C46" s="1053" t="s">
        <v>2527</v>
      </c>
      <c r="D46" s="391">
        <v>10</v>
      </c>
      <c r="E46" s="392">
        <v>0</v>
      </c>
      <c r="F46" s="392" t="s">
        <v>1256</v>
      </c>
      <c r="G46" s="392" t="s">
        <v>444</v>
      </c>
      <c r="H46" s="392">
        <v>1</v>
      </c>
      <c r="I46" s="1164"/>
      <c r="J46" s="1165" t="s">
        <v>1159</v>
      </c>
    </row>
    <row r="47" spans="2:10" s="113" customFormat="1" ht="15.75" x14ac:dyDescent="0.45">
      <c r="B47" s="994" t="s">
        <v>1947</v>
      </c>
      <c r="C47" s="1052" t="s">
        <v>2528</v>
      </c>
      <c r="D47" s="389">
        <v>0.5</v>
      </c>
      <c r="E47" s="390">
        <v>0</v>
      </c>
      <c r="F47" s="390" t="s">
        <v>1256</v>
      </c>
      <c r="G47" s="390" t="s">
        <v>1182</v>
      </c>
      <c r="H47" s="390">
        <v>1</v>
      </c>
      <c r="I47" s="1166"/>
      <c r="J47" s="1167"/>
    </row>
    <row r="48" spans="2:10" s="113" customFormat="1" ht="16.5" x14ac:dyDescent="0.45">
      <c r="B48" s="992" t="s">
        <v>3580</v>
      </c>
      <c r="C48" s="1052" t="s">
        <v>3581</v>
      </c>
      <c r="D48" s="396">
        <v>0.05</v>
      </c>
      <c r="E48" s="397">
        <v>0</v>
      </c>
      <c r="F48" s="397" t="s">
        <v>1256</v>
      </c>
      <c r="G48" s="397" t="s">
        <v>1181</v>
      </c>
      <c r="H48" s="397">
        <v>2</v>
      </c>
      <c r="I48" s="387"/>
      <c r="J48" s="1163"/>
    </row>
    <row r="49" spans="2:10" s="113" customFormat="1" ht="15.75" x14ac:dyDescent="0.45">
      <c r="B49" s="992" t="s">
        <v>1948</v>
      </c>
      <c r="C49" s="1052" t="s">
        <v>2529</v>
      </c>
      <c r="D49" s="396">
        <v>0.05</v>
      </c>
      <c r="E49" s="397">
        <v>0</v>
      </c>
      <c r="F49" s="397" t="s">
        <v>1256</v>
      </c>
      <c r="G49" s="397" t="s">
        <v>886</v>
      </c>
      <c r="H49" s="397">
        <v>2</v>
      </c>
      <c r="I49" s="387"/>
      <c r="J49" s="1163"/>
    </row>
    <row r="50" spans="2:10" s="113" customFormat="1" ht="16.149999999999999" thickBot="1" x14ac:dyDescent="0.5">
      <c r="B50" s="995" t="s">
        <v>2286</v>
      </c>
      <c r="C50" s="1054" t="s">
        <v>2530</v>
      </c>
      <c r="D50" s="398">
        <v>0.02</v>
      </c>
      <c r="E50" s="399">
        <v>0</v>
      </c>
      <c r="F50" s="399" t="s">
        <v>1256</v>
      </c>
      <c r="G50" s="399" t="s">
        <v>886</v>
      </c>
      <c r="H50" s="399">
        <v>2</v>
      </c>
      <c r="I50" s="388"/>
      <c r="J50" s="1168"/>
    </row>
    <row r="51" spans="2:10" s="113" customFormat="1" ht="14.65" thickBot="1" x14ac:dyDescent="0.5">
      <c r="B51" s="1889"/>
      <c r="C51" s="1909"/>
      <c r="I51" s="1889"/>
      <c r="J51" s="1889"/>
    </row>
    <row r="52" spans="2:10" s="113" customFormat="1" ht="14.65" thickBot="1" x14ac:dyDescent="0.5">
      <c r="B52" s="124"/>
      <c r="C52" s="1055" t="s">
        <v>4174</v>
      </c>
      <c r="D52" s="114" t="s">
        <v>301</v>
      </c>
      <c r="E52" s="114"/>
      <c r="F52" s="114"/>
      <c r="G52" s="114"/>
      <c r="H52" s="114"/>
      <c r="I52" s="124"/>
      <c r="J52" s="1889"/>
    </row>
    <row r="53" spans="2:10" s="113" customFormat="1" ht="14.65" thickBot="1" x14ac:dyDescent="0.5">
      <c r="B53" s="831" t="s">
        <v>0</v>
      </c>
      <c r="C53" s="1056" t="s">
        <v>1</v>
      </c>
      <c r="D53" s="833" t="s">
        <v>841</v>
      </c>
      <c r="E53" s="833" t="s">
        <v>471</v>
      </c>
      <c r="F53" s="833" t="s">
        <v>472</v>
      </c>
      <c r="G53" s="833" t="s">
        <v>2</v>
      </c>
      <c r="H53" s="833" t="s">
        <v>300</v>
      </c>
      <c r="I53" s="832" t="s">
        <v>116</v>
      </c>
      <c r="J53" s="1169" t="s">
        <v>117</v>
      </c>
    </row>
    <row r="54" spans="2:10" s="113" customFormat="1" ht="15.75" x14ac:dyDescent="0.45">
      <c r="B54" s="834" t="s">
        <v>4175</v>
      </c>
      <c r="C54" s="1057" t="s">
        <v>4176</v>
      </c>
      <c r="D54" s="836">
        <v>1</v>
      </c>
      <c r="E54" s="837">
        <v>0</v>
      </c>
      <c r="F54" s="837" t="s">
        <v>1256</v>
      </c>
      <c r="G54" s="403" t="s">
        <v>444</v>
      </c>
      <c r="H54" s="837">
        <v>2</v>
      </c>
      <c r="I54" s="1170" t="s">
        <v>2024</v>
      </c>
      <c r="J54" s="1171"/>
    </row>
    <row r="55" spans="2:10" s="113" customFormat="1" ht="15.75" x14ac:dyDescent="0.45">
      <c r="B55" s="838" t="s">
        <v>4177</v>
      </c>
      <c r="C55" s="1057" t="s">
        <v>4178</v>
      </c>
      <c r="D55" s="839">
        <v>0.1</v>
      </c>
      <c r="E55" s="577">
        <v>0</v>
      </c>
      <c r="F55" s="577" t="s">
        <v>1256</v>
      </c>
      <c r="G55" s="577" t="s">
        <v>444</v>
      </c>
      <c r="H55" s="577">
        <v>1</v>
      </c>
      <c r="I55" s="835" t="s">
        <v>2024</v>
      </c>
      <c r="J55" s="1172"/>
    </row>
    <row r="56" spans="2:10" s="113" customFormat="1" ht="15.75" x14ac:dyDescent="0.45">
      <c r="B56" s="840" t="s">
        <v>2539</v>
      </c>
      <c r="C56" s="1058" t="s">
        <v>2531</v>
      </c>
      <c r="D56" s="576">
        <v>0.45</v>
      </c>
      <c r="E56" s="577">
        <v>0</v>
      </c>
      <c r="F56" s="577" t="s">
        <v>1256</v>
      </c>
      <c r="G56" s="577" t="s">
        <v>444</v>
      </c>
      <c r="H56" s="577">
        <v>1</v>
      </c>
      <c r="I56" s="575"/>
      <c r="J56" s="1173"/>
    </row>
    <row r="57" spans="2:10" s="113" customFormat="1" ht="15.75" x14ac:dyDescent="0.45">
      <c r="B57" s="840" t="s">
        <v>1718</v>
      </c>
      <c r="C57" s="1059" t="s">
        <v>2532</v>
      </c>
      <c r="D57" s="576">
        <v>0.49</v>
      </c>
      <c r="E57" s="577">
        <v>0</v>
      </c>
      <c r="F57" s="577" t="s">
        <v>1256</v>
      </c>
      <c r="G57" s="578" t="s">
        <v>444</v>
      </c>
      <c r="H57" s="577">
        <v>2</v>
      </c>
      <c r="I57" s="575"/>
      <c r="J57" s="579"/>
    </row>
    <row r="58" spans="2:10" s="113" customFormat="1" ht="15.75" x14ac:dyDescent="0.45">
      <c r="B58" s="840" t="s">
        <v>4179</v>
      </c>
      <c r="C58" s="1060" t="s">
        <v>4180</v>
      </c>
      <c r="D58" s="581">
        <v>0.08</v>
      </c>
      <c r="E58" s="577">
        <v>0</v>
      </c>
      <c r="F58" s="577" t="s">
        <v>1256</v>
      </c>
      <c r="G58" s="578" t="s">
        <v>444</v>
      </c>
      <c r="H58" s="577">
        <v>2</v>
      </c>
      <c r="I58" s="575"/>
      <c r="J58" s="1173" t="s">
        <v>4181</v>
      </c>
    </row>
    <row r="59" spans="2:10" s="113" customFormat="1" ht="15.75" x14ac:dyDescent="0.45">
      <c r="B59" s="840" t="s">
        <v>4182</v>
      </c>
      <c r="C59" s="1058" t="s">
        <v>4183</v>
      </c>
      <c r="D59" s="581">
        <v>7.0000000000000007E-2</v>
      </c>
      <c r="E59" s="577">
        <v>0</v>
      </c>
      <c r="F59" s="577" t="s">
        <v>1256</v>
      </c>
      <c r="G59" s="578" t="s">
        <v>444</v>
      </c>
      <c r="H59" s="577">
        <v>2</v>
      </c>
      <c r="I59" s="575"/>
      <c r="J59" s="1173"/>
    </row>
    <row r="60" spans="2:10" s="113" customFormat="1" ht="15.75" x14ac:dyDescent="0.45">
      <c r="B60" s="840" t="s">
        <v>2143</v>
      </c>
      <c r="C60" s="1058" t="s">
        <v>2533</v>
      </c>
      <c r="D60" s="581">
        <v>5.0000000000000001E-3</v>
      </c>
      <c r="E60" s="577">
        <v>0</v>
      </c>
      <c r="F60" s="577" t="s">
        <v>1256</v>
      </c>
      <c r="G60" s="578" t="s">
        <v>444</v>
      </c>
      <c r="H60" s="577">
        <v>2</v>
      </c>
      <c r="I60" s="575"/>
      <c r="J60" s="1173"/>
    </row>
    <row r="61" spans="2:10" s="113" customFormat="1" ht="15.75" x14ac:dyDescent="0.45">
      <c r="B61" s="840" t="s">
        <v>4184</v>
      </c>
      <c r="C61" s="1058" t="s">
        <v>2534</v>
      </c>
      <c r="D61" s="582">
        <v>7</v>
      </c>
      <c r="E61" s="577">
        <v>0</v>
      </c>
      <c r="F61" s="577" t="s">
        <v>1256</v>
      </c>
      <c r="G61" s="578" t="s">
        <v>444</v>
      </c>
      <c r="H61" s="577">
        <v>1</v>
      </c>
      <c r="I61" s="575"/>
      <c r="J61" s="1173"/>
    </row>
    <row r="62" spans="2:10" s="113" customFormat="1" ht="15.75" x14ac:dyDescent="0.45">
      <c r="B62" s="840" t="s">
        <v>4185</v>
      </c>
      <c r="C62" s="1061" t="s">
        <v>2552</v>
      </c>
      <c r="D62" s="582">
        <v>4</v>
      </c>
      <c r="E62" s="577">
        <v>0</v>
      </c>
      <c r="F62" s="577" t="s">
        <v>1256</v>
      </c>
      <c r="G62" s="578" t="s">
        <v>444</v>
      </c>
      <c r="H62" s="577">
        <v>1</v>
      </c>
      <c r="I62" s="575"/>
      <c r="J62" s="1173"/>
    </row>
    <row r="63" spans="2:10" s="113" customFormat="1" ht="15.75" x14ac:dyDescent="0.45">
      <c r="B63" s="840" t="s">
        <v>4186</v>
      </c>
      <c r="C63" s="1060" t="s">
        <v>4187</v>
      </c>
      <c r="D63" s="581">
        <v>0.66</v>
      </c>
      <c r="E63" s="577">
        <v>0</v>
      </c>
      <c r="F63" s="577" t="s">
        <v>1256</v>
      </c>
      <c r="G63" s="578" t="s">
        <v>2017</v>
      </c>
      <c r="H63" s="577">
        <v>2</v>
      </c>
      <c r="I63" s="575"/>
      <c r="J63" s="1173"/>
    </row>
    <row r="64" spans="2:10" s="113" customFormat="1" ht="15.75" x14ac:dyDescent="0.45">
      <c r="B64" s="840" t="s">
        <v>4188</v>
      </c>
      <c r="C64" s="1040" t="s">
        <v>4189</v>
      </c>
      <c r="D64" s="581">
        <v>0.5</v>
      </c>
      <c r="E64" s="577">
        <v>0</v>
      </c>
      <c r="F64" s="577" t="s">
        <v>1256</v>
      </c>
      <c r="G64" s="583" t="s">
        <v>2017</v>
      </c>
      <c r="H64" s="577">
        <v>2</v>
      </c>
      <c r="I64" s="575"/>
      <c r="J64" s="1173"/>
    </row>
    <row r="65" spans="2:10" s="113" customFormat="1" ht="15.75" x14ac:dyDescent="0.45">
      <c r="B65" s="840" t="s">
        <v>4190</v>
      </c>
      <c r="C65" s="1040" t="s">
        <v>4191</v>
      </c>
      <c r="D65" s="581">
        <v>0.25</v>
      </c>
      <c r="E65" s="577">
        <v>0</v>
      </c>
      <c r="F65" s="577" t="s">
        <v>1256</v>
      </c>
      <c r="G65" s="583" t="s">
        <v>2017</v>
      </c>
      <c r="H65" s="577">
        <v>2</v>
      </c>
      <c r="I65" s="575"/>
      <c r="J65" s="1173"/>
    </row>
    <row r="66" spans="2:10" s="113" customFormat="1" ht="15.75" x14ac:dyDescent="0.45">
      <c r="B66" s="840" t="s">
        <v>4192</v>
      </c>
      <c r="C66" s="1040" t="s">
        <v>4193</v>
      </c>
      <c r="D66" s="581">
        <v>0.66</v>
      </c>
      <c r="E66" s="577">
        <v>0</v>
      </c>
      <c r="F66" s="577" t="s">
        <v>1256</v>
      </c>
      <c r="G66" s="578" t="s">
        <v>2017</v>
      </c>
      <c r="H66" s="577">
        <v>2</v>
      </c>
      <c r="I66" s="575"/>
      <c r="J66" s="1173"/>
    </row>
    <row r="67" spans="2:10" s="113" customFormat="1" ht="15.75" x14ac:dyDescent="0.45">
      <c r="B67" s="840" t="s">
        <v>2246</v>
      </c>
      <c r="C67" s="1058" t="s">
        <v>2535</v>
      </c>
      <c r="D67" s="581">
        <v>0.25</v>
      </c>
      <c r="E67" s="577">
        <v>0</v>
      </c>
      <c r="F67" s="577" t="s">
        <v>1256</v>
      </c>
      <c r="G67" s="583" t="s">
        <v>2017</v>
      </c>
      <c r="H67" s="577">
        <v>2</v>
      </c>
      <c r="I67" s="575"/>
      <c r="J67" s="1173"/>
    </row>
    <row r="68" spans="2:10" s="113" customFormat="1" ht="15.75" x14ac:dyDescent="0.45">
      <c r="B68" s="840" t="s">
        <v>2247</v>
      </c>
      <c r="C68" s="1058" t="s">
        <v>2536</v>
      </c>
      <c r="D68" s="581">
        <v>0.5</v>
      </c>
      <c r="E68" s="577">
        <v>0</v>
      </c>
      <c r="F68" s="577" t="s">
        <v>1256</v>
      </c>
      <c r="G68" s="583" t="s">
        <v>2017</v>
      </c>
      <c r="H68" s="577">
        <v>2</v>
      </c>
      <c r="I68" s="575"/>
      <c r="J68" s="1173"/>
    </row>
    <row r="69" spans="2:10" s="113" customFormat="1" ht="15.75" x14ac:dyDescent="0.45">
      <c r="B69" s="840" t="s">
        <v>1949</v>
      </c>
      <c r="C69" s="1060" t="s">
        <v>2537</v>
      </c>
      <c r="D69" s="581">
        <v>0.3</v>
      </c>
      <c r="E69" s="577">
        <v>0</v>
      </c>
      <c r="F69" s="577" t="s">
        <v>1256</v>
      </c>
      <c r="G69" s="578" t="s">
        <v>888</v>
      </c>
      <c r="H69" s="577">
        <v>2</v>
      </c>
      <c r="I69" s="575" t="s">
        <v>2023</v>
      </c>
      <c r="J69" s="1173"/>
    </row>
    <row r="70" spans="2:10" s="113" customFormat="1" ht="15.75" x14ac:dyDescent="0.45">
      <c r="B70" s="1805" t="s">
        <v>4991</v>
      </c>
      <c r="C70" s="1806" t="s">
        <v>4992</v>
      </c>
      <c r="D70" s="1807">
        <v>0.8</v>
      </c>
      <c r="E70" s="1808">
        <v>0</v>
      </c>
      <c r="F70" s="1808">
        <v>2</v>
      </c>
      <c r="G70" s="1809" t="s">
        <v>2017</v>
      </c>
      <c r="H70" s="1808">
        <v>2</v>
      </c>
      <c r="I70" s="1806"/>
      <c r="J70" s="1810" t="s">
        <v>4990</v>
      </c>
    </row>
    <row r="71" spans="2:10" s="113" customFormat="1" ht="15.75" x14ac:dyDescent="0.45">
      <c r="B71" s="1805" t="s">
        <v>4993</v>
      </c>
      <c r="C71" s="1806" t="s">
        <v>4994</v>
      </c>
      <c r="D71" s="1807">
        <v>0.4</v>
      </c>
      <c r="E71" s="1808">
        <v>0</v>
      </c>
      <c r="F71" s="1808">
        <v>2</v>
      </c>
      <c r="G71" s="1809" t="s">
        <v>2017</v>
      </c>
      <c r="H71" s="1808">
        <v>2</v>
      </c>
      <c r="I71" s="1806"/>
      <c r="J71" s="1810" t="s">
        <v>4990</v>
      </c>
    </row>
    <row r="72" spans="2:10" s="113" customFormat="1" ht="15.75" x14ac:dyDescent="0.45">
      <c r="B72" s="840" t="s">
        <v>4194</v>
      </c>
      <c r="C72" s="1060" t="s">
        <v>4195</v>
      </c>
      <c r="D72" s="581">
        <v>0.1</v>
      </c>
      <c r="E72" s="577">
        <v>0</v>
      </c>
      <c r="F72" s="577" t="s">
        <v>1256</v>
      </c>
      <c r="G72" s="578" t="s">
        <v>2176</v>
      </c>
      <c r="H72" s="577">
        <v>2</v>
      </c>
      <c r="I72" s="575"/>
      <c r="J72" s="1173"/>
    </row>
    <row r="73" spans="2:10" s="113" customFormat="1" ht="15.75" x14ac:dyDescent="0.45">
      <c r="B73" s="840" t="s">
        <v>1791</v>
      </c>
      <c r="C73" s="1060" t="s">
        <v>2538</v>
      </c>
      <c r="D73" s="581">
        <v>0.01</v>
      </c>
      <c r="E73" s="577">
        <v>0</v>
      </c>
      <c r="F73" s="577" t="s">
        <v>1256</v>
      </c>
      <c r="G73" s="578" t="s">
        <v>2176</v>
      </c>
      <c r="H73" s="577">
        <v>2</v>
      </c>
      <c r="I73" s="575"/>
      <c r="J73" s="1173"/>
    </row>
    <row r="74" spans="2:10" s="113" customFormat="1" ht="15.75" x14ac:dyDescent="0.45">
      <c r="B74" s="840" t="s">
        <v>4196</v>
      </c>
      <c r="C74" s="1060" t="s">
        <v>4197</v>
      </c>
      <c r="D74" s="581">
        <v>0.1</v>
      </c>
      <c r="E74" s="577">
        <v>0</v>
      </c>
      <c r="F74" s="577" t="s">
        <v>1256</v>
      </c>
      <c r="G74" s="578" t="s">
        <v>2176</v>
      </c>
      <c r="H74" s="577">
        <v>2</v>
      </c>
      <c r="I74" s="575"/>
      <c r="J74" s="1173"/>
    </row>
    <row r="75" spans="2:10" s="113" customFormat="1" ht="15.75" x14ac:dyDescent="0.45">
      <c r="B75" s="840" t="s">
        <v>4198</v>
      </c>
      <c r="C75" s="1062" t="s">
        <v>4199</v>
      </c>
      <c r="D75" s="578">
        <v>0.05</v>
      </c>
      <c r="E75" s="577">
        <v>0</v>
      </c>
      <c r="F75" s="578" t="s">
        <v>1256</v>
      </c>
      <c r="G75" s="578" t="s">
        <v>1181</v>
      </c>
      <c r="H75" s="578">
        <v>2</v>
      </c>
      <c r="I75" s="584"/>
      <c r="J75" s="936"/>
    </row>
    <row r="76" spans="2:10" s="113" customFormat="1" ht="15.75" x14ac:dyDescent="0.45">
      <c r="B76" s="841" t="s">
        <v>4200</v>
      </c>
      <c r="C76" s="1063" t="s">
        <v>4201</v>
      </c>
      <c r="D76" s="581">
        <v>0.1</v>
      </c>
      <c r="E76" s="577">
        <v>0</v>
      </c>
      <c r="F76" s="578" t="s">
        <v>1256</v>
      </c>
      <c r="G76" s="578" t="s">
        <v>886</v>
      </c>
      <c r="H76" s="578">
        <v>2</v>
      </c>
      <c r="I76" s="584"/>
      <c r="J76" s="936"/>
    </row>
    <row r="77" spans="2:10" s="113" customFormat="1" ht="15.75" x14ac:dyDescent="0.45">
      <c r="B77" s="841" t="s">
        <v>4202</v>
      </c>
      <c r="C77" s="1063" t="s">
        <v>4203</v>
      </c>
      <c r="D77" s="578">
        <v>0.05</v>
      </c>
      <c r="E77" s="577">
        <v>0</v>
      </c>
      <c r="F77" s="578" t="s">
        <v>1256</v>
      </c>
      <c r="G77" s="578" t="s">
        <v>886</v>
      </c>
      <c r="H77" s="578">
        <v>2</v>
      </c>
      <c r="I77" s="584"/>
      <c r="J77" s="936"/>
    </row>
    <row r="78" spans="2:10" s="113" customFormat="1" ht="15.75" x14ac:dyDescent="0.45">
      <c r="B78" s="840" t="s">
        <v>4204</v>
      </c>
      <c r="C78" s="1061" t="s">
        <v>4205</v>
      </c>
      <c r="D78" s="582">
        <v>5</v>
      </c>
      <c r="E78" s="577">
        <v>0</v>
      </c>
      <c r="F78" s="577" t="s">
        <v>1256</v>
      </c>
      <c r="G78" s="578" t="s">
        <v>1182</v>
      </c>
      <c r="H78" s="577">
        <v>1</v>
      </c>
      <c r="I78" s="575"/>
      <c r="J78" s="579"/>
    </row>
    <row r="79" spans="2:10" s="113" customFormat="1" ht="15.75" x14ac:dyDescent="0.45">
      <c r="B79" s="840" t="s">
        <v>2144</v>
      </c>
      <c r="C79" s="1040" t="s">
        <v>2755</v>
      </c>
      <c r="D79" s="576">
        <v>0.01</v>
      </c>
      <c r="E79" s="577">
        <v>0</v>
      </c>
      <c r="F79" s="577" t="s">
        <v>1256</v>
      </c>
      <c r="G79" s="578" t="s">
        <v>2176</v>
      </c>
      <c r="H79" s="577">
        <v>2</v>
      </c>
      <c r="I79" s="575"/>
      <c r="J79" s="579"/>
    </row>
    <row r="80" spans="2:10" s="113" customFormat="1" ht="15.75" x14ac:dyDescent="0.45">
      <c r="B80" s="840" t="s">
        <v>2761</v>
      </c>
      <c r="C80" s="1040" t="s">
        <v>2545</v>
      </c>
      <c r="D80" s="576">
        <v>0.35</v>
      </c>
      <c r="E80" s="577">
        <v>0</v>
      </c>
      <c r="F80" s="577" t="s">
        <v>1256</v>
      </c>
      <c r="G80" s="578" t="s">
        <v>1916</v>
      </c>
      <c r="H80" s="577">
        <v>2</v>
      </c>
      <c r="I80" s="575"/>
      <c r="J80" s="579"/>
    </row>
    <row r="81" spans="2:10" s="113" customFormat="1" ht="15.75" x14ac:dyDescent="0.45">
      <c r="B81" s="1805" t="s">
        <v>4995</v>
      </c>
      <c r="C81" s="1811" t="s">
        <v>4996</v>
      </c>
      <c r="D81" s="1812">
        <v>0.17</v>
      </c>
      <c r="E81" s="1808">
        <v>0</v>
      </c>
      <c r="F81" s="1809">
        <v>2</v>
      </c>
      <c r="G81" s="1809" t="s">
        <v>2017</v>
      </c>
      <c r="H81" s="1808">
        <v>2</v>
      </c>
      <c r="I81" s="1811"/>
      <c r="J81" s="1813" t="s">
        <v>4997</v>
      </c>
    </row>
    <row r="82" spans="2:10" s="113" customFormat="1" ht="15.75" x14ac:dyDescent="0.45">
      <c r="B82" s="840" t="s">
        <v>4207</v>
      </c>
      <c r="C82" s="1062" t="s">
        <v>4208</v>
      </c>
      <c r="D82" s="576">
        <v>0.1</v>
      </c>
      <c r="E82" s="577">
        <v>0</v>
      </c>
      <c r="F82" s="578">
        <v>1</v>
      </c>
      <c r="G82" s="578" t="s">
        <v>1182</v>
      </c>
      <c r="H82" s="577">
        <v>2</v>
      </c>
      <c r="I82" s="584"/>
      <c r="J82" s="936"/>
    </row>
    <row r="83" spans="2:10" s="113" customFormat="1" ht="15.75" x14ac:dyDescent="0.45">
      <c r="B83" s="840" t="s">
        <v>2762</v>
      </c>
      <c r="C83" s="1040" t="s">
        <v>2546</v>
      </c>
      <c r="D83" s="576">
        <v>0.6</v>
      </c>
      <c r="E83" s="577">
        <v>0</v>
      </c>
      <c r="F83" s="577" t="s">
        <v>1256</v>
      </c>
      <c r="G83" s="578" t="s">
        <v>2176</v>
      </c>
      <c r="H83" s="577">
        <v>2</v>
      </c>
      <c r="I83" s="575"/>
      <c r="J83" s="579"/>
    </row>
    <row r="84" spans="2:10" s="113" customFormat="1" ht="15.75" x14ac:dyDescent="0.45">
      <c r="B84" s="1805" t="s">
        <v>4998</v>
      </c>
      <c r="C84" s="1811" t="s">
        <v>4999</v>
      </c>
      <c r="D84" s="1812">
        <v>0.1</v>
      </c>
      <c r="E84" s="1808">
        <v>0</v>
      </c>
      <c r="F84" s="1809">
        <v>2</v>
      </c>
      <c r="G84" s="1809" t="s">
        <v>2017</v>
      </c>
      <c r="H84" s="1808">
        <v>2</v>
      </c>
      <c r="I84" s="1811"/>
      <c r="J84" s="1813" t="s">
        <v>4997</v>
      </c>
    </row>
    <row r="85" spans="2:10" s="113" customFormat="1" ht="15.75" x14ac:dyDescent="0.45">
      <c r="B85" s="840" t="s">
        <v>1950</v>
      </c>
      <c r="C85" s="1062" t="s">
        <v>2547</v>
      </c>
      <c r="D85" s="578">
        <v>1E-3</v>
      </c>
      <c r="E85" s="577">
        <v>0</v>
      </c>
      <c r="F85" s="578" t="s">
        <v>1256</v>
      </c>
      <c r="G85" s="578" t="s">
        <v>1616</v>
      </c>
      <c r="H85" s="578">
        <v>4</v>
      </c>
      <c r="I85" s="584"/>
      <c r="J85" s="936"/>
    </row>
    <row r="86" spans="2:10" s="113" customFormat="1" ht="15.75" x14ac:dyDescent="0.45">
      <c r="B86" s="840" t="s">
        <v>1951</v>
      </c>
      <c r="C86" s="1062" t="s">
        <v>2548</v>
      </c>
      <c r="D86" s="578">
        <v>1E-3</v>
      </c>
      <c r="E86" s="577">
        <v>0</v>
      </c>
      <c r="F86" s="578" t="s">
        <v>1256</v>
      </c>
      <c r="G86" s="578" t="s">
        <v>1617</v>
      </c>
      <c r="H86" s="578">
        <v>4</v>
      </c>
      <c r="I86" s="584"/>
      <c r="J86" s="936"/>
    </row>
    <row r="87" spans="2:10" s="113" customFormat="1" ht="15.75" x14ac:dyDescent="0.45">
      <c r="B87" s="840" t="s">
        <v>1952</v>
      </c>
      <c r="C87" s="1062" t="s">
        <v>2549</v>
      </c>
      <c r="D87" s="578">
        <v>1E-3</v>
      </c>
      <c r="E87" s="577">
        <v>0</v>
      </c>
      <c r="F87" s="578" t="s">
        <v>1256</v>
      </c>
      <c r="G87" s="578" t="s">
        <v>1618</v>
      </c>
      <c r="H87" s="578">
        <v>4</v>
      </c>
      <c r="I87" s="584"/>
      <c r="J87" s="936"/>
    </row>
    <row r="88" spans="2:10" s="113" customFormat="1" ht="15.75" x14ac:dyDescent="0.45">
      <c r="B88" s="840" t="s">
        <v>1184</v>
      </c>
      <c r="C88" s="1062" t="s">
        <v>2550</v>
      </c>
      <c r="D88" s="578">
        <v>2E-3</v>
      </c>
      <c r="E88" s="577">
        <v>0</v>
      </c>
      <c r="F88" s="578" t="s">
        <v>1256</v>
      </c>
      <c r="G88" s="578" t="s">
        <v>888</v>
      </c>
      <c r="H88" s="578">
        <v>3</v>
      </c>
      <c r="I88" s="584"/>
      <c r="J88" s="936"/>
    </row>
    <row r="89" spans="2:10" s="113" customFormat="1" ht="15.75" x14ac:dyDescent="0.45">
      <c r="B89" s="840" t="s">
        <v>2540</v>
      </c>
      <c r="C89" s="1062" t="s">
        <v>2551</v>
      </c>
      <c r="D89" s="578">
        <v>5.0000000000000001E-3</v>
      </c>
      <c r="E89" s="577">
        <v>0</v>
      </c>
      <c r="F89" s="578" t="s">
        <v>1256</v>
      </c>
      <c r="G89" s="578" t="s">
        <v>888</v>
      </c>
      <c r="H89" s="578">
        <v>3</v>
      </c>
      <c r="I89" s="584"/>
      <c r="J89" s="936"/>
    </row>
    <row r="90" spans="2:10" s="113" customFormat="1" ht="15.75" x14ac:dyDescent="0.45">
      <c r="B90" s="838" t="s">
        <v>2541</v>
      </c>
      <c r="C90" s="1064" t="s">
        <v>2542</v>
      </c>
      <c r="D90" s="582">
        <v>-170</v>
      </c>
      <c r="E90" s="401" t="s">
        <v>2243</v>
      </c>
      <c r="F90" s="402" t="s">
        <v>1256</v>
      </c>
      <c r="G90" s="578" t="s">
        <v>2200</v>
      </c>
      <c r="H90" s="402">
        <v>0</v>
      </c>
      <c r="I90" s="835"/>
      <c r="J90" s="1172"/>
    </row>
    <row r="91" spans="2:10" s="113" customFormat="1" ht="16.149999999999999" thickBot="1" x14ac:dyDescent="0.5">
      <c r="B91" s="842" t="s">
        <v>2543</v>
      </c>
      <c r="C91" s="1065" t="s">
        <v>2544</v>
      </c>
      <c r="D91" s="545">
        <v>0.1</v>
      </c>
      <c r="E91" s="586">
        <v>0</v>
      </c>
      <c r="F91" s="586" t="s">
        <v>1256</v>
      </c>
      <c r="G91" s="586" t="s">
        <v>3586</v>
      </c>
      <c r="H91" s="586">
        <v>2</v>
      </c>
      <c r="I91" s="1174"/>
      <c r="J91" s="587"/>
    </row>
    <row r="92" spans="2:10" s="113" customFormat="1" ht="15.75" x14ac:dyDescent="0.45">
      <c r="B92" s="843" t="s">
        <v>2241</v>
      </c>
      <c r="C92" s="1041" t="s">
        <v>2553</v>
      </c>
      <c r="D92" s="569">
        <v>0.1</v>
      </c>
      <c r="E92" s="570">
        <v>0</v>
      </c>
      <c r="F92" s="570" t="s">
        <v>1256</v>
      </c>
      <c r="G92" s="571" t="s">
        <v>2017</v>
      </c>
      <c r="H92" s="570">
        <v>2</v>
      </c>
      <c r="I92" s="568"/>
      <c r="J92" s="1175"/>
    </row>
    <row r="93" spans="2:10" s="113" customFormat="1" ht="15.75" x14ac:dyDescent="0.45">
      <c r="B93" s="843" t="s">
        <v>2148</v>
      </c>
      <c r="C93" s="1041" t="s">
        <v>2554</v>
      </c>
      <c r="D93" s="569">
        <v>0.05</v>
      </c>
      <c r="E93" s="570">
        <v>0</v>
      </c>
      <c r="F93" s="570" t="s">
        <v>1256</v>
      </c>
      <c r="G93" s="571" t="s">
        <v>2176</v>
      </c>
      <c r="H93" s="570">
        <v>2</v>
      </c>
      <c r="I93" s="568"/>
      <c r="J93" s="1175"/>
    </row>
    <row r="94" spans="2:10" s="113" customFormat="1" ht="15.75" x14ac:dyDescent="0.45">
      <c r="B94" s="843" t="s">
        <v>2764</v>
      </c>
      <c r="C94" s="1041" t="s">
        <v>2555</v>
      </c>
      <c r="D94" s="546">
        <v>0.5</v>
      </c>
      <c r="E94" s="570">
        <v>0</v>
      </c>
      <c r="F94" s="570" t="s">
        <v>1256</v>
      </c>
      <c r="G94" s="571" t="s">
        <v>2176</v>
      </c>
      <c r="H94" s="570">
        <v>2</v>
      </c>
      <c r="I94" s="1176"/>
      <c r="J94" s="1177"/>
    </row>
    <row r="95" spans="2:10" s="113" customFormat="1" ht="15.75" x14ac:dyDescent="0.45">
      <c r="B95" s="1814" t="s">
        <v>5000</v>
      </c>
      <c r="C95" s="1815" t="s">
        <v>5001</v>
      </c>
      <c r="D95" s="1816">
        <v>0.12</v>
      </c>
      <c r="E95" s="1817">
        <v>0</v>
      </c>
      <c r="F95" s="1818">
        <v>2</v>
      </c>
      <c r="G95" s="1819" t="s">
        <v>2017</v>
      </c>
      <c r="H95" s="1818">
        <v>2</v>
      </c>
      <c r="I95" s="1820"/>
      <c r="J95" s="1177" t="s">
        <v>4997</v>
      </c>
    </row>
    <row r="96" spans="2:10" s="113" customFormat="1" ht="15.75" x14ac:dyDescent="0.45">
      <c r="B96" s="845" t="s">
        <v>4209</v>
      </c>
      <c r="C96" s="1041" t="s">
        <v>4210</v>
      </c>
      <c r="D96" s="844">
        <v>-30</v>
      </c>
      <c r="E96" s="572" t="s">
        <v>2243</v>
      </c>
      <c r="F96" s="570" t="s">
        <v>1256</v>
      </c>
      <c r="G96" s="571" t="s">
        <v>2200</v>
      </c>
      <c r="H96" s="570">
        <v>0</v>
      </c>
      <c r="I96" s="1176"/>
      <c r="J96" s="1177"/>
    </row>
    <row r="97" spans="2:18" s="113" customFormat="1" ht="15.75" x14ac:dyDescent="0.45">
      <c r="B97" s="845" t="s">
        <v>4211</v>
      </c>
      <c r="C97" s="1041" t="s">
        <v>4212</v>
      </c>
      <c r="D97" s="844">
        <v>-110</v>
      </c>
      <c r="E97" s="572" t="s">
        <v>2243</v>
      </c>
      <c r="F97" s="570" t="s">
        <v>1256</v>
      </c>
      <c r="G97" s="571" t="s">
        <v>2200</v>
      </c>
      <c r="H97" s="570">
        <v>0</v>
      </c>
      <c r="I97" s="1176"/>
      <c r="J97" s="1177"/>
    </row>
    <row r="98" spans="2:18" s="113" customFormat="1" ht="16.149999999999999" thickBot="1" x14ac:dyDescent="0.5">
      <c r="B98" s="846" t="s">
        <v>4213</v>
      </c>
      <c r="C98" s="1042" t="s">
        <v>2556</v>
      </c>
      <c r="D98" s="847">
        <v>3.5000000000000003E-2</v>
      </c>
      <c r="E98" s="573">
        <v>0</v>
      </c>
      <c r="F98" s="573" t="s">
        <v>1256</v>
      </c>
      <c r="G98" s="574" t="s">
        <v>3586</v>
      </c>
      <c r="H98" s="573">
        <v>2</v>
      </c>
      <c r="I98" s="1178"/>
      <c r="J98" s="343"/>
    </row>
    <row r="99" spans="2:18" s="201" customFormat="1" ht="14.65" thickBot="1" x14ac:dyDescent="0.5">
      <c r="B99" s="1890"/>
      <c r="C99" s="1046"/>
      <c r="D99" s="1931"/>
      <c r="E99" s="116"/>
      <c r="F99" s="116"/>
      <c r="G99" s="116"/>
      <c r="H99" s="116"/>
      <c r="I99" s="115"/>
      <c r="J99" s="1889"/>
      <c r="K99" s="113"/>
      <c r="L99" s="113"/>
      <c r="M99" s="113"/>
      <c r="N99" s="113"/>
      <c r="O99" s="113"/>
      <c r="P99" s="113"/>
      <c r="Q99" s="113"/>
      <c r="R99" s="113"/>
    </row>
    <row r="100" spans="2:18" s="201" customFormat="1" ht="14.65" thickBot="1" x14ac:dyDescent="0.5">
      <c r="B100" s="124"/>
      <c r="C100" s="415" t="s">
        <v>3005</v>
      </c>
      <c r="D100" s="114" t="s">
        <v>301</v>
      </c>
      <c r="E100" s="114"/>
      <c r="F100" s="114"/>
      <c r="G100" s="114"/>
      <c r="H100" s="114"/>
      <c r="I100" s="124"/>
      <c r="J100" s="1889"/>
      <c r="K100" s="113"/>
      <c r="L100" s="113"/>
      <c r="M100" s="113"/>
      <c r="N100" s="113"/>
      <c r="O100" s="113"/>
      <c r="P100" s="113"/>
      <c r="Q100" s="113"/>
      <c r="R100" s="113"/>
    </row>
    <row r="101" spans="2:18" s="201" customFormat="1" ht="14.65" thickBot="1" x14ac:dyDescent="0.5">
      <c r="B101" s="996" t="s">
        <v>0</v>
      </c>
      <c r="C101" s="1066" t="s">
        <v>1</v>
      </c>
      <c r="D101" s="351" t="s">
        <v>841</v>
      </c>
      <c r="E101" s="351" t="s">
        <v>471</v>
      </c>
      <c r="F101" s="351" t="s">
        <v>472</v>
      </c>
      <c r="G101" s="351" t="s">
        <v>2</v>
      </c>
      <c r="H101" s="351" t="s">
        <v>300</v>
      </c>
      <c r="I101" s="1179" t="s">
        <v>116</v>
      </c>
      <c r="J101" s="1180" t="s">
        <v>117</v>
      </c>
      <c r="K101" s="113"/>
      <c r="L101" s="113"/>
      <c r="M101" s="113"/>
      <c r="N101" s="113"/>
      <c r="O101" s="113"/>
      <c r="P101" s="113"/>
      <c r="Q101" s="113"/>
      <c r="R101" s="113"/>
    </row>
    <row r="102" spans="2:18" s="201" customFormat="1" ht="15.75" x14ac:dyDescent="0.55000000000000004">
      <c r="B102" s="1799" t="s">
        <v>2287</v>
      </c>
      <c r="C102" s="1800" t="s">
        <v>2288</v>
      </c>
      <c r="D102" s="1801">
        <v>0.9</v>
      </c>
      <c r="E102" s="741">
        <v>0</v>
      </c>
      <c r="F102" s="741">
        <v>10</v>
      </c>
      <c r="G102" s="741" t="s">
        <v>848</v>
      </c>
      <c r="H102" s="741">
        <v>2</v>
      </c>
      <c r="I102" s="741" t="s">
        <v>2028</v>
      </c>
      <c r="J102" s="1802" t="s">
        <v>4034</v>
      </c>
      <c r="K102" s="113"/>
      <c r="L102" s="113"/>
      <c r="M102" s="113"/>
      <c r="N102" s="113"/>
      <c r="O102" s="113"/>
      <c r="P102" s="113"/>
      <c r="Q102" s="113"/>
      <c r="R102" s="113"/>
    </row>
    <row r="103" spans="2:18" s="201" customFormat="1" ht="15.75" x14ac:dyDescent="0.55000000000000004">
      <c r="B103" s="1799" t="s">
        <v>5109</v>
      </c>
      <c r="C103" s="1800" t="s">
        <v>5115</v>
      </c>
      <c r="D103" s="2014">
        <v>1.5E-3</v>
      </c>
      <c r="E103" s="741">
        <v>0</v>
      </c>
      <c r="F103" s="741">
        <v>10</v>
      </c>
      <c r="G103" s="1824" t="s">
        <v>2017</v>
      </c>
      <c r="H103" s="741">
        <v>4</v>
      </c>
      <c r="I103" s="741" t="s">
        <v>2028</v>
      </c>
      <c r="J103" s="1802" t="s">
        <v>5111</v>
      </c>
      <c r="K103" s="113"/>
      <c r="L103" s="113"/>
      <c r="M103" s="113"/>
      <c r="N103" s="113"/>
      <c r="O103" s="113"/>
      <c r="P103" s="113"/>
      <c r="Q103" s="113"/>
      <c r="R103" s="113"/>
    </row>
    <row r="104" spans="2:18" s="201" customFormat="1" ht="15.75" x14ac:dyDescent="0.55000000000000004">
      <c r="B104" s="1799" t="s">
        <v>5110</v>
      </c>
      <c r="C104" s="1800" t="s">
        <v>5116</v>
      </c>
      <c r="D104" s="2014">
        <v>0.25</v>
      </c>
      <c r="E104" s="741">
        <v>0</v>
      </c>
      <c r="F104" s="741">
        <v>10</v>
      </c>
      <c r="G104" s="1824" t="s">
        <v>2017</v>
      </c>
      <c r="H104" s="741">
        <v>4</v>
      </c>
      <c r="I104" s="741" t="s">
        <v>2028</v>
      </c>
      <c r="J104" s="1802" t="s">
        <v>5112</v>
      </c>
      <c r="K104" s="113"/>
      <c r="L104" s="113"/>
      <c r="M104" s="113"/>
      <c r="N104" s="113"/>
      <c r="O104" s="113"/>
      <c r="P104" s="113"/>
      <c r="Q104" s="113"/>
      <c r="R104" s="113"/>
    </row>
    <row r="105" spans="2:18" s="201" customFormat="1" ht="15.75" x14ac:dyDescent="0.55000000000000004">
      <c r="B105" s="1799" t="s">
        <v>2290</v>
      </c>
      <c r="C105" s="1800" t="s">
        <v>2557</v>
      </c>
      <c r="D105" s="2205">
        <v>0.17</v>
      </c>
      <c r="E105" s="741">
        <v>0</v>
      </c>
      <c r="F105" s="741" t="s">
        <v>1256</v>
      </c>
      <c r="G105" s="741" t="s">
        <v>848</v>
      </c>
      <c r="H105" s="741">
        <v>2</v>
      </c>
      <c r="I105" s="741"/>
      <c r="J105" s="1802"/>
      <c r="K105" s="113"/>
      <c r="L105" s="113"/>
      <c r="M105" s="113"/>
      <c r="N105" s="113"/>
      <c r="O105" s="113"/>
      <c r="P105" s="113"/>
      <c r="Q105" s="113"/>
      <c r="R105" s="113"/>
    </row>
    <row r="106" spans="2:18" s="201" customFormat="1" ht="15.75" x14ac:dyDescent="0.55000000000000004">
      <c r="B106" s="1799" t="s">
        <v>2292</v>
      </c>
      <c r="C106" s="1800" t="s">
        <v>2560</v>
      </c>
      <c r="D106" s="1801">
        <v>12</v>
      </c>
      <c r="E106" s="741">
        <v>0</v>
      </c>
      <c r="F106" s="741" t="s">
        <v>1256</v>
      </c>
      <c r="G106" s="741" t="s">
        <v>1612</v>
      </c>
      <c r="H106" s="741">
        <v>3</v>
      </c>
      <c r="I106" s="741"/>
      <c r="J106" s="1802" t="s">
        <v>3505</v>
      </c>
      <c r="K106" s="113"/>
      <c r="L106" s="113"/>
      <c r="M106" s="113"/>
      <c r="N106" s="113"/>
      <c r="O106" s="113"/>
      <c r="P106" s="113"/>
      <c r="Q106" s="113"/>
      <c r="R106" s="113"/>
    </row>
    <row r="107" spans="2:18" s="201" customFormat="1" ht="15.75" x14ac:dyDescent="0.45">
      <c r="B107" s="1821" t="s">
        <v>5002</v>
      </c>
      <c r="C107" s="1822" t="s">
        <v>5003</v>
      </c>
      <c r="D107" s="1823">
        <v>2</v>
      </c>
      <c r="E107" s="1824">
        <v>0</v>
      </c>
      <c r="F107" s="1824">
        <v>2</v>
      </c>
      <c r="G107" s="1824" t="s">
        <v>2017</v>
      </c>
      <c r="H107" s="1824">
        <v>2</v>
      </c>
      <c r="I107" s="749"/>
      <c r="J107" s="1825" t="s">
        <v>4990</v>
      </c>
      <c r="K107" s="113"/>
      <c r="L107" s="113"/>
      <c r="M107" s="113"/>
      <c r="N107" s="113"/>
      <c r="O107" s="113"/>
      <c r="P107" s="113"/>
      <c r="Q107" s="113"/>
      <c r="R107" s="113"/>
    </row>
    <row r="108" spans="2:18" s="201" customFormat="1" ht="15.75" x14ac:dyDescent="0.55000000000000004">
      <c r="B108" s="1799" t="s">
        <v>2291</v>
      </c>
      <c r="C108" s="1800" t="s">
        <v>2559</v>
      </c>
      <c r="D108" s="1801">
        <v>48</v>
      </c>
      <c r="E108" s="741">
        <v>0</v>
      </c>
      <c r="F108" s="741" t="s">
        <v>1256</v>
      </c>
      <c r="G108" s="741" t="s">
        <v>1612</v>
      </c>
      <c r="H108" s="741">
        <v>3</v>
      </c>
      <c r="I108" s="741"/>
      <c r="J108" s="1802" t="s">
        <v>3505</v>
      </c>
      <c r="K108" s="113"/>
      <c r="L108" s="113"/>
      <c r="M108" s="113"/>
      <c r="N108" s="113"/>
      <c r="O108" s="113"/>
      <c r="P108" s="113"/>
      <c r="Q108" s="113"/>
      <c r="R108" s="113"/>
    </row>
    <row r="109" spans="2:18" s="201" customFormat="1" ht="15.75" x14ac:dyDescent="0.45">
      <c r="B109" s="1821" t="s">
        <v>5004</v>
      </c>
      <c r="C109" s="1822" t="s">
        <v>5005</v>
      </c>
      <c r="D109" s="1823">
        <v>1</v>
      </c>
      <c r="E109" s="1824">
        <v>0</v>
      </c>
      <c r="F109" s="1824">
        <v>2</v>
      </c>
      <c r="G109" s="1824" t="s">
        <v>2017</v>
      </c>
      <c r="H109" s="1824">
        <v>2</v>
      </c>
      <c r="I109" s="749"/>
      <c r="J109" s="1825" t="s">
        <v>4990</v>
      </c>
      <c r="K109" s="113"/>
      <c r="L109" s="113"/>
      <c r="M109" s="113"/>
      <c r="N109" s="113"/>
      <c r="O109" s="113"/>
      <c r="P109" s="113"/>
      <c r="Q109" s="113"/>
      <c r="R109" s="113"/>
    </row>
    <row r="110" spans="2:18" s="201" customFormat="1" ht="16.5" x14ac:dyDescent="0.55000000000000004">
      <c r="B110" s="1799" t="s">
        <v>2294</v>
      </c>
      <c r="C110" s="1800" t="s">
        <v>2562</v>
      </c>
      <c r="D110" s="1887">
        <v>1E-3</v>
      </c>
      <c r="E110" s="1824">
        <v>0</v>
      </c>
      <c r="F110" s="1824" t="s">
        <v>1256</v>
      </c>
      <c r="G110" s="741" t="s">
        <v>5081</v>
      </c>
      <c r="H110" s="1824">
        <v>3</v>
      </c>
      <c r="I110" s="741"/>
      <c r="J110" s="1802" t="s">
        <v>3506</v>
      </c>
      <c r="K110" s="113"/>
      <c r="L110" s="113"/>
      <c r="M110" s="113"/>
      <c r="N110" s="113"/>
      <c r="O110" s="113"/>
      <c r="P110" s="113"/>
      <c r="Q110" s="113"/>
      <c r="R110" s="113"/>
    </row>
    <row r="111" spans="2:18" s="201" customFormat="1" ht="18.75" customHeight="1" x14ac:dyDescent="0.45">
      <c r="B111" s="1821" t="s">
        <v>5006</v>
      </c>
      <c r="C111" s="1822" t="s">
        <v>5007</v>
      </c>
      <c r="D111" s="1823">
        <v>1</v>
      </c>
      <c r="E111" s="1824">
        <v>0</v>
      </c>
      <c r="F111" s="1824">
        <v>2</v>
      </c>
      <c r="G111" s="1824" t="s">
        <v>2017</v>
      </c>
      <c r="H111" s="1824">
        <v>2</v>
      </c>
      <c r="I111" s="749"/>
      <c r="J111" s="1825" t="s">
        <v>4990</v>
      </c>
      <c r="K111" s="113"/>
      <c r="L111" s="113"/>
      <c r="M111" s="113"/>
      <c r="N111" s="113"/>
      <c r="O111" s="113"/>
      <c r="P111" s="113"/>
      <c r="Q111" s="113"/>
      <c r="R111" s="113"/>
    </row>
    <row r="112" spans="2:18" s="201" customFormat="1" ht="16.5" x14ac:dyDescent="0.55000000000000004">
      <c r="B112" s="1799" t="s">
        <v>2293</v>
      </c>
      <c r="C112" s="1800" t="s">
        <v>2561</v>
      </c>
      <c r="D112" s="1888">
        <v>4.0000000000000001E-3</v>
      </c>
      <c r="E112" s="1824">
        <v>0</v>
      </c>
      <c r="F112" s="741" t="s">
        <v>1256</v>
      </c>
      <c r="G112" s="741" t="s">
        <v>5081</v>
      </c>
      <c r="H112" s="741">
        <v>3</v>
      </c>
      <c r="I112" s="741"/>
      <c r="J112" s="1802" t="s">
        <v>3506</v>
      </c>
      <c r="K112" s="113"/>
      <c r="L112" s="113"/>
      <c r="M112" s="113"/>
      <c r="N112" s="113"/>
      <c r="O112" s="113"/>
      <c r="P112" s="113"/>
      <c r="Q112" s="113"/>
      <c r="R112" s="113"/>
    </row>
    <row r="113" spans="2:18" s="201" customFormat="1" ht="19.5" customHeight="1" x14ac:dyDescent="0.45">
      <c r="B113" s="1821" t="s">
        <v>5008</v>
      </c>
      <c r="C113" s="1822" t="s">
        <v>5009</v>
      </c>
      <c r="D113" s="1823">
        <v>0.3</v>
      </c>
      <c r="E113" s="1824">
        <v>0</v>
      </c>
      <c r="F113" s="1824">
        <v>2</v>
      </c>
      <c r="G113" s="1824" t="s">
        <v>2017</v>
      </c>
      <c r="H113" s="1824">
        <v>2</v>
      </c>
      <c r="I113" s="749"/>
      <c r="J113" s="1825" t="s">
        <v>4990</v>
      </c>
      <c r="K113" s="113"/>
      <c r="L113" s="113"/>
      <c r="M113" s="113"/>
      <c r="N113" s="113"/>
      <c r="O113" s="113"/>
      <c r="P113" s="113"/>
      <c r="Q113" s="113"/>
      <c r="R113" s="113"/>
    </row>
    <row r="114" spans="2:18" s="201" customFormat="1" ht="16.5" x14ac:dyDescent="0.55000000000000004">
      <c r="B114" s="1799" t="s">
        <v>4074</v>
      </c>
      <c r="C114" s="1800" t="s">
        <v>4044</v>
      </c>
      <c r="D114" s="1801">
        <v>0.5</v>
      </c>
      <c r="E114" s="741">
        <v>0</v>
      </c>
      <c r="F114" s="741" t="s">
        <v>1256</v>
      </c>
      <c r="G114" s="741" t="s">
        <v>850</v>
      </c>
      <c r="H114" s="741">
        <v>2</v>
      </c>
      <c r="I114" s="741"/>
      <c r="J114" s="1802" t="s">
        <v>4046</v>
      </c>
      <c r="K114" s="113"/>
      <c r="L114" s="113"/>
      <c r="M114" s="113"/>
      <c r="N114" s="113"/>
      <c r="O114" s="113"/>
      <c r="P114" s="113"/>
      <c r="Q114" s="113"/>
      <c r="R114" s="113"/>
    </row>
    <row r="115" spans="2:18" s="201" customFormat="1" ht="16.5" x14ac:dyDescent="0.55000000000000004">
      <c r="B115" s="1799" t="s">
        <v>4076</v>
      </c>
      <c r="C115" s="1800" t="s">
        <v>4045</v>
      </c>
      <c r="D115" s="2205">
        <v>0.3</v>
      </c>
      <c r="E115" s="741">
        <v>0</v>
      </c>
      <c r="F115" s="741" t="s">
        <v>1256</v>
      </c>
      <c r="G115" s="741" t="s">
        <v>850</v>
      </c>
      <c r="H115" s="741">
        <v>2</v>
      </c>
      <c r="I115" s="741"/>
      <c r="J115" s="1802" t="s">
        <v>4046</v>
      </c>
      <c r="K115" s="113"/>
      <c r="L115" s="113"/>
      <c r="M115" s="113"/>
      <c r="N115" s="113"/>
      <c r="O115" s="113"/>
      <c r="P115" s="113"/>
      <c r="Q115" s="113"/>
      <c r="R115" s="113"/>
    </row>
    <row r="116" spans="2:18" s="201" customFormat="1" ht="16.5" x14ac:dyDescent="0.55000000000000004">
      <c r="B116" s="1799" t="s">
        <v>4078</v>
      </c>
      <c r="C116" s="1800" t="s">
        <v>4042</v>
      </c>
      <c r="D116" s="2205">
        <v>0.25</v>
      </c>
      <c r="E116" s="741">
        <v>0</v>
      </c>
      <c r="F116" s="741" t="s">
        <v>1256</v>
      </c>
      <c r="G116" s="741" t="s">
        <v>850</v>
      </c>
      <c r="H116" s="741">
        <v>2</v>
      </c>
      <c r="I116" s="741" t="s">
        <v>2490</v>
      </c>
      <c r="J116" s="1802" t="s">
        <v>4985</v>
      </c>
      <c r="K116" s="113"/>
      <c r="L116" s="113"/>
      <c r="M116" s="113"/>
      <c r="N116" s="113"/>
      <c r="O116" s="113"/>
      <c r="P116" s="113"/>
      <c r="Q116" s="113"/>
      <c r="R116" s="113"/>
    </row>
    <row r="117" spans="2:18" s="201" customFormat="1" ht="16.5" x14ac:dyDescent="0.55000000000000004">
      <c r="B117" s="1799" t="s">
        <v>4079</v>
      </c>
      <c r="C117" s="1800" t="s">
        <v>4043</v>
      </c>
      <c r="D117" s="2205">
        <v>0.15</v>
      </c>
      <c r="E117" s="741">
        <v>0</v>
      </c>
      <c r="F117" s="741" t="s">
        <v>1256</v>
      </c>
      <c r="G117" s="741" t="s">
        <v>850</v>
      </c>
      <c r="H117" s="741">
        <v>2</v>
      </c>
      <c r="I117" s="741" t="s">
        <v>2490</v>
      </c>
      <c r="J117" s="1802" t="s">
        <v>4986</v>
      </c>
      <c r="K117" s="113"/>
      <c r="L117" s="113"/>
      <c r="M117" s="113"/>
      <c r="N117" s="113"/>
      <c r="O117" s="113"/>
      <c r="P117" s="113"/>
      <c r="Q117" s="113"/>
      <c r="R117" s="113"/>
    </row>
    <row r="118" spans="2:18" s="201" customFormat="1" ht="15.75" x14ac:dyDescent="0.55000000000000004">
      <c r="B118" s="1799" t="s">
        <v>2289</v>
      </c>
      <c r="C118" s="1800" t="s">
        <v>2558</v>
      </c>
      <c r="D118" s="2205">
        <v>0.01</v>
      </c>
      <c r="E118" s="741">
        <v>0</v>
      </c>
      <c r="F118" s="741" t="s">
        <v>1256</v>
      </c>
      <c r="G118" s="741" t="s">
        <v>851</v>
      </c>
      <c r="H118" s="741">
        <v>2</v>
      </c>
      <c r="I118" s="741" t="s">
        <v>2029</v>
      </c>
      <c r="J118" s="1802" t="s">
        <v>4132</v>
      </c>
      <c r="K118" s="113"/>
      <c r="L118" s="113"/>
      <c r="M118" s="113"/>
      <c r="N118" s="113"/>
      <c r="O118" s="113"/>
      <c r="P118" s="113"/>
      <c r="Q118" s="113"/>
      <c r="R118" s="113"/>
    </row>
    <row r="119" spans="2:18" s="201" customFormat="1" ht="28.5" x14ac:dyDescent="0.55000000000000004">
      <c r="B119" s="1799" t="s">
        <v>4154</v>
      </c>
      <c r="C119" s="1800" t="s">
        <v>4155</v>
      </c>
      <c r="D119" s="1801">
        <v>0.7</v>
      </c>
      <c r="E119" s="741">
        <v>0</v>
      </c>
      <c r="F119" s="741" t="s">
        <v>1256</v>
      </c>
      <c r="G119" s="741" t="s">
        <v>851</v>
      </c>
      <c r="H119" s="741">
        <v>3</v>
      </c>
      <c r="I119" s="741" t="s">
        <v>2029</v>
      </c>
      <c r="J119" s="1802" t="s">
        <v>5117</v>
      </c>
      <c r="K119" s="113"/>
      <c r="L119" s="113"/>
      <c r="M119" s="113"/>
      <c r="N119" s="113"/>
      <c r="O119" s="113"/>
      <c r="P119" s="113"/>
      <c r="Q119" s="113"/>
      <c r="R119" s="113"/>
    </row>
    <row r="120" spans="2:18" s="201" customFormat="1" ht="15.75" x14ac:dyDescent="0.55000000000000004">
      <c r="B120" s="1799" t="s">
        <v>4036</v>
      </c>
      <c r="C120" s="1800" t="s">
        <v>4037</v>
      </c>
      <c r="D120" s="2014">
        <v>0.9</v>
      </c>
      <c r="E120" s="741">
        <v>0</v>
      </c>
      <c r="F120" s="741" t="s">
        <v>1256</v>
      </c>
      <c r="G120" s="741" t="s">
        <v>851</v>
      </c>
      <c r="H120" s="741">
        <v>3</v>
      </c>
      <c r="I120" s="741" t="s">
        <v>2029</v>
      </c>
      <c r="J120" s="1802" t="s">
        <v>4987</v>
      </c>
      <c r="K120" s="113"/>
      <c r="L120" s="113"/>
      <c r="M120" s="113"/>
      <c r="N120" s="113"/>
      <c r="O120" s="113"/>
      <c r="P120" s="113"/>
      <c r="Q120" s="113"/>
      <c r="R120" s="113"/>
    </row>
    <row r="121" spans="2:18" s="201" customFormat="1" ht="15.75" x14ac:dyDescent="0.55000000000000004">
      <c r="B121" s="1799" t="s">
        <v>2295</v>
      </c>
      <c r="C121" s="1800" t="s">
        <v>2563</v>
      </c>
      <c r="D121" s="2014">
        <v>0.03</v>
      </c>
      <c r="E121" s="741">
        <v>0</v>
      </c>
      <c r="F121" s="741" t="s">
        <v>1256</v>
      </c>
      <c r="G121" s="741" t="s">
        <v>851</v>
      </c>
      <c r="H121" s="741">
        <v>2</v>
      </c>
      <c r="I121" s="741"/>
      <c r="J121" s="1802"/>
      <c r="K121" s="113"/>
      <c r="L121" s="113"/>
      <c r="M121" s="113"/>
      <c r="N121" s="113"/>
      <c r="O121" s="113"/>
      <c r="P121" s="113"/>
      <c r="Q121" s="113"/>
      <c r="R121" s="113"/>
    </row>
    <row r="122" spans="2:18" s="201" customFormat="1" ht="15.75" x14ac:dyDescent="0.55000000000000004">
      <c r="B122" s="1799" t="s">
        <v>4110</v>
      </c>
      <c r="C122" s="1800" t="s">
        <v>4114</v>
      </c>
      <c r="D122" s="2014">
        <v>4.0000000000000001E-3</v>
      </c>
      <c r="E122" s="741">
        <v>0</v>
      </c>
      <c r="F122" s="741" t="s">
        <v>1256</v>
      </c>
      <c r="G122" s="741" t="s">
        <v>851</v>
      </c>
      <c r="H122" s="741">
        <v>4</v>
      </c>
      <c r="I122" s="741"/>
      <c r="J122" s="1802"/>
      <c r="K122" s="113"/>
      <c r="L122" s="113"/>
      <c r="M122" s="113"/>
      <c r="N122" s="113"/>
      <c r="O122" s="113"/>
      <c r="P122" s="113"/>
      <c r="Q122" s="113"/>
      <c r="R122" s="113"/>
    </row>
    <row r="123" spans="2:18" s="201" customFormat="1" ht="28.5" x14ac:dyDescent="0.55000000000000004">
      <c r="B123" s="1799" t="s">
        <v>4038</v>
      </c>
      <c r="C123" s="1800" t="s">
        <v>4169</v>
      </c>
      <c r="D123" s="2014">
        <v>2.9999999999999997E-4</v>
      </c>
      <c r="E123" s="741">
        <v>0</v>
      </c>
      <c r="F123" s="741" t="s">
        <v>1256</v>
      </c>
      <c r="G123" s="741" t="s">
        <v>851</v>
      </c>
      <c r="H123" s="741">
        <v>4</v>
      </c>
      <c r="I123" s="741"/>
      <c r="J123" s="1802" t="s">
        <v>5118</v>
      </c>
      <c r="K123" s="113"/>
      <c r="L123" s="113"/>
      <c r="M123" s="113"/>
      <c r="N123" s="113"/>
      <c r="O123" s="113"/>
      <c r="P123" s="113"/>
      <c r="Q123" s="113"/>
      <c r="R123" s="113"/>
    </row>
    <row r="124" spans="2:18" s="201" customFormat="1" ht="15.75" x14ac:dyDescent="0.55000000000000004">
      <c r="B124" s="1799" t="s">
        <v>4039</v>
      </c>
      <c r="C124" s="1800" t="s">
        <v>4170</v>
      </c>
      <c r="D124" s="2014">
        <v>8.0000000000000002E-3</v>
      </c>
      <c r="E124" s="741">
        <v>0</v>
      </c>
      <c r="F124" s="741" t="s">
        <v>1256</v>
      </c>
      <c r="G124" s="741" t="s">
        <v>851</v>
      </c>
      <c r="H124" s="741">
        <v>3</v>
      </c>
      <c r="I124" s="741"/>
      <c r="J124" s="1802"/>
      <c r="K124" s="113"/>
      <c r="L124" s="113"/>
      <c r="M124" s="113"/>
      <c r="N124" s="113"/>
      <c r="O124" s="113"/>
      <c r="P124" s="113"/>
      <c r="Q124" s="113"/>
      <c r="R124" s="113"/>
    </row>
    <row r="125" spans="2:18" s="201" customFormat="1" ht="16.5" x14ac:dyDescent="0.55000000000000004">
      <c r="B125" s="1799" t="s">
        <v>4040</v>
      </c>
      <c r="C125" s="1800" t="s">
        <v>4171</v>
      </c>
      <c r="D125" s="1801">
        <v>0.8</v>
      </c>
      <c r="E125" s="741">
        <v>0</v>
      </c>
      <c r="F125" s="741" t="s">
        <v>1256</v>
      </c>
      <c r="G125" s="741" t="s">
        <v>850</v>
      </c>
      <c r="H125" s="741">
        <v>2</v>
      </c>
      <c r="I125" s="741"/>
      <c r="J125" s="1802" t="s">
        <v>5119</v>
      </c>
      <c r="K125" s="113"/>
      <c r="L125" s="113"/>
      <c r="M125" s="113"/>
      <c r="N125" s="113"/>
      <c r="O125" s="113"/>
      <c r="P125" s="113"/>
      <c r="Q125" s="113"/>
      <c r="R125" s="113"/>
    </row>
    <row r="126" spans="2:18" s="201" customFormat="1" ht="16.5" x14ac:dyDescent="0.55000000000000004">
      <c r="B126" s="1799" t="s">
        <v>4088</v>
      </c>
      <c r="C126" s="1800" t="s">
        <v>4089</v>
      </c>
      <c r="D126" s="1801">
        <v>0.5</v>
      </c>
      <c r="E126" s="741">
        <v>0</v>
      </c>
      <c r="F126" s="741" t="s">
        <v>1256</v>
      </c>
      <c r="G126" s="741" t="s">
        <v>850</v>
      </c>
      <c r="H126" s="741">
        <v>2</v>
      </c>
      <c r="I126" s="741"/>
      <c r="J126" s="1802"/>
      <c r="K126" s="113"/>
      <c r="L126" s="113"/>
      <c r="M126" s="113"/>
      <c r="N126" s="113"/>
      <c r="O126" s="113"/>
      <c r="P126" s="113"/>
      <c r="Q126" s="113"/>
      <c r="R126" s="113"/>
    </row>
    <row r="127" spans="2:18" s="201" customFormat="1" ht="16.899999999999999" thickBot="1" x14ac:dyDescent="0.6">
      <c r="B127" s="2182" t="s">
        <v>4090</v>
      </c>
      <c r="C127" s="2183" t="s">
        <v>4091</v>
      </c>
      <c r="D127" s="2184">
        <v>0.25</v>
      </c>
      <c r="E127" s="2185">
        <v>0</v>
      </c>
      <c r="F127" s="2185" t="s">
        <v>1256</v>
      </c>
      <c r="G127" s="2185" t="s">
        <v>850</v>
      </c>
      <c r="H127" s="2185">
        <v>2</v>
      </c>
      <c r="I127" s="2185" t="s">
        <v>2490</v>
      </c>
      <c r="J127" s="2186"/>
      <c r="K127" s="113"/>
      <c r="L127" s="113"/>
      <c r="M127" s="113"/>
      <c r="N127" s="113"/>
      <c r="O127" s="113"/>
      <c r="P127" s="113"/>
      <c r="Q127" s="113"/>
      <c r="R127" s="113"/>
    </row>
    <row r="128" spans="2:18" s="201" customFormat="1" ht="16.899999999999999" thickBot="1" x14ac:dyDescent="0.6">
      <c r="B128" s="2807" t="s">
        <v>5818</v>
      </c>
      <c r="C128" s="2808" t="s">
        <v>5819</v>
      </c>
      <c r="D128" s="2809">
        <v>9999</v>
      </c>
      <c r="E128" s="2810">
        <v>0</v>
      </c>
      <c r="F128" s="2810" t="s">
        <v>1256</v>
      </c>
      <c r="G128" s="2810" t="s">
        <v>3009</v>
      </c>
      <c r="H128" s="2810">
        <v>6</v>
      </c>
      <c r="I128" s="2811"/>
      <c r="J128" s="2812"/>
      <c r="K128" s="113"/>
      <c r="L128" s="113"/>
      <c r="M128" s="113"/>
      <c r="N128" s="113"/>
      <c r="O128" s="113"/>
    </row>
    <row r="129" spans="2:18" s="201" customFormat="1" ht="14.65" thickBot="1" x14ac:dyDescent="0.5">
      <c r="B129" s="1890"/>
      <c r="C129" s="1046"/>
      <c r="D129" s="1931"/>
      <c r="E129" s="116"/>
      <c r="F129" s="116"/>
      <c r="G129" s="116"/>
      <c r="H129" s="116"/>
      <c r="I129" s="115"/>
      <c r="J129" s="1889"/>
      <c r="K129" s="113"/>
      <c r="L129" s="113"/>
      <c r="M129" s="113"/>
      <c r="N129" s="113"/>
      <c r="O129" s="113"/>
      <c r="P129" s="113"/>
      <c r="Q129" s="113"/>
      <c r="R129" s="113"/>
    </row>
    <row r="130" spans="2:18" s="201" customFormat="1" ht="14.65" thickBot="1" x14ac:dyDescent="0.5">
      <c r="B130" s="124"/>
      <c r="C130" s="415" t="s">
        <v>3006</v>
      </c>
      <c r="D130" s="114" t="s">
        <v>301</v>
      </c>
      <c r="E130" s="114"/>
      <c r="F130" s="114"/>
      <c r="G130" s="114"/>
      <c r="H130" s="114"/>
      <c r="I130" s="124"/>
      <c r="J130" s="1889"/>
      <c r="K130" s="113"/>
      <c r="L130" s="113"/>
      <c r="M130" s="113"/>
      <c r="N130" s="113"/>
      <c r="O130" s="113"/>
      <c r="P130" s="113"/>
      <c r="Q130" s="113"/>
      <c r="R130" s="113"/>
    </row>
    <row r="131" spans="2:18" s="201" customFormat="1" ht="14.65" thickBot="1" x14ac:dyDescent="0.5">
      <c r="B131" s="996" t="s">
        <v>0</v>
      </c>
      <c r="C131" s="1066" t="s">
        <v>1</v>
      </c>
      <c r="D131" s="351" t="s">
        <v>841</v>
      </c>
      <c r="E131" s="351" t="s">
        <v>471</v>
      </c>
      <c r="F131" s="351" t="s">
        <v>472</v>
      </c>
      <c r="G131" s="351" t="s">
        <v>2</v>
      </c>
      <c r="H131" s="351" t="s">
        <v>300</v>
      </c>
      <c r="I131" s="1179" t="s">
        <v>116</v>
      </c>
      <c r="J131" s="1180" t="s">
        <v>117</v>
      </c>
      <c r="K131" s="113"/>
      <c r="L131" s="113"/>
      <c r="M131" s="113"/>
      <c r="N131" s="113"/>
      <c r="O131" s="113"/>
      <c r="P131" s="113"/>
      <c r="Q131" s="113"/>
      <c r="R131" s="113"/>
    </row>
    <row r="132" spans="2:18" s="201" customFormat="1" ht="15.75" x14ac:dyDescent="0.55000000000000004">
      <c r="B132" s="998" t="s">
        <v>2296</v>
      </c>
      <c r="C132" s="1067" t="s">
        <v>2297</v>
      </c>
      <c r="D132" s="352">
        <v>0.65</v>
      </c>
      <c r="E132" s="353">
        <v>0</v>
      </c>
      <c r="F132" s="353" t="s">
        <v>1256</v>
      </c>
      <c r="G132" s="353" t="s">
        <v>848</v>
      </c>
      <c r="H132" s="353">
        <v>2</v>
      </c>
      <c r="I132" s="1181" t="s">
        <v>2027</v>
      </c>
      <c r="J132" s="1182"/>
      <c r="K132" s="113"/>
      <c r="L132" s="113"/>
      <c r="M132" s="113"/>
      <c r="N132" s="113"/>
      <c r="O132" s="113"/>
      <c r="P132" s="113"/>
      <c r="Q132" s="113"/>
      <c r="R132" s="113"/>
    </row>
    <row r="133" spans="2:18" s="201" customFormat="1" ht="15.75" x14ac:dyDescent="0.55000000000000004">
      <c r="B133" s="999" t="s">
        <v>2299</v>
      </c>
      <c r="C133" s="1068" t="s">
        <v>2565</v>
      </c>
      <c r="D133" s="354">
        <v>0.15</v>
      </c>
      <c r="E133" s="355">
        <v>0</v>
      </c>
      <c r="F133" s="355" t="s">
        <v>1256</v>
      </c>
      <c r="G133" s="355" t="s">
        <v>848</v>
      </c>
      <c r="H133" s="355">
        <v>2</v>
      </c>
      <c r="I133" s="1183"/>
      <c r="J133" s="1184"/>
      <c r="K133" s="113"/>
      <c r="L133" s="113"/>
      <c r="M133" s="113"/>
      <c r="N133" s="113"/>
      <c r="O133" s="113"/>
      <c r="P133" s="113"/>
      <c r="Q133" s="113"/>
      <c r="R133" s="113"/>
    </row>
    <row r="134" spans="2:18" s="201" customFormat="1" ht="15.75" x14ac:dyDescent="0.55000000000000004">
      <c r="B134" s="999" t="s">
        <v>2298</v>
      </c>
      <c r="C134" s="1068" t="s">
        <v>2566</v>
      </c>
      <c r="D134" s="354">
        <v>0.1</v>
      </c>
      <c r="E134" s="355">
        <v>0</v>
      </c>
      <c r="F134" s="355" t="s">
        <v>1256</v>
      </c>
      <c r="G134" s="355" t="s">
        <v>851</v>
      </c>
      <c r="H134" s="355">
        <v>2</v>
      </c>
      <c r="I134" s="1183" t="s">
        <v>2026</v>
      </c>
      <c r="J134" s="1184"/>
      <c r="K134" s="113"/>
      <c r="L134" s="113"/>
      <c r="M134" s="113"/>
      <c r="N134" s="113"/>
      <c r="O134" s="113"/>
      <c r="P134" s="113"/>
      <c r="Q134" s="113"/>
      <c r="R134" s="113"/>
    </row>
    <row r="135" spans="2:18" s="201" customFormat="1" ht="16.5" x14ac:dyDescent="0.55000000000000004">
      <c r="B135" s="999" t="s">
        <v>2300</v>
      </c>
      <c r="C135" s="1068" t="s">
        <v>2567</v>
      </c>
      <c r="D135" s="354">
        <v>1</v>
      </c>
      <c r="E135" s="355">
        <v>0</v>
      </c>
      <c r="F135" s="355" t="s">
        <v>1256</v>
      </c>
      <c r="G135" s="355" t="s">
        <v>2301</v>
      </c>
      <c r="H135" s="355">
        <v>2</v>
      </c>
      <c r="I135" s="1183"/>
      <c r="J135" s="1184" t="s">
        <v>3505</v>
      </c>
      <c r="K135" s="113"/>
      <c r="L135" s="113"/>
      <c r="M135" s="113"/>
      <c r="N135" s="113"/>
      <c r="O135" s="113"/>
      <c r="P135" s="113"/>
      <c r="Q135" s="113"/>
      <c r="R135" s="113"/>
    </row>
    <row r="136" spans="2:18" s="201" customFormat="1" ht="15.75" x14ac:dyDescent="0.55000000000000004">
      <c r="B136" s="1826" t="s">
        <v>5010</v>
      </c>
      <c r="C136" s="1830" t="s">
        <v>5011</v>
      </c>
      <c r="D136" s="2195">
        <v>2</v>
      </c>
      <c r="E136" s="1827">
        <v>0</v>
      </c>
      <c r="F136" s="1827">
        <v>2</v>
      </c>
      <c r="G136" s="1827" t="s">
        <v>2017</v>
      </c>
      <c r="H136" s="1827">
        <v>2</v>
      </c>
      <c r="I136" s="1828"/>
      <c r="J136" s="1829" t="s">
        <v>4990</v>
      </c>
      <c r="K136" s="113"/>
      <c r="L136" s="113"/>
      <c r="M136" s="113"/>
      <c r="N136" s="113"/>
      <c r="O136" s="113"/>
      <c r="P136" s="113"/>
      <c r="Q136" s="113"/>
      <c r="R136" s="113"/>
    </row>
    <row r="137" spans="2:18" s="201" customFormat="1" ht="16.5" x14ac:dyDescent="0.55000000000000004">
      <c r="B137" s="999" t="s">
        <v>2302</v>
      </c>
      <c r="C137" s="1069" t="s">
        <v>2568</v>
      </c>
      <c r="D137" s="356">
        <v>1E-10</v>
      </c>
      <c r="E137" s="355">
        <v>0</v>
      </c>
      <c r="F137" s="355" t="s">
        <v>1256</v>
      </c>
      <c r="G137" s="355" t="s">
        <v>1973</v>
      </c>
      <c r="H137" s="355">
        <v>2</v>
      </c>
      <c r="I137" s="1183"/>
      <c r="J137" s="1184" t="s">
        <v>3506</v>
      </c>
      <c r="K137" s="113"/>
      <c r="L137" s="113"/>
      <c r="M137" s="113"/>
      <c r="N137" s="113"/>
      <c r="O137" s="113"/>
      <c r="P137" s="113"/>
      <c r="Q137" s="113"/>
      <c r="R137" s="113"/>
    </row>
    <row r="138" spans="2:18" s="201" customFormat="1" ht="15.75" x14ac:dyDescent="0.55000000000000004">
      <c r="B138" s="1826" t="s">
        <v>5012</v>
      </c>
      <c r="C138" s="1831" t="s">
        <v>5013</v>
      </c>
      <c r="D138" s="2195">
        <v>2</v>
      </c>
      <c r="E138" s="1827">
        <v>0</v>
      </c>
      <c r="F138" s="1827">
        <v>2</v>
      </c>
      <c r="G138" s="1827" t="s">
        <v>2017</v>
      </c>
      <c r="H138" s="1827">
        <v>2</v>
      </c>
      <c r="I138" s="1828"/>
      <c r="J138" s="1829" t="s">
        <v>4990</v>
      </c>
      <c r="K138" s="113"/>
      <c r="L138" s="113"/>
      <c r="M138" s="113"/>
      <c r="N138" s="113"/>
      <c r="O138" s="113"/>
      <c r="P138" s="113"/>
      <c r="Q138" s="113"/>
      <c r="R138" s="113"/>
    </row>
    <row r="139" spans="2:18" s="201" customFormat="1" ht="16.5" x14ac:dyDescent="0.55000000000000004">
      <c r="B139" s="999" t="s">
        <v>2303</v>
      </c>
      <c r="C139" s="1068" t="s">
        <v>2569</v>
      </c>
      <c r="D139" s="354">
        <v>0.5</v>
      </c>
      <c r="E139" s="355">
        <v>0</v>
      </c>
      <c r="F139" s="355" t="s">
        <v>1256</v>
      </c>
      <c r="G139" s="355" t="s">
        <v>850</v>
      </c>
      <c r="H139" s="355">
        <v>2</v>
      </c>
      <c r="I139" s="1183"/>
      <c r="J139" s="1184"/>
      <c r="K139" s="113"/>
      <c r="L139" s="113"/>
      <c r="M139" s="113"/>
      <c r="N139" s="113"/>
      <c r="O139" s="113"/>
      <c r="P139" s="113"/>
      <c r="Q139" s="113"/>
      <c r="R139" s="113"/>
    </row>
    <row r="140" spans="2:18" s="201" customFormat="1" ht="16.5" x14ac:dyDescent="0.55000000000000004">
      <c r="B140" s="999" t="s">
        <v>2304</v>
      </c>
      <c r="C140" s="1068" t="s">
        <v>2570</v>
      </c>
      <c r="D140" s="354">
        <v>0.25</v>
      </c>
      <c r="E140" s="355">
        <v>0</v>
      </c>
      <c r="F140" s="355" t="s">
        <v>1256</v>
      </c>
      <c r="G140" s="355" t="s">
        <v>850</v>
      </c>
      <c r="H140" s="355">
        <v>2</v>
      </c>
      <c r="I140" s="1185" t="s">
        <v>2491</v>
      </c>
      <c r="J140" s="1184"/>
      <c r="K140" s="113"/>
      <c r="L140" s="113"/>
      <c r="M140" s="113"/>
      <c r="N140" s="113"/>
      <c r="O140" s="113"/>
      <c r="P140" s="113"/>
      <c r="Q140" s="113"/>
      <c r="R140" s="113"/>
    </row>
    <row r="141" spans="2:18" s="201" customFormat="1" ht="15.75" x14ac:dyDescent="0.55000000000000004">
      <c r="B141" s="999" t="s">
        <v>2305</v>
      </c>
      <c r="C141" s="1068" t="s">
        <v>2571</v>
      </c>
      <c r="D141" s="354">
        <v>0.03</v>
      </c>
      <c r="E141" s="355">
        <v>0</v>
      </c>
      <c r="F141" s="355" t="s">
        <v>1256</v>
      </c>
      <c r="G141" s="355" t="s">
        <v>851</v>
      </c>
      <c r="H141" s="355">
        <v>2</v>
      </c>
      <c r="I141" s="1183"/>
      <c r="J141" s="1184"/>
      <c r="K141" s="113"/>
      <c r="L141" s="113"/>
      <c r="M141" s="113"/>
      <c r="N141" s="113"/>
      <c r="O141" s="113"/>
      <c r="P141" s="113"/>
      <c r="Q141" s="113"/>
      <c r="R141" s="113"/>
    </row>
    <row r="142" spans="2:18" s="201" customFormat="1" ht="16.899999999999999" thickBot="1" x14ac:dyDescent="0.6">
      <c r="B142" s="1000" t="s">
        <v>2564</v>
      </c>
      <c r="C142" s="1070" t="s">
        <v>2572</v>
      </c>
      <c r="D142" s="544">
        <v>9999</v>
      </c>
      <c r="E142" s="357">
        <v>0</v>
      </c>
      <c r="F142" s="357" t="s">
        <v>1256</v>
      </c>
      <c r="G142" s="416" t="s">
        <v>2231</v>
      </c>
      <c r="H142" s="357">
        <v>4</v>
      </c>
      <c r="I142" s="1186"/>
      <c r="J142" s="1187" t="s">
        <v>3506</v>
      </c>
      <c r="K142" s="113"/>
      <c r="L142" s="113"/>
      <c r="M142" s="113"/>
      <c r="N142" s="113"/>
      <c r="O142" s="113"/>
      <c r="P142" s="113"/>
      <c r="Q142" s="113"/>
      <c r="R142" s="113"/>
    </row>
    <row r="143" spans="2:18" s="201" customFormat="1" ht="14.65" thickBot="1" x14ac:dyDescent="0.5">
      <c r="B143" s="1890"/>
      <c r="C143" s="1046"/>
      <c r="D143" s="1931"/>
      <c r="E143" s="116"/>
      <c r="F143" s="116"/>
      <c r="G143" s="116"/>
      <c r="H143" s="116"/>
      <c r="I143" s="115"/>
      <c r="J143" s="1889"/>
      <c r="K143" s="113"/>
      <c r="L143" s="113"/>
      <c r="M143" s="113"/>
      <c r="N143" s="113"/>
      <c r="O143" s="113"/>
      <c r="P143" s="113"/>
      <c r="Q143" s="113"/>
      <c r="R143" s="113"/>
    </row>
    <row r="144" spans="2:18" s="201" customFormat="1" ht="14.65" thickBot="1" x14ac:dyDescent="0.5">
      <c r="B144" s="124"/>
      <c r="C144" s="415" t="s">
        <v>3007</v>
      </c>
      <c r="D144" s="114" t="s">
        <v>301</v>
      </c>
      <c r="E144" s="114"/>
      <c r="F144" s="114"/>
      <c r="G144" s="114"/>
      <c r="H144" s="114"/>
      <c r="I144" s="124"/>
      <c r="J144" s="1889"/>
      <c r="K144" s="113"/>
      <c r="L144" s="113"/>
      <c r="M144" s="113"/>
      <c r="N144" s="113"/>
      <c r="O144" s="113"/>
      <c r="P144" s="113"/>
      <c r="Q144" s="113"/>
      <c r="R144" s="113"/>
    </row>
    <row r="145" spans="2:18" s="128" customFormat="1" ht="14.65" thickBot="1" x14ac:dyDescent="0.5">
      <c r="B145" s="996" t="s">
        <v>0</v>
      </c>
      <c r="C145" s="1066" t="s">
        <v>1</v>
      </c>
      <c r="D145" s="351" t="s">
        <v>841</v>
      </c>
      <c r="E145" s="351" t="s">
        <v>471</v>
      </c>
      <c r="F145" s="351" t="s">
        <v>472</v>
      </c>
      <c r="G145" s="351" t="s">
        <v>2</v>
      </c>
      <c r="H145" s="351" t="s">
        <v>300</v>
      </c>
      <c r="I145" s="1179" t="s">
        <v>116</v>
      </c>
      <c r="J145" s="1188" t="s">
        <v>117</v>
      </c>
      <c r="K145" s="113"/>
      <c r="L145" s="113"/>
      <c r="M145" s="113"/>
      <c r="N145" s="113"/>
      <c r="O145" s="113"/>
      <c r="P145" s="113"/>
      <c r="Q145" s="113"/>
      <c r="R145" s="113"/>
    </row>
    <row r="146" spans="2:18" s="201" customFormat="1" ht="15.75" x14ac:dyDescent="0.55000000000000004">
      <c r="B146" s="1001" t="s">
        <v>2306</v>
      </c>
      <c r="C146" s="1071" t="s">
        <v>2574</v>
      </c>
      <c r="D146" s="358">
        <v>0.1</v>
      </c>
      <c r="E146" s="358">
        <v>0</v>
      </c>
      <c r="F146" s="358" t="s">
        <v>1256</v>
      </c>
      <c r="G146" s="358" t="s">
        <v>848</v>
      </c>
      <c r="H146" s="358">
        <v>3</v>
      </c>
      <c r="I146" s="1189"/>
      <c r="J146" s="1190"/>
      <c r="K146" s="113"/>
      <c r="L146" s="113"/>
      <c r="M146" s="113"/>
      <c r="N146" s="113"/>
      <c r="O146" s="113"/>
      <c r="P146" s="113"/>
      <c r="Q146" s="113"/>
      <c r="R146" s="113"/>
    </row>
    <row r="147" spans="2:18" s="201" customFormat="1" ht="15.75" x14ac:dyDescent="0.55000000000000004">
      <c r="B147" s="1002" t="s">
        <v>2307</v>
      </c>
      <c r="C147" s="1072" t="s">
        <v>2575</v>
      </c>
      <c r="D147" s="360">
        <v>1.9E-2</v>
      </c>
      <c r="E147" s="360">
        <v>0</v>
      </c>
      <c r="F147" s="360" t="s">
        <v>1256</v>
      </c>
      <c r="G147" s="360" t="s">
        <v>848</v>
      </c>
      <c r="H147" s="360">
        <v>3</v>
      </c>
      <c r="I147" s="359"/>
      <c r="J147" s="1191"/>
      <c r="K147" s="113"/>
      <c r="L147" s="113"/>
      <c r="M147" s="113"/>
      <c r="N147" s="113"/>
      <c r="O147" s="113"/>
      <c r="P147" s="113"/>
      <c r="Q147" s="113"/>
      <c r="R147" s="113"/>
    </row>
    <row r="148" spans="2:18" s="201" customFormat="1" ht="15.75" x14ac:dyDescent="0.55000000000000004">
      <c r="B148" s="1002" t="s">
        <v>2308</v>
      </c>
      <c r="C148" s="1072" t="s">
        <v>2576</v>
      </c>
      <c r="D148" s="360">
        <v>2</v>
      </c>
      <c r="E148" s="360">
        <v>0</v>
      </c>
      <c r="F148" s="360" t="s">
        <v>1256</v>
      </c>
      <c r="G148" s="360" t="s">
        <v>851</v>
      </c>
      <c r="H148" s="360">
        <v>1</v>
      </c>
      <c r="I148" s="359"/>
      <c r="J148" s="1191"/>
      <c r="K148" s="113"/>
      <c r="L148" s="113"/>
      <c r="M148" s="113"/>
      <c r="N148" s="113"/>
      <c r="O148" s="113"/>
      <c r="P148" s="113"/>
      <c r="Q148" s="113"/>
      <c r="R148" s="113"/>
    </row>
    <row r="149" spans="2:18" s="201" customFormat="1" ht="15.75" x14ac:dyDescent="0.55000000000000004">
      <c r="B149" s="1002" t="s">
        <v>2309</v>
      </c>
      <c r="C149" s="1072" t="s">
        <v>2577</v>
      </c>
      <c r="D149" s="360">
        <v>1</v>
      </c>
      <c r="E149" s="360">
        <v>0</v>
      </c>
      <c r="F149" s="360" t="s">
        <v>1256</v>
      </c>
      <c r="G149" s="360" t="s">
        <v>851</v>
      </c>
      <c r="H149" s="360">
        <v>2</v>
      </c>
      <c r="I149" s="359"/>
      <c r="J149" s="1191"/>
      <c r="K149" s="113"/>
      <c r="L149" s="113"/>
      <c r="M149" s="113"/>
      <c r="N149" s="113"/>
      <c r="O149" s="113"/>
      <c r="P149" s="113"/>
      <c r="Q149" s="113"/>
      <c r="R149" s="113"/>
    </row>
    <row r="150" spans="2:18" s="201" customFormat="1" ht="16.5" x14ac:dyDescent="0.55000000000000004">
      <c r="B150" s="1002" t="s">
        <v>2310</v>
      </c>
      <c r="C150" s="1072" t="s">
        <v>2578</v>
      </c>
      <c r="D150" s="360">
        <v>10</v>
      </c>
      <c r="E150" s="360">
        <v>0</v>
      </c>
      <c r="F150" s="360" t="s">
        <v>1256</v>
      </c>
      <c r="G150" s="360" t="s">
        <v>2301</v>
      </c>
      <c r="H150" s="360">
        <v>6</v>
      </c>
      <c r="I150" s="359"/>
      <c r="J150" s="1192" t="s">
        <v>3505</v>
      </c>
      <c r="K150" s="113"/>
      <c r="L150" s="113"/>
      <c r="M150" s="113"/>
      <c r="N150" s="113"/>
      <c r="O150" s="113"/>
      <c r="P150" s="113"/>
      <c r="Q150" s="113"/>
      <c r="R150" s="113"/>
    </row>
    <row r="151" spans="2:18" s="201" customFormat="1" ht="15.75" x14ac:dyDescent="0.55000000000000004">
      <c r="B151" s="1832" t="s">
        <v>5014</v>
      </c>
      <c r="C151" s="1834" t="s">
        <v>5015</v>
      </c>
      <c r="D151" s="2196">
        <v>2</v>
      </c>
      <c r="E151" s="1833">
        <v>0</v>
      </c>
      <c r="F151" s="1833">
        <v>2</v>
      </c>
      <c r="G151" s="1833" t="s">
        <v>2017</v>
      </c>
      <c r="H151" s="1833">
        <v>2</v>
      </c>
      <c r="I151" s="1834"/>
      <c r="J151" s="1835" t="s">
        <v>4990</v>
      </c>
      <c r="K151" s="113"/>
      <c r="L151" s="113"/>
      <c r="M151" s="113"/>
      <c r="N151" s="113"/>
      <c r="O151" s="113"/>
      <c r="P151" s="113"/>
      <c r="Q151" s="113"/>
      <c r="R151" s="113"/>
    </row>
    <row r="152" spans="2:18" s="201" customFormat="1" ht="16.5" x14ac:dyDescent="0.45">
      <c r="B152" s="1003" t="s">
        <v>2311</v>
      </c>
      <c r="C152" s="1072" t="s">
        <v>2579</v>
      </c>
      <c r="D152" s="360">
        <v>1E-4</v>
      </c>
      <c r="E152" s="360">
        <v>0</v>
      </c>
      <c r="F152" s="360" t="s">
        <v>1256</v>
      </c>
      <c r="G152" s="360" t="s">
        <v>1973</v>
      </c>
      <c r="H152" s="360">
        <v>6</v>
      </c>
      <c r="I152" s="359"/>
      <c r="J152" s="1192" t="s">
        <v>3506</v>
      </c>
      <c r="K152" s="113"/>
      <c r="L152" s="113"/>
      <c r="M152" s="113"/>
      <c r="N152" s="113"/>
      <c r="O152" s="113"/>
      <c r="P152" s="113"/>
      <c r="Q152" s="113"/>
      <c r="R152" s="113"/>
    </row>
    <row r="153" spans="2:18" s="201" customFormat="1" ht="15.75" x14ac:dyDescent="0.55000000000000004">
      <c r="B153" s="1832" t="s">
        <v>5016</v>
      </c>
      <c r="C153" s="1834" t="s">
        <v>5017</v>
      </c>
      <c r="D153" s="2196">
        <v>2</v>
      </c>
      <c r="E153" s="1833">
        <v>0</v>
      </c>
      <c r="F153" s="1833">
        <v>2</v>
      </c>
      <c r="G153" s="1833" t="s">
        <v>2017</v>
      </c>
      <c r="H153" s="1833">
        <v>2</v>
      </c>
      <c r="I153" s="1834"/>
      <c r="J153" s="1835" t="s">
        <v>4990</v>
      </c>
      <c r="K153" s="113"/>
      <c r="L153" s="113"/>
      <c r="M153" s="113"/>
      <c r="N153" s="113"/>
      <c r="O153" s="113"/>
      <c r="P153" s="113"/>
      <c r="Q153" s="113"/>
      <c r="R153" s="113"/>
    </row>
    <row r="154" spans="2:18" s="201" customFormat="1" ht="16.5" x14ac:dyDescent="0.55000000000000004">
      <c r="B154" s="1002" t="s">
        <v>3623</v>
      </c>
      <c r="C154" s="1072" t="s">
        <v>3624</v>
      </c>
      <c r="D154" s="360">
        <v>0.4</v>
      </c>
      <c r="E154" s="360">
        <v>0</v>
      </c>
      <c r="F154" s="360" t="s">
        <v>1256</v>
      </c>
      <c r="G154" s="360" t="s">
        <v>850</v>
      </c>
      <c r="H154" s="360">
        <v>2</v>
      </c>
      <c r="I154" s="359"/>
      <c r="J154" s="1191"/>
      <c r="K154" s="113"/>
      <c r="L154" s="113"/>
      <c r="M154" s="113"/>
      <c r="N154" s="113"/>
      <c r="O154" s="113"/>
      <c r="P154" s="113"/>
      <c r="Q154" s="113"/>
      <c r="R154" s="113"/>
    </row>
    <row r="155" spans="2:18" s="201" customFormat="1" ht="15.75" x14ac:dyDescent="0.55000000000000004">
      <c r="B155" s="1002" t="s">
        <v>2312</v>
      </c>
      <c r="C155" s="1072" t="s">
        <v>2580</v>
      </c>
      <c r="D155" s="360">
        <v>0.1</v>
      </c>
      <c r="E155" s="360">
        <v>0</v>
      </c>
      <c r="F155" s="360" t="s">
        <v>1256</v>
      </c>
      <c r="G155" s="360" t="s">
        <v>851</v>
      </c>
      <c r="H155" s="360">
        <v>2</v>
      </c>
      <c r="I155" s="359"/>
      <c r="J155" s="1191"/>
      <c r="K155" s="113"/>
      <c r="L155" s="113"/>
      <c r="M155" s="113"/>
      <c r="N155" s="113"/>
      <c r="O155" s="113"/>
      <c r="P155" s="113"/>
      <c r="Q155" s="113"/>
      <c r="R155" s="113"/>
    </row>
    <row r="156" spans="2:18" s="201" customFormat="1" ht="16.899999999999999" thickBot="1" x14ac:dyDescent="0.6">
      <c r="B156" s="1004" t="s">
        <v>2573</v>
      </c>
      <c r="C156" s="1073" t="s">
        <v>2581</v>
      </c>
      <c r="D156" s="362">
        <v>1</v>
      </c>
      <c r="E156" s="362">
        <v>0</v>
      </c>
      <c r="F156" s="362" t="s">
        <v>1256</v>
      </c>
      <c r="G156" s="417" t="s">
        <v>3009</v>
      </c>
      <c r="H156" s="362">
        <v>1</v>
      </c>
      <c r="I156" s="361"/>
      <c r="J156" s="1193"/>
      <c r="K156" s="113"/>
      <c r="L156" s="113"/>
      <c r="M156" s="113"/>
      <c r="N156" s="113"/>
      <c r="O156" s="113"/>
      <c r="P156" s="113"/>
      <c r="Q156" s="113"/>
      <c r="R156" s="113"/>
    </row>
    <row r="157" spans="2:18" s="113" customFormat="1" ht="14.65" thickBot="1" x14ac:dyDescent="0.5">
      <c r="B157" s="124"/>
      <c r="C157" s="1046"/>
      <c r="D157" s="1932"/>
      <c r="E157" s="116"/>
      <c r="F157" s="116"/>
      <c r="G157" s="116"/>
      <c r="H157" s="116"/>
      <c r="I157" s="115"/>
      <c r="J157" s="1889"/>
    </row>
    <row r="158" spans="2:18" s="113" customFormat="1" ht="14.65" thickBot="1" x14ac:dyDescent="0.5">
      <c r="B158" s="124"/>
      <c r="C158" s="347" t="s">
        <v>2225</v>
      </c>
      <c r="D158" s="114" t="s">
        <v>301</v>
      </c>
      <c r="E158" s="114"/>
      <c r="F158" s="114"/>
      <c r="G158" s="114"/>
      <c r="H158" s="114"/>
      <c r="I158" s="124"/>
      <c r="J158" s="1889"/>
    </row>
    <row r="159" spans="2:18" s="113" customFormat="1" ht="14.65" thickBot="1" x14ac:dyDescent="0.5">
      <c r="B159" s="262" t="s">
        <v>0</v>
      </c>
      <c r="C159" s="1047" t="s">
        <v>1</v>
      </c>
      <c r="D159" s="267" t="s">
        <v>841</v>
      </c>
      <c r="E159" s="267" t="s">
        <v>471</v>
      </c>
      <c r="F159" s="267" t="s">
        <v>472</v>
      </c>
      <c r="G159" s="267" t="s">
        <v>2</v>
      </c>
      <c r="H159" s="267" t="s">
        <v>300</v>
      </c>
      <c r="I159" s="265" t="s">
        <v>116</v>
      </c>
      <c r="J159" s="1161" t="s">
        <v>117</v>
      </c>
    </row>
    <row r="160" spans="2:18" s="113" customFormat="1" ht="15.75" x14ac:dyDescent="0.45">
      <c r="B160" s="1005" t="s">
        <v>1193</v>
      </c>
      <c r="C160" s="1074" t="s">
        <v>306</v>
      </c>
      <c r="D160" s="204">
        <v>0.3</v>
      </c>
      <c r="E160" s="204">
        <v>0</v>
      </c>
      <c r="F160" s="204" t="s">
        <v>1256</v>
      </c>
      <c r="G160" s="204" t="s">
        <v>444</v>
      </c>
      <c r="H160" s="204">
        <v>1</v>
      </c>
      <c r="I160" s="1194"/>
      <c r="J160" s="1195"/>
    </row>
    <row r="161" spans="2:10" s="113" customFormat="1" ht="15.75" x14ac:dyDescent="0.45">
      <c r="B161" s="189" t="s">
        <v>1194</v>
      </c>
      <c r="C161" s="1075" t="s">
        <v>2583</v>
      </c>
      <c r="D161" s="191">
        <v>0.03</v>
      </c>
      <c r="E161" s="191">
        <v>0</v>
      </c>
      <c r="F161" s="191" t="s">
        <v>1256</v>
      </c>
      <c r="G161" s="191" t="s">
        <v>444</v>
      </c>
      <c r="H161" s="191">
        <v>1</v>
      </c>
      <c r="I161" s="190"/>
      <c r="J161" s="199"/>
    </row>
    <row r="162" spans="2:10" s="113" customFormat="1" ht="15.75" x14ac:dyDescent="0.45">
      <c r="B162" s="189" t="s">
        <v>1953</v>
      </c>
      <c r="C162" s="1075" t="s">
        <v>2584</v>
      </c>
      <c r="D162" s="191">
        <v>400</v>
      </c>
      <c r="E162" s="191">
        <v>0</v>
      </c>
      <c r="F162" s="191" t="s">
        <v>1256</v>
      </c>
      <c r="G162" s="191" t="s">
        <v>1182</v>
      </c>
      <c r="H162" s="191">
        <v>0</v>
      </c>
      <c r="I162" s="190"/>
      <c r="J162" s="199"/>
    </row>
    <row r="163" spans="2:10" s="113" customFormat="1" ht="15.75" x14ac:dyDescent="0.45">
      <c r="B163" s="1006" t="s">
        <v>2582</v>
      </c>
      <c r="C163" s="1075" t="s">
        <v>2585</v>
      </c>
      <c r="D163" s="543">
        <v>99999</v>
      </c>
      <c r="E163" s="191">
        <v>0</v>
      </c>
      <c r="F163" s="191" t="s">
        <v>1256</v>
      </c>
      <c r="G163" s="191" t="s">
        <v>1182</v>
      </c>
      <c r="H163" s="191">
        <v>0</v>
      </c>
      <c r="I163" s="190"/>
      <c r="J163" s="199"/>
    </row>
    <row r="164" spans="2:10" s="113" customFormat="1" ht="15.75" x14ac:dyDescent="0.45">
      <c r="B164" s="2230" t="s">
        <v>5149</v>
      </c>
      <c r="C164" s="2233" t="s">
        <v>5150</v>
      </c>
      <c r="D164" s="2231">
        <v>9999</v>
      </c>
      <c r="E164" s="2232" t="s">
        <v>1219</v>
      </c>
      <c r="F164" s="2232" t="s">
        <v>1256</v>
      </c>
      <c r="G164" s="2232" t="s">
        <v>886</v>
      </c>
      <c r="H164" s="2232">
        <v>0</v>
      </c>
      <c r="I164" s="2232"/>
      <c r="J164" s="2234" t="s">
        <v>3505</v>
      </c>
    </row>
    <row r="165" spans="2:10" s="113" customFormat="1" ht="15.75" x14ac:dyDescent="0.45">
      <c r="B165" s="2230" t="s">
        <v>5151</v>
      </c>
      <c r="C165" s="2233" t="s">
        <v>5152</v>
      </c>
      <c r="D165" s="2231">
        <v>0.999</v>
      </c>
      <c r="E165" s="2232" t="s">
        <v>1219</v>
      </c>
      <c r="F165" s="2232" t="s">
        <v>1256</v>
      </c>
      <c r="G165" s="2232" t="s">
        <v>384</v>
      </c>
      <c r="H165" s="2232">
        <v>3</v>
      </c>
      <c r="I165" s="2232"/>
      <c r="J165" s="2234" t="s">
        <v>3506</v>
      </c>
    </row>
    <row r="166" spans="2:10" s="113" customFormat="1" ht="15.75" x14ac:dyDescent="0.45">
      <c r="B166" s="2230" t="s">
        <v>5153</v>
      </c>
      <c r="C166" s="2233" t="s">
        <v>5154</v>
      </c>
      <c r="D166" s="2232">
        <v>0.1</v>
      </c>
      <c r="E166" s="2232">
        <v>0</v>
      </c>
      <c r="F166" s="2232">
        <v>2</v>
      </c>
      <c r="G166" s="2232" t="s">
        <v>283</v>
      </c>
      <c r="H166" s="2232">
        <v>2</v>
      </c>
      <c r="I166" s="2232"/>
      <c r="J166" s="2234" t="s">
        <v>4990</v>
      </c>
    </row>
    <row r="167" spans="2:10" s="113" customFormat="1" ht="15.75" x14ac:dyDescent="0.45">
      <c r="B167" s="189" t="s">
        <v>3582</v>
      </c>
      <c r="C167" s="1075" t="s">
        <v>3583</v>
      </c>
      <c r="D167" s="191">
        <v>0.05</v>
      </c>
      <c r="E167" s="191">
        <v>0</v>
      </c>
      <c r="F167" s="191" t="s">
        <v>1256</v>
      </c>
      <c r="G167" s="191" t="s">
        <v>1181</v>
      </c>
      <c r="H167" s="191">
        <v>2</v>
      </c>
      <c r="I167" s="190"/>
      <c r="J167" s="199"/>
    </row>
    <row r="168" spans="2:10" s="113" customFormat="1" ht="15.75" x14ac:dyDescent="0.45">
      <c r="B168" s="189" t="s">
        <v>2430</v>
      </c>
      <c r="C168" s="1075" t="s">
        <v>2586</v>
      </c>
      <c r="D168" s="191">
        <v>0.05</v>
      </c>
      <c r="E168" s="191">
        <v>0</v>
      </c>
      <c r="F168" s="191" t="s">
        <v>1256</v>
      </c>
      <c r="G168" s="191" t="s">
        <v>886</v>
      </c>
      <c r="H168" s="191">
        <v>2</v>
      </c>
      <c r="I168" s="190"/>
      <c r="J168" s="199"/>
    </row>
    <row r="169" spans="2:10" s="113" customFormat="1" ht="15.75" x14ac:dyDescent="0.45">
      <c r="B169" s="189" t="s">
        <v>1998</v>
      </c>
      <c r="C169" s="1075" t="s">
        <v>2587</v>
      </c>
      <c r="D169" s="191">
        <v>4.5</v>
      </c>
      <c r="E169" s="191">
        <v>0</v>
      </c>
      <c r="F169" s="191" t="s">
        <v>1256</v>
      </c>
      <c r="G169" s="191" t="s">
        <v>378</v>
      </c>
      <c r="H169" s="191">
        <v>1</v>
      </c>
      <c r="I169" s="190"/>
      <c r="J169" s="199"/>
    </row>
    <row r="170" spans="2:10" s="113" customFormat="1" ht="16.149999999999999" thickBot="1" x14ac:dyDescent="0.5">
      <c r="B170" s="1007" t="s">
        <v>1999</v>
      </c>
      <c r="C170" s="1076" t="s">
        <v>2588</v>
      </c>
      <c r="D170" s="193">
        <v>9.5</v>
      </c>
      <c r="E170" s="193">
        <v>0</v>
      </c>
      <c r="F170" s="193" t="s">
        <v>1256</v>
      </c>
      <c r="G170" s="193" t="s">
        <v>378</v>
      </c>
      <c r="H170" s="193">
        <v>1</v>
      </c>
      <c r="I170" s="192"/>
      <c r="J170" s="200"/>
    </row>
    <row r="171" spans="2:10" s="113" customFormat="1" ht="14.65" thickBot="1" x14ac:dyDescent="0.5">
      <c r="B171" s="124"/>
      <c r="C171" s="1046"/>
      <c r="D171" s="1932"/>
      <c r="E171" s="116"/>
      <c r="F171" s="116"/>
      <c r="G171" s="116"/>
      <c r="H171" s="116"/>
      <c r="I171" s="115"/>
      <c r="J171" s="1889"/>
    </row>
    <row r="172" spans="2:10" s="113" customFormat="1" ht="14.65" thickBot="1" x14ac:dyDescent="0.5">
      <c r="B172" s="124"/>
      <c r="C172" s="347" t="s">
        <v>2226</v>
      </c>
      <c r="D172" s="114" t="s">
        <v>301</v>
      </c>
      <c r="E172" s="114"/>
      <c r="F172" s="114"/>
      <c r="G172" s="114"/>
      <c r="H172" s="114"/>
      <c r="I172" s="124"/>
      <c r="J172" s="1889"/>
    </row>
    <row r="173" spans="2:10" s="113" customFormat="1" ht="14.65" thickBot="1" x14ac:dyDescent="0.5">
      <c r="B173" s="1008" t="s">
        <v>0</v>
      </c>
      <c r="C173" s="1077" t="s">
        <v>1</v>
      </c>
      <c r="D173" s="126" t="s">
        <v>841</v>
      </c>
      <c r="E173" s="126" t="s">
        <v>471</v>
      </c>
      <c r="F173" s="126" t="s">
        <v>472</v>
      </c>
      <c r="G173" s="126" t="s">
        <v>2</v>
      </c>
      <c r="H173" s="126" t="s">
        <v>300</v>
      </c>
      <c r="I173" s="1196" t="s">
        <v>116</v>
      </c>
      <c r="J173" s="1197" t="s">
        <v>117</v>
      </c>
    </row>
    <row r="174" spans="2:10" s="113" customFormat="1" ht="15.75" x14ac:dyDescent="0.45">
      <c r="B174" s="1009" t="s">
        <v>852</v>
      </c>
      <c r="C174" s="1078" t="s">
        <v>1044</v>
      </c>
      <c r="D174" s="271">
        <v>1.3</v>
      </c>
      <c r="E174" s="272">
        <v>0</v>
      </c>
      <c r="F174" s="272" t="s">
        <v>1256</v>
      </c>
      <c r="G174" s="272" t="s">
        <v>848</v>
      </c>
      <c r="H174" s="272">
        <v>1</v>
      </c>
      <c r="I174" s="1198"/>
      <c r="J174" s="1199"/>
    </row>
    <row r="175" spans="2:10" s="113" customFormat="1" ht="15.75" x14ac:dyDescent="0.45">
      <c r="B175" s="1010" t="s">
        <v>853</v>
      </c>
      <c r="C175" s="1079" t="s">
        <v>2589</v>
      </c>
      <c r="D175" s="273">
        <v>0.13</v>
      </c>
      <c r="E175" s="273">
        <v>0</v>
      </c>
      <c r="F175" s="273" t="s">
        <v>1256</v>
      </c>
      <c r="G175" s="273" t="s">
        <v>848</v>
      </c>
      <c r="H175" s="273">
        <v>1</v>
      </c>
      <c r="I175" s="1200"/>
      <c r="J175" s="1201"/>
    </row>
    <row r="176" spans="2:10" s="113" customFormat="1" ht="15.75" x14ac:dyDescent="0.45">
      <c r="B176" s="1010" t="s">
        <v>1954</v>
      </c>
      <c r="C176" s="1079" t="s">
        <v>2590</v>
      </c>
      <c r="D176" s="273">
        <v>0.1</v>
      </c>
      <c r="E176" s="273">
        <v>0</v>
      </c>
      <c r="F176" s="273" t="s">
        <v>1256</v>
      </c>
      <c r="G176" s="273" t="s">
        <v>849</v>
      </c>
      <c r="H176" s="273">
        <v>1</v>
      </c>
      <c r="I176" s="1200"/>
      <c r="J176" s="1201"/>
    </row>
    <row r="177" spans="2:10" s="113" customFormat="1" ht="15.75" x14ac:dyDescent="0.45">
      <c r="B177" s="1010" t="s">
        <v>3584</v>
      </c>
      <c r="C177" s="1079" t="s">
        <v>3585</v>
      </c>
      <c r="D177" s="273">
        <v>0.05</v>
      </c>
      <c r="E177" s="273">
        <v>0</v>
      </c>
      <c r="F177" s="273" t="s">
        <v>1256</v>
      </c>
      <c r="G177" s="273" t="s">
        <v>850</v>
      </c>
      <c r="H177" s="273">
        <v>2</v>
      </c>
      <c r="I177" s="1200"/>
      <c r="J177" s="1201"/>
    </row>
    <row r="178" spans="2:10" s="113" customFormat="1" ht="15.75" x14ac:dyDescent="0.45">
      <c r="B178" s="1010" t="s">
        <v>2431</v>
      </c>
      <c r="C178" s="1079" t="s">
        <v>2591</v>
      </c>
      <c r="D178" s="273">
        <v>0.05</v>
      </c>
      <c r="E178" s="273">
        <v>0</v>
      </c>
      <c r="F178" s="273" t="s">
        <v>1256</v>
      </c>
      <c r="G178" s="273" t="s">
        <v>851</v>
      </c>
      <c r="H178" s="273">
        <v>2</v>
      </c>
      <c r="I178" s="1200"/>
      <c r="J178" s="1201"/>
    </row>
    <row r="179" spans="2:10" s="113" customFormat="1" ht="15.75" x14ac:dyDescent="0.45">
      <c r="B179" s="1010" t="s">
        <v>2000</v>
      </c>
      <c r="C179" s="1079" t="s">
        <v>2592</v>
      </c>
      <c r="D179" s="273">
        <v>4.5</v>
      </c>
      <c r="E179" s="273">
        <v>0</v>
      </c>
      <c r="F179" s="273" t="s">
        <v>1256</v>
      </c>
      <c r="G179" s="273" t="s">
        <v>378</v>
      </c>
      <c r="H179" s="273">
        <v>1</v>
      </c>
      <c r="I179" s="1200"/>
      <c r="J179" s="1201"/>
    </row>
    <row r="180" spans="2:10" s="113" customFormat="1" ht="16.149999999999999" thickBot="1" x14ac:dyDescent="0.5">
      <c r="B180" s="1011" t="s">
        <v>2001</v>
      </c>
      <c r="C180" s="1080" t="s">
        <v>2593</v>
      </c>
      <c r="D180" s="275">
        <v>9.5</v>
      </c>
      <c r="E180" s="275">
        <v>0</v>
      </c>
      <c r="F180" s="275" t="s">
        <v>1256</v>
      </c>
      <c r="G180" s="275" t="s">
        <v>378</v>
      </c>
      <c r="H180" s="275">
        <v>1</v>
      </c>
      <c r="I180" s="274"/>
      <c r="J180" s="1202"/>
    </row>
    <row r="181" spans="2:10" s="113" customFormat="1" ht="14.65" thickBot="1" x14ac:dyDescent="0.5">
      <c r="B181" s="148"/>
      <c r="C181" s="45"/>
      <c r="D181" s="1954"/>
      <c r="E181" s="1954"/>
      <c r="F181" s="1954"/>
      <c r="G181" s="1954"/>
      <c r="H181" s="1954"/>
      <c r="I181" s="148"/>
      <c r="J181" s="148"/>
    </row>
    <row r="182" spans="2:10" s="113" customFormat="1" ht="14.65" thickBot="1" x14ac:dyDescent="0.5">
      <c r="B182" s="370"/>
      <c r="C182" s="2296" t="s">
        <v>5189</v>
      </c>
      <c r="D182" s="114" t="s">
        <v>301</v>
      </c>
      <c r="E182" s="114"/>
      <c r="F182" s="114"/>
      <c r="G182" s="114"/>
      <c r="H182" s="114"/>
      <c r="I182" s="124"/>
      <c r="J182" s="1889"/>
    </row>
    <row r="183" spans="2:10" s="113" customFormat="1" ht="14.65" thickBot="1" x14ac:dyDescent="0.5">
      <c r="B183" s="2297" t="s">
        <v>0</v>
      </c>
      <c r="C183" s="1082" t="s">
        <v>1</v>
      </c>
      <c r="D183" s="269" t="s">
        <v>841</v>
      </c>
      <c r="E183" s="269" t="s">
        <v>471</v>
      </c>
      <c r="F183" s="269" t="s">
        <v>472</v>
      </c>
      <c r="G183" s="269" t="s">
        <v>2</v>
      </c>
      <c r="H183" s="269" t="s">
        <v>300</v>
      </c>
      <c r="I183" s="266" t="s">
        <v>116</v>
      </c>
      <c r="J183" s="1256" t="s">
        <v>117</v>
      </c>
    </row>
    <row r="184" spans="2:10" s="113" customFormat="1" ht="15.75" x14ac:dyDescent="0.45">
      <c r="B184" s="2298" t="s">
        <v>5190</v>
      </c>
      <c r="C184" s="2299" t="s">
        <v>5191</v>
      </c>
      <c r="D184" s="2300">
        <v>1</v>
      </c>
      <c r="E184" s="2300">
        <v>0</v>
      </c>
      <c r="F184" s="2300" t="s">
        <v>1256</v>
      </c>
      <c r="G184" s="2300" t="s">
        <v>444</v>
      </c>
      <c r="H184" s="2300">
        <v>2</v>
      </c>
      <c r="I184" s="2301"/>
      <c r="J184" s="2302"/>
    </row>
    <row r="185" spans="2:10" s="113" customFormat="1" ht="16.149999999999999" thickBot="1" x14ac:dyDescent="0.5">
      <c r="B185" s="2303" t="s">
        <v>5192</v>
      </c>
      <c r="C185" s="2304" t="s">
        <v>5193</v>
      </c>
      <c r="D185" s="2305">
        <v>5</v>
      </c>
      <c r="E185" s="2305">
        <v>0</v>
      </c>
      <c r="F185" s="2305" t="s">
        <v>1256</v>
      </c>
      <c r="G185" s="2305" t="s">
        <v>444</v>
      </c>
      <c r="H185" s="2305">
        <v>2</v>
      </c>
      <c r="I185" s="2306"/>
      <c r="J185" s="2307"/>
    </row>
    <row r="186" spans="2:10" s="113" customFormat="1" ht="14.65" thickBot="1" x14ac:dyDescent="0.5">
      <c r="B186" s="148"/>
      <c r="C186" s="45"/>
      <c r="D186" s="1954"/>
      <c r="E186" s="1954"/>
      <c r="F186" s="1954"/>
      <c r="G186" s="1954"/>
      <c r="H186" s="1954"/>
      <c r="I186" s="148"/>
      <c r="J186" s="148"/>
    </row>
    <row r="187" spans="2:10" s="113" customFormat="1" ht="14.65" thickBot="1" x14ac:dyDescent="0.5">
      <c r="B187" s="370"/>
      <c r="C187" s="2296" t="s">
        <v>5194</v>
      </c>
      <c r="D187" s="114" t="s">
        <v>301</v>
      </c>
      <c r="E187" s="114"/>
      <c r="F187" s="114"/>
      <c r="G187" s="114"/>
      <c r="H187" s="114"/>
      <c r="I187" s="124"/>
      <c r="J187" s="1889"/>
    </row>
    <row r="188" spans="2:10" s="113" customFormat="1" ht="14.65" thickBot="1" x14ac:dyDescent="0.5">
      <c r="B188" s="2297" t="s">
        <v>0</v>
      </c>
      <c r="C188" s="1082" t="s">
        <v>1</v>
      </c>
      <c r="D188" s="269" t="s">
        <v>841</v>
      </c>
      <c r="E188" s="269" t="s">
        <v>471</v>
      </c>
      <c r="F188" s="269" t="s">
        <v>472</v>
      </c>
      <c r="G188" s="269" t="s">
        <v>2</v>
      </c>
      <c r="H188" s="269" t="s">
        <v>300</v>
      </c>
      <c r="I188" s="266" t="s">
        <v>116</v>
      </c>
      <c r="J188" s="1256" t="s">
        <v>117</v>
      </c>
    </row>
    <row r="189" spans="2:10" s="113" customFormat="1" ht="15.75" x14ac:dyDescent="0.45">
      <c r="B189" s="2298" t="s">
        <v>5195</v>
      </c>
      <c r="C189" s="2299" t="s">
        <v>5196</v>
      </c>
      <c r="D189" s="2300">
        <v>0.6</v>
      </c>
      <c r="E189" s="2308">
        <v>0</v>
      </c>
      <c r="F189" s="2308" t="s">
        <v>1256</v>
      </c>
      <c r="G189" s="2308" t="s">
        <v>444</v>
      </c>
      <c r="H189" s="2308">
        <v>1</v>
      </c>
      <c r="I189" s="2301"/>
      <c r="J189" s="2302"/>
    </row>
    <row r="190" spans="2:10" s="113" customFormat="1" ht="15.75" x14ac:dyDescent="0.45">
      <c r="B190" s="2309" t="s">
        <v>5197</v>
      </c>
      <c r="C190" s="2310" t="s">
        <v>5198</v>
      </c>
      <c r="D190" s="2311">
        <v>0.06</v>
      </c>
      <c r="E190" s="2312">
        <v>0</v>
      </c>
      <c r="F190" s="2312" t="s">
        <v>1256</v>
      </c>
      <c r="G190" s="2312" t="s">
        <v>444</v>
      </c>
      <c r="H190" s="2312">
        <v>2</v>
      </c>
      <c r="I190" s="2313"/>
      <c r="J190" s="2314"/>
    </row>
    <row r="191" spans="2:10" s="113" customFormat="1" ht="15.75" x14ac:dyDescent="0.45">
      <c r="B191" s="2309" t="s">
        <v>5199</v>
      </c>
      <c r="C191" s="2310" t="s">
        <v>5200</v>
      </c>
      <c r="D191" s="2312">
        <v>100</v>
      </c>
      <c r="E191" s="2312">
        <v>0</v>
      </c>
      <c r="F191" s="2312" t="s">
        <v>1256</v>
      </c>
      <c r="G191" s="2312" t="s">
        <v>1182</v>
      </c>
      <c r="H191" s="2312">
        <v>0</v>
      </c>
      <c r="I191" s="2313"/>
      <c r="J191" s="2314"/>
    </row>
    <row r="192" spans="2:10" s="113" customFormat="1" ht="15.75" x14ac:dyDescent="0.45">
      <c r="B192" s="2309" t="s">
        <v>5201</v>
      </c>
      <c r="C192" s="2310" t="s">
        <v>5202</v>
      </c>
      <c r="D192" s="2311">
        <v>19</v>
      </c>
      <c r="E192" s="2312">
        <v>0</v>
      </c>
      <c r="F192" s="2312" t="s">
        <v>1256</v>
      </c>
      <c r="G192" s="2312" t="s">
        <v>5203</v>
      </c>
      <c r="H192" s="2312">
        <v>0</v>
      </c>
      <c r="I192" s="2313"/>
      <c r="J192" s="2314"/>
    </row>
    <row r="193" spans="2:10" s="113" customFormat="1" ht="15.75" x14ac:dyDescent="0.45">
      <c r="B193" s="2309" t="s">
        <v>5204</v>
      </c>
      <c r="C193" s="2310" t="s">
        <v>5205</v>
      </c>
      <c r="D193" s="2311">
        <v>2000</v>
      </c>
      <c r="E193" s="2312">
        <v>0</v>
      </c>
      <c r="F193" s="2312" t="s">
        <v>1256</v>
      </c>
      <c r="G193" s="2312" t="s">
        <v>5203</v>
      </c>
      <c r="H193" s="2312">
        <v>0</v>
      </c>
      <c r="I193" s="2313"/>
      <c r="J193" s="2314"/>
    </row>
    <row r="194" spans="2:10" s="113" customFormat="1" ht="15.75" x14ac:dyDescent="0.45">
      <c r="B194" s="2309" t="s">
        <v>5206</v>
      </c>
      <c r="C194" s="2310" t="s">
        <v>5207</v>
      </c>
      <c r="D194" s="2311">
        <v>0.05</v>
      </c>
      <c r="E194" s="2312">
        <v>0</v>
      </c>
      <c r="F194" s="2312" t="s">
        <v>1256</v>
      </c>
      <c r="G194" s="2312" t="s">
        <v>850</v>
      </c>
      <c r="H194" s="2312">
        <v>2</v>
      </c>
      <c r="I194" s="2313"/>
      <c r="J194" s="2314"/>
    </row>
    <row r="195" spans="2:10" s="113" customFormat="1" ht="16.149999999999999" thickBot="1" x14ac:dyDescent="0.5">
      <c r="B195" s="2315" t="s">
        <v>5208</v>
      </c>
      <c r="C195" s="2316" t="s">
        <v>5209</v>
      </c>
      <c r="D195" s="2317">
        <v>0.05</v>
      </c>
      <c r="E195" s="2318">
        <v>0</v>
      </c>
      <c r="F195" s="2318" t="s">
        <v>1256</v>
      </c>
      <c r="G195" s="2318" t="s">
        <v>851</v>
      </c>
      <c r="H195" s="2318">
        <v>2</v>
      </c>
      <c r="I195" s="2306"/>
      <c r="J195" s="2307"/>
    </row>
    <row r="196" spans="2:10" s="113" customFormat="1" ht="14.65" thickBot="1" x14ac:dyDescent="0.5">
      <c r="B196" s="148"/>
      <c r="C196" s="45"/>
      <c r="D196" s="1954"/>
      <c r="E196" s="1954"/>
      <c r="F196" s="1954"/>
      <c r="G196" s="1954"/>
      <c r="H196" s="1954"/>
      <c r="I196" s="148"/>
      <c r="J196" s="148"/>
    </row>
    <row r="197" spans="2:10" s="113" customFormat="1" ht="14.65" thickBot="1" x14ac:dyDescent="0.5">
      <c r="B197" s="370"/>
      <c r="C197" s="2296" t="s">
        <v>5210</v>
      </c>
      <c r="D197" s="114" t="s">
        <v>301</v>
      </c>
      <c r="E197" s="114"/>
      <c r="F197" s="114"/>
      <c r="G197" s="114"/>
      <c r="H197" s="114"/>
      <c r="I197" s="124"/>
      <c r="J197" s="1889"/>
    </row>
    <row r="198" spans="2:10" s="113" customFormat="1" ht="14.65" thickBot="1" x14ac:dyDescent="0.5">
      <c r="B198" s="2297" t="s">
        <v>0</v>
      </c>
      <c r="C198" s="1056" t="s">
        <v>1</v>
      </c>
      <c r="D198" s="269" t="s">
        <v>841</v>
      </c>
      <c r="E198" s="269" t="s">
        <v>471</v>
      </c>
      <c r="F198" s="269" t="s">
        <v>472</v>
      </c>
      <c r="G198" s="269" t="s">
        <v>2</v>
      </c>
      <c r="H198" s="269" t="s">
        <v>300</v>
      </c>
      <c r="I198" s="266" t="s">
        <v>116</v>
      </c>
      <c r="J198" s="1256" t="s">
        <v>117</v>
      </c>
    </row>
    <row r="199" spans="2:10" s="113" customFormat="1" ht="15.75" x14ac:dyDescent="0.45">
      <c r="B199" s="2319" t="s">
        <v>5211</v>
      </c>
      <c r="C199" s="2320" t="s">
        <v>5212</v>
      </c>
      <c r="D199" s="2321">
        <v>2.8</v>
      </c>
      <c r="E199" s="2322">
        <v>0</v>
      </c>
      <c r="F199" s="2322" t="s">
        <v>1256</v>
      </c>
      <c r="G199" s="2322" t="s">
        <v>444</v>
      </c>
      <c r="H199" s="2322">
        <v>1</v>
      </c>
      <c r="I199" s="2323"/>
      <c r="J199" s="2324"/>
    </row>
    <row r="200" spans="2:10" s="113" customFormat="1" ht="15.75" x14ac:dyDescent="0.45">
      <c r="B200" s="2325" t="s">
        <v>5213</v>
      </c>
      <c r="C200" s="2320" t="s">
        <v>5214</v>
      </c>
      <c r="D200" s="2326">
        <v>0.28000000000000003</v>
      </c>
      <c r="E200" s="2327">
        <v>0</v>
      </c>
      <c r="F200" s="2327" t="s">
        <v>1256</v>
      </c>
      <c r="G200" s="2327" t="s">
        <v>444</v>
      </c>
      <c r="H200" s="2327">
        <v>2</v>
      </c>
      <c r="I200" s="2328"/>
      <c r="J200" s="2329"/>
    </row>
    <row r="201" spans="2:10" s="113" customFormat="1" ht="15.75" x14ac:dyDescent="0.45">
      <c r="B201" s="2325" t="s">
        <v>5215</v>
      </c>
      <c r="C201" s="2320" t="s">
        <v>5216</v>
      </c>
      <c r="D201" s="2326">
        <v>6.0000000000000001E-3</v>
      </c>
      <c r="E201" s="2327">
        <v>0</v>
      </c>
      <c r="F201" s="2327" t="s">
        <v>1256</v>
      </c>
      <c r="G201" s="2327" t="s">
        <v>1182</v>
      </c>
      <c r="H201" s="2327">
        <v>3</v>
      </c>
      <c r="I201" s="2328"/>
      <c r="J201" s="2329"/>
    </row>
    <row r="202" spans="2:10" s="113" customFormat="1" ht="15.75" x14ac:dyDescent="0.45">
      <c r="B202" s="2325" t="s">
        <v>5217</v>
      </c>
      <c r="C202" s="2320" t="s">
        <v>5218</v>
      </c>
      <c r="D202" s="2326">
        <v>19</v>
      </c>
      <c r="E202" s="2327">
        <v>0</v>
      </c>
      <c r="F202" s="2327" t="s">
        <v>1256</v>
      </c>
      <c r="G202" s="2327" t="s">
        <v>5203</v>
      </c>
      <c r="H202" s="2327">
        <v>0</v>
      </c>
      <c r="I202" s="2328"/>
      <c r="J202" s="2329"/>
    </row>
    <row r="203" spans="2:10" s="113" customFormat="1" ht="15.75" x14ac:dyDescent="0.45">
      <c r="B203" s="2325" t="s">
        <v>5219</v>
      </c>
      <c r="C203" s="2320" t="s">
        <v>5220</v>
      </c>
      <c r="D203" s="2326">
        <v>2000</v>
      </c>
      <c r="E203" s="2327">
        <v>0</v>
      </c>
      <c r="F203" s="2327" t="s">
        <v>1256</v>
      </c>
      <c r="G203" s="2327" t="s">
        <v>5203</v>
      </c>
      <c r="H203" s="2327">
        <v>0</v>
      </c>
      <c r="I203" s="2328"/>
      <c r="J203" s="2329"/>
    </row>
    <row r="204" spans="2:10" s="113" customFormat="1" ht="15.75" x14ac:dyDescent="0.45">
      <c r="B204" s="2325" t="s">
        <v>5221</v>
      </c>
      <c r="C204" s="2320" t="s">
        <v>5222</v>
      </c>
      <c r="D204" s="2326">
        <v>0.05</v>
      </c>
      <c r="E204" s="2327">
        <v>0</v>
      </c>
      <c r="F204" s="2327" t="s">
        <v>1256</v>
      </c>
      <c r="G204" s="2327" t="s">
        <v>850</v>
      </c>
      <c r="H204" s="2327">
        <v>2</v>
      </c>
      <c r="I204" s="2328"/>
      <c r="J204" s="2329"/>
    </row>
    <row r="205" spans="2:10" s="113" customFormat="1" ht="16.149999999999999" thickBot="1" x14ac:dyDescent="0.5">
      <c r="B205" s="2330" t="s">
        <v>5223</v>
      </c>
      <c r="C205" s="2331" t="s">
        <v>5224</v>
      </c>
      <c r="D205" s="2332">
        <v>0.05</v>
      </c>
      <c r="E205" s="2333">
        <v>0</v>
      </c>
      <c r="F205" s="2333" t="s">
        <v>1256</v>
      </c>
      <c r="G205" s="2333" t="s">
        <v>851</v>
      </c>
      <c r="H205" s="2333">
        <v>2</v>
      </c>
      <c r="I205" s="2334"/>
      <c r="J205" s="2335"/>
    </row>
    <row r="206" spans="2:10" s="113" customFormat="1" ht="14.65" thickBot="1" x14ac:dyDescent="0.5">
      <c r="B206" s="148"/>
      <c r="C206" s="45"/>
      <c r="D206" s="1954"/>
      <c r="E206" s="1954"/>
      <c r="F206" s="1954"/>
      <c r="G206" s="1954"/>
      <c r="H206" s="1954"/>
      <c r="I206" s="148"/>
      <c r="J206" s="148"/>
    </row>
    <row r="207" spans="2:10" s="113" customFormat="1" ht="14.65" thickBot="1" x14ac:dyDescent="0.5">
      <c r="B207" s="370"/>
      <c r="C207" s="2296" t="s">
        <v>5225</v>
      </c>
      <c r="D207" s="114" t="s">
        <v>301</v>
      </c>
      <c r="E207" s="114"/>
      <c r="F207" s="114"/>
      <c r="G207" s="114"/>
      <c r="H207" s="114"/>
      <c r="I207" s="124"/>
      <c r="J207" s="1889"/>
    </row>
    <row r="208" spans="2:10" s="113" customFormat="1" ht="14.65" thickBot="1" x14ac:dyDescent="0.5">
      <c r="B208" s="2336" t="s">
        <v>0</v>
      </c>
      <c r="C208" s="1056" t="s">
        <v>1</v>
      </c>
      <c r="D208" s="833" t="s">
        <v>841</v>
      </c>
      <c r="E208" s="833" t="s">
        <v>471</v>
      </c>
      <c r="F208" s="833" t="s">
        <v>472</v>
      </c>
      <c r="G208" s="833" t="s">
        <v>2</v>
      </c>
      <c r="H208" s="833" t="s">
        <v>300</v>
      </c>
      <c r="I208" s="832" t="s">
        <v>116</v>
      </c>
      <c r="J208" s="1169" t="s">
        <v>117</v>
      </c>
    </row>
    <row r="209" spans="2:10" s="113" customFormat="1" ht="15.75" x14ac:dyDescent="0.45">
      <c r="B209" s="2337" t="s">
        <v>5226</v>
      </c>
      <c r="C209" s="2338" t="s">
        <v>5227</v>
      </c>
      <c r="D209" s="2339">
        <v>4</v>
      </c>
      <c r="E209" s="2340">
        <v>0</v>
      </c>
      <c r="F209" s="2340" t="s">
        <v>1256</v>
      </c>
      <c r="G209" s="2340" t="s">
        <v>444</v>
      </c>
      <c r="H209" s="2340">
        <v>1</v>
      </c>
      <c r="I209" s="2341"/>
      <c r="J209" s="2342"/>
    </row>
    <row r="210" spans="2:10" s="113" customFormat="1" ht="15.75" x14ac:dyDescent="0.45">
      <c r="B210" s="2343" t="s">
        <v>5228</v>
      </c>
      <c r="C210" s="2344" t="s">
        <v>5229</v>
      </c>
      <c r="D210" s="2345">
        <v>3</v>
      </c>
      <c r="E210" s="2346">
        <v>0</v>
      </c>
      <c r="F210" s="2346" t="s">
        <v>1256</v>
      </c>
      <c r="G210" s="2346" t="s">
        <v>444</v>
      </c>
      <c r="H210" s="2346">
        <v>1</v>
      </c>
      <c r="I210" s="2347"/>
      <c r="J210" s="2348"/>
    </row>
    <row r="211" spans="2:10" s="113" customFormat="1" ht="15.75" x14ac:dyDescent="0.45">
      <c r="B211" s="2343" t="s">
        <v>5230</v>
      </c>
      <c r="C211" s="2344" t="s">
        <v>5231</v>
      </c>
      <c r="D211" s="2349">
        <v>0.35</v>
      </c>
      <c r="E211" s="2346">
        <v>0</v>
      </c>
      <c r="F211" s="2346" t="s">
        <v>1256</v>
      </c>
      <c r="G211" s="2346" t="s">
        <v>444</v>
      </c>
      <c r="H211" s="2346">
        <v>1</v>
      </c>
      <c r="I211" s="2347"/>
      <c r="J211" s="2348"/>
    </row>
    <row r="212" spans="2:10" s="113" customFormat="1" ht="15.75" x14ac:dyDescent="0.45">
      <c r="B212" s="2343" t="s">
        <v>5232</v>
      </c>
      <c r="C212" s="2344" t="s">
        <v>5233</v>
      </c>
      <c r="D212" s="2349">
        <v>1</v>
      </c>
      <c r="E212" s="2346">
        <v>0</v>
      </c>
      <c r="F212" s="2346" t="s">
        <v>1256</v>
      </c>
      <c r="G212" s="2346" t="s">
        <v>2229</v>
      </c>
      <c r="H212" s="2346">
        <v>1</v>
      </c>
      <c r="I212" s="2347"/>
      <c r="J212" s="2348"/>
    </row>
    <row r="213" spans="2:10" s="113" customFormat="1" ht="15.75" x14ac:dyDescent="0.45">
      <c r="B213" s="2343" t="s">
        <v>5234</v>
      </c>
      <c r="C213" s="2344" t="s">
        <v>5235</v>
      </c>
      <c r="D213" s="2349">
        <v>0.1</v>
      </c>
      <c r="E213" s="2346">
        <v>0</v>
      </c>
      <c r="F213" s="2346" t="s">
        <v>1256</v>
      </c>
      <c r="G213" s="2346" t="s">
        <v>886</v>
      </c>
      <c r="H213" s="2346">
        <v>2</v>
      </c>
      <c r="I213" s="2347"/>
      <c r="J213" s="2348"/>
    </row>
    <row r="214" spans="2:10" s="113" customFormat="1" ht="15.75" x14ac:dyDescent="0.45">
      <c r="B214" s="2343" t="s">
        <v>5236</v>
      </c>
      <c r="C214" s="2344" t="s">
        <v>5237</v>
      </c>
      <c r="D214" s="2349">
        <v>0.1</v>
      </c>
      <c r="E214" s="2346">
        <v>0</v>
      </c>
      <c r="F214" s="2346" t="s">
        <v>1256</v>
      </c>
      <c r="G214" s="2346" t="s">
        <v>886</v>
      </c>
      <c r="H214" s="2346">
        <v>2</v>
      </c>
      <c r="I214" s="2347"/>
      <c r="J214" s="2348"/>
    </row>
    <row r="215" spans="2:10" s="113" customFormat="1" ht="15.75" x14ac:dyDescent="0.45">
      <c r="B215" s="2343" t="s">
        <v>5238</v>
      </c>
      <c r="C215" s="2344" t="s">
        <v>5239</v>
      </c>
      <c r="D215" s="2349">
        <v>2</v>
      </c>
      <c r="E215" s="2346">
        <v>0</v>
      </c>
      <c r="F215" s="2346" t="s">
        <v>1256</v>
      </c>
      <c r="G215" s="2346" t="s">
        <v>2229</v>
      </c>
      <c r="H215" s="2346">
        <v>1</v>
      </c>
      <c r="I215" s="2347"/>
      <c r="J215" s="2348"/>
    </row>
    <row r="216" spans="2:10" s="113" customFormat="1" ht="15.75" x14ac:dyDescent="0.45">
      <c r="B216" s="2343" t="s">
        <v>5240</v>
      </c>
      <c r="C216" s="2344" t="s">
        <v>5241</v>
      </c>
      <c r="D216" s="2349">
        <v>0.2</v>
      </c>
      <c r="E216" s="2346">
        <v>0</v>
      </c>
      <c r="F216" s="2346" t="s">
        <v>1256</v>
      </c>
      <c r="G216" s="2346" t="s">
        <v>886</v>
      </c>
      <c r="H216" s="2346">
        <v>2</v>
      </c>
      <c r="I216" s="2347"/>
      <c r="J216" s="2348"/>
    </row>
    <row r="217" spans="2:10" s="113" customFormat="1" ht="15.75" x14ac:dyDescent="0.45">
      <c r="B217" s="2343" t="s">
        <v>5242</v>
      </c>
      <c r="C217" s="2344" t="s">
        <v>5243</v>
      </c>
      <c r="D217" s="2349">
        <v>0.2</v>
      </c>
      <c r="E217" s="2346">
        <v>0</v>
      </c>
      <c r="F217" s="2346" t="s">
        <v>1256</v>
      </c>
      <c r="G217" s="2346" t="s">
        <v>886</v>
      </c>
      <c r="H217" s="2346">
        <v>2</v>
      </c>
      <c r="I217" s="2347"/>
      <c r="J217" s="2348"/>
    </row>
    <row r="218" spans="2:10" s="113" customFormat="1" ht="15.75" x14ac:dyDescent="0.45">
      <c r="B218" s="2343" t="s">
        <v>5244</v>
      </c>
      <c r="C218" s="2344" t="s">
        <v>5245</v>
      </c>
      <c r="D218" s="2345">
        <v>1</v>
      </c>
      <c r="E218" s="2346">
        <v>0</v>
      </c>
      <c r="F218" s="2346" t="s">
        <v>1256</v>
      </c>
      <c r="G218" s="2346" t="s">
        <v>5246</v>
      </c>
      <c r="H218" s="2346">
        <v>1</v>
      </c>
      <c r="I218" s="2347"/>
      <c r="J218" s="2348"/>
    </row>
    <row r="219" spans="2:10" s="113" customFormat="1" ht="15.75" x14ac:dyDescent="0.45">
      <c r="B219" s="2343" t="s">
        <v>5247</v>
      </c>
      <c r="C219" s="2344" t="s">
        <v>5248</v>
      </c>
      <c r="D219" s="2349">
        <v>80</v>
      </c>
      <c r="E219" s="2346">
        <v>0</v>
      </c>
      <c r="F219" s="2346" t="s">
        <v>1256</v>
      </c>
      <c r="G219" s="2346" t="s">
        <v>5246</v>
      </c>
      <c r="H219" s="2346">
        <v>0</v>
      </c>
      <c r="I219" s="2347"/>
      <c r="J219" s="2348"/>
    </row>
    <row r="220" spans="2:10" s="113" customFormat="1" ht="16.149999999999999" thickBot="1" x14ac:dyDescent="0.5">
      <c r="B220" s="2350" t="s">
        <v>5249</v>
      </c>
      <c r="C220" s="2351" t="s">
        <v>5250</v>
      </c>
      <c r="D220" s="2352">
        <v>0.5</v>
      </c>
      <c r="E220" s="2353">
        <v>0</v>
      </c>
      <c r="F220" s="2353" t="s">
        <v>1256</v>
      </c>
      <c r="G220" s="2353" t="s">
        <v>5246</v>
      </c>
      <c r="H220" s="2353">
        <v>1</v>
      </c>
      <c r="I220" s="2354"/>
      <c r="J220" s="2355"/>
    </row>
    <row r="221" spans="2:10" s="113" customFormat="1" ht="14.65" thickBot="1" x14ac:dyDescent="0.5">
      <c r="B221" s="124"/>
      <c r="C221" s="1046"/>
      <c r="D221" s="1932"/>
      <c r="E221" s="116"/>
      <c r="F221" s="116"/>
      <c r="G221" s="116"/>
      <c r="H221" s="116"/>
      <c r="I221" s="115"/>
      <c r="J221" s="1889"/>
    </row>
    <row r="222" spans="2:10" s="113" customFormat="1" ht="14.65" thickBot="1" x14ac:dyDescent="0.5">
      <c r="B222" s="124"/>
      <c r="C222" s="1081" t="s">
        <v>1369</v>
      </c>
      <c r="D222" s="114" t="s">
        <v>301</v>
      </c>
      <c r="E222" s="114"/>
      <c r="F222" s="114"/>
      <c r="G222" s="114"/>
      <c r="H222" s="114"/>
      <c r="I222" s="124"/>
      <c r="J222" s="1889"/>
    </row>
    <row r="223" spans="2:10" s="113" customFormat="1" ht="14.65" thickBot="1" x14ac:dyDescent="0.5">
      <c r="B223" s="263" t="s">
        <v>0</v>
      </c>
      <c r="C223" s="1082" t="s">
        <v>1</v>
      </c>
      <c r="D223" s="269" t="s">
        <v>841</v>
      </c>
      <c r="E223" s="269" t="s">
        <v>471</v>
      </c>
      <c r="F223" s="269" t="s">
        <v>472</v>
      </c>
      <c r="G223" s="269" t="s">
        <v>2</v>
      </c>
      <c r="H223" s="269" t="s">
        <v>300</v>
      </c>
      <c r="I223" s="266" t="s">
        <v>116</v>
      </c>
      <c r="J223" s="1203" t="s">
        <v>117</v>
      </c>
    </row>
    <row r="224" spans="2:10" s="113" customFormat="1" ht="15.75" x14ac:dyDescent="0.45">
      <c r="B224" s="1012" t="s">
        <v>1719</v>
      </c>
      <c r="C224" s="1083" t="s">
        <v>2594</v>
      </c>
      <c r="D224" s="549">
        <v>0.1</v>
      </c>
      <c r="E224" s="329">
        <v>0</v>
      </c>
      <c r="F224" s="205" t="s">
        <v>1256</v>
      </c>
      <c r="G224" s="205" t="s">
        <v>1316</v>
      </c>
      <c r="H224" s="205">
        <v>2</v>
      </c>
      <c r="I224" s="1204"/>
      <c r="J224" s="229"/>
    </row>
    <row r="225" spans="2:18" s="113" customFormat="1" ht="15.75" x14ac:dyDescent="0.45">
      <c r="B225" s="1013" t="s">
        <v>1720</v>
      </c>
      <c r="C225" s="1084" t="s">
        <v>2595</v>
      </c>
      <c r="D225" s="437">
        <v>0.1</v>
      </c>
      <c r="E225" s="330">
        <v>0</v>
      </c>
      <c r="F225" s="197" t="s">
        <v>1256</v>
      </c>
      <c r="G225" s="197" t="s">
        <v>1316</v>
      </c>
      <c r="H225" s="197">
        <v>2</v>
      </c>
      <c r="I225" s="1205"/>
      <c r="J225" s="230"/>
    </row>
    <row r="226" spans="2:18" s="113" customFormat="1" ht="15.75" x14ac:dyDescent="0.45">
      <c r="B226" s="1013" t="s">
        <v>1721</v>
      </c>
      <c r="C226" s="1084" t="s">
        <v>2596</v>
      </c>
      <c r="D226" s="437">
        <v>10</v>
      </c>
      <c r="E226" s="330">
        <v>0</v>
      </c>
      <c r="F226" s="197" t="s">
        <v>1256</v>
      </c>
      <c r="G226" s="197" t="s">
        <v>1316</v>
      </c>
      <c r="H226" s="197">
        <v>2</v>
      </c>
      <c r="I226" s="1206"/>
      <c r="J226" s="230"/>
    </row>
    <row r="227" spans="2:18" s="113" customFormat="1" ht="15.75" x14ac:dyDescent="0.45">
      <c r="B227" s="1013" t="s">
        <v>1722</v>
      </c>
      <c r="C227" s="1084" t="s">
        <v>2597</v>
      </c>
      <c r="D227" s="437">
        <v>10</v>
      </c>
      <c r="E227" s="330">
        <v>0</v>
      </c>
      <c r="F227" s="197" t="s">
        <v>1256</v>
      </c>
      <c r="G227" s="197" t="s">
        <v>1316</v>
      </c>
      <c r="H227" s="197">
        <v>2</v>
      </c>
      <c r="I227" s="1206"/>
      <c r="J227" s="230"/>
    </row>
    <row r="228" spans="2:18" s="128" customFormat="1" ht="15.75" x14ac:dyDescent="0.45">
      <c r="B228" s="1013" t="s">
        <v>1723</v>
      </c>
      <c r="C228" s="1084" t="s">
        <v>2598</v>
      </c>
      <c r="D228" s="437">
        <v>5</v>
      </c>
      <c r="E228" s="330">
        <v>0</v>
      </c>
      <c r="F228" s="197" t="s">
        <v>1256</v>
      </c>
      <c r="G228" s="197" t="s">
        <v>1316</v>
      </c>
      <c r="H228" s="197">
        <v>2</v>
      </c>
      <c r="I228" s="1206"/>
      <c r="J228" s="230"/>
      <c r="K228" s="113"/>
      <c r="L228" s="113"/>
      <c r="M228" s="113"/>
      <c r="N228" s="113"/>
      <c r="O228" s="113"/>
      <c r="P228" s="113"/>
      <c r="Q228" s="113"/>
      <c r="R228" s="113"/>
    </row>
    <row r="229" spans="2:18" s="128" customFormat="1" ht="15.75" x14ac:dyDescent="0.45">
      <c r="B229" s="1013" t="s">
        <v>1724</v>
      </c>
      <c r="C229" s="1084" t="s">
        <v>2599</v>
      </c>
      <c r="D229" s="437">
        <v>5</v>
      </c>
      <c r="E229" s="330">
        <v>0</v>
      </c>
      <c r="F229" s="197" t="s">
        <v>1256</v>
      </c>
      <c r="G229" s="197" t="s">
        <v>1316</v>
      </c>
      <c r="H229" s="197">
        <v>2</v>
      </c>
      <c r="I229" s="1206"/>
      <c r="J229" s="230"/>
      <c r="K229" s="113"/>
      <c r="L229" s="113"/>
      <c r="M229" s="113"/>
      <c r="N229" s="113"/>
      <c r="O229" s="113"/>
      <c r="P229" s="113"/>
      <c r="Q229" s="113"/>
      <c r="R229" s="113"/>
    </row>
    <row r="230" spans="2:18" s="128" customFormat="1" ht="15.75" x14ac:dyDescent="0.45">
      <c r="B230" s="1014" t="s">
        <v>4841</v>
      </c>
      <c r="C230" s="1085" t="s">
        <v>4584</v>
      </c>
      <c r="D230" s="952">
        <v>500</v>
      </c>
      <c r="E230" s="953">
        <v>0</v>
      </c>
      <c r="F230" s="952" t="s">
        <v>1256</v>
      </c>
      <c r="G230" s="952" t="s">
        <v>1316</v>
      </c>
      <c r="H230" s="952">
        <v>2</v>
      </c>
      <c r="I230" s="1207"/>
      <c r="J230" s="1208"/>
      <c r="K230" s="113"/>
      <c r="L230" s="113"/>
      <c r="M230" s="113"/>
      <c r="N230" s="113"/>
      <c r="O230" s="113"/>
      <c r="P230" s="113"/>
      <c r="Q230" s="113"/>
      <c r="R230" s="113"/>
    </row>
    <row r="231" spans="2:18" s="128" customFormat="1" ht="15.75" x14ac:dyDescent="0.45">
      <c r="B231" s="1014" t="s">
        <v>4842</v>
      </c>
      <c r="C231" s="1085" t="s">
        <v>4843</v>
      </c>
      <c r="D231" s="952">
        <v>500</v>
      </c>
      <c r="E231" s="953">
        <v>0</v>
      </c>
      <c r="F231" s="952" t="s">
        <v>1256</v>
      </c>
      <c r="G231" s="952" t="s">
        <v>1316</v>
      </c>
      <c r="H231" s="952">
        <v>2</v>
      </c>
      <c r="I231" s="1207"/>
      <c r="J231" s="1208"/>
      <c r="K231" s="113"/>
      <c r="L231" s="113"/>
      <c r="M231" s="113"/>
      <c r="N231" s="113"/>
      <c r="O231" s="113"/>
      <c r="P231" s="113"/>
      <c r="Q231" s="113"/>
      <c r="R231" s="113"/>
    </row>
    <row r="232" spans="2:18" s="113" customFormat="1" ht="15.75" x14ac:dyDescent="0.45">
      <c r="B232" s="1013" t="s">
        <v>1725</v>
      </c>
      <c r="C232" s="1084" t="s">
        <v>2600</v>
      </c>
      <c r="D232" s="437">
        <v>0.01</v>
      </c>
      <c r="E232" s="330">
        <v>0</v>
      </c>
      <c r="F232" s="197" t="s">
        <v>1256</v>
      </c>
      <c r="G232" s="197" t="s">
        <v>1316</v>
      </c>
      <c r="H232" s="197">
        <v>2</v>
      </c>
      <c r="I232" s="1205"/>
      <c r="J232" s="230"/>
    </row>
    <row r="233" spans="2:18" s="113" customFormat="1" ht="15.75" x14ac:dyDescent="0.45">
      <c r="B233" s="1013" t="s">
        <v>1726</v>
      </c>
      <c r="C233" s="1084" t="s">
        <v>2601</v>
      </c>
      <c r="D233" s="437">
        <v>0.01</v>
      </c>
      <c r="E233" s="330">
        <v>0</v>
      </c>
      <c r="F233" s="197" t="s">
        <v>1256</v>
      </c>
      <c r="G233" s="197" t="s">
        <v>1316</v>
      </c>
      <c r="H233" s="197">
        <v>3</v>
      </c>
      <c r="I233" s="1205"/>
      <c r="J233" s="230"/>
    </row>
    <row r="234" spans="2:18" s="113" customFormat="1" ht="15.75" x14ac:dyDescent="0.45">
      <c r="B234" s="2360" t="s">
        <v>5251</v>
      </c>
      <c r="C234" s="2361" t="s">
        <v>5252</v>
      </c>
      <c r="D234" s="2362">
        <v>1.9999999999999999E-7</v>
      </c>
      <c r="E234" s="2358">
        <v>0</v>
      </c>
      <c r="F234" s="2357" t="s">
        <v>1256</v>
      </c>
      <c r="G234" s="2357" t="s">
        <v>1316</v>
      </c>
      <c r="H234" s="2357">
        <v>2</v>
      </c>
      <c r="I234" s="2212"/>
      <c r="J234" s="2359"/>
    </row>
    <row r="235" spans="2:18" s="113" customFormat="1" ht="15.75" x14ac:dyDescent="0.45">
      <c r="B235" s="2360" t="s">
        <v>5253</v>
      </c>
      <c r="C235" s="2361" t="s">
        <v>5254</v>
      </c>
      <c r="D235" s="2362">
        <v>1.9999999999999999E-7</v>
      </c>
      <c r="E235" s="2358">
        <v>0</v>
      </c>
      <c r="F235" s="2357" t="s">
        <v>1256</v>
      </c>
      <c r="G235" s="2357" t="s">
        <v>1316</v>
      </c>
      <c r="H235" s="2357">
        <v>3</v>
      </c>
      <c r="I235" s="2212"/>
      <c r="J235" s="2359"/>
    </row>
    <row r="236" spans="2:18" s="113" customFormat="1" ht="15.75" x14ac:dyDescent="0.45">
      <c r="B236" s="1015" t="s">
        <v>2937</v>
      </c>
      <c r="C236" s="1086" t="s">
        <v>2602</v>
      </c>
      <c r="D236" s="231">
        <v>0.01</v>
      </c>
      <c r="E236" s="231">
        <v>0</v>
      </c>
      <c r="F236" s="231" t="s">
        <v>1256</v>
      </c>
      <c r="G236" s="206" t="s">
        <v>1763</v>
      </c>
      <c r="H236" s="231">
        <v>3</v>
      </c>
      <c r="I236" s="1209"/>
      <c r="J236" s="232"/>
    </row>
    <row r="237" spans="2:18" s="113" customFormat="1" ht="15.75" x14ac:dyDescent="0.45">
      <c r="B237" s="1015" t="s">
        <v>2938</v>
      </c>
      <c r="C237" s="1086" t="s">
        <v>2603</v>
      </c>
      <c r="D237" s="231">
        <v>0.01</v>
      </c>
      <c r="E237" s="231">
        <v>0</v>
      </c>
      <c r="F237" s="231" t="s">
        <v>1256</v>
      </c>
      <c r="G237" s="206" t="s">
        <v>1763</v>
      </c>
      <c r="H237" s="231">
        <v>3</v>
      </c>
      <c r="I237" s="1209"/>
      <c r="J237" s="232"/>
    </row>
    <row r="238" spans="2:18" s="113" customFormat="1" ht="15.75" x14ac:dyDescent="0.45">
      <c r="B238" s="1016" t="s">
        <v>4885</v>
      </c>
      <c r="C238" s="1087" t="s">
        <v>4886</v>
      </c>
      <c r="D238" s="969">
        <v>0.01</v>
      </c>
      <c r="E238" s="969">
        <v>0</v>
      </c>
      <c r="F238" s="969" t="s">
        <v>1256</v>
      </c>
      <c r="G238" s="970" t="s">
        <v>1763</v>
      </c>
      <c r="H238" s="969">
        <v>3</v>
      </c>
      <c r="I238" s="968"/>
      <c r="J238" s="971"/>
    </row>
    <row r="239" spans="2:18" s="113" customFormat="1" ht="15.75" x14ac:dyDescent="0.45">
      <c r="B239" s="1015" t="s">
        <v>2939</v>
      </c>
      <c r="C239" s="1086" t="s">
        <v>2604</v>
      </c>
      <c r="D239" s="231">
        <v>0.01</v>
      </c>
      <c r="E239" s="231">
        <v>0</v>
      </c>
      <c r="F239" s="231" t="s">
        <v>1256</v>
      </c>
      <c r="G239" s="206" t="s">
        <v>1763</v>
      </c>
      <c r="H239" s="231">
        <v>3</v>
      </c>
      <c r="I239" s="1209"/>
      <c r="J239" s="232"/>
    </row>
    <row r="240" spans="2:18" s="113" customFormat="1" ht="15.75" x14ac:dyDescent="0.45">
      <c r="B240" s="2360" t="s">
        <v>5255</v>
      </c>
      <c r="C240" s="2361" t="s">
        <v>5256</v>
      </c>
      <c r="D240" s="2367">
        <v>0.01</v>
      </c>
      <c r="E240" s="2363">
        <v>0</v>
      </c>
      <c r="F240" s="2363" t="s">
        <v>1256</v>
      </c>
      <c r="G240" s="2364" t="s">
        <v>1763</v>
      </c>
      <c r="H240" s="2363">
        <v>3</v>
      </c>
      <c r="I240" s="2365"/>
      <c r="J240" s="2366"/>
    </row>
    <row r="241" spans="2:10" s="113" customFormat="1" ht="16.149999999999999" thickBot="1" x14ac:dyDescent="0.5">
      <c r="B241" s="1017" t="s">
        <v>2940</v>
      </c>
      <c r="C241" s="1088" t="s">
        <v>2605</v>
      </c>
      <c r="D241" s="234">
        <v>0.01</v>
      </c>
      <c r="E241" s="234">
        <v>0</v>
      </c>
      <c r="F241" s="234" t="s">
        <v>1256</v>
      </c>
      <c r="G241" s="207" t="s">
        <v>1763</v>
      </c>
      <c r="H241" s="234">
        <v>3</v>
      </c>
      <c r="I241" s="233"/>
      <c r="J241" s="235"/>
    </row>
    <row r="242" spans="2:10" s="113" customFormat="1" ht="14.65" thickBot="1" x14ac:dyDescent="0.5">
      <c r="B242" s="124"/>
      <c r="C242" s="1046"/>
      <c r="D242" s="1932"/>
      <c r="E242" s="116"/>
      <c r="F242" s="116"/>
      <c r="G242" s="116"/>
      <c r="H242" s="116"/>
      <c r="I242" s="115"/>
      <c r="J242" s="1889"/>
    </row>
    <row r="243" spans="2:10" s="113" customFormat="1" ht="14.65" thickBot="1" x14ac:dyDescent="0.5">
      <c r="B243" s="124"/>
      <c r="C243" s="1081" t="s">
        <v>2009</v>
      </c>
      <c r="D243" s="114" t="s">
        <v>301</v>
      </c>
      <c r="E243" s="114"/>
      <c r="F243" s="114"/>
      <c r="G243" s="114"/>
      <c r="H243" s="114"/>
      <c r="I243" s="124"/>
      <c r="J243" s="1889"/>
    </row>
    <row r="244" spans="2:10" s="113" customFormat="1" ht="14.65" thickBot="1" x14ac:dyDescent="0.5">
      <c r="B244" s="263" t="s">
        <v>0</v>
      </c>
      <c r="C244" s="1082" t="s">
        <v>1</v>
      </c>
      <c r="D244" s="269" t="s">
        <v>841</v>
      </c>
      <c r="E244" s="269" t="s">
        <v>471</v>
      </c>
      <c r="F244" s="269" t="s">
        <v>472</v>
      </c>
      <c r="G244" s="269" t="s">
        <v>2</v>
      </c>
      <c r="H244" s="269" t="s">
        <v>300</v>
      </c>
      <c r="I244" s="266" t="s">
        <v>116</v>
      </c>
      <c r="J244" s="1203" t="s">
        <v>117</v>
      </c>
    </row>
    <row r="245" spans="2:10" s="113" customFormat="1" ht="15.75" x14ac:dyDescent="0.45">
      <c r="B245" s="521" t="s">
        <v>1727</v>
      </c>
      <c r="C245" s="1089" t="s">
        <v>2607</v>
      </c>
      <c r="D245" s="522">
        <v>250</v>
      </c>
      <c r="E245" s="522">
        <v>0</v>
      </c>
      <c r="F245" s="522" t="s">
        <v>1256</v>
      </c>
      <c r="G245" s="523" t="s">
        <v>848</v>
      </c>
      <c r="H245" s="522">
        <v>0</v>
      </c>
      <c r="I245" s="1210"/>
      <c r="J245" s="524"/>
    </row>
    <row r="246" spans="2:10" s="113" customFormat="1" ht="15.75" x14ac:dyDescent="0.45">
      <c r="B246" s="525" t="s">
        <v>1728</v>
      </c>
      <c r="C246" s="1090" t="s">
        <v>2608</v>
      </c>
      <c r="D246" s="526">
        <v>1</v>
      </c>
      <c r="E246" s="429">
        <v>0</v>
      </c>
      <c r="F246" s="428" t="s">
        <v>1256</v>
      </c>
      <c r="G246" s="427" t="s">
        <v>848</v>
      </c>
      <c r="H246" s="428">
        <v>2</v>
      </c>
      <c r="I246" s="1211"/>
      <c r="J246" s="527"/>
    </row>
    <row r="247" spans="2:10" s="113" customFormat="1" ht="15.75" x14ac:dyDescent="0.45">
      <c r="B247" s="525" t="s">
        <v>1729</v>
      </c>
      <c r="C247" s="1091" t="s">
        <v>2609</v>
      </c>
      <c r="D247" s="428">
        <v>150</v>
      </c>
      <c r="E247" s="429">
        <v>0</v>
      </c>
      <c r="F247" s="429" t="s">
        <v>1256</v>
      </c>
      <c r="G247" s="427" t="s">
        <v>848</v>
      </c>
      <c r="H247" s="429">
        <v>0</v>
      </c>
      <c r="I247" s="1211"/>
      <c r="J247" s="527"/>
    </row>
    <row r="248" spans="2:10" s="113" customFormat="1" ht="15.75" x14ac:dyDescent="0.45">
      <c r="B248" s="525" t="s">
        <v>1730</v>
      </c>
      <c r="C248" s="1090" t="s">
        <v>2610</v>
      </c>
      <c r="D248" s="526">
        <v>1</v>
      </c>
      <c r="E248" s="429">
        <v>0</v>
      </c>
      <c r="F248" s="429" t="s">
        <v>1256</v>
      </c>
      <c r="G248" s="427" t="s">
        <v>848</v>
      </c>
      <c r="H248" s="429">
        <v>2</v>
      </c>
      <c r="I248" s="1211"/>
      <c r="J248" s="527"/>
    </row>
    <row r="249" spans="2:10" s="113" customFormat="1" ht="15.75" x14ac:dyDescent="0.45">
      <c r="B249" s="525" t="s">
        <v>3437</v>
      </c>
      <c r="C249" s="1091" t="s">
        <v>3438</v>
      </c>
      <c r="D249" s="428">
        <v>100</v>
      </c>
      <c r="E249" s="429">
        <v>0</v>
      </c>
      <c r="F249" s="429" t="s">
        <v>1256</v>
      </c>
      <c r="G249" s="427" t="s">
        <v>848</v>
      </c>
      <c r="H249" s="429">
        <v>0</v>
      </c>
      <c r="I249" s="1211"/>
      <c r="J249" s="527"/>
    </row>
    <row r="250" spans="2:10" s="113" customFormat="1" ht="15.75" x14ac:dyDescent="0.45">
      <c r="B250" s="525" t="s">
        <v>3439</v>
      </c>
      <c r="C250" s="1091" t="s">
        <v>3440</v>
      </c>
      <c r="D250" s="428">
        <v>10</v>
      </c>
      <c r="E250" s="429">
        <v>0</v>
      </c>
      <c r="F250" s="429" t="s">
        <v>1256</v>
      </c>
      <c r="G250" s="427" t="s">
        <v>848</v>
      </c>
      <c r="H250" s="429">
        <v>0</v>
      </c>
      <c r="I250" s="1211"/>
      <c r="J250" s="527"/>
    </row>
    <row r="251" spans="2:10" s="113" customFormat="1" ht="15.75" x14ac:dyDescent="0.45">
      <c r="B251" s="525" t="s">
        <v>3441</v>
      </c>
      <c r="C251" s="1091" t="s">
        <v>3442</v>
      </c>
      <c r="D251" s="428">
        <v>100</v>
      </c>
      <c r="E251" s="429">
        <v>0</v>
      </c>
      <c r="F251" s="429" t="s">
        <v>1256</v>
      </c>
      <c r="G251" s="427" t="s">
        <v>848</v>
      </c>
      <c r="H251" s="429">
        <v>0</v>
      </c>
      <c r="I251" s="1211"/>
      <c r="J251" s="527"/>
    </row>
    <row r="252" spans="2:10" s="113" customFormat="1" ht="15.75" x14ac:dyDescent="0.45">
      <c r="B252" s="528" t="s">
        <v>1731</v>
      </c>
      <c r="C252" s="1092" t="s">
        <v>2611</v>
      </c>
      <c r="D252" s="426">
        <v>2</v>
      </c>
      <c r="E252" s="427">
        <v>0</v>
      </c>
      <c r="F252" s="427" t="s">
        <v>1256</v>
      </c>
      <c r="G252" s="427" t="s">
        <v>848</v>
      </c>
      <c r="H252" s="427">
        <v>1</v>
      </c>
      <c r="I252" s="1212"/>
      <c r="J252" s="529"/>
    </row>
    <row r="253" spans="2:10" s="113" customFormat="1" ht="15.75" x14ac:dyDescent="0.45">
      <c r="B253" s="525" t="s">
        <v>3157</v>
      </c>
      <c r="C253" s="1091" t="s">
        <v>3158</v>
      </c>
      <c r="D253" s="428">
        <v>-100</v>
      </c>
      <c r="E253" s="429" t="s">
        <v>2243</v>
      </c>
      <c r="F253" s="429" t="s">
        <v>1256</v>
      </c>
      <c r="G253" s="427" t="s">
        <v>2200</v>
      </c>
      <c r="H253" s="429">
        <v>0</v>
      </c>
      <c r="I253" s="1211"/>
      <c r="J253" s="527"/>
    </row>
    <row r="254" spans="2:10" s="113" customFormat="1" ht="15.75" x14ac:dyDescent="0.45">
      <c r="B254" s="528" t="s">
        <v>3159</v>
      </c>
      <c r="C254" s="1092" t="s">
        <v>3160</v>
      </c>
      <c r="D254" s="426">
        <v>0.1</v>
      </c>
      <c r="E254" s="427">
        <v>0</v>
      </c>
      <c r="F254" s="427" t="s">
        <v>1256</v>
      </c>
      <c r="G254" s="427" t="s">
        <v>2017</v>
      </c>
      <c r="H254" s="427">
        <v>2</v>
      </c>
      <c r="I254" s="1212"/>
      <c r="J254" s="529"/>
    </row>
    <row r="255" spans="2:10" s="113" customFormat="1" ht="15.75" x14ac:dyDescent="0.45">
      <c r="B255" s="530" t="s">
        <v>2606</v>
      </c>
      <c r="C255" s="1092" t="s">
        <v>2612</v>
      </c>
      <c r="D255" s="426">
        <v>1</v>
      </c>
      <c r="E255" s="427">
        <v>0</v>
      </c>
      <c r="F255" s="427" t="s">
        <v>1256</v>
      </c>
      <c r="G255" s="427" t="s">
        <v>848</v>
      </c>
      <c r="H255" s="427">
        <v>1</v>
      </c>
      <c r="I255" s="1212"/>
      <c r="J255" s="531"/>
    </row>
    <row r="256" spans="2:10" s="113" customFormat="1" ht="15.75" x14ac:dyDescent="0.45">
      <c r="B256" s="2371" t="s">
        <v>5257</v>
      </c>
      <c r="C256" s="2372" t="s">
        <v>5258</v>
      </c>
      <c r="D256" s="2373">
        <v>2</v>
      </c>
      <c r="E256" s="2374">
        <v>0</v>
      </c>
      <c r="F256" s="2374" t="s">
        <v>1256</v>
      </c>
      <c r="G256" s="2374" t="s">
        <v>848</v>
      </c>
      <c r="H256" s="2374">
        <v>1</v>
      </c>
      <c r="I256" s="2375"/>
      <c r="J256" s="2376"/>
    </row>
    <row r="257" spans="2:10" s="113" customFormat="1" ht="15.75" x14ac:dyDescent="0.45">
      <c r="B257" s="2377" t="s">
        <v>5259</v>
      </c>
      <c r="C257" s="2378" t="s">
        <v>5260</v>
      </c>
      <c r="D257" s="2368">
        <v>1</v>
      </c>
      <c r="E257" s="1837">
        <v>0</v>
      </c>
      <c r="F257" s="1837" t="s">
        <v>1256</v>
      </c>
      <c r="G257" s="1837" t="s">
        <v>848</v>
      </c>
      <c r="H257" s="1837">
        <v>1</v>
      </c>
      <c r="I257" s="2369"/>
      <c r="J257" s="2370"/>
    </row>
    <row r="258" spans="2:10" s="113" customFormat="1" ht="16.149999999999999" thickBot="1" x14ac:dyDescent="0.5">
      <c r="B258" s="2379" t="s">
        <v>5261</v>
      </c>
      <c r="C258" s="2380" t="s">
        <v>5262</v>
      </c>
      <c r="D258" s="2381">
        <v>0.2</v>
      </c>
      <c r="E258" s="2382">
        <v>0</v>
      </c>
      <c r="F258" s="2383" t="s">
        <v>1256</v>
      </c>
      <c r="G258" s="2383" t="s">
        <v>5246</v>
      </c>
      <c r="H258" s="2383">
        <v>3</v>
      </c>
      <c r="I258" s="2384"/>
      <c r="J258" s="2385"/>
    </row>
    <row r="259" spans="2:10" s="113" customFormat="1" ht="15.75" x14ac:dyDescent="0.45">
      <c r="B259" s="525" t="s">
        <v>5022</v>
      </c>
      <c r="C259" s="1093" t="s">
        <v>2613</v>
      </c>
      <c r="D259" s="532">
        <v>0.01</v>
      </c>
      <c r="E259" s="427">
        <v>0</v>
      </c>
      <c r="F259" s="429" t="s">
        <v>1256</v>
      </c>
      <c r="G259" s="429" t="s">
        <v>888</v>
      </c>
      <c r="H259" s="429">
        <v>3</v>
      </c>
      <c r="I259" s="1211"/>
      <c r="J259" s="527"/>
    </row>
    <row r="260" spans="2:10" s="113" customFormat="1" ht="15.75" x14ac:dyDescent="0.45">
      <c r="B260" s="1836" t="s">
        <v>5018</v>
      </c>
      <c r="C260" s="1841" t="s">
        <v>5019</v>
      </c>
      <c r="D260" s="2194">
        <v>1</v>
      </c>
      <c r="E260" s="1837">
        <v>0</v>
      </c>
      <c r="F260" s="1838">
        <v>2</v>
      </c>
      <c r="G260" s="1838" t="s">
        <v>2017</v>
      </c>
      <c r="H260" s="1838">
        <v>2</v>
      </c>
      <c r="I260" s="1839"/>
      <c r="J260" s="1840" t="s">
        <v>4997</v>
      </c>
    </row>
    <row r="261" spans="2:10" s="113" customFormat="1" ht="15.75" x14ac:dyDescent="0.45">
      <c r="B261" s="525" t="s">
        <v>3443</v>
      </c>
      <c r="C261" s="1093" t="s">
        <v>3444</v>
      </c>
      <c r="D261" s="532">
        <v>0.1</v>
      </c>
      <c r="E261" s="427">
        <v>0</v>
      </c>
      <c r="F261" s="429" t="s">
        <v>1256</v>
      </c>
      <c r="G261" s="429" t="s">
        <v>888</v>
      </c>
      <c r="H261" s="429">
        <v>3</v>
      </c>
      <c r="I261" s="1211"/>
      <c r="J261" s="527"/>
    </row>
    <row r="262" spans="2:10" s="113" customFormat="1" ht="16.149999999999999" thickBot="1" x14ac:dyDescent="0.5">
      <c r="B262" s="533" t="s">
        <v>1794</v>
      </c>
      <c r="C262" s="1094" t="s">
        <v>2614</v>
      </c>
      <c r="D262" s="534">
        <v>0.1</v>
      </c>
      <c r="E262" s="535">
        <v>0</v>
      </c>
      <c r="F262" s="536" t="s">
        <v>1256</v>
      </c>
      <c r="G262" s="536" t="s">
        <v>888</v>
      </c>
      <c r="H262" s="536">
        <v>2</v>
      </c>
      <c r="I262" s="1213"/>
      <c r="J262" s="537"/>
    </row>
    <row r="263" spans="2:10" s="113" customFormat="1" ht="14.65" thickBot="1" x14ac:dyDescent="0.5">
      <c r="B263" s="124"/>
      <c r="C263" s="1046"/>
      <c r="D263" s="1932"/>
      <c r="E263" s="116"/>
      <c r="F263" s="116"/>
      <c r="G263" s="116"/>
      <c r="H263" s="116"/>
      <c r="I263" s="115"/>
      <c r="J263" s="1889"/>
    </row>
    <row r="264" spans="2:10" s="113" customFormat="1" ht="14.65" thickBot="1" x14ac:dyDescent="0.5">
      <c r="B264" s="124"/>
      <c r="C264" s="1095" t="s">
        <v>4864</v>
      </c>
      <c r="D264" s="114" t="s">
        <v>301</v>
      </c>
      <c r="E264" s="114"/>
      <c r="F264" s="114"/>
      <c r="G264" s="114"/>
      <c r="H264" s="114"/>
      <c r="I264" s="124"/>
      <c r="J264" s="1889"/>
    </row>
    <row r="265" spans="2:10" s="113" customFormat="1" ht="14.65" thickBot="1" x14ac:dyDescent="0.5">
      <c r="B265" s="955" t="s">
        <v>0</v>
      </c>
      <c r="C265" s="1096" t="s">
        <v>1</v>
      </c>
      <c r="D265" s="957" t="s">
        <v>841</v>
      </c>
      <c r="E265" s="957" t="s">
        <v>471</v>
      </c>
      <c r="F265" s="957" t="s">
        <v>472</v>
      </c>
      <c r="G265" s="957" t="s">
        <v>2</v>
      </c>
      <c r="H265" s="957" t="s">
        <v>300</v>
      </c>
      <c r="I265" s="956" t="s">
        <v>116</v>
      </c>
      <c r="J265" s="1214" t="s">
        <v>117</v>
      </c>
    </row>
    <row r="266" spans="2:10" s="113" customFormat="1" ht="15.75" x14ac:dyDescent="0.45">
      <c r="B266" s="958" t="s">
        <v>4865</v>
      </c>
      <c r="C266" s="1097" t="s">
        <v>4866</v>
      </c>
      <c r="D266" s="959">
        <v>75</v>
      </c>
      <c r="E266" s="959">
        <v>0</v>
      </c>
      <c r="F266" s="959" t="s">
        <v>1256</v>
      </c>
      <c r="G266" s="960" t="s">
        <v>848</v>
      </c>
      <c r="H266" s="959">
        <v>0</v>
      </c>
      <c r="I266" s="1215"/>
      <c r="J266" s="961"/>
    </row>
    <row r="267" spans="2:10" s="113" customFormat="1" ht="15.75" x14ac:dyDescent="0.45">
      <c r="B267" s="539" t="s">
        <v>4867</v>
      </c>
      <c r="C267" s="1098" t="s">
        <v>4868</v>
      </c>
      <c r="D267" s="880">
        <v>1</v>
      </c>
      <c r="E267" s="858">
        <v>0</v>
      </c>
      <c r="F267" s="881" t="s">
        <v>1256</v>
      </c>
      <c r="G267" s="962" t="s">
        <v>848</v>
      </c>
      <c r="H267" s="881">
        <v>2</v>
      </c>
      <c r="I267" s="857"/>
      <c r="J267" s="937"/>
    </row>
    <row r="268" spans="2:10" s="113" customFormat="1" ht="15.75" x14ac:dyDescent="0.45">
      <c r="B268" s="539" t="s">
        <v>4869</v>
      </c>
      <c r="C268" s="1099" t="s">
        <v>4870</v>
      </c>
      <c r="D268" s="881">
        <v>175</v>
      </c>
      <c r="E268" s="858">
        <v>0</v>
      </c>
      <c r="F268" s="858" t="s">
        <v>1256</v>
      </c>
      <c r="G268" s="962" t="s">
        <v>848</v>
      </c>
      <c r="H268" s="858">
        <v>0</v>
      </c>
      <c r="I268" s="857"/>
      <c r="J268" s="937"/>
    </row>
    <row r="269" spans="2:10" s="113" customFormat="1" ht="15.75" x14ac:dyDescent="0.45">
      <c r="B269" s="539" t="s">
        <v>4871</v>
      </c>
      <c r="C269" s="1098" t="s">
        <v>4872</v>
      </c>
      <c r="D269" s="880">
        <v>1</v>
      </c>
      <c r="E269" s="858">
        <v>0</v>
      </c>
      <c r="F269" s="858" t="s">
        <v>1256</v>
      </c>
      <c r="G269" s="962" t="s">
        <v>848</v>
      </c>
      <c r="H269" s="858">
        <v>2</v>
      </c>
      <c r="I269" s="857"/>
      <c r="J269" s="937"/>
    </row>
    <row r="270" spans="2:10" s="113" customFormat="1" ht="15.75" x14ac:dyDescent="0.45">
      <c r="B270" s="539" t="s">
        <v>4873</v>
      </c>
      <c r="C270" s="1099" t="s">
        <v>4874</v>
      </c>
      <c r="D270" s="881">
        <v>100</v>
      </c>
      <c r="E270" s="858">
        <v>0</v>
      </c>
      <c r="F270" s="858" t="s">
        <v>1256</v>
      </c>
      <c r="G270" s="962" t="s">
        <v>848</v>
      </c>
      <c r="H270" s="858">
        <v>0</v>
      </c>
      <c r="I270" s="857"/>
      <c r="J270" s="937"/>
    </row>
    <row r="271" spans="2:10" s="113" customFormat="1" ht="15.75" x14ac:dyDescent="0.45">
      <c r="B271" s="539" t="s">
        <v>4875</v>
      </c>
      <c r="C271" s="1099" t="s">
        <v>4876</v>
      </c>
      <c r="D271" s="881">
        <v>10</v>
      </c>
      <c r="E271" s="858">
        <v>0</v>
      </c>
      <c r="F271" s="858" t="s">
        <v>1256</v>
      </c>
      <c r="G271" s="962" t="s">
        <v>848</v>
      </c>
      <c r="H271" s="858">
        <v>0</v>
      </c>
      <c r="I271" s="857"/>
      <c r="J271" s="937"/>
    </row>
    <row r="272" spans="2:10" s="113" customFormat="1" ht="15.75" x14ac:dyDescent="0.45">
      <c r="B272" s="539" t="s">
        <v>4877</v>
      </c>
      <c r="C272" s="1099" t="s">
        <v>4878</v>
      </c>
      <c r="D272" s="881">
        <v>100</v>
      </c>
      <c r="E272" s="858">
        <v>0</v>
      </c>
      <c r="F272" s="858" t="s">
        <v>1256</v>
      </c>
      <c r="G272" s="962" t="s">
        <v>848</v>
      </c>
      <c r="H272" s="858">
        <v>0</v>
      </c>
      <c r="I272" s="857"/>
      <c r="J272" s="937"/>
    </row>
    <row r="273" spans="2:10" s="113" customFormat="1" ht="15.75" x14ac:dyDescent="0.45">
      <c r="B273" s="539" t="s">
        <v>4879</v>
      </c>
      <c r="C273" s="1098" t="s">
        <v>4880</v>
      </c>
      <c r="D273" s="880">
        <v>0.1</v>
      </c>
      <c r="E273" s="962">
        <v>0</v>
      </c>
      <c r="F273" s="858" t="s">
        <v>1256</v>
      </c>
      <c r="G273" s="858" t="s">
        <v>888</v>
      </c>
      <c r="H273" s="858">
        <v>2</v>
      </c>
      <c r="I273" s="857"/>
      <c r="J273" s="937"/>
    </row>
    <row r="274" spans="2:10" s="113" customFormat="1" ht="15.75" x14ac:dyDescent="0.45">
      <c r="B274" s="539" t="s">
        <v>4881</v>
      </c>
      <c r="C274" s="1100" t="s">
        <v>4882</v>
      </c>
      <c r="D274" s="964">
        <v>1E-3</v>
      </c>
      <c r="E274" s="962">
        <v>0</v>
      </c>
      <c r="F274" s="858" t="s">
        <v>1256</v>
      </c>
      <c r="G274" s="858" t="s">
        <v>888</v>
      </c>
      <c r="H274" s="858">
        <v>3</v>
      </c>
      <c r="I274" s="857"/>
      <c r="J274" s="937"/>
    </row>
    <row r="275" spans="2:10" s="113" customFormat="1" ht="15.75" x14ac:dyDescent="0.45">
      <c r="B275" s="1842" t="s">
        <v>5020</v>
      </c>
      <c r="C275" s="1843" t="s">
        <v>5021</v>
      </c>
      <c r="D275" s="1275">
        <v>2</v>
      </c>
      <c r="E275" s="1844">
        <v>0</v>
      </c>
      <c r="F275" s="1845">
        <v>2</v>
      </c>
      <c r="G275" s="1845" t="s">
        <v>2017</v>
      </c>
      <c r="H275" s="1845">
        <v>2</v>
      </c>
      <c r="I275" s="1846"/>
      <c r="J275" s="1847" t="s">
        <v>4997</v>
      </c>
    </row>
    <row r="276" spans="2:10" s="113" customFormat="1" ht="16.149999999999999" thickBot="1" x14ac:dyDescent="0.5">
      <c r="B276" s="864" t="s">
        <v>4883</v>
      </c>
      <c r="C276" s="1101" t="s">
        <v>4884</v>
      </c>
      <c r="D276" s="965">
        <v>0.1</v>
      </c>
      <c r="E276" s="966">
        <v>0</v>
      </c>
      <c r="F276" s="867" t="s">
        <v>1256</v>
      </c>
      <c r="G276" s="867" t="s">
        <v>888</v>
      </c>
      <c r="H276" s="867">
        <v>3</v>
      </c>
      <c r="I276" s="865"/>
      <c r="J276" s="967"/>
    </row>
    <row r="277" spans="2:10" s="113" customFormat="1" ht="14.65" thickBot="1" x14ac:dyDescent="0.5">
      <c r="B277" s="148"/>
      <c r="C277" s="2408"/>
      <c r="D277" s="2409"/>
      <c r="E277" s="116"/>
      <c r="F277" s="1954"/>
      <c r="G277" s="1954"/>
      <c r="H277" s="1954"/>
      <c r="I277" s="148"/>
      <c r="J277" s="148"/>
    </row>
    <row r="278" spans="2:10" s="113" customFormat="1" ht="14.65" thickBot="1" x14ac:dyDescent="0.5">
      <c r="B278" s="370"/>
      <c r="C278" s="2296" t="s">
        <v>5263</v>
      </c>
      <c r="D278" s="114" t="s">
        <v>301</v>
      </c>
      <c r="E278" s="114"/>
      <c r="F278" s="114"/>
      <c r="G278" s="114"/>
      <c r="H278" s="114"/>
      <c r="I278" s="124"/>
      <c r="J278" s="1889"/>
    </row>
    <row r="279" spans="2:10" s="113" customFormat="1" ht="14.65" thickBot="1" x14ac:dyDescent="0.5">
      <c r="B279" s="2297" t="s">
        <v>0</v>
      </c>
      <c r="C279" s="1082" t="s">
        <v>1</v>
      </c>
      <c r="D279" s="269" t="s">
        <v>841</v>
      </c>
      <c r="E279" s="269" t="s">
        <v>471</v>
      </c>
      <c r="F279" s="269" t="s">
        <v>472</v>
      </c>
      <c r="G279" s="269" t="s">
        <v>2</v>
      </c>
      <c r="H279" s="269" t="s">
        <v>300</v>
      </c>
      <c r="I279" s="266" t="s">
        <v>116</v>
      </c>
      <c r="J279" s="1256" t="s">
        <v>117</v>
      </c>
    </row>
    <row r="280" spans="2:10" s="113" customFormat="1" ht="15.75" x14ac:dyDescent="0.45">
      <c r="B280" s="2386" t="s">
        <v>5264</v>
      </c>
      <c r="C280" s="2387" t="s">
        <v>5265</v>
      </c>
      <c r="D280" s="2388">
        <v>0</v>
      </c>
      <c r="E280" s="2388">
        <v>0</v>
      </c>
      <c r="F280" s="2389" t="s">
        <v>1256</v>
      </c>
      <c r="G280" s="2388" t="s">
        <v>444</v>
      </c>
      <c r="H280" s="2390">
        <v>2</v>
      </c>
      <c r="I280" s="2391"/>
      <c r="J280" s="2392">
        <v>1</v>
      </c>
    </row>
    <row r="281" spans="2:10" s="113" customFormat="1" ht="15.75" x14ac:dyDescent="0.45">
      <c r="B281" s="2393" t="s">
        <v>5266</v>
      </c>
      <c r="C281" s="2394" t="s">
        <v>5267</v>
      </c>
      <c r="D281" s="2395">
        <v>0</v>
      </c>
      <c r="E281" s="2395">
        <v>0</v>
      </c>
      <c r="F281" s="2396" t="s">
        <v>1256</v>
      </c>
      <c r="G281" s="2395" t="s">
        <v>444</v>
      </c>
      <c r="H281" s="2397">
        <v>2</v>
      </c>
      <c r="I281" s="2398"/>
      <c r="J281" s="2399">
        <v>1</v>
      </c>
    </row>
    <row r="282" spans="2:10" s="113" customFormat="1" ht="15.75" x14ac:dyDescent="0.45">
      <c r="B282" s="2393" t="s">
        <v>5268</v>
      </c>
      <c r="C282" s="2394" t="s">
        <v>5269</v>
      </c>
      <c r="D282" s="2395">
        <v>100</v>
      </c>
      <c r="E282" s="2395">
        <v>0</v>
      </c>
      <c r="F282" s="2396" t="s">
        <v>1256</v>
      </c>
      <c r="G282" s="2396" t="s">
        <v>886</v>
      </c>
      <c r="H282" s="2397">
        <v>1</v>
      </c>
      <c r="I282" s="2398"/>
      <c r="J282" s="2399"/>
    </row>
    <row r="283" spans="2:10" s="113" customFormat="1" ht="15.75" x14ac:dyDescent="0.45">
      <c r="B283" s="2393" t="s">
        <v>5270</v>
      </c>
      <c r="C283" s="2394" t="s">
        <v>5271</v>
      </c>
      <c r="D283" s="2395">
        <v>0.1</v>
      </c>
      <c r="E283" s="2395">
        <v>0</v>
      </c>
      <c r="F283" s="2396" t="s">
        <v>1256</v>
      </c>
      <c r="G283" s="2395" t="s">
        <v>2017</v>
      </c>
      <c r="H283" s="2397">
        <v>2</v>
      </c>
      <c r="I283" s="2398"/>
      <c r="J283" s="2399"/>
    </row>
    <row r="284" spans="2:10" s="113" customFormat="1" ht="15.75" x14ac:dyDescent="0.45">
      <c r="B284" s="2393" t="s">
        <v>5272</v>
      </c>
      <c r="C284" s="2394" t="s">
        <v>5273</v>
      </c>
      <c r="D284" s="2395">
        <v>0</v>
      </c>
      <c r="E284" s="2395">
        <v>0</v>
      </c>
      <c r="F284" s="2396" t="s">
        <v>1256</v>
      </c>
      <c r="G284" s="2395" t="s">
        <v>5274</v>
      </c>
      <c r="H284" s="2397">
        <v>2</v>
      </c>
      <c r="I284" s="2398"/>
      <c r="J284" s="2399">
        <v>0.1</v>
      </c>
    </row>
    <row r="285" spans="2:10" s="113" customFormat="1" ht="15.75" x14ac:dyDescent="0.45">
      <c r="B285" s="2393" t="s">
        <v>5275</v>
      </c>
      <c r="C285" s="2394" t="s">
        <v>5276</v>
      </c>
      <c r="D285" s="2395">
        <v>0.01</v>
      </c>
      <c r="E285" s="2395">
        <v>0</v>
      </c>
      <c r="F285" s="2396" t="s">
        <v>1256</v>
      </c>
      <c r="G285" s="2400" t="s">
        <v>1888</v>
      </c>
      <c r="H285" s="2397">
        <v>3</v>
      </c>
      <c r="I285" s="2398"/>
      <c r="J285" s="2399"/>
    </row>
    <row r="286" spans="2:10" s="113" customFormat="1" ht="15.75" x14ac:dyDescent="0.45">
      <c r="B286" s="2393" t="s">
        <v>5277</v>
      </c>
      <c r="C286" s="2394" t="s">
        <v>5278</v>
      </c>
      <c r="D286" s="2395">
        <v>50</v>
      </c>
      <c r="E286" s="2395">
        <v>0</v>
      </c>
      <c r="F286" s="2396" t="s">
        <v>1256</v>
      </c>
      <c r="G286" s="2395" t="s">
        <v>444</v>
      </c>
      <c r="H286" s="2397">
        <v>0</v>
      </c>
      <c r="I286" s="2398"/>
      <c r="J286" s="2399"/>
    </row>
    <row r="287" spans="2:10" s="113" customFormat="1" ht="15.75" x14ac:dyDescent="0.45">
      <c r="B287" s="2393" t="s">
        <v>5279</v>
      </c>
      <c r="C287" s="2394" t="s">
        <v>5280</v>
      </c>
      <c r="D287" s="2395">
        <v>0.33</v>
      </c>
      <c r="E287" s="2395">
        <v>0</v>
      </c>
      <c r="F287" s="2396" t="s">
        <v>1256</v>
      </c>
      <c r="G287" s="2400" t="s">
        <v>2017</v>
      </c>
      <c r="H287" s="2397">
        <v>2</v>
      </c>
      <c r="I287" s="2398"/>
      <c r="J287" s="2399"/>
    </row>
    <row r="288" spans="2:10" s="113" customFormat="1" ht="15.75" x14ac:dyDescent="0.45">
      <c r="B288" s="2393" t="s">
        <v>5281</v>
      </c>
      <c r="C288" s="2394" t="s">
        <v>5282</v>
      </c>
      <c r="D288" s="2395">
        <v>-100</v>
      </c>
      <c r="E288" s="2395" t="s">
        <v>2243</v>
      </c>
      <c r="F288" s="2396" t="s">
        <v>1256</v>
      </c>
      <c r="G288" s="2395" t="s">
        <v>2200</v>
      </c>
      <c r="H288" s="2397">
        <v>0</v>
      </c>
      <c r="I288" s="2398"/>
      <c r="J288" s="2399"/>
    </row>
    <row r="289" spans="2:10" s="113" customFormat="1" ht="16.149999999999999" thickBot="1" x14ac:dyDescent="0.5">
      <c r="B289" s="2401" t="s">
        <v>5283</v>
      </c>
      <c r="C289" s="2402" t="s">
        <v>5284</v>
      </c>
      <c r="D289" s="2403">
        <v>0.1</v>
      </c>
      <c r="E289" s="2403">
        <v>0</v>
      </c>
      <c r="F289" s="2404" t="s">
        <v>1256</v>
      </c>
      <c r="G289" s="2403" t="s">
        <v>2017</v>
      </c>
      <c r="H289" s="2405">
        <v>2</v>
      </c>
      <c r="I289" s="2406"/>
      <c r="J289" s="2407"/>
    </row>
    <row r="290" spans="2:10" s="113" customFormat="1" ht="14.65" thickBot="1" x14ac:dyDescent="0.5">
      <c r="B290" s="124"/>
      <c r="C290" s="370"/>
      <c r="D290" s="114"/>
      <c r="E290" s="114"/>
      <c r="F290" s="114"/>
      <c r="G290" s="114"/>
      <c r="H290" s="114"/>
      <c r="I290" s="124"/>
      <c r="J290" s="1889"/>
    </row>
    <row r="291" spans="2:10" s="113" customFormat="1" ht="14.65" thickBot="1" x14ac:dyDescent="0.5">
      <c r="B291" s="124"/>
      <c r="C291" s="1081" t="s">
        <v>303</v>
      </c>
      <c r="D291" s="114" t="s">
        <v>301</v>
      </c>
      <c r="E291" s="114"/>
      <c r="F291" s="114"/>
      <c r="G291" s="114"/>
      <c r="H291" s="114"/>
      <c r="I291" s="124"/>
      <c r="J291" s="1889"/>
    </row>
    <row r="292" spans="2:10" s="113" customFormat="1" ht="14.65" thickBot="1" x14ac:dyDescent="0.5">
      <c r="B292" s="1018" t="s">
        <v>0</v>
      </c>
      <c r="C292" s="1102" t="s">
        <v>1</v>
      </c>
      <c r="D292" s="139" t="s">
        <v>841</v>
      </c>
      <c r="E292" s="139" t="s">
        <v>471</v>
      </c>
      <c r="F292" s="139" t="s">
        <v>472</v>
      </c>
      <c r="G292" s="139" t="s">
        <v>2</v>
      </c>
      <c r="H292" s="139" t="s">
        <v>300</v>
      </c>
      <c r="I292" s="155" t="s">
        <v>116</v>
      </c>
      <c r="J292" s="1216" t="s">
        <v>117</v>
      </c>
    </row>
    <row r="293" spans="2:10" s="113" customFormat="1" ht="15.75" x14ac:dyDescent="0.45">
      <c r="B293" s="1891" t="s">
        <v>1955</v>
      </c>
      <c r="C293" s="1910" t="s">
        <v>2615</v>
      </c>
      <c r="D293" s="1933">
        <v>5.0000000000000001E-3</v>
      </c>
      <c r="E293" s="1955">
        <v>0</v>
      </c>
      <c r="F293" s="1955" t="s">
        <v>1256</v>
      </c>
      <c r="G293" s="1955" t="s">
        <v>886</v>
      </c>
      <c r="H293" s="1955">
        <v>3</v>
      </c>
      <c r="I293" s="1969"/>
      <c r="J293" s="1985"/>
    </row>
    <row r="294" spans="2:10" s="113" customFormat="1" ht="15.75" x14ac:dyDescent="0.45">
      <c r="B294" s="1892" t="s">
        <v>1956</v>
      </c>
      <c r="C294" s="1911" t="s">
        <v>2616</v>
      </c>
      <c r="D294" s="1934">
        <v>2E-3</v>
      </c>
      <c r="E294" s="1956">
        <v>0</v>
      </c>
      <c r="F294" s="1956" t="s">
        <v>1256</v>
      </c>
      <c r="G294" s="1956" t="s">
        <v>888</v>
      </c>
      <c r="H294" s="1956">
        <v>3</v>
      </c>
      <c r="I294" s="1970"/>
      <c r="J294" s="1986"/>
    </row>
    <row r="295" spans="2:10" s="113" customFormat="1" ht="15.75" x14ac:dyDescent="0.45">
      <c r="B295" s="2412" t="s">
        <v>5285</v>
      </c>
      <c r="C295" s="2411" t="s">
        <v>5286</v>
      </c>
      <c r="D295" s="2413">
        <v>2E-3</v>
      </c>
      <c r="E295" s="2414">
        <v>0</v>
      </c>
      <c r="F295" s="2414" t="s">
        <v>1256</v>
      </c>
      <c r="G295" s="2414" t="s">
        <v>5246</v>
      </c>
      <c r="H295" s="2414">
        <v>3</v>
      </c>
      <c r="I295" s="2415"/>
      <c r="J295" s="2416"/>
    </row>
    <row r="296" spans="2:10" s="113" customFormat="1" ht="15.75" x14ac:dyDescent="0.45">
      <c r="B296" s="1893" t="s">
        <v>1957</v>
      </c>
      <c r="C296" s="1912" t="s">
        <v>2617</v>
      </c>
      <c r="D296" s="1935">
        <v>1.2</v>
      </c>
      <c r="E296" s="1956">
        <v>0</v>
      </c>
      <c r="F296" s="1961" t="s">
        <v>1256</v>
      </c>
      <c r="G296" s="1961" t="s">
        <v>1612</v>
      </c>
      <c r="H296" s="1961">
        <v>1</v>
      </c>
      <c r="I296" s="1971"/>
      <c r="J296" s="1987"/>
    </row>
    <row r="297" spans="2:10" s="113" customFormat="1" ht="15.75" x14ac:dyDescent="0.45">
      <c r="B297" s="1892" t="s">
        <v>1958</v>
      </c>
      <c r="C297" s="1913" t="s">
        <v>2618</v>
      </c>
      <c r="D297" s="94">
        <v>0.1</v>
      </c>
      <c r="E297" s="1956">
        <v>0</v>
      </c>
      <c r="F297" s="94" t="s">
        <v>1256</v>
      </c>
      <c r="G297" s="94" t="s">
        <v>3012</v>
      </c>
      <c r="H297" s="94">
        <v>1</v>
      </c>
      <c r="I297" s="82"/>
      <c r="J297" s="1988"/>
    </row>
    <row r="298" spans="2:10" s="113" customFormat="1" ht="15.75" x14ac:dyDescent="0.45">
      <c r="B298" s="1892" t="s">
        <v>1959</v>
      </c>
      <c r="C298" s="1913" t="s">
        <v>2619</v>
      </c>
      <c r="D298" s="94">
        <v>0.1</v>
      </c>
      <c r="E298" s="1956">
        <v>0</v>
      </c>
      <c r="F298" s="94" t="s">
        <v>1256</v>
      </c>
      <c r="G298" s="94" t="s">
        <v>3013</v>
      </c>
      <c r="H298" s="94">
        <v>1</v>
      </c>
      <c r="I298" s="82"/>
      <c r="J298" s="1988"/>
    </row>
    <row r="299" spans="2:10" s="113" customFormat="1" ht="15.75" x14ac:dyDescent="0.45">
      <c r="B299" s="840" t="s">
        <v>3693</v>
      </c>
      <c r="C299" s="1062" t="s">
        <v>3694</v>
      </c>
      <c r="D299" s="578">
        <v>1E-4</v>
      </c>
      <c r="E299" s="577">
        <v>0</v>
      </c>
      <c r="F299" s="578" t="s">
        <v>1256</v>
      </c>
      <c r="G299" s="578" t="s">
        <v>1616</v>
      </c>
      <c r="H299" s="578">
        <v>4</v>
      </c>
      <c r="I299" s="584"/>
      <c r="J299" s="936"/>
    </row>
    <row r="300" spans="2:10" s="113" customFormat="1" ht="15.75" x14ac:dyDescent="0.45">
      <c r="B300" s="840" t="s">
        <v>3695</v>
      </c>
      <c r="C300" s="1062" t="s">
        <v>3696</v>
      </c>
      <c r="D300" s="578">
        <v>1E-4</v>
      </c>
      <c r="E300" s="577">
        <v>0</v>
      </c>
      <c r="F300" s="578" t="s">
        <v>1256</v>
      </c>
      <c r="G300" s="578" t="s">
        <v>1618</v>
      </c>
      <c r="H300" s="578">
        <v>4</v>
      </c>
      <c r="I300" s="584"/>
      <c r="J300" s="936"/>
    </row>
    <row r="301" spans="2:10" s="113" customFormat="1" ht="15.75" x14ac:dyDescent="0.45">
      <c r="B301" s="1892" t="s">
        <v>1734</v>
      </c>
      <c r="C301" s="1914" t="s">
        <v>2620</v>
      </c>
      <c r="D301" s="1936">
        <v>0.5</v>
      </c>
      <c r="E301" s="1956">
        <v>0</v>
      </c>
      <c r="F301" s="1956" t="s">
        <v>1256</v>
      </c>
      <c r="G301" s="1963" t="s">
        <v>2017</v>
      </c>
      <c r="H301" s="1956">
        <v>2</v>
      </c>
      <c r="I301" s="1970"/>
      <c r="J301" s="1986"/>
    </row>
    <row r="302" spans="2:10" s="113" customFormat="1" ht="15.75" x14ac:dyDescent="0.45">
      <c r="B302" s="1892" t="s">
        <v>1735</v>
      </c>
      <c r="C302" s="1914" t="s">
        <v>2621</v>
      </c>
      <c r="D302" s="1936">
        <v>0.25</v>
      </c>
      <c r="E302" s="1956">
        <v>0</v>
      </c>
      <c r="F302" s="1956" t="s">
        <v>1256</v>
      </c>
      <c r="G302" s="1963" t="s">
        <v>2017</v>
      </c>
      <c r="H302" s="1956">
        <v>2</v>
      </c>
      <c r="I302" s="1970"/>
      <c r="J302" s="1986"/>
    </row>
    <row r="303" spans="2:10" s="113" customFormat="1" ht="15.75" x14ac:dyDescent="0.45">
      <c r="B303" s="1892" t="s">
        <v>1979</v>
      </c>
      <c r="C303" s="1914" t="s">
        <v>2624</v>
      </c>
      <c r="D303" s="1936">
        <v>5</v>
      </c>
      <c r="E303" s="1956">
        <v>0</v>
      </c>
      <c r="F303" s="1956" t="s">
        <v>1256</v>
      </c>
      <c r="G303" s="1963" t="s">
        <v>2017</v>
      </c>
      <c r="H303" s="1956">
        <v>1</v>
      </c>
      <c r="I303" s="1970"/>
      <c r="J303" s="1986"/>
    </row>
    <row r="304" spans="2:10" s="113" customFormat="1" ht="15.75" x14ac:dyDescent="0.45">
      <c r="B304" s="1892" t="s">
        <v>1980</v>
      </c>
      <c r="C304" s="1914" t="s">
        <v>2625</v>
      </c>
      <c r="D304" s="1936">
        <v>10</v>
      </c>
      <c r="E304" s="1956">
        <v>0</v>
      </c>
      <c r="F304" s="1956" t="s">
        <v>1256</v>
      </c>
      <c r="G304" s="1963" t="s">
        <v>2017</v>
      </c>
      <c r="H304" s="1956">
        <v>1</v>
      </c>
      <c r="I304" s="1970"/>
      <c r="J304" s="1986"/>
    </row>
    <row r="305" spans="2:10" s="113" customFormat="1" ht="15.75" x14ac:dyDescent="0.45">
      <c r="B305" s="1892" t="s">
        <v>2136</v>
      </c>
      <c r="C305" s="1914" t="s">
        <v>2626</v>
      </c>
      <c r="D305" s="1936">
        <v>10</v>
      </c>
      <c r="E305" s="1956">
        <v>0</v>
      </c>
      <c r="F305" s="1956" t="s">
        <v>1256</v>
      </c>
      <c r="G305" s="1963" t="s">
        <v>2017</v>
      </c>
      <c r="H305" s="1956">
        <v>1</v>
      </c>
      <c r="I305" s="1970"/>
      <c r="J305" s="1986"/>
    </row>
    <row r="306" spans="2:10" s="113" customFormat="1" ht="15.75" x14ac:dyDescent="0.45">
      <c r="B306" s="1892" t="s">
        <v>1166</v>
      </c>
      <c r="C306" s="1913" t="s">
        <v>2627</v>
      </c>
      <c r="D306" s="94">
        <v>3</v>
      </c>
      <c r="E306" s="94">
        <v>0</v>
      </c>
      <c r="F306" s="94" t="s">
        <v>1256</v>
      </c>
      <c r="G306" s="94" t="s">
        <v>378</v>
      </c>
      <c r="H306" s="94">
        <v>1</v>
      </c>
      <c r="I306" s="82"/>
      <c r="J306" s="1988"/>
    </row>
    <row r="307" spans="2:10" s="113" customFormat="1" ht="16.149999999999999" thickBot="1" x14ac:dyDescent="0.5">
      <c r="B307" s="1894" t="s">
        <v>1167</v>
      </c>
      <c r="C307" s="1915" t="s">
        <v>2628</v>
      </c>
      <c r="D307" s="99">
        <v>11</v>
      </c>
      <c r="E307" s="99">
        <v>0</v>
      </c>
      <c r="F307" s="99" t="s">
        <v>1256</v>
      </c>
      <c r="G307" s="99" t="s">
        <v>378</v>
      </c>
      <c r="H307" s="99">
        <v>1</v>
      </c>
      <c r="I307" s="1972"/>
      <c r="J307" s="1989"/>
    </row>
    <row r="308" spans="2:10" s="113" customFormat="1" ht="14.65" thickBot="1" x14ac:dyDescent="0.5">
      <c r="B308" s="124"/>
      <c r="C308" s="1046"/>
      <c r="D308" s="1932"/>
      <c r="E308" s="116"/>
      <c r="F308" s="116"/>
      <c r="G308" s="116"/>
      <c r="H308" s="116"/>
      <c r="I308" s="115"/>
      <c r="J308" s="1889"/>
    </row>
    <row r="309" spans="2:10" s="113" customFormat="1" ht="14.65" thickBot="1" x14ac:dyDescent="0.5">
      <c r="B309" s="124"/>
      <c r="C309" s="1081" t="s">
        <v>302</v>
      </c>
      <c r="D309" s="114" t="s">
        <v>301</v>
      </c>
      <c r="E309" s="114"/>
      <c r="F309" s="114"/>
      <c r="G309" s="114"/>
      <c r="H309" s="114"/>
      <c r="I309" s="124"/>
      <c r="J309" s="1889"/>
    </row>
    <row r="310" spans="2:10" s="113" customFormat="1" ht="14.65" thickBot="1" x14ac:dyDescent="0.5">
      <c r="B310" s="1008" t="s">
        <v>0</v>
      </c>
      <c r="C310" s="1077" t="s">
        <v>1</v>
      </c>
      <c r="D310" s="126" t="s">
        <v>841</v>
      </c>
      <c r="E310" s="126" t="s">
        <v>471</v>
      </c>
      <c r="F310" s="126" t="s">
        <v>472</v>
      </c>
      <c r="G310" s="126" t="s">
        <v>2</v>
      </c>
      <c r="H310" s="126" t="s">
        <v>300</v>
      </c>
      <c r="I310" s="1196" t="s">
        <v>116</v>
      </c>
      <c r="J310" s="1197" t="s">
        <v>117</v>
      </c>
    </row>
    <row r="311" spans="2:10" s="113" customFormat="1" ht="15.75" x14ac:dyDescent="0.45">
      <c r="B311" s="1019" t="s">
        <v>855</v>
      </c>
      <c r="C311" s="1103" t="s">
        <v>2630</v>
      </c>
      <c r="D311" s="344">
        <v>2</v>
      </c>
      <c r="E311" s="345">
        <v>0</v>
      </c>
      <c r="F311" s="345" t="s">
        <v>1256</v>
      </c>
      <c r="G311" s="345" t="s">
        <v>848</v>
      </c>
      <c r="H311" s="345">
        <v>1</v>
      </c>
      <c r="I311" s="1217" t="s">
        <v>2022</v>
      </c>
      <c r="J311" s="1218"/>
    </row>
    <row r="312" spans="2:10" s="113" customFormat="1" ht="15.75" x14ac:dyDescent="0.45">
      <c r="B312" s="1020" t="s">
        <v>1732</v>
      </c>
      <c r="C312" s="1104" t="s">
        <v>2622</v>
      </c>
      <c r="D312" s="317">
        <v>0.5</v>
      </c>
      <c r="E312" s="318">
        <v>0</v>
      </c>
      <c r="F312" s="318" t="s">
        <v>1256</v>
      </c>
      <c r="G312" s="318" t="s">
        <v>2017</v>
      </c>
      <c r="H312" s="318">
        <v>2</v>
      </c>
      <c r="I312" s="1219"/>
      <c r="J312" s="1220"/>
    </row>
    <row r="313" spans="2:10" s="113" customFormat="1" ht="15.75" x14ac:dyDescent="0.45">
      <c r="B313" s="1021" t="s">
        <v>1733</v>
      </c>
      <c r="C313" s="1105" t="s">
        <v>2623</v>
      </c>
      <c r="D313" s="123">
        <v>0.5</v>
      </c>
      <c r="E313" s="117">
        <v>0</v>
      </c>
      <c r="F313" s="117" t="s">
        <v>1256</v>
      </c>
      <c r="G313" s="117" t="s">
        <v>2017</v>
      </c>
      <c r="H313" s="117">
        <v>2</v>
      </c>
      <c r="I313" s="118"/>
      <c r="J313" s="1221"/>
    </row>
    <row r="314" spans="2:10" s="113" customFormat="1" ht="15.75" x14ac:dyDescent="0.45">
      <c r="B314" s="1020" t="s">
        <v>854</v>
      </c>
      <c r="C314" s="1104" t="s">
        <v>2631</v>
      </c>
      <c r="D314" s="317">
        <v>50</v>
      </c>
      <c r="E314" s="318">
        <v>0</v>
      </c>
      <c r="F314" s="318" t="s">
        <v>1256</v>
      </c>
      <c r="G314" s="318" t="s">
        <v>848</v>
      </c>
      <c r="H314" s="318">
        <v>1</v>
      </c>
      <c r="I314" s="1219"/>
      <c r="J314" s="1220"/>
    </row>
    <row r="315" spans="2:10" s="113" customFormat="1" ht="15.75" x14ac:dyDescent="0.45">
      <c r="B315" s="1021" t="s">
        <v>1960</v>
      </c>
      <c r="C315" s="1105" t="s">
        <v>2632</v>
      </c>
      <c r="D315" s="123">
        <v>1E-3</v>
      </c>
      <c r="E315" s="117">
        <v>0</v>
      </c>
      <c r="F315" s="117" t="s">
        <v>1256</v>
      </c>
      <c r="G315" s="117" t="s">
        <v>2232</v>
      </c>
      <c r="H315" s="117">
        <v>4</v>
      </c>
      <c r="I315" s="118"/>
      <c r="J315" s="1221"/>
    </row>
    <row r="316" spans="2:10" s="113" customFormat="1" ht="15.75" x14ac:dyDescent="0.45">
      <c r="B316" s="1021" t="s">
        <v>1961</v>
      </c>
      <c r="C316" s="1106" t="s">
        <v>2633</v>
      </c>
      <c r="D316" s="121">
        <v>0.05</v>
      </c>
      <c r="E316" s="117">
        <v>0</v>
      </c>
      <c r="F316" s="117" t="s">
        <v>1256</v>
      </c>
      <c r="G316" s="117" t="s">
        <v>2232</v>
      </c>
      <c r="H316" s="117">
        <v>2</v>
      </c>
      <c r="I316" s="118"/>
      <c r="J316" s="1221"/>
    </row>
    <row r="317" spans="2:10" s="113" customFormat="1" ht="15.75" x14ac:dyDescent="0.45">
      <c r="B317" s="1021" t="s">
        <v>856</v>
      </c>
      <c r="C317" s="1106" t="s">
        <v>2634</v>
      </c>
      <c r="D317" s="121">
        <v>0.05</v>
      </c>
      <c r="E317" s="117">
        <v>0</v>
      </c>
      <c r="F317" s="117" t="s">
        <v>1256</v>
      </c>
      <c r="G317" s="117" t="s">
        <v>848</v>
      </c>
      <c r="H317" s="117">
        <v>2</v>
      </c>
      <c r="I317" s="118"/>
      <c r="J317" s="1221"/>
    </row>
    <row r="318" spans="2:10" s="113" customFormat="1" ht="15.75" x14ac:dyDescent="0.45">
      <c r="B318" s="1021" t="s">
        <v>1754</v>
      </c>
      <c r="C318" s="1106" t="s">
        <v>2635</v>
      </c>
      <c r="D318" s="121">
        <v>0.5</v>
      </c>
      <c r="E318" s="117">
        <v>0</v>
      </c>
      <c r="F318" s="117" t="s">
        <v>1256</v>
      </c>
      <c r="G318" s="117" t="s">
        <v>848</v>
      </c>
      <c r="H318" s="117">
        <v>2</v>
      </c>
      <c r="I318" s="118"/>
      <c r="J318" s="1221"/>
    </row>
    <row r="319" spans="2:10" s="113" customFormat="1" ht="15.75" x14ac:dyDescent="0.45">
      <c r="B319" s="1021" t="s">
        <v>1755</v>
      </c>
      <c r="C319" s="1107" t="s">
        <v>2636</v>
      </c>
      <c r="D319" s="120">
        <v>7.0000000000000001E-3</v>
      </c>
      <c r="E319" s="117">
        <v>0</v>
      </c>
      <c r="F319" s="117" t="s">
        <v>1256</v>
      </c>
      <c r="G319" s="117" t="s">
        <v>848</v>
      </c>
      <c r="H319" s="117">
        <v>3</v>
      </c>
      <c r="I319" s="118"/>
      <c r="J319" s="1221"/>
    </row>
    <row r="320" spans="2:10" s="113" customFormat="1" ht="15.75" x14ac:dyDescent="0.45">
      <c r="B320" s="1021" t="s">
        <v>857</v>
      </c>
      <c r="C320" s="1104" t="s">
        <v>2637</v>
      </c>
      <c r="D320" s="119">
        <v>1</v>
      </c>
      <c r="E320" s="117">
        <v>0</v>
      </c>
      <c r="F320" s="117" t="s">
        <v>1256</v>
      </c>
      <c r="G320" s="117" t="s">
        <v>848</v>
      </c>
      <c r="H320" s="117">
        <v>1</v>
      </c>
      <c r="I320" s="118"/>
      <c r="J320" s="1221"/>
    </row>
    <row r="321" spans="1:18" s="113" customFormat="1" ht="15.75" x14ac:dyDescent="0.45">
      <c r="B321" s="1021" t="s">
        <v>2629</v>
      </c>
      <c r="C321" s="1105" t="s">
        <v>3008</v>
      </c>
      <c r="D321" s="123">
        <v>5.0000000000000001E-4</v>
      </c>
      <c r="E321" s="117">
        <v>0</v>
      </c>
      <c r="F321" s="117" t="s">
        <v>1256</v>
      </c>
      <c r="G321" s="117" t="s">
        <v>851</v>
      </c>
      <c r="H321" s="117">
        <v>4</v>
      </c>
      <c r="I321" s="118"/>
      <c r="J321" s="1221"/>
    </row>
    <row r="322" spans="1:18" s="128" customFormat="1" ht="15.75" x14ac:dyDescent="0.45">
      <c r="B322" s="1021" t="s">
        <v>2423</v>
      </c>
      <c r="C322" s="1107" t="s">
        <v>2638</v>
      </c>
      <c r="D322" s="120">
        <v>1E-3</v>
      </c>
      <c r="E322" s="117">
        <v>0</v>
      </c>
      <c r="F322" s="117" t="s">
        <v>1256</v>
      </c>
      <c r="G322" s="117" t="s">
        <v>851</v>
      </c>
      <c r="H322" s="117">
        <v>3</v>
      </c>
      <c r="I322" s="118"/>
      <c r="J322" s="1221"/>
      <c r="K322" s="113"/>
      <c r="L322" s="113"/>
      <c r="M322" s="113"/>
      <c r="N322" s="113"/>
      <c r="O322" s="113"/>
      <c r="P322" s="113"/>
      <c r="Q322" s="113"/>
      <c r="R322" s="113"/>
    </row>
    <row r="323" spans="1:18" s="113" customFormat="1" ht="16.149999999999999" thickBot="1" x14ac:dyDescent="0.5">
      <c r="B323" s="1022" t="s">
        <v>2422</v>
      </c>
      <c r="C323" s="1108" t="s">
        <v>2639</v>
      </c>
      <c r="D323" s="346">
        <v>1E-3</v>
      </c>
      <c r="E323" s="209">
        <v>0</v>
      </c>
      <c r="F323" s="209" t="s">
        <v>1256</v>
      </c>
      <c r="G323" s="209" t="s">
        <v>851</v>
      </c>
      <c r="H323" s="209">
        <v>3</v>
      </c>
      <c r="I323" s="1222"/>
      <c r="J323" s="1223"/>
    </row>
    <row r="324" spans="1:18" s="128" customFormat="1" ht="15.75" x14ac:dyDescent="0.45">
      <c r="B324" s="2417" t="s">
        <v>5287</v>
      </c>
      <c r="C324" s="2418" t="s">
        <v>5288</v>
      </c>
      <c r="D324" s="2419">
        <v>5.0000000000000001E-4</v>
      </c>
      <c r="E324" s="1844">
        <v>0</v>
      </c>
      <c r="F324" s="1844" t="s">
        <v>1256</v>
      </c>
      <c r="G324" s="1844" t="s">
        <v>5289</v>
      </c>
      <c r="H324" s="1844">
        <v>4</v>
      </c>
      <c r="I324" s="2420"/>
      <c r="J324" s="2421"/>
      <c r="K324" s="113"/>
      <c r="L324" s="113"/>
      <c r="M324" s="113"/>
      <c r="N324" s="113"/>
      <c r="O324" s="113"/>
    </row>
    <row r="325" spans="1:18" s="113" customFormat="1" ht="16.149999999999999" thickBot="1" x14ac:dyDescent="0.5">
      <c r="B325" s="2422" t="s">
        <v>5290</v>
      </c>
      <c r="C325" s="2423" t="s">
        <v>5291</v>
      </c>
      <c r="D325" s="2424">
        <v>1E-3</v>
      </c>
      <c r="E325" s="2425">
        <v>0</v>
      </c>
      <c r="F325" s="2425" t="s">
        <v>1256</v>
      </c>
      <c r="G325" s="2425" t="s">
        <v>5289</v>
      </c>
      <c r="H325" s="2425">
        <v>3</v>
      </c>
      <c r="I325" s="2426"/>
      <c r="J325" s="2427"/>
    </row>
    <row r="326" spans="1:18" s="113" customFormat="1" ht="14.65" thickBot="1" x14ac:dyDescent="0.5">
      <c r="B326" s="124"/>
      <c r="C326" s="370"/>
      <c r="D326" s="114"/>
      <c r="E326" s="114"/>
      <c r="F326" s="114"/>
      <c r="G326" s="114"/>
      <c r="H326" s="114"/>
      <c r="I326" s="124"/>
      <c r="J326" s="1889"/>
    </row>
    <row r="327" spans="1:18" s="113" customFormat="1" ht="14.65" thickBot="1" x14ac:dyDescent="0.5">
      <c r="B327" s="124"/>
      <c r="C327" s="1109" t="s">
        <v>1195</v>
      </c>
      <c r="D327" s="114" t="s">
        <v>301</v>
      </c>
      <c r="E327" s="114"/>
      <c r="F327" s="114"/>
      <c r="G327" s="114"/>
      <c r="H327" s="114"/>
      <c r="I327" s="124"/>
      <c r="J327" s="1889"/>
    </row>
    <row r="328" spans="1:18" s="113" customFormat="1" ht="14.65" thickBot="1" x14ac:dyDescent="0.5">
      <c r="B328" s="262" t="s">
        <v>0</v>
      </c>
      <c r="C328" s="1047" t="s">
        <v>1</v>
      </c>
      <c r="D328" s="267" t="s">
        <v>841</v>
      </c>
      <c r="E328" s="267" t="s">
        <v>471</v>
      </c>
      <c r="F328" s="267" t="s">
        <v>472</v>
      </c>
      <c r="G328" s="267" t="s">
        <v>2</v>
      </c>
      <c r="H328" s="267" t="s">
        <v>300</v>
      </c>
      <c r="I328" s="265" t="s">
        <v>116</v>
      </c>
      <c r="J328" s="1161" t="s">
        <v>117</v>
      </c>
    </row>
    <row r="329" spans="1:18" s="113" customFormat="1" ht="16.149999999999999" thickBot="1" x14ac:dyDescent="0.5">
      <c r="A329" s="113" t="s">
        <v>4092</v>
      </c>
      <c r="B329" s="1895" t="s">
        <v>1196</v>
      </c>
      <c r="C329" s="1916" t="s">
        <v>2642</v>
      </c>
      <c r="D329" s="1937">
        <v>0.4</v>
      </c>
      <c r="E329" s="1937">
        <v>0</v>
      </c>
      <c r="F329" s="1937">
        <v>1</v>
      </c>
      <c r="G329" s="1964" t="s">
        <v>2017</v>
      </c>
      <c r="H329" s="1964">
        <v>2</v>
      </c>
      <c r="I329" s="1973"/>
      <c r="J329" s="1990"/>
    </row>
    <row r="330" spans="1:18" s="113" customFormat="1" ht="14.65" thickBot="1" x14ac:dyDescent="0.5">
      <c r="B330" s="124"/>
      <c r="C330" s="370"/>
      <c r="D330" s="114"/>
      <c r="E330" s="114"/>
      <c r="F330" s="114"/>
      <c r="G330" s="114"/>
      <c r="H330" s="114"/>
      <c r="I330" s="124"/>
      <c r="J330" s="1889"/>
    </row>
    <row r="331" spans="1:18" s="113" customFormat="1" ht="14.65" thickBot="1" x14ac:dyDescent="0.5">
      <c r="B331" s="124"/>
      <c r="C331" s="1081" t="s">
        <v>276</v>
      </c>
      <c r="D331" s="114" t="s">
        <v>301</v>
      </c>
      <c r="E331" s="114"/>
      <c r="F331" s="114"/>
      <c r="G331" s="114"/>
      <c r="H331" s="114"/>
      <c r="I331" s="124"/>
      <c r="J331" s="1889"/>
    </row>
    <row r="332" spans="1:18" s="113" customFormat="1" ht="14.65" thickBot="1" x14ac:dyDescent="0.5">
      <c r="B332" s="1023" t="s">
        <v>0</v>
      </c>
      <c r="C332" s="1110" t="s">
        <v>1</v>
      </c>
      <c r="D332" s="210" t="s">
        <v>841</v>
      </c>
      <c r="E332" s="210" t="s">
        <v>471</v>
      </c>
      <c r="F332" s="210" t="s">
        <v>472</v>
      </c>
      <c r="G332" s="210" t="s">
        <v>2</v>
      </c>
      <c r="H332" s="210" t="s">
        <v>300</v>
      </c>
      <c r="I332" s="1224" t="s">
        <v>116</v>
      </c>
      <c r="J332" s="1225" t="s">
        <v>117</v>
      </c>
    </row>
    <row r="333" spans="1:18" s="113" customFormat="1" ht="15.75" x14ac:dyDescent="0.45">
      <c r="B333" s="1024" t="s">
        <v>858</v>
      </c>
      <c r="C333" s="1111" t="s">
        <v>1239</v>
      </c>
      <c r="D333" s="225">
        <v>1.04</v>
      </c>
      <c r="E333" s="225">
        <v>0</v>
      </c>
      <c r="F333" s="225" t="s">
        <v>1256</v>
      </c>
      <c r="G333" s="225" t="s">
        <v>2017</v>
      </c>
      <c r="H333" s="226">
        <v>3</v>
      </c>
      <c r="I333" s="224"/>
      <c r="J333" s="1226"/>
    </row>
    <row r="334" spans="1:18" s="113" customFormat="1" ht="15.75" x14ac:dyDescent="0.45">
      <c r="B334" s="157" t="s">
        <v>859</v>
      </c>
      <c r="C334" s="1112" t="s">
        <v>1232</v>
      </c>
      <c r="D334" s="211">
        <v>1.04</v>
      </c>
      <c r="E334" s="211">
        <v>0</v>
      </c>
      <c r="F334" s="211" t="s">
        <v>1256</v>
      </c>
      <c r="G334" s="211" t="s">
        <v>2017</v>
      </c>
      <c r="H334" s="212">
        <v>3</v>
      </c>
      <c r="I334" s="213"/>
      <c r="J334" s="1227"/>
    </row>
    <row r="335" spans="1:18" s="113" customFormat="1" ht="15.75" x14ac:dyDescent="0.45">
      <c r="B335" s="157" t="s">
        <v>860</v>
      </c>
      <c r="C335" s="1112" t="s">
        <v>1240</v>
      </c>
      <c r="D335" s="211">
        <v>1.03</v>
      </c>
      <c r="E335" s="211">
        <v>0</v>
      </c>
      <c r="F335" s="211" t="s">
        <v>1256</v>
      </c>
      <c r="G335" s="211" t="s">
        <v>2017</v>
      </c>
      <c r="H335" s="212">
        <v>3</v>
      </c>
      <c r="I335" s="213"/>
      <c r="J335" s="1227"/>
    </row>
    <row r="336" spans="1:18" s="113" customFormat="1" ht="15.75" x14ac:dyDescent="0.45">
      <c r="B336" s="157" t="s">
        <v>861</v>
      </c>
      <c r="C336" s="1112" t="s">
        <v>1241</v>
      </c>
      <c r="D336" s="211">
        <v>1.06</v>
      </c>
      <c r="E336" s="211">
        <v>0</v>
      </c>
      <c r="F336" s="211" t="s">
        <v>1256</v>
      </c>
      <c r="G336" s="211" t="s">
        <v>2017</v>
      </c>
      <c r="H336" s="212">
        <v>3</v>
      </c>
      <c r="I336" s="213"/>
      <c r="J336" s="1227"/>
    </row>
    <row r="337" spans="2:10" s="113" customFormat="1" ht="15.75" x14ac:dyDescent="0.45">
      <c r="B337" s="157" t="s">
        <v>862</v>
      </c>
      <c r="C337" s="1112" t="s">
        <v>1242</v>
      </c>
      <c r="D337" s="211">
        <v>1.03</v>
      </c>
      <c r="E337" s="211">
        <v>0</v>
      </c>
      <c r="F337" s="211" t="s">
        <v>1256</v>
      </c>
      <c r="G337" s="211" t="s">
        <v>2017</v>
      </c>
      <c r="H337" s="212">
        <v>3</v>
      </c>
      <c r="I337" s="213"/>
      <c r="J337" s="1227"/>
    </row>
    <row r="338" spans="2:10" s="113" customFormat="1" ht="15.75" x14ac:dyDescent="0.45">
      <c r="B338" s="841" t="s">
        <v>4887</v>
      </c>
      <c r="C338" s="1063" t="s">
        <v>4888</v>
      </c>
      <c r="D338" s="848">
        <v>1.04</v>
      </c>
      <c r="E338" s="848">
        <v>0</v>
      </c>
      <c r="F338" s="848" t="s">
        <v>1256</v>
      </c>
      <c r="G338" s="848" t="s">
        <v>2017</v>
      </c>
      <c r="H338" s="849">
        <v>3</v>
      </c>
      <c r="I338" s="585"/>
      <c r="J338" s="1228"/>
    </row>
    <row r="339" spans="2:10" s="113" customFormat="1" ht="15.75" x14ac:dyDescent="0.45">
      <c r="B339" s="1025" t="s">
        <v>1737</v>
      </c>
      <c r="C339" s="1113" t="s">
        <v>1243</v>
      </c>
      <c r="D339" s="341">
        <v>1.04</v>
      </c>
      <c r="E339" s="341">
        <v>0</v>
      </c>
      <c r="F339" s="341" t="s">
        <v>1256</v>
      </c>
      <c r="G339" s="341" t="s">
        <v>2017</v>
      </c>
      <c r="H339" s="342">
        <v>3</v>
      </c>
      <c r="I339" s="340"/>
      <c r="J339" s="1229"/>
    </row>
    <row r="340" spans="2:10" s="113" customFormat="1" ht="15.75" x14ac:dyDescent="0.45">
      <c r="B340" s="1026" t="s">
        <v>2640</v>
      </c>
      <c r="C340" s="1114" t="s">
        <v>2641</v>
      </c>
      <c r="D340" s="406">
        <v>1.04</v>
      </c>
      <c r="E340" s="406">
        <v>0</v>
      </c>
      <c r="F340" s="406" t="s">
        <v>1256</v>
      </c>
      <c r="G340" s="406" t="s">
        <v>2017</v>
      </c>
      <c r="H340" s="407">
        <v>3</v>
      </c>
      <c r="I340" s="400"/>
      <c r="J340" s="1230"/>
    </row>
    <row r="341" spans="2:10" s="113" customFormat="1" ht="15.75" x14ac:dyDescent="0.45">
      <c r="B341" s="841" t="s">
        <v>4889</v>
      </c>
      <c r="C341" s="1063" t="s">
        <v>4890</v>
      </c>
      <c r="D341" s="972">
        <v>1.04</v>
      </c>
      <c r="E341" s="848">
        <v>0</v>
      </c>
      <c r="F341" s="848" t="s">
        <v>1256</v>
      </c>
      <c r="G341" s="848" t="s">
        <v>2017</v>
      </c>
      <c r="H341" s="849">
        <v>3</v>
      </c>
      <c r="I341" s="585"/>
      <c r="J341" s="1228"/>
    </row>
    <row r="342" spans="2:10" s="113" customFormat="1" ht="15.75" x14ac:dyDescent="0.45">
      <c r="B342" s="1025" t="s">
        <v>863</v>
      </c>
      <c r="C342" s="1113" t="s">
        <v>1244</v>
      </c>
      <c r="D342" s="341">
        <v>1.04</v>
      </c>
      <c r="E342" s="341">
        <v>0</v>
      </c>
      <c r="F342" s="341" t="s">
        <v>1256</v>
      </c>
      <c r="G342" s="341" t="s">
        <v>2017</v>
      </c>
      <c r="H342" s="342">
        <v>3</v>
      </c>
      <c r="I342" s="340"/>
      <c r="J342" s="1229"/>
    </row>
    <row r="343" spans="2:10" s="113" customFormat="1" ht="15.75" x14ac:dyDescent="0.45">
      <c r="B343" s="1026" t="s">
        <v>4214</v>
      </c>
      <c r="C343" s="1114" t="s">
        <v>4215</v>
      </c>
      <c r="D343" s="406">
        <v>1.03</v>
      </c>
      <c r="E343" s="406">
        <v>0</v>
      </c>
      <c r="F343" s="406" t="s">
        <v>1256</v>
      </c>
      <c r="G343" s="406" t="s">
        <v>2017</v>
      </c>
      <c r="H343" s="407">
        <v>3</v>
      </c>
      <c r="I343" s="400"/>
      <c r="J343" s="1230"/>
    </row>
    <row r="344" spans="2:10" s="113" customFormat="1" ht="15.75" x14ac:dyDescent="0.45">
      <c r="B344" s="1025" t="s">
        <v>4216</v>
      </c>
      <c r="C344" s="1113" t="s">
        <v>4217</v>
      </c>
      <c r="D344" s="341">
        <v>1.0640000000000001</v>
      </c>
      <c r="E344" s="341">
        <v>0</v>
      </c>
      <c r="F344" s="341" t="s">
        <v>1256</v>
      </c>
      <c r="G344" s="341" t="s">
        <v>2017</v>
      </c>
      <c r="H344" s="342">
        <v>3</v>
      </c>
      <c r="I344" s="340"/>
      <c r="J344" s="1229" t="s">
        <v>2175</v>
      </c>
    </row>
    <row r="345" spans="2:10" s="113" customFormat="1" ht="15.75" x14ac:dyDescent="0.45">
      <c r="B345" s="1025" t="s">
        <v>2156</v>
      </c>
      <c r="C345" s="1113" t="s">
        <v>1245</v>
      </c>
      <c r="D345" s="541">
        <v>1.03</v>
      </c>
      <c r="E345" s="341">
        <v>0</v>
      </c>
      <c r="F345" s="341" t="s">
        <v>1256</v>
      </c>
      <c r="G345" s="341" t="s">
        <v>2017</v>
      </c>
      <c r="H345" s="342">
        <v>3</v>
      </c>
      <c r="I345" s="340"/>
      <c r="J345" s="1229"/>
    </row>
    <row r="346" spans="2:10" s="113" customFormat="1" ht="15.75" x14ac:dyDescent="0.45">
      <c r="B346" s="1027" t="s">
        <v>2162</v>
      </c>
      <c r="C346" s="1115" t="s">
        <v>2163</v>
      </c>
      <c r="D346" s="542">
        <v>1.04</v>
      </c>
      <c r="E346" s="222">
        <v>0</v>
      </c>
      <c r="F346" s="222" t="s">
        <v>1256</v>
      </c>
      <c r="G346" s="222" t="s">
        <v>2017</v>
      </c>
      <c r="H346" s="223">
        <v>3</v>
      </c>
      <c r="I346" s="221"/>
      <c r="J346" s="1231"/>
    </row>
    <row r="347" spans="2:10" s="113" customFormat="1" ht="15.75" x14ac:dyDescent="0.45">
      <c r="B347" s="997" t="s">
        <v>2313</v>
      </c>
      <c r="C347" s="1116" t="s">
        <v>2314</v>
      </c>
      <c r="D347" s="219">
        <v>1.0720000000000001</v>
      </c>
      <c r="E347" s="203">
        <v>0</v>
      </c>
      <c r="F347" s="203" t="s">
        <v>1256</v>
      </c>
      <c r="G347" s="203" t="s">
        <v>2017</v>
      </c>
      <c r="H347" s="220">
        <v>3</v>
      </c>
      <c r="I347" s="202"/>
      <c r="J347" s="1232"/>
    </row>
    <row r="348" spans="2:10" s="113" customFormat="1" ht="15.75" x14ac:dyDescent="0.45">
      <c r="B348" s="997" t="s">
        <v>2315</v>
      </c>
      <c r="C348" s="1116" t="s">
        <v>2316</v>
      </c>
      <c r="D348" s="219">
        <v>1.03</v>
      </c>
      <c r="E348" s="203">
        <v>0</v>
      </c>
      <c r="F348" s="203" t="s">
        <v>1256</v>
      </c>
      <c r="G348" s="203" t="s">
        <v>2017</v>
      </c>
      <c r="H348" s="220">
        <v>3</v>
      </c>
      <c r="I348" s="202"/>
      <c r="J348" s="1232"/>
    </row>
    <row r="349" spans="2:10" s="113" customFormat="1" ht="15.75" x14ac:dyDescent="0.45">
      <c r="B349" s="997" t="s">
        <v>2317</v>
      </c>
      <c r="C349" s="1116" t="s">
        <v>2318</v>
      </c>
      <c r="D349" s="219">
        <v>1.06</v>
      </c>
      <c r="E349" s="203">
        <v>0</v>
      </c>
      <c r="F349" s="203" t="s">
        <v>1256</v>
      </c>
      <c r="G349" s="203" t="s">
        <v>2017</v>
      </c>
      <c r="H349" s="220">
        <v>3</v>
      </c>
      <c r="I349" s="202"/>
      <c r="J349" s="1232"/>
    </row>
    <row r="350" spans="2:10" s="113" customFormat="1" ht="15.75" x14ac:dyDescent="0.45">
      <c r="B350" s="997" t="s">
        <v>2319</v>
      </c>
      <c r="C350" s="1116" t="s">
        <v>2320</v>
      </c>
      <c r="D350" s="219">
        <v>1.03</v>
      </c>
      <c r="E350" s="203">
        <v>0</v>
      </c>
      <c r="F350" s="203" t="s">
        <v>1256</v>
      </c>
      <c r="G350" s="203" t="s">
        <v>2017</v>
      </c>
      <c r="H350" s="220">
        <v>3</v>
      </c>
      <c r="I350" s="202"/>
      <c r="J350" s="1232"/>
    </row>
    <row r="351" spans="2:10" s="113" customFormat="1" ht="15.75" x14ac:dyDescent="0.45">
      <c r="B351" s="2325" t="s">
        <v>5292</v>
      </c>
      <c r="C351" s="2320" t="s">
        <v>5293</v>
      </c>
      <c r="D351" s="2428">
        <v>1.04</v>
      </c>
      <c r="E351" s="2429">
        <v>0</v>
      </c>
      <c r="F351" s="2429" t="s">
        <v>1256</v>
      </c>
      <c r="G351" s="2429" t="s">
        <v>2017</v>
      </c>
      <c r="H351" s="2430">
        <v>3</v>
      </c>
      <c r="I351" s="2431"/>
      <c r="J351" s="2432"/>
    </row>
    <row r="352" spans="2:10" s="113" customFormat="1" ht="15.75" x14ac:dyDescent="0.45">
      <c r="B352" s="2325" t="s">
        <v>5294</v>
      </c>
      <c r="C352" s="2320" t="s">
        <v>5295</v>
      </c>
      <c r="D352" s="2428">
        <v>1.04</v>
      </c>
      <c r="E352" s="2429">
        <v>0</v>
      </c>
      <c r="F352" s="2429" t="s">
        <v>1256</v>
      </c>
      <c r="G352" s="2429" t="s">
        <v>2017</v>
      </c>
      <c r="H352" s="2430">
        <v>3</v>
      </c>
      <c r="I352" s="2431"/>
      <c r="J352" s="2432"/>
    </row>
    <row r="353" spans="2:10" s="113" customFormat="1" ht="15.75" x14ac:dyDescent="0.45">
      <c r="B353" s="2325" t="s">
        <v>5296</v>
      </c>
      <c r="C353" s="2320" t="s">
        <v>5297</v>
      </c>
      <c r="D353" s="2428">
        <v>1.04</v>
      </c>
      <c r="E353" s="2429">
        <v>0</v>
      </c>
      <c r="F353" s="2429" t="s">
        <v>1256</v>
      </c>
      <c r="G353" s="2429" t="s">
        <v>2017</v>
      </c>
      <c r="H353" s="2430">
        <v>3</v>
      </c>
      <c r="I353" s="2431"/>
      <c r="J353" s="2432"/>
    </row>
    <row r="354" spans="2:10" s="113" customFormat="1" ht="15.75" x14ac:dyDescent="0.45">
      <c r="B354" s="2325" t="s">
        <v>5298</v>
      </c>
      <c r="C354" s="2320" t="s">
        <v>5299</v>
      </c>
      <c r="D354" s="2428">
        <v>1.04</v>
      </c>
      <c r="E354" s="2429">
        <v>0</v>
      </c>
      <c r="F354" s="2429" t="s">
        <v>1256</v>
      </c>
      <c r="G354" s="2429" t="s">
        <v>2017</v>
      </c>
      <c r="H354" s="2430">
        <v>3</v>
      </c>
      <c r="I354" s="2431"/>
      <c r="J354" s="2432"/>
    </row>
    <row r="355" spans="2:10" s="113" customFormat="1" ht="15.75" x14ac:dyDescent="0.45">
      <c r="B355" s="2343" t="s">
        <v>5300</v>
      </c>
      <c r="C355" s="2344" t="s">
        <v>5301</v>
      </c>
      <c r="D355" s="2433">
        <v>1.04</v>
      </c>
      <c r="E355" s="2434">
        <v>0</v>
      </c>
      <c r="F355" s="2434" t="s">
        <v>1256</v>
      </c>
      <c r="G355" s="2434" t="s">
        <v>2017</v>
      </c>
      <c r="H355" s="2435">
        <v>3</v>
      </c>
      <c r="I355" s="2436"/>
      <c r="J355" s="2437"/>
    </row>
    <row r="356" spans="2:10" s="113" customFormat="1" ht="15.75" x14ac:dyDescent="0.45">
      <c r="B356" s="2343" t="s">
        <v>5302</v>
      </c>
      <c r="C356" s="2344" t="s">
        <v>5303</v>
      </c>
      <c r="D356" s="2433">
        <v>1.04</v>
      </c>
      <c r="E356" s="2434">
        <v>0</v>
      </c>
      <c r="F356" s="2434" t="s">
        <v>1256</v>
      </c>
      <c r="G356" s="2434" t="s">
        <v>2017</v>
      </c>
      <c r="H356" s="2435">
        <v>3</v>
      </c>
      <c r="I356" s="2436"/>
      <c r="J356" s="2437"/>
    </row>
    <row r="357" spans="2:10" s="113" customFormat="1" ht="15.75" x14ac:dyDescent="0.45">
      <c r="B357" s="2343" t="s">
        <v>5304</v>
      </c>
      <c r="C357" s="2344" t="s">
        <v>5305</v>
      </c>
      <c r="D357" s="2433">
        <v>1.04</v>
      </c>
      <c r="E357" s="2434">
        <v>0</v>
      </c>
      <c r="F357" s="2434" t="s">
        <v>1256</v>
      </c>
      <c r="G357" s="2434" t="s">
        <v>2017</v>
      </c>
      <c r="H357" s="2435">
        <v>3</v>
      </c>
      <c r="I357" s="2436"/>
      <c r="J357" s="2437"/>
    </row>
    <row r="358" spans="2:10" s="113" customFormat="1" ht="15.75" x14ac:dyDescent="0.45">
      <c r="B358" s="1003" t="s">
        <v>2321</v>
      </c>
      <c r="C358" s="1117" t="s">
        <v>2322</v>
      </c>
      <c r="D358" s="363">
        <v>1.01</v>
      </c>
      <c r="E358" s="360">
        <v>0</v>
      </c>
      <c r="F358" s="360" t="s">
        <v>1256</v>
      </c>
      <c r="G358" s="360" t="s">
        <v>2017</v>
      </c>
      <c r="H358" s="364">
        <v>3</v>
      </c>
      <c r="I358" s="359"/>
      <c r="J358" s="1191"/>
    </row>
    <row r="359" spans="2:10" s="113" customFormat="1" ht="15.75" x14ac:dyDescent="0.45">
      <c r="B359" s="1003" t="s">
        <v>2323</v>
      </c>
      <c r="C359" s="1117" t="s">
        <v>2324</v>
      </c>
      <c r="D359" s="363">
        <v>1.03</v>
      </c>
      <c r="E359" s="360">
        <v>0</v>
      </c>
      <c r="F359" s="360" t="s">
        <v>1256</v>
      </c>
      <c r="G359" s="360" t="s">
        <v>2017</v>
      </c>
      <c r="H359" s="364">
        <v>3</v>
      </c>
      <c r="I359" s="359"/>
      <c r="J359" s="1191"/>
    </row>
    <row r="360" spans="2:10" s="113" customFormat="1" ht="15.75" x14ac:dyDescent="0.45">
      <c r="B360" s="158" t="s">
        <v>864</v>
      </c>
      <c r="C360" s="1118" t="s">
        <v>1246</v>
      </c>
      <c r="D360" s="310">
        <v>1.03</v>
      </c>
      <c r="E360" s="310">
        <v>0</v>
      </c>
      <c r="F360" s="310" t="s">
        <v>1256</v>
      </c>
      <c r="G360" s="310" t="s">
        <v>2017</v>
      </c>
      <c r="H360" s="311">
        <v>3</v>
      </c>
      <c r="I360" s="309"/>
      <c r="J360" s="1233"/>
    </row>
    <row r="361" spans="2:10" s="113" customFormat="1" ht="15.75" x14ac:dyDescent="0.45">
      <c r="B361" s="158" t="s">
        <v>865</v>
      </c>
      <c r="C361" s="1118" t="s">
        <v>1247</v>
      </c>
      <c r="D361" s="310">
        <v>1.03</v>
      </c>
      <c r="E361" s="310">
        <v>0</v>
      </c>
      <c r="F361" s="310" t="s">
        <v>1256</v>
      </c>
      <c r="G361" s="310" t="s">
        <v>2017</v>
      </c>
      <c r="H361" s="311">
        <v>3</v>
      </c>
      <c r="I361" s="309"/>
      <c r="J361" s="1233"/>
    </row>
    <row r="362" spans="2:10" s="113" customFormat="1" ht="15.75" x14ac:dyDescent="0.45">
      <c r="B362" s="1010" t="s">
        <v>866</v>
      </c>
      <c r="C362" s="1119" t="s">
        <v>1248</v>
      </c>
      <c r="D362" s="307">
        <v>1.03</v>
      </c>
      <c r="E362" s="307">
        <v>0</v>
      </c>
      <c r="F362" s="307" t="s">
        <v>1256</v>
      </c>
      <c r="G362" s="307" t="s">
        <v>2017</v>
      </c>
      <c r="H362" s="308">
        <v>3</v>
      </c>
      <c r="I362" s="306"/>
      <c r="J362" s="1234"/>
    </row>
    <row r="363" spans="2:10" s="113" customFormat="1" ht="15.75" x14ac:dyDescent="0.45">
      <c r="B363" s="1010" t="s">
        <v>867</v>
      </c>
      <c r="C363" s="1119" t="s">
        <v>1249</v>
      </c>
      <c r="D363" s="307">
        <v>1.03</v>
      </c>
      <c r="E363" s="307">
        <v>0</v>
      </c>
      <c r="F363" s="307" t="s">
        <v>1256</v>
      </c>
      <c r="G363" s="307" t="s">
        <v>2017</v>
      </c>
      <c r="H363" s="308">
        <v>3</v>
      </c>
      <c r="I363" s="306"/>
      <c r="J363" s="1234"/>
    </row>
    <row r="364" spans="2:10" s="113" customFormat="1" ht="15.75" x14ac:dyDescent="0.45">
      <c r="B364" s="214" t="s">
        <v>868</v>
      </c>
      <c r="C364" s="1120" t="s">
        <v>1233</v>
      </c>
      <c r="D364" s="215">
        <v>1.03</v>
      </c>
      <c r="E364" s="215">
        <v>0</v>
      </c>
      <c r="F364" s="215" t="s">
        <v>1256</v>
      </c>
      <c r="G364" s="215" t="s">
        <v>2017</v>
      </c>
      <c r="H364" s="122">
        <v>3</v>
      </c>
      <c r="I364" s="237"/>
      <c r="J364" s="1235"/>
    </row>
    <row r="365" spans="2:10" s="113" customFormat="1" ht="15.75" x14ac:dyDescent="0.45">
      <c r="B365" s="214" t="s">
        <v>869</v>
      </c>
      <c r="C365" s="1120" t="s">
        <v>1234</v>
      </c>
      <c r="D365" s="215">
        <v>1.03</v>
      </c>
      <c r="E365" s="215">
        <v>0</v>
      </c>
      <c r="F365" s="215" t="s">
        <v>1256</v>
      </c>
      <c r="G365" s="215" t="s">
        <v>2017</v>
      </c>
      <c r="H365" s="122">
        <v>3</v>
      </c>
      <c r="I365" s="237"/>
      <c r="J365" s="1235"/>
    </row>
    <row r="366" spans="2:10" s="113" customFormat="1" ht="15.75" x14ac:dyDescent="0.45">
      <c r="B366" s="214" t="s">
        <v>870</v>
      </c>
      <c r="C366" s="1120" t="s">
        <v>1235</v>
      </c>
      <c r="D366" s="215">
        <v>1.03</v>
      </c>
      <c r="E366" s="215">
        <v>0</v>
      </c>
      <c r="F366" s="215" t="s">
        <v>1256</v>
      </c>
      <c r="G366" s="215" t="s">
        <v>2017</v>
      </c>
      <c r="H366" s="122">
        <v>3</v>
      </c>
      <c r="I366" s="237"/>
      <c r="J366" s="1235"/>
    </row>
    <row r="367" spans="2:10" s="113" customFormat="1" ht="15.75" x14ac:dyDescent="0.45">
      <c r="B367" s="214" t="s">
        <v>1753</v>
      </c>
      <c r="C367" s="1120" t="s">
        <v>1236</v>
      </c>
      <c r="D367" s="215">
        <v>1.03</v>
      </c>
      <c r="E367" s="215">
        <v>0</v>
      </c>
      <c r="F367" s="215" t="s">
        <v>1256</v>
      </c>
      <c r="G367" s="215" t="s">
        <v>2017</v>
      </c>
      <c r="H367" s="122">
        <v>3</v>
      </c>
      <c r="I367" s="237"/>
      <c r="J367" s="1235"/>
    </row>
    <row r="368" spans="2:10" s="113" customFormat="1" ht="15.75" x14ac:dyDescent="0.45">
      <c r="B368" s="214" t="s">
        <v>1752</v>
      </c>
      <c r="C368" s="1120" t="s">
        <v>1237</v>
      </c>
      <c r="D368" s="215">
        <v>1.03</v>
      </c>
      <c r="E368" s="215">
        <v>0</v>
      </c>
      <c r="F368" s="215" t="s">
        <v>1256</v>
      </c>
      <c r="G368" s="215" t="s">
        <v>2017</v>
      </c>
      <c r="H368" s="122">
        <v>3</v>
      </c>
      <c r="I368" s="237"/>
      <c r="J368" s="1235"/>
    </row>
    <row r="369" spans="2:14" s="113" customFormat="1" ht="15.75" x14ac:dyDescent="0.45">
      <c r="B369" s="214" t="s">
        <v>871</v>
      </c>
      <c r="C369" s="1120" t="s">
        <v>1238</v>
      </c>
      <c r="D369" s="215">
        <v>1.03</v>
      </c>
      <c r="E369" s="215">
        <v>0</v>
      </c>
      <c r="F369" s="215" t="s">
        <v>1256</v>
      </c>
      <c r="G369" s="215" t="s">
        <v>2017</v>
      </c>
      <c r="H369" s="122">
        <v>3</v>
      </c>
      <c r="I369" s="237"/>
      <c r="J369" s="1235"/>
    </row>
    <row r="370" spans="2:14" s="113" customFormat="1" ht="15.75" x14ac:dyDescent="0.45">
      <c r="B370" s="216" t="s">
        <v>2909</v>
      </c>
      <c r="C370" s="1121" t="s">
        <v>1370</v>
      </c>
      <c r="D370" s="217">
        <v>1.04</v>
      </c>
      <c r="E370" s="217">
        <v>0</v>
      </c>
      <c r="F370" s="217" t="s">
        <v>1256</v>
      </c>
      <c r="G370" s="217" t="s">
        <v>2017</v>
      </c>
      <c r="H370" s="218">
        <v>3</v>
      </c>
      <c r="I370" s="238"/>
      <c r="J370" s="1236"/>
    </row>
    <row r="371" spans="2:14" s="113" customFormat="1" ht="15.75" x14ac:dyDescent="0.45">
      <c r="B371" s="2443" t="s">
        <v>5306</v>
      </c>
      <c r="C371" s="2438" t="s">
        <v>5307</v>
      </c>
      <c r="D371" s="2439">
        <v>1.04</v>
      </c>
      <c r="E371" s="2444">
        <v>0</v>
      </c>
      <c r="F371" s="2445" t="s">
        <v>1256</v>
      </c>
      <c r="G371" s="2445" t="s">
        <v>2017</v>
      </c>
      <c r="H371" s="2440">
        <v>3</v>
      </c>
      <c r="I371" s="2441"/>
      <c r="J371" s="2442"/>
    </row>
    <row r="372" spans="2:14" s="113" customFormat="1" ht="15.75" x14ac:dyDescent="0.45">
      <c r="B372" s="216" t="s">
        <v>1736</v>
      </c>
      <c r="C372" s="1121" t="s">
        <v>1371</v>
      </c>
      <c r="D372" s="217">
        <v>1.04</v>
      </c>
      <c r="E372" s="217">
        <v>0</v>
      </c>
      <c r="F372" s="217" t="s">
        <v>1256</v>
      </c>
      <c r="G372" s="217" t="s">
        <v>2017</v>
      </c>
      <c r="H372" s="218">
        <v>3</v>
      </c>
      <c r="I372" s="238"/>
      <c r="J372" s="1236"/>
    </row>
    <row r="373" spans="2:14" s="113" customFormat="1" ht="16.149999999999999" thickBot="1" x14ac:dyDescent="0.5">
      <c r="B373" s="2443" t="s">
        <v>5308</v>
      </c>
      <c r="C373" s="2438" t="s">
        <v>5309</v>
      </c>
      <c r="D373" s="2439">
        <v>1</v>
      </c>
      <c r="E373" s="2444">
        <v>0</v>
      </c>
      <c r="F373" s="2445" t="s">
        <v>1256</v>
      </c>
      <c r="G373" s="2445" t="s">
        <v>2017</v>
      </c>
      <c r="H373" s="2440">
        <v>3</v>
      </c>
      <c r="I373" s="2441"/>
      <c r="J373" s="2442"/>
    </row>
    <row r="374" spans="2:14" ht="16.149999999999999" thickBot="1" x14ac:dyDescent="0.5">
      <c r="B374" s="2816" t="s">
        <v>5872</v>
      </c>
      <c r="C374" s="2816" t="s">
        <v>5847</v>
      </c>
      <c r="D374" s="2826">
        <v>1.0289999999999999</v>
      </c>
      <c r="E374" s="2819">
        <v>0</v>
      </c>
      <c r="F374" s="2819" t="s">
        <v>1256</v>
      </c>
      <c r="G374" s="2887" t="s">
        <v>2017</v>
      </c>
      <c r="H374" s="2823">
        <v>2</v>
      </c>
      <c r="I374" s="2816"/>
      <c r="J374" t="s">
        <v>5848</v>
      </c>
    </row>
    <row r="375" spans="2:14" ht="15.75" x14ac:dyDescent="0.45">
      <c r="B375" s="2816" t="s">
        <v>5873</v>
      </c>
      <c r="C375" s="2816" t="s">
        <v>5849</v>
      </c>
      <c r="D375" s="2826">
        <v>1.0289999999999999</v>
      </c>
      <c r="E375" s="2819">
        <v>0</v>
      </c>
      <c r="F375" s="2819" t="s">
        <v>1256</v>
      </c>
      <c r="G375" s="2887" t="s">
        <v>2017</v>
      </c>
      <c r="H375" s="2823">
        <v>2</v>
      </c>
      <c r="I375" s="2816"/>
      <c r="J375" t="s">
        <v>5848</v>
      </c>
    </row>
    <row r="376" spans="2:14" s="113" customFormat="1" ht="16.149999999999999" thickBot="1" x14ac:dyDescent="0.5">
      <c r="B376" s="1896" t="s">
        <v>892</v>
      </c>
      <c r="C376" s="1916" t="s">
        <v>281</v>
      </c>
      <c r="D376" s="1938">
        <v>20</v>
      </c>
      <c r="E376" s="1938">
        <v>1</v>
      </c>
      <c r="F376" s="1938">
        <v>60</v>
      </c>
      <c r="G376" s="1938" t="s">
        <v>891</v>
      </c>
      <c r="H376" s="1937">
        <v>1</v>
      </c>
      <c r="I376" s="1973"/>
      <c r="J376" s="1991"/>
    </row>
    <row r="377" spans="2:14" s="113" customFormat="1" ht="14.65" thickBot="1" x14ac:dyDescent="0.5">
      <c r="B377" s="124"/>
      <c r="C377" s="1909"/>
      <c r="E377" s="116"/>
      <c r="F377" s="116"/>
      <c r="G377" s="116"/>
      <c r="H377" s="116"/>
      <c r="I377" s="115"/>
      <c r="J377" s="1889"/>
    </row>
    <row r="378" spans="2:14" s="113" customFormat="1" ht="14.65" thickBot="1" x14ac:dyDescent="0.5">
      <c r="B378" s="124"/>
      <c r="C378" s="1081" t="s">
        <v>984</v>
      </c>
      <c r="D378" s="114" t="s">
        <v>317</v>
      </c>
      <c r="E378" s="114"/>
      <c r="F378" s="114"/>
      <c r="G378" s="114"/>
      <c r="H378" s="114"/>
      <c r="I378" s="124"/>
      <c r="J378" s="1889"/>
    </row>
    <row r="379" spans="2:14" s="113" customFormat="1" ht="14.65" thickBot="1" x14ac:dyDescent="0.5">
      <c r="B379" s="263" t="s">
        <v>0</v>
      </c>
      <c r="C379" s="1082" t="s">
        <v>1</v>
      </c>
      <c r="D379" s="269" t="s">
        <v>841</v>
      </c>
      <c r="E379" s="269" t="s">
        <v>471</v>
      </c>
      <c r="F379" s="269" t="s">
        <v>472</v>
      </c>
      <c r="G379" s="269" t="s">
        <v>2</v>
      </c>
      <c r="H379" s="269" t="s">
        <v>300</v>
      </c>
      <c r="I379" s="266" t="s">
        <v>116</v>
      </c>
      <c r="J379" s="1203" t="s">
        <v>117</v>
      </c>
    </row>
    <row r="380" spans="2:14" s="113" customFormat="1" ht="16.5" x14ac:dyDescent="0.45">
      <c r="B380" s="1028" t="s">
        <v>1738</v>
      </c>
      <c r="C380" s="1122" t="s">
        <v>2643</v>
      </c>
      <c r="D380" s="314">
        <v>0.6</v>
      </c>
      <c r="E380" s="314">
        <v>0</v>
      </c>
      <c r="F380" s="314" t="s">
        <v>1256</v>
      </c>
      <c r="G380" s="315" t="s">
        <v>2186</v>
      </c>
      <c r="H380" s="315">
        <v>2</v>
      </c>
      <c r="I380" s="1237"/>
      <c r="J380" s="1238"/>
      <c r="M380" s="114"/>
      <c r="N380" s="114"/>
    </row>
    <row r="381" spans="2:14" s="113" customFormat="1" ht="16.5" x14ac:dyDescent="0.45">
      <c r="B381" s="990" t="s">
        <v>3786</v>
      </c>
      <c r="C381" s="1049" t="s">
        <v>3787</v>
      </c>
      <c r="D381" s="185">
        <v>0.45</v>
      </c>
      <c r="E381" s="185">
        <v>0</v>
      </c>
      <c r="F381" s="185" t="s">
        <v>1256</v>
      </c>
      <c r="G381" s="185" t="s">
        <v>2186</v>
      </c>
      <c r="H381" s="185">
        <v>2</v>
      </c>
      <c r="I381" s="824"/>
      <c r="J381" s="1158"/>
      <c r="L381" s="116"/>
      <c r="M381" s="2006"/>
      <c r="N381" s="2006"/>
    </row>
    <row r="382" spans="2:14" s="113" customFormat="1" ht="16.5" x14ac:dyDescent="0.45">
      <c r="B382" s="990" t="s">
        <v>1739</v>
      </c>
      <c r="C382" s="1049" t="s">
        <v>2644</v>
      </c>
      <c r="D382" s="185">
        <v>0.67</v>
      </c>
      <c r="E382" s="185">
        <v>0</v>
      </c>
      <c r="F382" s="185" t="s">
        <v>1256</v>
      </c>
      <c r="G382" s="185" t="s">
        <v>2187</v>
      </c>
      <c r="H382" s="185">
        <v>2</v>
      </c>
      <c r="I382" s="824"/>
      <c r="J382" s="1158"/>
      <c r="L382" s="116"/>
      <c r="M382" s="2006"/>
      <c r="N382" s="2006"/>
    </row>
    <row r="383" spans="2:14" s="113" customFormat="1" ht="16.5" x14ac:dyDescent="0.45">
      <c r="B383" s="990" t="s">
        <v>3788</v>
      </c>
      <c r="C383" s="1049" t="s">
        <v>3789</v>
      </c>
      <c r="D383" s="185">
        <v>0.54</v>
      </c>
      <c r="E383" s="185">
        <v>0</v>
      </c>
      <c r="F383" s="185" t="s">
        <v>1256</v>
      </c>
      <c r="G383" s="185" t="s">
        <v>2187</v>
      </c>
      <c r="H383" s="185">
        <v>2</v>
      </c>
      <c r="I383" s="824"/>
      <c r="J383" s="1158"/>
      <c r="L383" s="116"/>
      <c r="M383" s="2006"/>
      <c r="N383" s="2006"/>
    </row>
    <row r="384" spans="2:14" s="113" customFormat="1" ht="16.5" x14ac:dyDescent="0.45">
      <c r="B384" s="184" t="s">
        <v>1740</v>
      </c>
      <c r="C384" s="1048" t="s">
        <v>2645</v>
      </c>
      <c r="D384" s="186">
        <v>0.1</v>
      </c>
      <c r="E384" s="186">
        <v>0</v>
      </c>
      <c r="F384" s="186" t="s">
        <v>1256</v>
      </c>
      <c r="G384" s="185" t="s">
        <v>2187</v>
      </c>
      <c r="H384" s="185">
        <v>2</v>
      </c>
      <c r="I384" s="824"/>
      <c r="J384" s="1158"/>
      <c r="L384" s="116"/>
      <c r="M384" s="2006"/>
      <c r="N384" s="2006"/>
    </row>
    <row r="385" spans="2:18" s="113" customFormat="1" ht="16.5" x14ac:dyDescent="0.45">
      <c r="B385" s="184" t="s">
        <v>2209</v>
      </c>
      <c r="C385" s="1048" t="s">
        <v>2646</v>
      </c>
      <c r="D385" s="185">
        <v>0.35</v>
      </c>
      <c r="E385" s="185">
        <v>0</v>
      </c>
      <c r="F385" s="185" t="s">
        <v>1256</v>
      </c>
      <c r="G385" s="418" t="s">
        <v>3014</v>
      </c>
      <c r="H385" s="185">
        <v>2</v>
      </c>
      <c r="I385" s="824"/>
      <c r="J385" s="1158"/>
      <c r="L385" s="116"/>
      <c r="M385" s="2006"/>
      <c r="N385" s="2006"/>
    </row>
    <row r="386" spans="2:18" s="113" customFormat="1" ht="16.5" x14ac:dyDescent="0.45">
      <c r="B386" s="184" t="s">
        <v>2210</v>
      </c>
      <c r="C386" s="1048" t="s">
        <v>2647</v>
      </c>
      <c r="D386" s="185">
        <v>0.1</v>
      </c>
      <c r="E386" s="185">
        <v>0</v>
      </c>
      <c r="F386" s="185" t="s">
        <v>1256</v>
      </c>
      <c r="G386" s="418" t="s">
        <v>3014</v>
      </c>
      <c r="H386" s="185">
        <v>2</v>
      </c>
      <c r="I386" s="824"/>
      <c r="J386" s="1158"/>
      <c r="L386" s="116"/>
      <c r="M386" s="2006"/>
      <c r="N386" s="2006"/>
    </row>
    <row r="387" spans="2:18" s="113" customFormat="1" ht="16.5" x14ac:dyDescent="0.45">
      <c r="B387" s="184" t="s">
        <v>1741</v>
      </c>
      <c r="C387" s="1048" t="s">
        <v>2648</v>
      </c>
      <c r="D387" s="186">
        <v>0.4</v>
      </c>
      <c r="E387" s="186">
        <v>0</v>
      </c>
      <c r="F387" s="186" t="s">
        <v>1256</v>
      </c>
      <c r="G387" s="185" t="s">
        <v>2188</v>
      </c>
      <c r="H387" s="185">
        <v>2</v>
      </c>
      <c r="I387" s="824"/>
      <c r="J387" s="1158"/>
    </row>
    <row r="388" spans="2:18" s="113" customFormat="1" ht="16.5" x14ac:dyDescent="0.45">
      <c r="B388" s="184" t="s">
        <v>872</v>
      </c>
      <c r="C388" s="1048" t="s">
        <v>2649</v>
      </c>
      <c r="D388" s="186">
        <v>0.4</v>
      </c>
      <c r="E388" s="186">
        <v>0</v>
      </c>
      <c r="F388" s="186" t="s">
        <v>1256</v>
      </c>
      <c r="G388" s="185" t="s">
        <v>2189</v>
      </c>
      <c r="H388" s="185">
        <v>2</v>
      </c>
      <c r="I388" s="824"/>
      <c r="J388" s="1158"/>
    </row>
    <row r="389" spans="2:18" s="113" customFormat="1" ht="16.5" x14ac:dyDescent="0.45">
      <c r="B389" s="1029" t="s">
        <v>4218</v>
      </c>
      <c r="C389" s="1123" t="s">
        <v>4219</v>
      </c>
      <c r="D389" s="147">
        <v>0.63900000000000001</v>
      </c>
      <c r="E389" s="147">
        <v>0</v>
      </c>
      <c r="F389" s="147" t="s">
        <v>1256</v>
      </c>
      <c r="G389" s="147" t="s">
        <v>2018</v>
      </c>
      <c r="H389" s="147">
        <v>3</v>
      </c>
      <c r="I389" s="1239"/>
      <c r="J389" s="1240"/>
    </row>
    <row r="390" spans="2:18" s="113" customFormat="1" ht="16.5" x14ac:dyDescent="0.45">
      <c r="B390" s="1029" t="s">
        <v>4220</v>
      </c>
      <c r="C390" s="1123" t="s">
        <v>4221</v>
      </c>
      <c r="D390" s="147">
        <v>0.52</v>
      </c>
      <c r="E390" s="147">
        <v>0</v>
      </c>
      <c r="F390" s="147" t="s">
        <v>1256</v>
      </c>
      <c r="G390" s="147" t="s">
        <v>2018</v>
      </c>
      <c r="H390" s="147">
        <v>2</v>
      </c>
      <c r="I390" s="1239"/>
      <c r="J390" s="1240"/>
    </row>
    <row r="391" spans="2:18" s="113" customFormat="1" ht="16.5" x14ac:dyDescent="0.45">
      <c r="B391" s="1029" t="s">
        <v>4222</v>
      </c>
      <c r="C391" s="1123" t="s">
        <v>4223</v>
      </c>
      <c r="D391" s="147">
        <v>0.1</v>
      </c>
      <c r="E391" s="147">
        <v>0</v>
      </c>
      <c r="F391" s="147" t="s">
        <v>1256</v>
      </c>
      <c r="G391" s="147" t="s">
        <v>3015</v>
      </c>
      <c r="H391" s="147">
        <v>2</v>
      </c>
      <c r="I391" s="1239"/>
      <c r="J391" s="1240"/>
    </row>
    <row r="392" spans="2:18" s="113" customFormat="1" ht="16.5" x14ac:dyDescent="0.45">
      <c r="B392" s="1029" t="s">
        <v>4224</v>
      </c>
      <c r="C392" s="1123" t="s">
        <v>4225</v>
      </c>
      <c r="D392" s="147">
        <v>0.35</v>
      </c>
      <c r="E392" s="147">
        <v>0</v>
      </c>
      <c r="F392" s="147" t="s">
        <v>1256</v>
      </c>
      <c r="G392" s="147" t="s">
        <v>3014</v>
      </c>
      <c r="H392" s="147">
        <v>2</v>
      </c>
      <c r="I392" s="1239"/>
      <c r="J392" s="1240"/>
    </row>
    <row r="393" spans="2:18" s="113" customFormat="1" ht="16.5" x14ac:dyDescent="0.45">
      <c r="B393" s="1029" t="s">
        <v>4226</v>
      </c>
      <c r="C393" s="1123" t="s">
        <v>4227</v>
      </c>
      <c r="D393" s="147">
        <v>0.1</v>
      </c>
      <c r="E393" s="147">
        <v>0</v>
      </c>
      <c r="F393" s="147" t="s">
        <v>1256</v>
      </c>
      <c r="G393" s="147" t="s">
        <v>3014</v>
      </c>
      <c r="H393" s="147">
        <v>2</v>
      </c>
      <c r="I393" s="1239"/>
      <c r="J393" s="1240"/>
    </row>
    <row r="394" spans="2:18" s="113" customFormat="1" ht="16.5" x14ac:dyDescent="0.45">
      <c r="B394" s="1029" t="s">
        <v>4228</v>
      </c>
      <c r="C394" s="1123" t="s">
        <v>4229</v>
      </c>
      <c r="D394" s="147">
        <v>0.33</v>
      </c>
      <c r="E394" s="147">
        <v>0</v>
      </c>
      <c r="F394" s="147" t="s">
        <v>1256</v>
      </c>
      <c r="G394" s="147" t="s">
        <v>4230</v>
      </c>
      <c r="H394" s="147">
        <v>2</v>
      </c>
      <c r="I394" s="1239"/>
      <c r="J394" s="1240"/>
    </row>
    <row r="395" spans="2:18" s="113" customFormat="1" ht="16.5" x14ac:dyDescent="0.45">
      <c r="B395" s="1029" t="s">
        <v>4231</v>
      </c>
      <c r="C395" s="1123" t="s">
        <v>4232</v>
      </c>
      <c r="D395" s="147">
        <v>0.23</v>
      </c>
      <c r="E395" s="147">
        <v>0</v>
      </c>
      <c r="F395" s="147" t="s">
        <v>1256</v>
      </c>
      <c r="G395" s="147" t="s">
        <v>4230</v>
      </c>
      <c r="H395" s="147">
        <v>2</v>
      </c>
      <c r="I395" s="1239"/>
      <c r="J395" s="1240"/>
    </row>
    <row r="396" spans="2:18" s="113" customFormat="1" ht="16.5" x14ac:dyDescent="0.45">
      <c r="B396" s="1029" t="s">
        <v>881</v>
      </c>
      <c r="C396" s="1123" t="s">
        <v>2650</v>
      </c>
      <c r="D396" s="147">
        <v>0.65</v>
      </c>
      <c r="E396" s="147">
        <v>0</v>
      </c>
      <c r="F396" s="147" t="s">
        <v>1256</v>
      </c>
      <c r="G396" s="147" t="s">
        <v>2492</v>
      </c>
      <c r="H396" s="147">
        <v>2</v>
      </c>
      <c r="I396" s="1239"/>
      <c r="J396" s="1240"/>
    </row>
    <row r="397" spans="2:18" s="113" customFormat="1" ht="16.5" x14ac:dyDescent="0.45">
      <c r="B397" s="1029" t="s">
        <v>882</v>
      </c>
      <c r="C397" s="1123" t="s">
        <v>273</v>
      </c>
      <c r="D397" s="333">
        <f>(30+31+3*16)/31</f>
        <v>3.5161290322580645</v>
      </c>
      <c r="E397" s="333">
        <v>0</v>
      </c>
      <c r="F397" s="333" t="s">
        <v>1256</v>
      </c>
      <c r="G397" s="147" t="s">
        <v>2493</v>
      </c>
      <c r="H397" s="147">
        <v>1</v>
      </c>
      <c r="I397" s="1239"/>
      <c r="J397" s="1240"/>
    </row>
    <row r="398" spans="2:18" s="113" customFormat="1" ht="16.5" x14ac:dyDescent="0.45">
      <c r="B398" s="1030" t="s">
        <v>4233</v>
      </c>
      <c r="C398" s="1124" t="s">
        <v>4234</v>
      </c>
      <c r="D398" s="570">
        <v>0.6</v>
      </c>
      <c r="E398" s="570">
        <v>0</v>
      </c>
      <c r="F398" s="570" t="s">
        <v>1256</v>
      </c>
      <c r="G398" s="570" t="s">
        <v>2244</v>
      </c>
      <c r="H398" s="570">
        <v>3</v>
      </c>
      <c r="I398" s="568"/>
      <c r="J398" s="1175"/>
    </row>
    <row r="399" spans="2:18" s="113" customFormat="1" ht="16.5" x14ac:dyDescent="0.45">
      <c r="B399" s="1030" t="s">
        <v>4235</v>
      </c>
      <c r="C399" s="1124" t="s">
        <v>4236</v>
      </c>
      <c r="D399" s="570">
        <v>0.5</v>
      </c>
      <c r="E399" s="570">
        <v>0</v>
      </c>
      <c r="F399" s="570" t="s">
        <v>1256</v>
      </c>
      <c r="G399" s="570" t="s">
        <v>2244</v>
      </c>
      <c r="H399" s="570">
        <v>2</v>
      </c>
      <c r="I399" s="568"/>
      <c r="J399" s="1175"/>
    </row>
    <row r="400" spans="2:18" s="113" customFormat="1" ht="16.5" x14ac:dyDescent="0.45">
      <c r="B400" s="1031" t="s">
        <v>2325</v>
      </c>
      <c r="C400" s="1125" t="s">
        <v>2653</v>
      </c>
      <c r="D400" s="365">
        <v>0.15</v>
      </c>
      <c r="E400" s="365">
        <v>0</v>
      </c>
      <c r="F400" s="365" t="s">
        <v>1256</v>
      </c>
      <c r="G400" s="365" t="s">
        <v>2949</v>
      </c>
      <c r="H400" s="365">
        <v>2</v>
      </c>
      <c r="I400" s="1241"/>
      <c r="J400" s="1242" t="s">
        <v>4035</v>
      </c>
      <c r="L400" s="366"/>
      <c r="M400" s="366"/>
      <c r="N400" s="366"/>
      <c r="O400" s="366"/>
      <c r="P400" s="366"/>
      <c r="Q400" s="366"/>
      <c r="R400" s="366"/>
    </row>
    <row r="401" spans="2:18" s="113" customFormat="1" ht="16.5" x14ac:dyDescent="0.45">
      <c r="B401" s="187" t="s">
        <v>2326</v>
      </c>
      <c r="C401" s="1125" t="s">
        <v>2654</v>
      </c>
      <c r="D401" s="188">
        <v>0.09</v>
      </c>
      <c r="E401" s="188">
        <v>0</v>
      </c>
      <c r="F401" s="188" t="s">
        <v>1256</v>
      </c>
      <c r="G401" s="188" t="s">
        <v>2950</v>
      </c>
      <c r="H401" s="188">
        <v>2</v>
      </c>
      <c r="I401" s="435"/>
      <c r="J401" s="1243"/>
      <c r="L401" s="366"/>
      <c r="M401" s="366"/>
      <c r="N401" s="366"/>
      <c r="O401" s="366"/>
      <c r="P401" s="366"/>
      <c r="Q401" s="366"/>
      <c r="R401" s="366"/>
    </row>
    <row r="402" spans="2:18" s="128" customFormat="1" ht="15.75" x14ac:dyDescent="0.45">
      <c r="B402" s="1032" t="s">
        <v>2327</v>
      </c>
      <c r="C402" s="1126" t="s">
        <v>2655</v>
      </c>
      <c r="D402" s="367">
        <v>1.32</v>
      </c>
      <c r="E402" s="368">
        <v>0</v>
      </c>
      <c r="F402" s="368" t="s">
        <v>1256</v>
      </c>
      <c r="G402" s="368" t="s">
        <v>2017</v>
      </c>
      <c r="H402" s="368">
        <v>2</v>
      </c>
      <c r="I402" s="1244"/>
      <c r="J402" s="1245"/>
      <c r="K402" s="113"/>
      <c r="L402" s="366"/>
      <c r="M402" s="366"/>
      <c r="N402" s="366"/>
      <c r="O402" s="366"/>
      <c r="P402" s="366"/>
      <c r="Q402" s="366"/>
      <c r="R402" s="366"/>
    </row>
    <row r="403" spans="2:18" s="128" customFormat="1" ht="15.75" x14ac:dyDescent="0.45">
      <c r="B403" s="1032" t="s">
        <v>2328</v>
      </c>
      <c r="C403" s="1126" t="s">
        <v>2656</v>
      </c>
      <c r="D403" s="367">
        <v>0.26</v>
      </c>
      <c r="E403" s="368">
        <v>0</v>
      </c>
      <c r="F403" s="368" t="s">
        <v>1256</v>
      </c>
      <c r="G403" s="368" t="s">
        <v>2017</v>
      </c>
      <c r="H403" s="368">
        <v>2</v>
      </c>
      <c r="I403" s="1244"/>
      <c r="J403" s="1245"/>
      <c r="K403" s="113"/>
      <c r="L403" s="366"/>
      <c r="M403" s="366"/>
      <c r="N403" s="366"/>
      <c r="O403" s="366"/>
      <c r="P403" s="366"/>
      <c r="Q403" s="366"/>
      <c r="R403" s="366"/>
    </row>
    <row r="404" spans="2:18" s="113" customFormat="1" ht="16.5" x14ac:dyDescent="0.45">
      <c r="B404" s="189" t="s">
        <v>874</v>
      </c>
      <c r="C404" s="1127" t="s">
        <v>2651</v>
      </c>
      <c r="D404" s="313">
        <v>0.1</v>
      </c>
      <c r="E404" s="313">
        <v>0</v>
      </c>
      <c r="F404" s="313" t="s">
        <v>1256</v>
      </c>
      <c r="G404" s="236" t="s">
        <v>2190</v>
      </c>
      <c r="H404" s="236">
        <v>2</v>
      </c>
      <c r="I404" s="312"/>
      <c r="J404" s="1246"/>
    </row>
    <row r="405" spans="2:18" s="113" customFormat="1" ht="16.899999999999999" thickBot="1" x14ac:dyDescent="0.5">
      <c r="B405" s="1011" t="s">
        <v>873</v>
      </c>
      <c r="C405" s="1128" t="s">
        <v>2652</v>
      </c>
      <c r="D405" s="332">
        <v>0.1</v>
      </c>
      <c r="E405" s="332">
        <v>0</v>
      </c>
      <c r="F405" s="332" t="s">
        <v>1256</v>
      </c>
      <c r="G405" s="328" t="s">
        <v>2191</v>
      </c>
      <c r="H405" s="328">
        <v>2</v>
      </c>
      <c r="I405" s="331"/>
      <c r="J405" s="1247"/>
    </row>
    <row r="406" spans="2:18" s="113" customFormat="1" ht="16.5" x14ac:dyDescent="0.45">
      <c r="B406" s="2446" t="s">
        <v>5310</v>
      </c>
      <c r="C406" s="2447" t="s">
        <v>5311</v>
      </c>
      <c r="D406" s="2448">
        <v>3.7999999999999999E-2</v>
      </c>
      <c r="E406" s="2448">
        <v>0</v>
      </c>
      <c r="F406" s="2448" t="s">
        <v>1256</v>
      </c>
      <c r="G406" s="2448" t="s">
        <v>5312</v>
      </c>
      <c r="H406" s="2448">
        <v>3</v>
      </c>
      <c r="I406" s="2449"/>
      <c r="J406" s="2450" t="s">
        <v>5313</v>
      </c>
      <c r="L406" s="366"/>
      <c r="M406" s="366"/>
      <c r="N406" s="366"/>
      <c r="O406" s="366"/>
    </row>
    <row r="407" spans="2:18" s="113" customFormat="1" ht="16.5" x14ac:dyDescent="0.45">
      <c r="B407" s="2343" t="s">
        <v>5314</v>
      </c>
      <c r="C407" s="2451" t="s">
        <v>5315</v>
      </c>
      <c r="D407" s="2349">
        <v>0.32800000000000001</v>
      </c>
      <c r="E407" s="2349">
        <v>0</v>
      </c>
      <c r="F407" s="2349" t="s">
        <v>1256</v>
      </c>
      <c r="G407" s="2349" t="s">
        <v>5312</v>
      </c>
      <c r="H407" s="2349">
        <v>3</v>
      </c>
      <c r="I407" s="2452"/>
      <c r="J407" s="2453" t="s">
        <v>5316</v>
      </c>
      <c r="L407" s="366"/>
      <c r="M407" s="366"/>
      <c r="N407" s="366"/>
      <c r="O407" s="366"/>
    </row>
    <row r="408" spans="2:18" s="113" customFormat="1" ht="16.5" x14ac:dyDescent="0.45">
      <c r="B408" s="2343" t="s">
        <v>5317</v>
      </c>
      <c r="C408" s="2451" t="s">
        <v>5318</v>
      </c>
      <c r="D408" s="2349">
        <v>0.11600000000000001</v>
      </c>
      <c r="E408" s="2349">
        <v>0</v>
      </c>
      <c r="F408" s="2349" t="s">
        <v>1256</v>
      </c>
      <c r="G408" s="2349" t="s">
        <v>5312</v>
      </c>
      <c r="H408" s="2349">
        <v>3</v>
      </c>
      <c r="I408" s="2452"/>
      <c r="J408" s="2454" t="s">
        <v>5313</v>
      </c>
      <c r="L408" s="366"/>
      <c r="M408" s="366"/>
      <c r="N408" s="366"/>
      <c r="O408" s="366"/>
    </row>
    <row r="409" spans="2:18" s="113" customFormat="1" ht="16.5" x14ac:dyDescent="0.45">
      <c r="B409" s="2343" t="s">
        <v>5319</v>
      </c>
      <c r="C409" s="2451" t="s">
        <v>5320</v>
      </c>
      <c r="D409" s="2349">
        <v>0.32800000000000001</v>
      </c>
      <c r="E409" s="2349">
        <v>0</v>
      </c>
      <c r="F409" s="2349" t="s">
        <v>1256</v>
      </c>
      <c r="G409" s="2349" t="s">
        <v>5312</v>
      </c>
      <c r="H409" s="2349">
        <v>3</v>
      </c>
      <c r="I409" s="2452"/>
      <c r="J409" s="2453" t="s">
        <v>5316</v>
      </c>
      <c r="L409" s="366"/>
      <c r="M409" s="366"/>
      <c r="N409" s="366"/>
      <c r="O409" s="366"/>
    </row>
    <row r="410" spans="2:18" s="113" customFormat="1" ht="16.5" x14ac:dyDescent="0.45">
      <c r="B410" s="2325" t="s">
        <v>5321</v>
      </c>
      <c r="C410" s="2455" t="s">
        <v>5322</v>
      </c>
      <c r="D410" s="2326">
        <v>3.5000000000000003E-2</v>
      </c>
      <c r="E410" s="2326">
        <v>0</v>
      </c>
      <c r="F410" s="2326" t="s">
        <v>1256</v>
      </c>
      <c r="G410" s="2326" t="s">
        <v>5323</v>
      </c>
      <c r="H410" s="2326">
        <v>3</v>
      </c>
      <c r="I410" s="2456"/>
      <c r="J410" s="2457" t="s">
        <v>5324</v>
      </c>
      <c r="L410" s="366"/>
      <c r="M410" s="366"/>
      <c r="N410" s="366"/>
      <c r="O410" s="366"/>
    </row>
    <row r="411" spans="2:18" s="113" customFormat="1" ht="16.899999999999999" thickBot="1" x14ac:dyDescent="0.5">
      <c r="B411" s="2330" t="s">
        <v>5325</v>
      </c>
      <c r="C411" s="2458" t="s">
        <v>5326</v>
      </c>
      <c r="D411" s="2332">
        <v>5.0999999999999997E-2</v>
      </c>
      <c r="E411" s="2332">
        <v>0</v>
      </c>
      <c r="F411" s="2332" t="s">
        <v>1256</v>
      </c>
      <c r="G411" s="2332" t="s">
        <v>5327</v>
      </c>
      <c r="H411" s="2332">
        <v>3</v>
      </c>
      <c r="I411" s="2459"/>
      <c r="J411" s="2460" t="s">
        <v>5324</v>
      </c>
      <c r="L411" s="366"/>
      <c r="M411" s="366"/>
      <c r="N411" s="366"/>
      <c r="O411" s="366"/>
    </row>
    <row r="412" spans="2:18" ht="16.5" x14ac:dyDescent="0.45">
      <c r="B412" s="2816" t="s">
        <v>5871</v>
      </c>
      <c r="C412" s="2817" t="s">
        <v>5846</v>
      </c>
      <c r="D412" s="2826">
        <v>0.12</v>
      </c>
      <c r="E412" s="2819">
        <v>0</v>
      </c>
      <c r="F412" s="2819" t="s">
        <v>1256</v>
      </c>
      <c r="G412" s="2886" t="s">
        <v>5893</v>
      </c>
      <c r="H412" s="2823">
        <v>2</v>
      </c>
      <c r="I412" s="2824"/>
      <c r="J412" s="2825"/>
    </row>
    <row r="413" spans="2:18" ht="14.65" thickBot="1" x14ac:dyDescent="0.5">
      <c r="C413" s="1046"/>
      <c r="D413" s="116"/>
      <c r="E413" s="116"/>
      <c r="F413" s="116"/>
      <c r="G413" s="116"/>
      <c r="H413" s="116"/>
      <c r="I413" s="115"/>
      <c r="J413" s="1889"/>
      <c r="K413" s="113"/>
      <c r="L413" s="116"/>
      <c r="M413" s="2006"/>
      <c r="N413" s="2006"/>
      <c r="O413" s="113"/>
      <c r="P413" s="113"/>
      <c r="Q413" s="113"/>
      <c r="R413" s="113"/>
    </row>
    <row r="414" spans="2:18" ht="14.65" thickBot="1" x14ac:dyDescent="0.5">
      <c r="C414" s="1129" t="s">
        <v>800</v>
      </c>
      <c r="D414" s="114" t="s">
        <v>317</v>
      </c>
      <c r="J414" s="1889"/>
      <c r="K414" s="113"/>
      <c r="L414" s="116"/>
      <c r="M414" s="2006"/>
      <c r="N414" s="2006"/>
      <c r="O414" s="113"/>
      <c r="P414" s="113"/>
      <c r="Q414" s="113"/>
      <c r="R414" s="113"/>
    </row>
    <row r="415" spans="2:18" ht="14.65" thickBot="1" x14ac:dyDescent="0.5">
      <c r="B415" s="1033" t="s">
        <v>0</v>
      </c>
      <c r="C415" s="1130" t="s">
        <v>1</v>
      </c>
      <c r="D415" s="140" t="s">
        <v>841</v>
      </c>
      <c r="E415" s="140" t="s">
        <v>471</v>
      </c>
      <c r="F415" s="140" t="s">
        <v>472</v>
      </c>
      <c r="G415" s="140" t="s">
        <v>2</v>
      </c>
      <c r="H415" s="140" t="s">
        <v>300</v>
      </c>
      <c r="I415" s="154" t="s">
        <v>116</v>
      </c>
      <c r="J415" s="1248" t="s">
        <v>117</v>
      </c>
      <c r="K415" s="113"/>
      <c r="L415" s="116"/>
      <c r="M415" s="2006"/>
      <c r="N415" s="2006"/>
      <c r="O415" s="113"/>
      <c r="P415" s="113"/>
      <c r="Q415" s="113"/>
      <c r="R415" s="113"/>
    </row>
    <row r="416" spans="2:18" s="113" customFormat="1" ht="16.5" x14ac:dyDescent="0.45">
      <c r="B416" s="146" t="s">
        <v>875</v>
      </c>
      <c r="C416" s="1917" t="s">
        <v>2660</v>
      </c>
      <c r="D416" s="1939">
        <v>0.08</v>
      </c>
      <c r="E416" s="1939">
        <v>0</v>
      </c>
      <c r="F416" s="1939">
        <v>0.5</v>
      </c>
      <c r="G416" s="1965" t="s">
        <v>3016</v>
      </c>
      <c r="H416" s="1939">
        <v>2</v>
      </c>
      <c r="I416" s="1974"/>
      <c r="J416" s="1992"/>
    </row>
    <row r="417" spans="2:12" s="113" customFormat="1" ht="15.75" x14ac:dyDescent="0.45">
      <c r="B417" s="377" t="s">
        <v>876</v>
      </c>
      <c r="C417" s="1131" t="s">
        <v>277</v>
      </c>
      <c r="D417" s="378">
        <v>7.0000000000000007E-2</v>
      </c>
      <c r="E417" s="379">
        <v>0</v>
      </c>
      <c r="F417" s="379">
        <v>0.5</v>
      </c>
      <c r="G417" s="379" t="s">
        <v>1915</v>
      </c>
      <c r="H417" s="379">
        <v>3</v>
      </c>
      <c r="I417" s="1249"/>
      <c r="J417" s="1250"/>
    </row>
    <row r="418" spans="2:12" s="113" customFormat="1" ht="15.75" x14ac:dyDescent="0.45">
      <c r="B418" s="377" t="s">
        <v>2181</v>
      </c>
      <c r="C418" s="1131" t="s">
        <v>2182</v>
      </c>
      <c r="D418" s="378">
        <v>0.06</v>
      </c>
      <c r="E418" s="379">
        <v>0</v>
      </c>
      <c r="F418" s="379">
        <v>0.5</v>
      </c>
      <c r="G418" s="379" t="s">
        <v>1915</v>
      </c>
      <c r="H418" s="379">
        <v>3</v>
      </c>
      <c r="I418" s="1249"/>
      <c r="J418" s="1250"/>
    </row>
    <row r="419" spans="2:12" s="113" customFormat="1" ht="15.75" x14ac:dyDescent="0.45">
      <c r="B419" s="377" t="s">
        <v>1123</v>
      </c>
      <c r="C419" s="1131" t="s">
        <v>2661</v>
      </c>
      <c r="D419" s="1795">
        <v>0.01</v>
      </c>
      <c r="E419" s="379">
        <v>0</v>
      </c>
      <c r="F419" s="379">
        <v>0.5</v>
      </c>
      <c r="G419" s="379" t="s">
        <v>1915</v>
      </c>
      <c r="H419" s="379">
        <v>3</v>
      </c>
      <c r="I419" s="1249"/>
      <c r="J419" s="1278" t="s">
        <v>4967</v>
      </c>
      <c r="K419" s="2006"/>
      <c r="L419" s="2006"/>
    </row>
    <row r="420" spans="2:12" s="113" customFormat="1" ht="15.75" x14ac:dyDescent="0.45">
      <c r="B420" s="377" t="s">
        <v>1058</v>
      </c>
      <c r="C420" s="1131" t="s">
        <v>2662</v>
      </c>
      <c r="D420" s="378">
        <v>0.01</v>
      </c>
      <c r="E420" s="379">
        <v>0</v>
      </c>
      <c r="F420" s="379">
        <v>0.1</v>
      </c>
      <c r="G420" s="379" t="s">
        <v>1915</v>
      </c>
      <c r="H420" s="379">
        <v>3</v>
      </c>
      <c r="I420" s="1249"/>
      <c r="J420" s="1250"/>
      <c r="K420" s="2006"/>
      <c r="L420" s="2006"/>
    </row>
    <row r="421" spans="2:12" s="113" customFormat="1" ht="15.75" x14ac:dyDescent="0.45">
      <c r="B421" s="377" t="s">
        <v>1124</v>
      </c>
      <c r="C421" s="1131" t="s">
        <v>2663</v>
      </c>
      <c r="D421" s="378">
        <v>0.01</v>
      </c>
      <c r="E421" s="379">
        <v>0</v>
      </c>
      <c r="F421" s="379">
        <v>0.1</v>
      </c>
      <c r="G421" s="379" t="s">
        <v>1915</v>
      </c>
      <c r="H421" s="379">
        <v>3</v>
      </c>
      <c r="I421" s="1249"/>
      <c r="J421" s="1250" t="s">
        <v>4968</v>
      </c>
      <c r="K421" s="2006"/>
      <c r="L421" s="2006"/>
    </row>
    <row r="422" spans="2:12" s="113" customFormat="1" ht="15.75" x14ac:dyDescent="0.45">
      <c r="B422" s="377" t="s">
        <v>1372</v>
      </c>
      <c r="C422" s="1132" t="s">
        <v>2664</v>
      </c>
      <c r="D422" s="380">
        <v>5.7075504823359977E-2</v>
      </c>
      <c r="E422" s="379">
        <v>0</v>
      </c>
      <c r="F422" s="379">
        <v>1</v>
      </c>
      <c r="G422" s="379" t="s">
        <v>1920</v>
      </c>
      <c r="H422" s="379">
        <v>2</v>
      </c>
      <c r="I422" s="1249"/>
      <c r="J422" s="2180" t="s">
        <v>2010</v>
      </c>
    </row>
    <row r="423" spans="2:12" s="113" customFormat="1" ht="15.75" x14ac:dyDescent="0.45">
      <c r="B423" s="1034" t="s">
        <v>877</v>
      </c>
      <c r="C423" s="1133" t="s">
        <v>278</v>
      </c>
      <c r="D423" s="381">
        <v>0.02</v>
      </c>
      <c r="E423" s="382">
        <v>0</v>
      </c>
      <c r="F423" s="382">
        <v>0.1</v>
      </c>
      <c r="G423" s="382" t="s">
        <v>1916</v>
      </c>
      <c r="H423" s="382">
        <v>3</v>
      </c>
      <c r="I423" s="1251"/>
      <c r="J423" s="1796"/>
    </row>
    <row r="424" spans="2:12" s="113" customFormat="1" ht="15.75" x14ac:dyDescent="0.45">
      <c r="B424" s="1034" t="s">
        <v>1059</v>
      </c>
      <c r="C424" s="1133" t="s">
        <v>2665</v>
      </c>
      <c r="D424" s="381">
        <v>2E-3</v>
      </c>
      <c r="E424" s="382">
        <v>0</v>
      </c>
      <c r="F424" s="382">
        <v>0.1</v>
      </c>
      <c r="G424" s="382" t="s">
        <v>1916</v>
      </c>
      <c r="H424" s="382">
        <v>3</v>
      </c>
      <c r="I424" s="1251"/>
      <c r="J424" s="1796" t="s">
        <v>4969</v>
      </c>
      <c r="K424" s="2006"/>
      <c r="L424" s="2006"/>
    </row>
    <row r="425" spans="2:12" s="113" customFormat="1" ht="15.75" x14ac:dyDescent="0.45">
      <c r="B425" s="1034" t="s">
        <v>1060</v>
      </c>
      <c r="C425" s="1133" t="s">
        <v>2666</v>
      </c>
      <c r="D425" s="381">
        <v>2E-3</v>
      </c>
      <c r="E425" s="382">
        <v>0</v>
      </c>
      <c r="F425" s="382">
        <v>0.1</v>
      </c>
      <c r="G425" s="382" t="s">
        <v>1916</v>
      </c>
      <c r="H425" s="382">
        <v>3</v>
      </c>
      <c r="I425" s="1251"/>
      <c r="J425" s="1796" t="s">
        <v>4969</v>
      </c>
      <c r="K425" s="2006"/>
      <c r="L425" s="2006"/>
    </row>
    <row r="426" spans="2:12" s="113" customFormat="1" ht="15.75" x14ac:dyDescent="0.45">
      <c r="B426" s="1034" t="s">
        <v>1061</v>
      </c>
      <c r="C426" s="1133" t="s">
        <v>2667</v>
      </c>
      <c r="D426" s="381">
        <v>2E-3</v>
      </c>
      <c r="E426" s="382">
        <v>0</v>
      </c>
      <c r="F426" s="382">
        <v>0.1</v>
      </c>
      <c r="G426" s="382" t="s">
        <v>1916</v>
      </c>
      <c r="H426" s="382">
        <v>3</v>
      </c>
      <c r="I426" s="1251"/>
      <c r="J426" s="1796"/>
      <c r="K426" s="2006"/>
      <c r="L426" s="2006"/>
    </row>
    <row r="427" spans="2:12" s="113" customFormat="1" ht="15.75" x14ac:dyDescent="0.45">
      <c r="B427" s="1034" t="s">
        <v>880</v>
      </c>
      <c r="C427" s="1134" t="s">
        <v>2668</v>
      </c>
      <c r="D427" s="383">
        <v>0.12621410566683836</v>
      </c>
      <c r="E427" s="382">
        <v>0</v>
      </c>
      <c r="F427" s="382">
        <v>1</v>
      </c>
      <c r="G427" s="382" t="s">
        <v>1921</v>
      </c>
      <c r="H427" s="382">
        <v>2</v>
      </c>
      <c r="I427" s="1251"/>
      <c r="J427" s="2181" t="s">
        <v>2011</v>
      </c>
    </row>
    <row r="428" spans="2:12" s="113" customFormat="1" ht="15.75" x14ac:dyDescent="0.45">
      <c r="B428" s="1034" t="s">
        <v>1373</v>
      </c>
      <c r="C428" s="1134" t="s">
        <v>2669</v>
      </c>
      <c r="D428" s="383">
        <v>0.16206538757887573</v>
      </c>
      <c r="E428" s="382">
        <v>0</v>
      </c>
      <c r="F428" s="382">
        <v>1</v>
      </c>
      <c r="G428" s="382" t="s">
        <v>1921</v>
      </c>
      <c r="H428" s="382">
        <v>2</v>
      </c>
      <c r="I428" s="1251"/>
      <c r="J428" s="2181" t="s">
        <v>2012</v>
      </c>
    </row>
    <row r="429" spans="2:12" s="113" customFormat="1" ht="15.75" x14ac:dyDescent="0.55000000000000004">
      <c r="B429" s="1035" t="s">
        <v>4727</v>
      </c>
      <c r="C429" s="1135" t="s">
        <v>4728</v>
      </c>
      <c r="D429" s="945">
        <v>0.179988070070871</v>
      </c>
      <c r="E429" s="946">
        <v>0</v>
      </c>
      <c r="F429" s="946">
        <v>1</v>
      </c>
      <c r="G429" s="946" t="s">
        <v>1921</v>
      </c>
      <c r="H429" s="946">
        <v>2</v>
      </c>
      <c r="I429" s="1253"/>
      <c r="J429" s="2181" t="s">
        <v>5155</v>
      </c>
    </row>
    <row r="430" spans="2:12" s="113" customFormat="1" ht="15.75" x14ac:dyDescent="0.45">
      <c r="B430" s="1034" t="s">
        <v>1378</v>
      </c>
      <c r="C430" s="1134" t="s">
        <v>2670</v>
      </c>
      <c r="D430" s="383">
        <v>0.1234998580474381</v>
      </c>
      <c r="E430" s="382">
        <v>0</v>
      </c>
      <c r="F430" s="382">
        <v>1</v>
      </c>
      <c r="G430" s="382" t="s">
        <v>1921</v>
      </c>
      <c r="H430" s="382">
        <v>2</v>
      </c>
      <c r="I430" s="1251"/>
      <c r="J430" s="2181" t="s">
        <v>2013</v>
      </c>
    </row>
    <row r="431" spans="2:12" s="113" customFormat="1" ht="15.75" x14ac:dyDescent="0.45">
      <c r="B431" s="2360" t="s">
        <v>5328</v>
      </c>
      <c r="C431" s="2356" t="s">
        <v>5329</v>
      </c>
      <c r="D431" s="2357">
        <v>0.01</v>
      </c>
      <c r="E431" s="2357">
        <v>0</v>
      </c>
      <c r="F431" s="2357">
        <v>0.1</v>
      </c>
      <c r="G431" s="2357" t="s">
        <v>5330</v>
      </c>
      <c r="H431" s="2357">
        <v>3</v>
      </c>
      <c r="I431" s="2461"/>
      <c r="J431" s="2462"/>
    </row>
    <row r="432" spans="2:12" s="113" customFormat="1" ht="15.75" x14ac:dyDescent="0.45">
      <c r="B432" s="2360" t="s">
        <v>5331</v>
      </c>
      <c r="C432" s="2463" t="s">
        <v>5332</v>
      </c>
      <c r="D432" s="2464">
        <v>1.5E-3</v>
      </c>
      <c r="E432" s="2357">
        <v>0</v>
      </c>
      <c r="F432" s="2357">
        <v>0.1</v>
      </c>
      <c r="G432" s="2357" t="s">
        <v>5330</v>
      </c>
      <c r="H432" s="2357">
        <v>3</v>
      </c>
      <c r="I432" s="2461"/>
      <c r="J432" s="2462"/>
      <c r="K432" s="2006"/>
      <c r="L432" s="2006"/>
    </row>
    <row r="433" spans="2:12" s="113" customFormat="1" ht="15.75" x14ac:dyDescent="0.45">
      <c r="B433" s="2360" t="s">
        <v>5333</v>
      </c>
      <c r="C433" s="2463" t="s">
        <v>5334</v>
      </c>
      <c r="D433" s="2464">
        <v>1.5E-3</v>
      </c>
      <c r="E433" s="2357">
        <v>0</v>
      </c>
      <c r="F433" s="2357">
        <v>0.1</v>
      </c>
      <c r="G433" s="2357" t="s">
        <v>5330</v>
      </c>
      <c r="H433" s="2357">
        <v>3</v>
      </c>
      <c r="I433" s="2461"/>
      <c r="J433" s="2462"/>
      <c r="K433" s="2006"/>
      <c r="L433" s="2006"/>
    </row>
    <row r="434" spans="2:12" s="113" customFormat="1" ht="15.75" x14ac:dyDescent="0.45">
      <c r="B434" s="2360" t="s">
        <v>5335</v>
      </c>
      <c r="C434" s="2463" t="s">
        <v>5336</v>
      </c>
      <c r="D434" s="2464">
        <v>1.5E-3</v>
      </c>
      <c r="E434" s="2357">
        <v>0</v>
      </c>
      <c r="F434" s="2357">
        <v>0.1</v>
      </c>
      <c r="G434" s="2357" t="s">
        <v>5330</v>
      </c>
      <c r="H434" s="2357">
        <v>3</v>
      </c>
      <c r="I434" s="2461"/>
      <c r="J434" s="2462"/>
      <c r="K434" s="2006"/>
      <c r="L434" s="2006"/>
    </row>
    <row r="435" spans="2:12" s="113" customFormat="1" ht="15.75" x14ac:dyDescent="0.45">
      <c r="B435" s="2360" t="s">
        <v>5337</v>
      </c>
      <c r="C435" s="2463" t="s">
        <v>5338</v>
      </c>
      <c r="D435" s="2464">
        <v>1.5E-3</v>
      </c>
      <c r="E435" s="2357">
        <v>0</v>
      </c>
      <c r="F435" s="2357">
        <v>0.1</v>
      </c>
      <c r="G435" s="2357" t="s">
        <v>5330</v>
      </c>
      <c r="H435" s="2357">
        <v>3</v>
      </c>
      <c r="I435" s="2461"/>
      <c r="J435" s="2462"/>
      <c r="K435" s="2006"/>
      <c r="L435" s="2006"/>
    </row>
    <row r="436" spans="2:12" s="113" customFormat="1" ht="15.75" x14ac:dyDescent="0.45">
      <c r="B436" s="2360" t="s">
        <v>5339</v>
      </c>
      <c r="C436" s="2463" t="s">
        <v>5340</v>
      </c>
      <c r="D436" s="2464">
        <v>1.5E-3</v>
      </c>
      <c r="E436" s="2357">
        <v>0</v>
      </c>
      <c r="F436" s="2357">
        <v>0.1</v>
      </c>
      <c r="G436" s="2357" t="s">
        <v>5330</v>
      </c>
      <c r="H436" s="2357">
        <v>3</v>
      </c>
      <c r="I436" s="2461"/>
      <c r="J436" s="2462"/>
      <c r="K436" s="2006"/>
      <c r="L436" s="2006"/>
    </row>
    <row r="437" spans="2:12" s="113" customFormat="1" ht="15.75" x14ac:dyDescent="0.45">
      <c r="B437" s="2360" t="s">
        <v>5341</v>
      </c>
      <c r="C437" s="2463" t="s">
        <v>5342</v>
      </c>
      <c r="D437" s="2464">
        <v>1.5E-3</v>
      </c>
      <c r="E437" s="2357">
        <v>0</v>
      </c>
      <c r="F437" s="2357">
        <v>0.1</v>
      </c>
      <c r="G437" s="2357" t="s">
        <v>5330</v>
      </c>
      <c r="H437" s="2357">
        <v>3</v>
      </c>
      <c r="I437" s="2461"/>
      <c r="J437" s="2462"/>
      <c r="K437" s="2006"/>
      <c r="L437" s="2006"/>
    </row>
    <row r="438" spans="2:12" s="113" customFormat="1" ht="15.75" x14ac:dyDescent="0.45">
      <c r="B438" s="2360" t="s">
        <v>5343</v>
      </c>
      <c r="C438" s="2463" t="s">
        <v>5344</v>
      </c>
      <c r="D438" s="2464">
        <f>A_MS/M_MFeS</f>
        <v>0.36474803776589693</v>
      </c>
      <c r="E438" s="2357">
        <v>0</v>
      </c>
      <c r="F438" s="2357">
        <v>1</v>
      </c>
      <c r="G438" s="2357" t="s">
        <v>5345</v>
      </c>
      <c r="H438" s="2357">
        <v>2</v>
      </c>
      <c r="I438" s="2461"/>
      <c r="J438" s="2462"/>
      <c r="K438" s="2006"/>
      <c r="L438" s="2006"/>
    </row>
    <row r="439" spans="2:12" s="113" customFormat="1" ht="15.75" x14ac:dyDescent="0.45">
      <c r="B439" s="1036" t="s">
        <v>2657</v>
      </c>
      <c r="C439" s="1132" t="s">
        <v>2672</v>
      </c>
      <c r="D439" s="380">
        <v>1.8</v>
      </c>
      <c r="E439" s="379">
        <v>0</v>
      </c>
      <c r="F439" s="379">
        <v>5</v>
      </c>
      <c r="G439" s="379" t="s">
        <v>1917</v>
      </c>
      <c r="H439" s="379">
        <v>2</v>
      </c>
      <c r="I439" s="1249" t="s">
        <v>2227</v>
      </c>
      <c r="J439" s="1250"/>
      <c r="K439" s="2006"/>
      <c r="L439" s="2006"/>
    </row>
    <row r="440" spans="2:12" s="113" customFormat="1" ht="15.75" x14ac:dyDescent="0.45">
      <c r="B440" s="1036" t="s">
        <v>2658</v>
      </c>
      <c r="C440" s="1132" t="s">
        <v>2673</v>
      </c>
      <c r="D440" s="380">
        <v>1.3</v>
      </c>
      <c r="E440" s="379">
        <v>0</v>
      </c>
      <c r="F440" s="379">
        <v>5</v>
      </c>
      <c r="G440" s="379" t="s">
        <v>1917</v>
      </c>
      <c r="H440" s="379">
        <v>2</v>
      </c>
      <c r="I440" s="1249" t="s">
        <v>3487</v>
      </c>
      <c r="J440" s="1250"/>
      <c r="K440" s="2006"/>
      <c r="L440" s="2006"/>
    </row>
    <row r="441" spans="2:12" s="113" customFormat="1" ht="15.75" x14ac:dyDescent="0.45">
      <c r="B441" s="1036" t="s">
        <v>878</v>
      </c>
      <c r="C441" s="1132" t="s">
        <v>2671</v>
      </c>
      <c r="D441" s="380">
        <v>1.42</v>
      </c>
      <c r="E441" s="379">
        <v>0</v>
      </c>
      <c r="F441" s="379">
        <v>5</v>
      </c>
      <c r="G441" s="379" t="s">
        <v>1917</v>
      </c>
      <c r="H441" s="379">
        <v>2</v>
      </c>
      <c r="I441" s="1249" t="s">
        <v>3488</v>
      </c>
      <c r="J441" s="1250"/>
      <c r="K441" s="2006"/>
    </row>
    <row r="442" spans="2:12" s="113" customFormat="1" ht="15.75" x14ac:dyDescent="0.45">
      <c r="B442" s="1036" t="s">
        <v>2659</v>
      </c>
      <c r="C442" s="1132" t="s">
        <v>2682</v>
      </c>
      <c r="D442" s="380">
        <v>1.42</v>
      </c>
      <c r="E442" s="379">
        <v>0</v>
      </c>
      <c r="F442" s="379">
        <v>5</v>
      </c>
      <c r="G442" s="379" t="s">
        <v>1917</v>
      </c>
      <c r="H442" s="379">
        <v>2</v>
      </c>
      <c r="I442" s="1249" t="s">
        <v>3489</v>
      </c>
      <c r="J442" s="1250"/>
      <c r="K442" s="2006"/>
      <c r="L442" s="2006"/>
    </row>
    <row r="443" spans="2:12" s="113" customFormat="1" ht="15.75" x14ac:dyDescent="0.45">
      <c r="B443" s="1036" t="s">
        <v>1143</v>
      </c>
      <c r="C443" s="1132" t="s">
        <v>2674</v>
      </c>
      <c r="D443" s="380">
        <v>1.0660000000000001</v>
      </c>
      <c r="E443" s="379">
        <v>0</v>
      </c>
      <c r="F443" s="379">
        <v>5</v>
      </c>
      <c r="G443" s="379" t="s">
        <v>1918</v>
      </c>
      <c r="H443" s="379">
        <v>2</v>
      </c>
      <c r="I443" s="1249"/>
      <c r="J443" s="1250"/>
      <c r="K443" s="2006"/>
      <c r="L443" s="2006"/>
    </row>
    <row r="444" spans="2:12" s="113" customFormat="1" ht="15.75" x14ac:dyDescent="0.45">
      <c r="B444" s="1036" t="s">
        <v>1144</v>
      </c>
      <c r="C444" s="1132" t="s">
        <v>2675</v>
      </c>
      <c r="D444" s="380">
        <v>1.0660000000000001</v>
      </c>
      <c r="E444" s="379">
        <v>0</v>
      </c>
      <c r="F444" s="379">
        <v>5</v>
      </c>
      <c r="G444" s="379" t="s">
        <v>1918</v>
      </c>
      <c r="H444" s="379">
        <v>2</v>
      </c>
      <c r="I444" s="1249"/>
      <c r="J444" s="1250"/>
      <c r="K444" s="2006"/>
      <c r="L444" s="2006"/>
    </row>
    <row r="445" spans="2:12" s="113" customFormat="1" ht="15.75" x14ac:dyDescent="0.45">
      <c r="B445" s="1036" t="s">
        <v>1145</v>
      </c>
      <c r="C445" s="1132" t="s">
        <v>2676</v>
      </c>
      <c r="D445" s="380">
        <v>1.5</v>
      </c>
      <c r="E445" s="379">
        <v>0</v>
      </c>
      <c r="F445" s="379">
        <v>5</v>
      </c>
      <c r="G445" s="379" t="s">
        <v>1918</v>
      </c>
      <c r="H445" s="379">
        <v>2</v>
      </c>
      <c r="I445" s="1249"/>
      <c r="J445" s="1250"/>
      <c r="K445" s="2006"/>
      <c r="L445" s="2006"/>
    </row>
    <row r="446" spans="2:12" s="113" customFormat="1" ht="15.75" x14ac:dyDescent="0.45">
      <c r="B446" s="1036" t="s">
        <v>1146</v>
      </c>
      <c r="C446" s="1132" t="s">
        <v>2677</v>
      </c>
      <c r="D446" s="380">
        <v>0.92600000000000005</v>
      </c>
      <c r="E446" s="379">
        <v>0</v>
      </c>
      <c r="F446" s="379">
        <v>5</v>
      </c>
      <c r="G446" s="379" t="s">
        <v>1918</v>
      </c>
      <c r="H446" s="379">
        <v>2</v>
      </c>
      <c r="I446" s="1249"/>
      <c r="J446" s="1250"/>
      <c r="K446" s="2006"/>
      <c r="L446" s="2006"/>
    </row>
    <row r="447" spans="2:12" s="113" customFormat="1" ht="15.75" x14ac:dyDescent="0.45">
      <c r="B447" s="1036" t="s">
        <v>1147</v>
      </c>
      <c r="C447" s="1132" t="s">
        <v>2678</v>
      </c>
      <c r="D447" s="380">
        <v>1.8</v>
      </c>
      <c r="E447" s="379">
        <v>0</v>
      </c>
      <c r="F447" s="379">
        <v>5</v>
      </c>
      <c r="G447" s="379" t="s">
        <v>1918</v>
      </c>
      <c r="H447" s="379">
        <v>2</v>
      </c>
      <c r="I447" s="1249"/>
      <c r="J447" s="1250"/>
      <c r="K447" s="2006"/>
      <c r="L447" s="2006"/>
    </row>
    <row r="448" spans="2:12" s="113" customFormat="1" ht="15.75" x14ac:dyDescent="0.45">
      <c r="B448" s="1036" t="s">
        <v>1148</v>
      </c>
      <c r="C448" s="1132" t="s">
        <v>2679</v>
      </c>
      <c r="D448" s="380">
        <v>1.3</v>
      </c>
      <c r="E448" s="379">
        <v>0</v>
      </c>
      <c r="F448" s="379">
        <v>5</v>
      </c>
      <c r="G448" s="379" t="s">
        <v>1918</v>
      </c>
      <c r="H448" s="379">
        <v>2</v>
      </c>
      <c r="I448" s="1249"/>
      <c r="J448" s="1250"/>
      <c r="K448" s="2006"/>
      <c r="L448" s="2006"/>
    </row>
    <row r="449" spans="1:16" s="113" customFormat="1" ht="15.75" x14ac:dyDescent="0.45">
      <c r="B449" s="1036" t="s">
        <v>879</v>
      </c>
      <c r="C449" s="1132" t="s">
        <v>2680</v>
      </c>
      <c r="D449" s="380">
        <v>1.67</v>
      </c>
      <c r="E449" s="379">
        <v>0</v>
      </c>
      <c r="F449" s="379">
        <v>5</v>
      </c>
      <c r="G449" s="379" t="s">
        <v>1917</v>
      </c>
      <c r="H449" s="379">
        <v>2</v>
      </c>
      <c r="I449" s="1249"/>
      <c r="J449" s="1250"/>
      <c r="K449" s="2006"/>
      <c r="L449" s="2006"/>
    </row>
    <row r="450" spans="1:16" s="113" customFormat="1" ht="15.75" x14ac:dyDescent="0.45">
      <c r="B450" s="1036" t="s">
        <v>2153</v>
      </c>
      <c r="C450" s="1132" t="s">
        <v>2681</v>
      </c>
      <c r="D450" s="380">
        <v>1.19</v>
      </c>
      <c r="E450" s="379">
        <v>0</v>
      </c>
      <c r="F450" s="379">
        <v>5</v>
      </c>
      <c r="G450" s="379" t="s">
        <v>1917</v>
      </c>
      <c r="H450" s="379">
        <v>2</v>
      </c>
      <c r="I450" s="1249"/>
      <c r="J450" s="1250"/>
      <c r="K450" s="2006"/>
      <c r="L450" s="2006"/>
    </row>
    <row r="451" spans="1:16" s="196" customFormat="1" ht="15.75" x14ac:dyDescent="0.45">
      <c r="B451" s="1037" t="s">
        <v>1627</v>
      </c>
      <c r="C451" s="1133" t="s">
        <v>2683</v>
      </c>
      <c r="D451" s="383">
        <v>0.35199999999999998</v>
      </c>
      <c r="E451" s="382">
        <v>0</v>
      </c>
      <c r="F451" s="382">
        <v>5</v>
      </c>
      <c r="G451" s="384" t="s">
        <v>1919</v>
      </c>
      <c r="H451" s="382">
        <v>2</v>
      </c>
      <c r="I451" s="1254"/>
      <c r="J451" s="1252" t="s">
        <v>1988</v>
      </c>
      <c r="K451" s="2007"/>
      <c r="L451" s="2007"/>
    </row>
    <row r="452" spans="1:16" s="196" customFormat="1" ht="15.75" x14ac:dyDescent="0.45">
      <c r="B452" s="1037" t="s">
        <v>1983</v>
      </c>
      <c r="C452" s="1133" t="s">
        <v>2684</v>
      </c>
      <c r="D452" s="383">
        <v>0.28599999999999998</v>
      </c>
      <c r="E452" s="382">
        <v>0</v>
      </c>
      <c r="F452" s="382">
        <v>5</v>
      </c>
      <c r="G452" s="384" t="s">
        <v>1919</v>
      </c>
      <c r="H452" s="382">
        <v>2</v>
      </c>
      <c r="I452" s="1254"/>
      <c r="J452" s="1252" t="s">
        <v>1988</v>
      </c>
      <c r="K452" s="2007"/>
      <c r="L452" s="2007"/>
    </row>
    <row r="453" spans="1:16" s="196" customFormat="1" ht="15.75" x14ac:dyDescent="0.45">
      <c r="B453" s="1037" t="s">
        <v>1984</v>
      </c>
      <c r="C453" s="1133" t="s">
        <v>2685</v>
      </c>
      <c r="D453" s="383">
        <v>0.25</v>
      </c>
      <c r="E453" s="382">
        <v>0</v>
      </c>
      <c r="F453" s="382">
        <v>5</v>
      </c>
      <c r="G453" s="384" t="s">
        <v>1919</v>
      </c>
      <c r="H453" s="382">
        <v>2</v>
      </c>
      <c r="I453" s="1254"/>
      <c r="J453" s="1252" t="s">
        <v>2180</v>
      </c>
      <c r="K453" s="2007"/>
      <c r="L453" s="2007"/>
    </row>
    <row r="454" spans="1:16" s="196" customFormat="1" ht="15.75" x14ac:dyDescent="0.45">
      <c r="B454" s="1037" t="s">
        <v>1981</v>
      </c>
      <c r="C454" s="1133" t="s">
        <v>2686</v>
      </c>
      <c r="D454" s="383">
        <v>0.188</v>
      </c>
      <c r="E454" s="382">
        <v>0</v>
      </c>
      <c r="F454" s="382">
        <v>5</v>
      </c>
      <c r="G454" s="384" t="s">
        <v>1919</v>
      </c>
      <c r="H454" s="382">
        <v>2</v>
      </c>
      <c r="I454" s="1254"/>
      <c r="J454" s="1252" t="s">
        <v>1985</v>
      </c>
      <c r="K454" s="2007"/>
      <c r="L454" s="2007"/>
    </row>
    <row r="455" spans="1:16" s="196" customFormat="1" ht="15.75" x14ac:dyDescent="0.45">
      <c r="B455" s="1037" t="s">
        <v>1982</v>
      </c>
      <c r="C455" s="1133" t="s">
        <v>2687</v>
      </c>
      <c r="D455" s="383">
        <v>0.375</v>
      </c>
      <c r="E455" s="382">
        <v>0</v>
      </c>
      <c r="F455" s="382">
        <v>5</v>
      </c>
      <c r="G455" s="384" t="s">
        <v>1919</v>
      </c>
      <c r="H455" s="382">
        <v>2</v>
      </c>
      <c r="I455" s="1254"/>
      <c r="J455" s="1252" t="s">
        <v>1986</v>
      </c>
      <c r="K455" s="2007"/>
      <c r="L455" s="2007"/>
    </row>
    <row r="456" spans="1:16" s="196" customFormat="1" ht="15.75" x14ac:dyDescent="0.45">
      <c r="B456" s="1037" t="s">
        <v>1987</v>
      </c>
      <c r="C456" s="1136" t="s">
        <v>2688</v>
      </c>
      <c r="D456" s="385">
        <v>0.33300000000000002</v>
      </c>
      <c r="E456" s="382">
        <v>0</v>
      </c>
      <c r="F456" s="382">
        <v>5</v>
      </c>
      <c r="G456" s="384" t="s">
        <v>1919</v>
      </c>
      <c r="H456" s="382">
        <v>2</v>
      </c>
      <c r="I456" s="1254"/>
      <c r="J456" s="1252" t="s">
        <v>1989</v>
      </c>
      <c r="K456" s="2007"/>
      <c r="L456" s="2007"/>
    </row>
    <row r="457" spans="1:16" s="196" customFormat="1" ht="15.75" x14ac:dyDescent="0.45">
      <c r="B457" s="1037" t="s">
        <v>2157</v>
      </c>
      <c r="C457" s="1136" t="s">
        <v>2689</v>
      </c>
      <c r="D457" s="385">
        <v>0.375</v>
      </c>
      <c r="E457" s="382">
        <v>0</v>
      </c>
      <c r="F457" s="382">
        <v>5</v>
      </c>
      <c r="G457" s="384" t="s">
        <v>1919</v>
      </c>
      <c r="H457" s="382">
        <v>2</v>
      </c>
      <c r="I457" s="1254"/>
      <c r="J457" s="1252" t="s">
        <v>2159</v>
      </c>
      <c r="K457" s="2007"/>
      <c r="L457" s="2007"/>
    </row>
    <row r="458" spans="1:16" s="113" customFormat="1" ht="15.75" x14ac:dyDescent="0.45">
      <c r="B458" s="1892" t="s">
        <v>2515</v>
      </c>
      <c r="C458" s="1914" t="s">
        <v>2690</v>
      </c>
      <c r="D458" s="1936">
        <v>0.11</v>
      </c>
      <c r="E458" s="1956">
        <v>0</v>
      </c>
      <c r="F458" s="1956">
        <v>1</v>
      </c>
      <c r="G458" s="1956" t="s">
        <v>2233</v>
      </c>
      <c r="H458" s="1956">
        <v>2</v>
      </c>
      <c r="I458" s="1970"/>
      <c r="J458" s="1986" t="s">
        <v>1062</v>
      </c>
    </row>
    <row r="459" spans="1:16" s="113" customFormat="1" ht="15.75" x14ac:dyDescent="0.45">
      <c r="B459" s="1892" t="s">
        <v>1002</v>
      </c>
      <c r="C459" s="1914" t="s">
        <v>2691</v>
      </c>
      <c r="D459" s="1936">
        <v>0.1</v>
      </c>
      <c r="E459" s="1956">
        <v>0</v>
      </c>
      <c r="F459" s="1956">
        <v>1</v>
      </c>
      <c r="G459" s="1956" t="s">
        <v>1922</v>
      </c>
      <c r="H459" s="1956">
        <v>2</v>
      </c>
      <c r="I459" s="1970"/>
      <c r="J459" s="1986" t="s">
        <v>3723</v>
      </c>
    </row>
    <row r="460" spans="1:16" s="113" customFormat="1" ht="15.75" x14ac:dyDescent="0.45">
      <c r="B460" s="1892" t="s">
        <v>1003</v>
      </c>
      <c r="C460" s="1914" t="s">
        <v>2692</v>
      </c>
      <c r="D460" s="1936">
        <v>0.35</v>
      </c>
      <c r="E460" s="1956">
        <v>0</v>
      </c>
      <c r="F460" s="1956">
        <v>1</v>
      </c>
      <c r="G460" s="1956" t="s">
        <v>1923</v>
      </c>
      <c r="H460" s="1956">
        <v>2</v>
      </c>
      <c r="I460" s="1970"/>
      <c r="J460" s="1986" t="s">
        <v>3724</v>
      </c>
    </row>
    <row r="461" spans="1:16" s="113" customFormat="1" ht="15.75" x14ac:dyDescent="0.45">
      <c r="B461" s="1892" t="s">
        <v>1381</v>
      </c>
      <c r="C461" s="1914" t="s">
        <v>2693</v>
      </c>
      <c r="D461" s="1936">
        <v>0.1</v>
      </c>
      <c r="E461" s="1956">
        <v>0</v>
      </c>
      <c r="F461" s="1956">
        <v>1</v>
      </c>
      <c r="G461" s="1956" t="s">
        <v>1974</v>
      </c>
      <c r="H461" s="1956">
        <v>2</v>
      </c>
      <c r="I461" s="1970"/>
      <c r="J461" s="1986" t="s">
        <v>3725</v>
      </c>
    </row>
    <row r="462" spans="1:16" s="113" customFormat="1" ht="15.75" x14ac:dyDescent="0.45">
      <c r="A462" s="114"/>
      <c r="B462" s="565" t="s">
        <v>1158</v>
      </c>
      <c r="C462" s="1918" t="s">
        <v>2694</v>
      </c>
      <c r="D462" s="1940">
        <f>A_MNa/(A_MNa+A_MCl)</f>
        <v>0.39337234346305527</v>
      </c>
      <c r="E462" s="1940">
        <v>0</v>
      </c>
      <c r="F462" s="1948">
        <v>1</v>
      </c>
      <c r="G462" s="1948" t="s">
        <v>1975</v>
      </c>
      <c r="H462" s="1948">
        <v>3</v>
      </c>
      <c r="I462" s="567"/>
      <c r="J462" s="1993"/>
      <c r="K462" s="114"/>
      <c r="L462" s="114"/>
      <c r="M462" s="114"/>
      <c r="N462" s="114"/>
      <c r="O462" s="114"/>
      <c r="P462" s="114"/>
    </row>
    <row r="463" spans="1:16" s="113" customFormat="1" ht="15.75" x14ac:dyDescent="0.45">
      <c r="A463" s="114"/>
      <c r="B463" s="146" t="s">
        <v>3673</v>
      </c>
      <c r="C463" s="1919" t="s">
        <v>3674</v>
      </c>
      <c r="D463" s="1941">
        <v>0.05</v>
      </c>
      <c r="E463" s="1941">
        <v>0</v>
      </c>
      <c r="F463" s="1949">
        <v>0.14000000000000001</v>
      </c>
      <c r="G463" s="1949" t="s">
        <v>3675</v>
      </c>
      <c r="H463" s="1949">
        <v>3</v>
      </c>
      <c r="I463" s="1975"/>
      <c r="J463" s="1994"/>
      <c r="K463" s="114"/>
      <c r="L463" s="114"/>
      <c r="M463" s="114"/>
      <c r="N463" s="114"/>
      <c r="O463" s="114"/>
      <c r="P463" s="114"/>
    </row>
    <row r="464" spans="1:16" s="113" customFormat="1" ht="15.75" x14ac:dyDescent="0.45">
      <c r="A464" s="114"/>
      <c r="B464" s="565" t="s">
        <v>3676</v>
      </c>
      <c r="C464" s="1918" t="s">
        <v>3677</v>
      </c>
      <c r="D464" s="1940">
        <v>0.05</v>
      </c>
      <c r="E464" s="1940">
        <v>0</v>
      </c>
      <c r="F464" s="1948">
        <v>0.15</v>
      </c>
      <c r="G464" s="1948" t="s">
        <v>3678</v>
      </c>
      <c r="H464" s="1948">
        <v>3</v>
      </c>
      <c r="I464" s="567"/>
      <c r="J464" s="1993"/>
      <c r="K464" s="114"/>
      <c r="L464" s="114"/>
      <c r="M464" s="114"/>
      <c r="N464" s="114"/>
      <c r="O464" s="114"/>
      <c r="P464" s="114"/>
    </row>
    <row r="465" spans="1:18" s="113" customFormat="1" ht="16.149999999999999" thickBot="1" x14ac:dyDescent="0.5">
      <c r="A465" s="114"/>
      <c r="B465" s="1896" t="s">
        <v>3679</v>
      </c>
      <c r="C465" s="1920" t="s">
        <v>3680</v>
      </c>
      <c r="D465" s="1942">
        <v>0.5</v>
      </c>
      <c r="E465" s="1942">
        <v>0</v>
      </c>
      <c r="F465" s="1962">
        <v>1</v>
      </c>
      <c r="G465" s="1962" t="s">
        <v>283</v>
      </c>
      <c r="H465" s="1962">
        <v>2</v>
      </c>
      <c r="I465" s="1976"/>
      <c r="J465" s="1995"/>
      <c r="K465" s="114"/>
      <c r="L465" s="114"/>
      <c r="M465" s="114"/>
      <c r="N465" s="114"/>
      <c r="O465" s="114"/>
      <c r="P465" s="114"/>
    </row>
    <row r="466" spans="1:18" ht="14.65" thickBot="1" x14ac:dyDescent="0.5">
      <c r="C466" s="1046"/>
      <c r="D466" s="1943"/>
      <c r="E466" s="116"/>
      <c r="F466" s="116"/>
      <c r="G466" s="116"/>
      <c r="H466" s="116"/>
      <c r="I466" s="115"/>
      <c r="J466" s="1889"/>
      <c r="K466" s="113"/>
      <c r="L466" s="113"/>
      <c r="M466" s="113"/>
      <c r="N466" s="113"/>
      <c r="O466" s="113"/>
      <c r="P466" s="113"/>
      <c r="Q466" s="113"/>
      <c r="R466" s="113"/>
    </row>
    <row r="467" spans="1:18" s="113" customFormat="1" ht="14.65" thickBot="1" x14ac:dyDescent="0.5">
      <c r="B467" s="124"/>
      <c r="C467" s="1137" t="s">
        <v>3490</v>
      </c>
      <c r="D467" s="114" t="s">
        <v>317</v>
      </c>
      <c r="E467" s="114"/>
      <c r="F467" s="114"/>
      <c r="G467" s="114"/>
      <c r="H467" s="114"/>
      <c r="I467" s="124"/>
      <c r="J467" s="1889"/>
    </row>
    <row r="468" spans="1:18" s="113" customFormat="1" ht="14.65" thickBot="1" x14ac:dyDescent="0.5">
      <c r="B468" s="540" t="s">
        <v>0</v>
      </c>
      <c r="C468" s="1138" t="s">
        <v>1</v>
      </c>
      <c r="D468" s="551" t="s">
        <v>841</v>
      </c>
      <c r="E468" s="551" t="s">
        <v>471</v>
      </c>
      <c r="F468" s="551" t="s">
        <v>472</v>
      </c>
      <c r="G468" s="551" t="s">
        <v>2</v>
      </c>
      <c r="H468" s="551" t="s">
        <v>300</v>
      </c>
      <c r="I468" s="550" t="s">
        <v>116</v>
      </c>
      <c r="J468" s="1255" t="s">
        <v>117</v>
      </c>
      <c r="M468" s="2010" t="s">
        <v>3054</v>
      </c>
      <c r="N468" s="2010" t="s">
        <v>3055</v>
      </c>
    </row>
    <row r="469" spans="1:18" s="113" customFormat="1" ht="15.75" x14ac:dyDescent="0.45">
      <c r="B469" s="1897" t="s">
        <v>2127</v>
      </c>
      <c r="C469" s="1921" t="s">
        <v>348</v>
      </c>
      <c r="D469" s="1944">
        <v>0.95</v>
      </c>
      <c r="E469" s="1957">
        <v>0</v>
      </c>
      <c r="F469" s="1957">
        <v>1</v>
      </c>
      <c r="G469" s="1966" t="s">
        <v>3017</v>
      </c>
      <c r="H469" s="1957">
        <v>2</v>
      </c>
      <c r="I469" s="1977"/>
      <c r="J469" s="1996"/>
      <c r="K469" s="2006"/>
      <c r="L469" s="2006"/>
    </row>
    <row r="470" spans="1:18" s="113" customFormat="1" ht="15.75" x14ac:dyDescent="0.45">
      <c r="B470" s="1898" t="s">
        <v>3018</v>
      </c>
      <c r="C470" s="1917" t="s">
        <v>3019</v>
      </c>
      <c r="D470" s="1945">
        <v>0.9</v>
      </c>
      <c r="E470" s="487">
        <v>0</v>
      </c>
      <c r="F470" s="487">
        <v>1</v>
      </c>
      <c r="G470" s="1967" t="s">
        <v>2017</v>
      </c>
      <c r="H470" s="487">
        <v>2</v>
      </c>
      <c r="I470" s="1978"/>
      <c r="J470" s="1997"/>
      <c r="K470" s="2006"/>
      <c r="L470" s="2006"/>
    </row>
    <row r="471" spans="1:18" s="113" customFormat="1" ht="15.75" x14ac:dyDescent="0.45">
      <c r="B471" s="1898" t="s">
        <v>3020</v>
      </c>
      <c r="C471" s="1917" t="s">
        <v>3021</v>
      </c>
      <c r="D471" s="1945">
        <v>0.6</v>
      </c>
      <c r="E471" s="487">
        <v>0</v>
      </c>
      <c r="F471" s="487">
        <v>1</v>
      </c>
      <c r="G471" s="1967" t="s">
        <v>2017</v>
      </c>
      <c r="H471" s="487">
        <v>2</v>
      </c>
      <c r="I471" s="1978"/>
      <c r="J471" s="1997"/>
      <c r="K471" s="2006"/>
      <c r="L471" s="2006"/>
    </row>
    <row r="472" spans="1:18" s="113" customFormat="1" ht="16.149999999999999" thickBot="1" x14ac:dyDescent="0.5">
      <c r="B472" s="1899" t="s">
        <v>3022</v>
      </c>
      <c r="C472" s="1922" t="s">
        <v>3023</v>
      </c>
      <c r="D472" s="1946">
        <v>0.5</v>
      </c>
      <c r="E472" s="1958">
        <v>0</v>
      </c>
      <c r="F472" s="1958">
        <v>1</v>
      </c>
      <c r="G472" s="1968" t="s">
        <v>2017</v>
      </c>
      <c r="H472" s="1958">
        <v>2</v>
      </c>
      <c r="I472" s="1979"/>
      <c r="J472" s="1998"/>
      <c r="K472" s="2006"/>
      <c r="L472" s="2006"/>
    </row>
    <row r="473" spans="1:18" ht="14.65" thickBot="1" x14ac:dyDescent="0.5">
      <c r="C473" s="1046"/>
      <c r="D473" s="1943"/>
      <c r="E473" s="116"/>
      <c r="F473" s="116"/>
      <c r="G473" s="116"/>
      <c r="H473" s="116"/>
      <c r="I473" s="115"/>
      <c r="J473" s="1889"/>
      <c r="K473" s="113"/>
      <c r="L473" s="113"/>
      <c r="M473" s="113"/>
      <c r="N473" s="113"/>
      <c r="O473" s="113"/>
      <c r="P473" s="113"/>
      <c r="Q473" s="113"/>
      <c r="R473" s="113"/>
    </row>
    <row r="474" spans="1:18" s="113" customFormat="1" ht="14.65" thickBot="1" x14ac:dyDescent="0.5">
      <c r="B474" s="124"/>
      <c r="C474" s="1139" t="s">
        <v>2014</v>
      </c>
      <c r="D474" s="114" t="s">
        <v>317</v>
      </c>
      <c r="E474" s="114"/>
      <c r="F474" s="114"/>
      <c r="G474" s="114"/>
      <c r="H474" s="114"/>
      <c r="I474" s="124"/>
      <c r="J474" s="1889"/>
    </row>
    <row r="475" spans="1:18" s="113" customFormat="1" ht="14.65" thickBot="1" x14ac:dyDescent="0.5">
      <c r="B475" s="1018" t="s">
        <v>0</v>
      </c>
      <c r="C475" s="1102" t="s">
        <v>1</v>
      </c>
      <c r="D475" s="139" t="s">
        <v>841</v>
      </c>
      <c r="E475" s="139" t="s">
        <v>471</v>
      </c>
      <c r="F475" s="139" t="s">
        <v>472</v>
      </c>
      <c r="G475" s="139" t="s">
        <v>2</v>
      </c>
      <c r="H475" s="139" t="s">
        <v>300</v>
      </c>
      <c r="I475" s="155" t="s">
        <v>116</v>
      </c>
      <c r="J475" s="1216" t="s">
        <v>117</v>
      </c>
      <c r="M475" s="2011" t="s">
        <v>3054</v>
      </c>
      <c r="N475" s="2011" t="s">
        <v>3055</v>
      </c>
    </row>
    <row r="476" spans="1:18" s="113" customFormat="1" ht="15.75" x14ac:dyDescent="0.45">
      <c r="B476" s="1900" t="s">
        <v>4725</v>
      </c>
      <c r="C476" s="1923" t="s">
        <v>883</v>
      </c>
      <c r="D476" s="1947">
        <v>1.2</v>
      </c>
      <c r="E476" s="1947">
        <v>0</v>
      </c>
      <c r="F476" s="1947" t="s">
        <v>1256</v>
      </c>
      <c r="G476" s="1947" t="s">
        <v>1924</v>
      </c>
      <c r="H476" s="1947">
        <v>1</v>
      </c>
      <c r="I476" s="1980"/>
      <c r="J476" s="1999"/>
      <c r="L476" s="2008" t="s">
        <v>3056</v>
      </c>
      <c r="M476" s="856">
        <f>3*(2*A_MH+A_MO)/(2*(A_MFe+3*(A_MH+A_MO)))</f>
        <v>0.25286491566808916</v>
      </c>
      <c r="N476" s="856">
        <f>3*(2*A_MH+A_MO)/(2*(A_MAl+3*(A_MH+A_MO)))</f>
        <v>0.34643205845069558</v>
      </c>
      <c r="O476" s="421" t="s">
        <v>3053</v>
      </c>
      <c r="P476" s="421" t="s">
        <v>3057</v>
      </c>
    </row>
    <row r="477" spans="1:18" s="113" customFormat="1" ht="15.75" x14ac:dyDescent="0.45">
      <c r="B477" s="565" t="s">
        <v>4726</v>
      </c>
      <c r="C477" s="616" t="s">
        <v>884</v>
      </c>
      <c r="D477" s="1948">
        <v>0.2</v>
      </c>
      <c r="E477" s="1948">
        <v>0</v>
      </c>
      <c r="F477" s="1948" t="s">
        <v>1256</v>
      </c>
      <c r="G477" s="1948" t="s">
        <v>1924</v>
      </c>
      <c r="H477" s="1948">
        <v>1</v>
      </c>
      <c r="I477" s="567"/>
      <c r="J477" s="1993"/>
      <c r="L477" s="2008" t="s">
        <v>3056</v>
      </c>
      <c r="M477" s="113">
        <v>0.17</v>
      </c>
      <c r="N477" s="2012">
        <f>M477*(A_MFe+3*A_MH+3*A_MO)/(A_MAl+3*A_MH+3*A_MO)</f>
        <v>0.23290478942488754</v>
      </c>
      <c r="O477" s="1889" t="s">
        <v>3058</v>
      </c>
      <c r="P477" s="1889" t="s">
        <v>3059</v>
      </c>
    </row>
    <row r="478" spans="1:18" s="113" customFormat="1" ht="15.75" x14ac:dyDescent="0.45">
      <c r="B478" s="1901" t="s">
        <v>3048</v>
      </c>
      <c r="C478" s="1924" t="s">
        <v>3049</v>
      </c>
      <c r="D478" s="1949">
        <v>8.2900000000000001E-2</v>
      </c>
      <c r="E478" s="1949">
        <v>0</v>
      </c>
      <c r="F478" s="1949" t="s">
        <v>1256</v>
      </c>
      <c r="G478" s="1949" t="s">
        <v>3050</v>
      </c>
      <c r="H478" s="1949">
        <v>4</v>
      </c>
      <c r="I478" s="1975"/>
      <c r="J478" s="2000"/>
      <c r="L478" s="2008" t="s">
        <v>3056</v>
      </c>
      <c r="M478" s="2012">
        <f>M476-M477</f>
        <v>8.2864915668089151E-2</v>
      </c>
      <c r="N478" s="2012">
        <f>N476-N477</f>
        <v>0.11352726902580804</v>
      </c>
      <c r="O478" s="1889" t="s">
        <v>3060</v>
      </c>
    </row>
    <row r="479" spans="1:18" s="113" customFormat="1" ht="16.149999999999999" thickBot="1" x14ac:dyDescent="0.5">
      <c r="B479" s="607" t="s">
        <v>3051</v>
      </c>
      <c r="C479" s="619" t="s">
        <v>3052</v>
      </c>
      <c r="D479" s="1950">
        <v>0.17</v>
      </c>
      <c r="E479" s="1950">
        <v>0</v>
      </c>
      <c r="F479" s="1950" t="s">
        <v>1256</v>
      </c>
      <c r="G479" s="1950" t="s">
        <v>3050</v>
      </c>
      <c r="H479" s="1950">
        <v>4</v>
      </c>
      <c r="I479" s="608"/>
      <c r="J479" s="2001" t="s">
        <v>3053</v>
      </c>
    </row>
    <row r="480" spans="1:18" ht="14.65" thickBot="1" x14ac:dyDescent="0.5">
      <c r="C480" s="1046"/>
      <c r="D480" s="1943"/>
      <c r="E480" s="116"/>
      <c r="F480" s="116"/>
      <c r="G480" s="116"/>
      <c r="H480" s="116"/>
      <c r="I480" s="115"/>
      <c r="J480" s="1889"/>
      <c r="K480" s="113"/>
      <c r="L480" s="113"/>
      <c r="M480" s="113"/>
      <c r="N480" s="113"/>
      <c r="O480" s="113"/>
      <c r="P480" s="113"/>
      <c r="Q480" s="113"/>
      <c r="R480" s="113"/>
    </row>
    <row r="481" spans="2:16" s="113" customFormat="1" ht="14.65" thickBot="1" x14ac:dyDescent="0.5">
      <c r="B481" s="124"/>
      <c r="C481" s="1055" t="s">
        <v>4237</v>
      </c>
      <c r="D481" s="114" t="s">
        <v>317</v>
      </c>
      <c r="E481" s="114"/>
      <c r="F481" s="114"/>
      <c r="G481" s="114"/>
      <c r="H481" s="114"/>
      <c r="I481" s="124"/>
      <c r="J481" s="1889"/>
    </row>
    <row r="482" spans="2:16" s="113" customFormat="1" ht="14.65" thickBot="1" x14ac:dyDescent="0.5">
      <c r="B482" s="850" t="s">
        <v>0</v>
      </c>
      <c r="C482" s="1140" t="s">
        <v>1</v>
      </c>
      <c r="D482" s="852" t="s">
        <v>841</v>
      </c>
      <c r="E482" s="852" t="s">
        <v>471</v>
      </c>
      <c r="F482" s="852" t="s">
        <v>472</v>
      </c>
      <c r="G482" s="852" t="s">
        <v>2</v>
      </c>
      <c r="H482" s="852" t="s">
        <v>300</v>
      </c>
      <c r="I482" s="851" t="s">
        <v>116</v>
      </c>
      <c r="J482" s="1256" t="s">
        <v>117</v>
      </c>
      <c r="M482" s="2013" t="s">
        <v>3054</v>
      </c>
      <c r="N482" s="2013" t="s">
        <v>3055</v>
      </c>
    </row>
    <row r="483" spans="2:16" s="113" customFormat="1" ht="15.75" x14ac:dyDescent="0.45">
      <c r="B483" s="853" t="s">
        <v>4238</v>
      </c>
      <c r="C483" s="1141" t="s">
        <v>4239</v>
      </c>
      <c r="D483" s="855">
        <v>1</v>
      </c>
      <c r="E483" s="855">
        <v>0</v>
      </c>
      <c r="F483" s="855" t="s">
        <v>1256</v>
      </c>
      <c r="G483" s="855" t="s">
        <v>4240</v>
      </c>
      <c r="H483" s="855">
        <v>1</v>
      </c>
      <c r="I483" s="854"/>
      <c r="J483" s="1257"/>
      <c r="L483" s="2008" t="s">
        <v>4241</v>
      </c>
      <c r="M483" s="856">
        <f>A_MP/A_MFe</f>
        <v>0.55463805533172172</v>
      </c>
      <c r="N483" s="856">
        <f>A_MP/A_MAl</f>
        <v>1.1479629449808202</v>
      </c>
      <c r="O483" s="366"/>
      <c r="P483" s="366"/>
    </row>
    <row r="484" spans="2:16" s="113" customFormat="1" ht="15.75" x14ac:dyDescent="0.45">
      <c r="B484" s="539" t="s">
        <v>4242</v>
      </c>
      <c r="C484" s="1142" t="s">
        <v>4243</v>
      </c>
      <c r="D484" s="858">
        <v>0.1</v>
      </c>
      <c r="E484" s="858">
        <v>0</v>
      </c>
      <c r="F484" s="858" t="s">
        <v>1256</v>
      </c>
      <c r="G484" s="858" t="s">
        <v>4240</v>
      </c>
      <c r="H484" s="858">
        <v>1</v>
      </c>
      <c r="I484" s="857"/>
      <c r="J484" s="937"/>
      <c r="L484" s="2008" t="s">
        <v>4244</v>
      </c>
      <c r="M484" s="856">
        <f>(A_MFe+3*(A_MH+A_MO))/A_MFe</f>
        <v>1.9136363147998925</v>
      </c>
      <c r="N484" s="856">
        <f>(A_MAl+3*(A_MH+A_MO))/A_MP</f>
        <v>2.5183740837269033</v>
      </c>
      <c r="O484" s="366"/>
      <c r="P484" s="366"/>
    </row>
    <row r="485" spans="2:16" s="113" customFormat="1" ht="15.75" x14ac:dyDescent="0.45">
      <c r="B485" s="859" t="s">
        <v>4245</v>
      </c>
      <c r="C485" s="1143" t="s">
        <v>4246</v>
      </c>
      <c r="D485" s="861">
        <v>0.17321602922534779</v>
      </c>
      <c r="E485" s="862">
        <v>0</v>
      </c>
      <c r="F485" s="862" t="s">
        <v>1256</v>
      </c>
      <c r="G485" s="862" t="s">
        <v>4247</v>
      </c>
      <c r="H485" s="862">
        <v>4</v>
      </c>
      <c r="I485" s="860"/>
      <c r="J485" s="1258"/>
      <c r="L485" s="2008" t="s">
        <v>4248</v>
      </c>
      <c r="M485" s="856">
        <f>(A_MFe+A_MP+4*A_MO)/A_MFe</f>
        <v>2.7006242671680543</v>
      </c>
      <c r="N485" s="856">
        <f>(A_MAl+A_MP+4*A_MO)/A_MP</f>
        <v>3.9372957476893138</v>
      </c>
      <c r="O485" s="366"/>
      <c r="P485" s="863"/>
    </row>
    <row r="486" spans="2:16" s="113" customFormat="1" ht="16.149999999999999" thickBot="1" x14ac:dyDescent="0.5">
      <c r="B486" s="864" t="s">
        <v>4249</v>
      </c>
      <c r="C486" s="1144" t="s">
        <v>4250</v>
      </c>
      <c r="D486" s="866">
        <v>0.34643205845069558</v>
      </c>
      <c r="E486" s="867">
        <v>0</v>
      </c>
      <c r="F486" s="867" t="s">
        <v>1256</v>
      </c>
      <c r="G486" s="867" t="s">
        <v>4247</v>
      </c>
      <c r="H486" s="867">
        <v>4</v>
      </c>
      <c r="I486" s="865"/>
      <c r="J486" s="967" t="s">
        <v>4251</v>
      </c>
      <c r="L486" s="2008"/>
      <c r="M486" s="856"/>
      <c r="N486" s="856"/>
      <c r="O486" s="868"/>
      <c r="P486" s="863"/>
    </row>
    <row r="487" spans="2:16" s="113" customFormat="1" ht="14.65" thickBot="1" x14ac:dyDescent="0.5">
      <c r="B487" s="1890"/>
      <c r="C487" s="1046"/>
      <c r="D487" s="1932"/>
      <c r="E487" s="116"/>
      <c r="F487" s="116"/>
      <c r="G487" s="116"/>
      <c r="H487" s="116"/>
      <c r="I487" s="115"/>
      <c r="J487" s="1889"/>
    </row>
    <row r="488" spans="2:16" s="113" customFormat="1" ht="14.65" thickBot="1" x14ac:dyDescent="0.5">
      <c r="B488" s="124"/>
      <c r="C488" s="1139" t="s">
        <v>1255</v>
      </c>
      <c r="D488" s="114" t="s">
        <v>301</v>
      </c>
      <c r="E488" s="114"/>
      <c r="F488" s="114"/>
      <c r="G488" s="114"/>
      <c r="H488" s="114"/>
      <c r="I488" s="124"/>
      <c r="J488" s="1889"/>
    </row>
    <row r="489" spans="2:16" s="113" customFormat="1" ht="14.65" thickBot="1" x14ac:dyDescent="0.5">
      <c r="B489" s="1038" t="s">
        <v>0</v>
      </c>
      <c r="C489" s="1145" t="s">
        <v>1</v>
      </c>
      <c r="D489" s="268" t="s">
        <v>841</v>
      </c>
      <c r="E489" s="268" t="s">
        <v>471</v>
      </c>
      <c r="F489" s="268" t="s">
        <v>472</v>
      </c>
      <c r="G489" s="268" t="s">
        <v>2</v>
      </c>
      <c r="H489" s="268" t="s">
        <v>300</v>
      </c>
      <c r="I489" s="1259" t="s">
        <v>116</v>
      </c>
      <c r="J489" s="1260" t="s">
        <v>117</v>
      </c>
    </row>
    <row r="490" spans="2:16" s="113" customFormat="1" ht="15.75" x14ac:dyDescent="0.55000000000000004">
      <c r="B490" s="1902" t="s">
        <v>3627</v>
      </c>
      <c r="C490" s="1925" t="s">
        <v>3625</v>
      </c>
      <c r="D490" s="1951">
        <v>13</v>
      </c>
      <c r="E490" s="1951">
        <v>0</v>
      </c>
      <c r="F490" s="1951" t="s">
        <v>1256</v>
      </c>
      <c r="G490" s="1951" t="s">
        <v>3240</v>
      </c>
      <c r="H490" s="1951">
        <v>2</v>
      </c>
      <c r="I490" s="1981"/>
      <c r="J490" s="2002"/>
    </row>
    <row r="491" spans="2:16" s="113" customFormat="1" ht="15.75" x14ac:dyDescent="0.55000000000000004">
      <c r="B491" s="1903" t="s">
        <v>3628</v>
      </c>
      <c r="C491" s="1926" t="s">
        <v>3626</v>
      </c>
      <c r="D491" s="1952">
        <v>7.6</v>
      </c>
      <c r="E491" s="1952">
        <v>0</v>
      </c>
      <c r="F491" s="1952" t="s">
        <v>1256</v>
      </c>
      <c r="G491" s="1952" t="s">
        <v>3240</v>
      </c>
      <c r="H491" s="1952">
        <v>2</v>
      </c>
      <c r="I491" s="1982"/>
      <c r="J491" s="1997"/>
    </row>
    <row r="492" spans="2:16" s="113" customFormat="1" ht="15.75" x14ac:dyDescent="0.45">
      <c r="B492" s="1904" t="s">
        <v>3395</v>
      </c>
      <c r="C492" s="1927" t="s">
        <v>2697</v>
      </c>
      <c r="D492" s="1939">
        <v>1</v>
      </c>
      <c r="E492" s="1939">
        <v>0</v>
      </c>
      <c r="F492" s="1939" t="s">
        <v>1256</v>
      </c>
      <c r="G492" s="1939" t="s">
        <v>283</v>
      </c>
      <c r="H492" s="1939">
        <v>2</v>
      </c>
      <c r="I492" s="1974"/>
      <c r="J492" s="1992"/>
    </row>
    <row r="493" spans="2:16" s="113" customFormat="1" ht="15.75" x14ac:dyDescent="0.45">
      <c r="B493" s="1904" t="s">
        <v>3800</v>
      </c>
      <c r="C493" s="1927" t="s">
        <v>3801</v>
      </c>
      <c r="D493" s="1939">
        <v>1</v>
      </c>
      <c r="E493" s="1939">
        <v>0</v>
      </c>
      <c r="F493" s="1939" t="s">
        <v>1256</v>
      </c>
      <c r="G493" s="1939" t="s">
        <v>283</v>
      </c>
      <c r="H493" s="1939">
        <v>2</v>
      </c>
      <c r="I493" s="1974"/>
      <c r="J493" s="1992"/>
    </row>
    <row r="494" spans="2:16" s="113" customFormat="1" ht="15.75" x14ac:dyDescent="0.45">
      <c r="B494" s="1904" t="s">
        <v>3803</v>
      </c>
      <c r="C494" s="1927" t="s">
        <v>3802</v>
      </c>
      <c r="D494" s="1939">
        <v>0</v>
      </c>
      <c r="E494" s="1939">
        <v>0</v>
      </c>
      <c r="F494" s="1939" t="s">
        <v>1256</v>
      </c>
      <c r="G494" s="1939" t="s">
        <v>283</v>
      </c>
      <c r="H494" s="1939">
        <v>2</v>
      </c>
      <c r="I494" s="1974"/>
      <c r="J494" s="1992"/>
    </row>
    <row r="495" spans="2:16" s="113" customFormat="1" ht="15.75" x14ac:dyDescent="0.45">
      <c r="B495" s="1905" t="s">
        <v>3396</v>
      </c>
      <c r="C495" s="1928" t="s">
        <v>2698</v>
      </c>
      <c r="D495" s="487">
        <v>1</v>
      </c>
      <c r="E495" s="1939">
        <v>0</v>
      </c>
      <c r="F495" s="1939" t="s">
        <v>1256</v>
      </c>
      <c r="G495" s="487" t="s">
        <v>283</v>
      </c>
      <c r="H495" s="487">
        <v>2</v>
      </c>
      <c r="I495" s="1978"/>
      <c r="J495" s="2003"/>
    </row>
    <row r="496" spans="2:16" s="113" customFormat="1" ht="15.75" x14ac:dyDescent="0.45">
      <c r="B496" s="1905" t="s">
        <v>3397</v>
      </c>
      <c r="C496" s="1928" t="s">
        <v>2699</v>
      </c>
      <c r="D496" s="487">
        <v>1</v>
      </c>
      <c r="E496" s="1939">
        <v>0</v>
      </c>
      <c r="F496" s="1939" t="s">
        <v>1256</v>
      </c>
      <c r="G496" s="487" t="s">
        <v>283</v>
      </c>
      <c r="H496" s="487">
        <v>2</v>
      </c>
      <c r="I496" s="1978"/>
      <c r="J496" s="2003"/>
    </row>
    <row r="497" spans="1:10" s="113" customFormat="1" ht="15.75" x14ac:dyDescent="0.45">
      <c r="B497" s="1905" t="s">
        <v>3398</v>
      </c>
      <c r="C497" s="1928" t="s">
        <v>2700</v>
      </c>
      <c r="D497" s="487">
        <v>1</v>
      </c>
      <c r="E497" s="1959">
        <v>0</v>
      </c>
      <c r="F497" s="1939" t="s">
        <v>1256</v>
      </c>
      <c r="G497" s="487" t="s">
        <v>283</v>
      </c>
      <c r="H497" s="487">
        <v>2</v>
      </c>
      <c r="I497" s="1978"/>
      <c r="J497" s="2003"/>
    </row>
    <row r="498" spans="1:10" ht="15.75" x14ac:dyDescent="0.45">
      <c r="B498" s="2465" t="s">
        <v>5346</v>
      </c>
      <c r="C498" s="1917" t="s">
        <v>5347</v>
      </c>
      <c r="D498" s="2466">
        <v>1</v>
      </c>
      <c r="E498" s="2466">
        <v>0</v>
      </c>
      <c r="F498" s="2466" t="s">
        <v>1256</v>
      </c>
      <c r="G498" s="2466" t="s">
        <v>283</v>
      </c>
      <c r="H498" s="2466">
        <v>2</v>
      </c>
      <c r="I498" s="2066"/>
      <c r="J498" s="2176"/>
    </row>
    <row r="499" spans="1:10" s="113" customFormat="1" ht="16.149999999999999" thickBot="1" x14ac:dyDescent="0.5">
      <c r="B499" s="1906" t="s">
        <v>3399</v>
      </c>
      <c r="C499" s="1929" t="s">
        <v>2701</v>
      </c>
      <c r="D499" s="424">
        <v>0.05</v>
      </c>
      <c r="E499" s="424">
        <v>0</v>
      </c>
      <c r="F499" s="424" t="s">
        <v>1256</v>
      </c>
      <c r="G499" s="424" t="s">
        <v>283</v>
      </c>
      <c r="H499" s="424">
        <v>2</v>
      </c>
      <c r="I499" s="1983"/>
      <c r="J499" s="2004" t="s">
        <v>3400</v>
      </c>
    </row>
    <row r="500" spans="1:10" ht="15.75" x14ac:dyDescent="0.45">
      <c r="B500" s="1907" t="s">
        <v>4252</v>
      </c>
      <c r="C500" s="1926" t="s">
        <v>4253</v>
      </c>
      <c r="D500" s="1952">
        <v>1.6999999999999999E-3</v>
      </c>
      <c r="E500" s="1952">
        <v>0</v>
      </c>
      <c r="F500" s="1952" t="s">
        <v>1256</v>
      </c>
      <c r="G500" s="1952" t="s">
        <v>4254</v>
      </c>
      <c r="H500" s="1952">
        <v>4</v>
      </c>
      <c r="I500" s="1982"/>
      <c r="J500" s="1997"/>
    </row>
    <row r="501" spans="1:10" ht="15.75" x14ac:dyDescent="0.45">
      <c r="B501" s="1907" t="s">
        <v>4255</v>
      </c>
      <c r="C501" s="1926" t="s">
        <v>4256</v>
      </c>
      <c r="D501" s="1952">
        <v>1</v>
      </c>
      <c r="E501" s="1952">
        <v>0</v>
      </c>
      <c r="F501" s="1952">
        <v>1</v>
      </c>
      <c r="G501" s="1952" t="s">
        <v>2017</v>
      </c>
      <c r="H501" s="1952">
        <v>1</v>
      </c>
      <c r="I501" s="1982"/>
      <c r="J501" s="1997"/>
    </row>
    <row r="502" spans="1:10" ht="15.75" x14ac:dyDescent="0.45">
      <c r="B502" s="1907" t="s">
        <v>4257</v>
      </c>
      <c r="C502" s="1926" t="s">
        <v>4258</v>
      </c>
      <c r="D502" s="1952">
        <v>0.05</v>
      </c>
      <c r="E502" s="1952">
        <v>0</v>
      </c>
      <c r="F502" s="1952" t="s">
        <v>1256</v>
      </c>
      <c r="G502" s="1948" t="s">
        <v>2229</v>
      </c>
      <c r="H502" s="1952">
        <v>2</v>
      </c>
      <c r="I502" s="1982"/>
      <c r="J502" s="1997"/>
    </row>
    <row r="503" spans="1:10" ht="15.75" x14ac:dyDescent="0.45">
      <c r="B503" s="1907" t="s">
        <v>4259</v>
      </c>
      <c r="C503" s="1926" t="s">
        <v>4260</v>
      </c>
      <c r="D503" s="1952">
        <v>2.5</v>
      </c>
      <c r="E503" s="1952">
        <v>0</v>
      </c>
      <c r="F503" s="1952" t="s">
        <v>1256</v>
      </c>
      <c r="G503" s="1952" t="s">
        <v>2017</v>
      </c>
      <c r="H503" s="1952">
        <v>1</v>
      </c>
      <c r="I503" s="1982"/>
      <c r="J503" s="1997"/>
    </row>
    <row r="504" spans="1:10" ht="15.75" x14ac:dyDescent="0.45">
      <c r="B504" s="1907" t="s">
        <v>4261</v>
      </c>
      <c r="C504" s="1926" t="s">
        <v>4262</v>
      </c>
      <c r="D504" s="1952">
        <v>3</v>
      </c>
      <c r="E504" s="1952">
        <v>0</v>
      </c>
      <c r="F504" s="1952" t="s">
        <v>1256</v>
      </c>
      <c r="G504" s="1952" t="s">
        <v>2017</v>
      </c>
      <c r="H504" s="1952">
        <v>1</v>
      </c>
      <c r="I504" s="1982"/>
      <c r="J504" s="1997"/>
    </row>
    <row r="505" spans="1:10" ht="15.75" x14ac:dyDescent="0.45">
      <c r="B505" s="1907" t="s">
        <v>4263</v>
      </c>
      <c r="C505" s="1926" t="s">
        <v>4264</v>
      </c>
      <c r="D505" s="1952">
        <v>9</v>
      </c>
      <c r="E505" s="1952">
        <v>0</v>
      </c>
      <c r="F505" s="1952" t="s">
        <v>1256</v>
      </c>
      <c r="G505" s="1952" t="s">
        <v>2017</v>
      </c>
      <c r="H505" s="1952">
        <v>1</v>
      </c>
      <c r="I505" s="1982"/>
      <c r="J505" s="1997"/>
    </row>
    <row r="506" spans="1:10" ht="15.75" x14ac:dyDescent="0.45">
      <c r="B506" s="1907" t="s">
        <v>4265</v>
      </c>
      <c r="C506" s="1926" t="s">
        <v>4266</v>
      </c>
      <c r="D506" s="1952">
        <v>-7.1099999999999997E-2</v>
      </c>
      <c r="E506" s="1960" t="s">
        <v>2243</v>
      </c>
      <c r="F506" s="1952" t="s">
        <v>1256</v>
      </c>
      <c r="G506" s="1952" t="s">
        <v>4267</v>
      </c>
      <c r="H506" s="1952">
        <v>4</v>
      </c>
      <c r="I506" s="1982"/>
      <c r="J506" s="1997"/>
    </row>
    <row r="507" spans="1:10" ht="15.75" x14ac:dyDescent="0.45">
      <c r="B507" s="1907" t="s">
        <v>4268</v>
      </c>
      <c r="C507" s="1926" t="s">
        <v>4269</v>
      </c>
      <c r="D507" s="1952">
        <v>-4.7399999999999998E-2</v>
      </c>
      <c r="E507" s="1960">
        <v>0</v>
      </c>
      <c r="F507" s="1952" t="s">
        <v>1256</v>
      </c>
      <c r="G507" s="1952" t="s">
        <v>4267</v>
      </c>
      <c r="H507" s="1952">
        <v>4</v>
      </c>
      <c r="I507" s="1982"/>
      <c r="J507" s="1997"/>
    </row>
    <row r="508" spans="1:10" ht="15.75" x14ac:dyDescent="0.45">
      <c r="B508" s="1907" t="s">
        <v>4270</v>
      </c>
      <c r="C508" s="1926" t="s">
        <v>4271</v>
      </c>
      <c r="D508" s="1952">
        <v>-7.8700000000000005E-4</v>
      </c>
      <c r="E508" s="1960" t="s">
        <v>2243</v>
      </c>
      <c r="F508" s="1952" t="s">
        <v>1256</v>
      </c>
      <c r="G508" s="1952" t="s">
        <v>4272</v>
      </c>
      <c r="H508" s="1952">
        <v>6</v>
      </c>
      <c r="I508" s="1982"/>
      <c r="J508" s="1997"/>
    </row>
    <row r="509" spans="1:10" ht="15.75" x14ac:dyDescent="0.45">
      <c r="B509" s="1907" t="s">
        <v>4273</v>
      </c>
      <c r="C509" s="1926" t="s">
        <v>4274</v>
      </c>
      <c r="D509" s="1952">
        <v>2.3199999999999998E-2</v>
      </c>
      <c r="E509" s="1960" t="s">
        <v>2243</v>
      </c>
      <c r="F509" s="1952" t="s">
        <v>1256</v>
      </c>
      <c r="G509" s="1952" t="s">
        <v>4267</v>
      </c>
      <c r="H509" s="1952">
        <v>4</v>
      </c>
      <c r="I509" s="1982"/>
      <c r="J509" s="1997"/>
    </row>
    <row r="510" spans="1:10" ht="16.149999999999999" thickBot="1" x14ac:dyDescent="0.5">
      <c r="B510" s="1908" t="s">
        <v>4275</v>
      </c>
      <c r="C510" s="1930" t="s">
        <v>4276</v>
      </c>
      <c r="D510" s="1953">
        <v>0.877</v>
      </c>
      <c r="E510" s="1953">
        <v>0</v>
      </c>
      <c r="F510" s="1953" t="s">
        <v>1256</v>
      </c>
      <c r="G510" s="1953" t="s">
        <v>2017</v>
      </c>
      <c r="H510" s="1953">
        <v>3</v>
      </c>
      <c r="I510" s="1984"/>
      <c r="J510" s="2005"/>
    </row>
    <row r="511" spans="1:10" ht="14.65" thickBot="1" x14ac:dyDescent="0.5">
      <c r="A511" s="113"/>
      <c r="B511" s="148"/>
      <c r="C511" s="45"/>
      <c r="D511" s="1954"/>
      <c r="E511" s="1954"/>
      <c r="F511" s="1954"/>
      <c r="G511" s="1954"/>
      <c r="H511" s="1954"/>
      <c r="I511" s="148"/>
      <c r="J511" s="148"/>
    </row>
    <row r="512" spans="1:10" ht="14.65" thickBot="1" x14ac:dyDescent="0.5">
      <c r="C512" s="347" t="s">
        <v>2197</v>
      </c>
      <c r="D512" s="114" t="s">
        <v>301</v>
      </c>
      <c r="J512" s="1889"/>
    </row>
    <row r="513" spans="1:10" ht="14.65" thickBot="1" x14ac:dyDescent="0.5">
      <c r="B513" s="321" t="s">
        <v>0</v>
      </c>
      <c r="C513" s="1146" t="s">
        <v>1</v>
      </c>
      <c r="D513" s="348" t="s">
        <v>841</v>
      </c>
      <c r="E513" s="348" t="s">
        <v>471</v>
      </c>
      <c r="F513" s="348" t="s">
        <v>472</v>
      </c>
      <c r="G513" s="348" t="s">
        <v>2</v>
      </c>
      <c r="H513" s="348" t="s">
        <v>300</v>
      </c>
      <c r="I513" s="1261" t="s">
        <v>116</v>
      </c>
      <c r="J513" s="322" t="s">
        <v>117</v>
      </c>
    </row>
    <row r="514" spans="1:10" ht="15.75" x14ac:dyDescent="0.45">
      <c r="B514" s="1900" t="s">
        <v>2198</v>
      </c>
      <c r="C514" s="1923" t="s">
        <v>2199</v>
      </c>
      <c r="D514" s="1947">
        <v>-300</v>
      </c>
      <c r="E514" s="1947" t="s">
        <v>2243</v>
      </c>
      <c r="F514" s="1947" t="s">
        <v>1256</v>
      </c>
      <c r="G514" s="1947" t="s">
        <v>2200</v>
      </c>
      <c r="H514" s="1947">
        <v>1</v>
      </c>
      <c r="I514" s="1980"/>
      <c r="J514" s="1999"/>
    </row>
    <row r="515" spans="1:10" ht="15.75" x14ac:dyDescent="0.45">
      <c r="B515" s="565" t="s">
        <v>2234</v>
      </c>
      <c r="C515" s="616" t="s">
        <v>2235</v>
      </c>
      <c r="D515" s="1948">
        <v>300</v>
      </c>
      <c r="E515" s="1948">
        <v>0</v>
      </c>
      <c r="F515" s="1948" t="s">
        <v>1256</v>
      </c>
      <c r="G515" s="1948" t="s">
        <v>2200</v>
      </c>
      <c r="H515" s="1948">
        <v>1</v>
      </c>
      <c r="I515" s="567"/>
      <c r="J515" s="1993"/>
    </row>
    <row r="516" spans="1:10" ht="15.75" x14ac:dyDescent="0.45">
      <c r="B516" s="565" t="s">
        <v>2236</v>
      </c>
      <c r="C516" s="616" t="s">
        <v>2237</v>
      </c>
      <c r="D516" s="1948">
        <v>70</v>
      </c>
      <c r="E516" s="1948">
        <v>0</v>
      </c>
      <c r="F516" s="1948" t="s">
        <v>1256</v>
      </c>
      <c r="G516" s="1948" t="s">
        <v>2200</v>
      </c>
      <c r="H516" s="1948">
        <v>1</v>
      </c>
      <c r="I516" s="567"/>
      <c r="J516" s="1993"/>
    </row>
    <row r="517" spans="1:10" ht="15.75" x14ac:dyDescent="0.45">
      <c r="B517" s="565" t="s">
        <v>2201</v>
      </c>
      <c r="C517" s="616" t="s">
        <v>2202</v>
      </c>
      <c r="D517" s="1948">
        <v>0.05</v>
      </c>
      <c r="E517" s="1948">
        <v>0</v>
      </c>
      <c r="F517" s="1948" t="s">
        <v>1256</v>
      </c>
      <c r="G517" s="1948" t="s">
        <v>2229</v>
      </c>
      <c r="H517" s="1948">
        <v>1</v>
      </c>
      <c r="I517" s="567"/>
      <c r="J517" s="1993"/>
    </row>
    <row r="518" spans="1:10" ht="15.75" x14ac:dyDescent="0.45">
      <c r="B518" s="565" t="s">
        <v>2203</v>
      </c>
      <c r="C518" s="616" t="s">
        <v>2204</v>
      </c>
      <c r="D518" s="1948">
        <v>0.1</v>
      </c>
      <c r="E518" s="1948">
        <v>0</v>
      </c>
      <c r="F518" s="1948" t="s">
        <v>1256</v>
      </c>
      <c r="G518" s="1948" t="s">
        <v>886</v>
      </c>
      <c r="H518" s="1948">
        <v>1</v>
      </c>
      <c r="I518" s="567"/>
      <c r="J518" s="1993"/>
    </row>
    <row r="519" spans="1:10" ht="16.149999999999999" thickBot="1" x14ac:dyDescent="0.5">
      <c r="B519" s="2467" t="s">
        <v>5348</v>
      </c>
      <c r="C519" s="2468" t="s">
        <v>5349</v>
      </c>
      <c r="D519" s="2469">
        <v>5</v>
      </c>
      <c r="E519" s="2469">
        <v>0</v>
      </c>
      <c r="F519" s="2469" t="s">
        <v>1256</v>
      </c>
      <c r="G519" s="2469" t="s">
        <v>1182</v>
      </c>
      <c r="H519" s="2469"/>
      <c r="I519" s="2470"/>
      <c r="J519" s="2471"/>
    </row>
    <row r="520" spans="1:10" ht="14.65" thickBot="1" x14ac:dyDescent="0.5"/>
    <row r="521" spans="1:10" ht="14.65" thickBot="1" x14ac:dyDescent="0.5">
      <c r="A521" s="113"/>
      <c r="C521" s="954" t="s">
        <v>4951</v>
      </c>
      <c r="D521" s="114" t="s">
        <v>319</v>
      </c>
      <c r="J521" s="1889"/>
    </row>
    <row r="522" spans="1:10" ht="14.65" thickBot="1" x14ac:dyDescent="0.5">
      <c r="A522" s="113"/>
      <c r="B522" s="475" t="s">
        <v>0</v>
      </c>
      <c r="C522" s="1147" t="s">
        <v>1</v>
      </c>
      <c r="D522" s="499" t="s">
        <v>841</v>
      </c>
      <c r="E522" s="499" t="s">
        <v>471</v>
      </c>
      <c r="F522" s="499" t="s">
        <v>472</v>
      </c>
      <c r="G522" s="499" t="s">
        <v>2</v>
      </c>
      <c r="H522" s="499" t="s">
        <v>300</v>
      </c>
      <c r="I522" s="1262" t="s">
        <v>116</v>
      </c>
      <c r="J522" s="476" t="s">
        <v>117</v>
      </c>
    </row>
    <row r="523" spans="1:10" s="124" customFormat="1" ht="30" x14ac:dyDescent="0.45">
      <c r="B523" s="1039" t="s">
        <v>1892</v>
      </c>
      <c r="C523" s="1148" t="s">
        <v>3671</v>
      </c>
      <c r="D523" s="500">
        <v>0.2</v>
      </c>
      <c r="E523" s="501">
        <v>0</v>
      </c>
      <c r="F523" s="501">
        <v>1</v>
      </c>
      <c r="G523" s="500" t="s">
        <v>381</v>
      </c>
      <c r="H523" s="502">
        <v>3</v>
      </c>
      <c r="I523" s="1756"/>
      <c r="J523" s="1548" t="s">
        <v>1893</v>
      </c>
    </row>
    <row r="524" spans="1:10" s="124" customFormat="1" ht="16.149999999999999" thickBot="1" x14ac:dyDescent="0.5">
      <c r="B524" s="496" t="s">
        <v>3421</v>
      </c>
      <c r="C524" s="1149" t="s">
        <v>3422</v>
      </c>
      <c r="D524" s="503">
        <v>-1E-3</v>
      </c>
      <c r="E524" s="504" t="s">
        <v>2243</v>
      </c>
      <c r="F524" s="504" t="s">
        <v>1256</v>
      </c>
      <c r="G524" s="503" t="s">
        <v>2017</v>
      </c>
      <c r="H524" s="505">
        <v>3</v>
      </c>
      <c r="I524" s="1755"/>
      <c r="J524" s="498"/>
    </row>
    <row r="525" spans="1:10" s="124" customFormat="1" ht="15.75" x14ac:dyDescent="0.45">
      <c r="B525" s="1774" t="s">
        <v>4954</v>
      </c>
      <c r="C525" s="1775" t="s">
        <v>4959</v>
      </c>
      <c r="D525" s="1776">
        <v>0.02</v>
      </c>
      <c r="E525" s="1777">
        <v>0</v>
      </c>
      <c r="F525" s="1777" t="s">
        <v>1256</v>
      </c>
      <c r="G525" s="1776" t="s">
        <v>381</v>
      </c>
      <c r="H525" s="1778">
        <v>1</v>
      </c>
      <c r="I525" s="1775"/>
      <c r="J525" s="1779"/>
    </row>
    <row r="526" spans="1:10" s="124" customFormat="1" ht="15.75" x14ac:dyDescent="0.45">
      <c r="B526" s="1787" t="s">
        <v>4955</v>
      </c>
      <c r="C526" s="1786" t="s">
        <v>4960</v>
      </c>
      <c r="D526" s="1788">
        <v>0.1</v>
      </c>
      <c r="E526" s="1789">
        <v>0</v>
      </c>
      <c r="F526" s="1789" t="s">
        <v>1256</v>
      </c>
      <c r="G526" s="1788" t="s">
        <v>381</v>
      </c>
      <c r="H526" s="1790">
        <v>1</v>
      </c>
      <c r="I526" s="1786"/>
      <c r="J526" s="1791"/>
    </row>
    <row r="527" spans="1:10" s="124" customFormat="1" ht="16.149999999999999" thickBot="1" x14ac:dyDescent="0.5">
      <c r="B527" s="1780" t="s">
        <v>4957</v>
      </c>
      <c r="C527" s="1781" t="s">
        <v>4958</v>
      </c>
      <c r="D527" s="1782">
        <v>0.1</v>
      </c>
      <c r="E527" s="1783">
        <v>0</v>
      </c>
      <c r="F527" s="1783" t="s">
        <v>1256</v>
      </c>
      <c r="G527" s="1782" t="s">
        <v>381</v>
      </c>
      <c r="H527" s="1784">
        <v>1</v>
      </c>
      <c r="I527" s="1781"/>
      <c r="J527" s="1785"/>
    </row>
    <row r="528" spans="1:10" ht="14.65" thickBot="1" x14ac:dyDescent="0.5">
      <c r="B528" s="370"/>
    </row>
    <row r="529" spans="1:10" ht="14.65" thickBot="1" x14ac:dyDescent="0.5">
      <c r="A529" s="113"/>
      <c r="C529" s="1150" t="s">
        <v>4277</v>
      </c>
      <c r="D529" s="114" t="s">
        <v>319</v>
      </c>
      <c r="J529" s="1889"/>
    </row>
    <row r="530" spans="1:10" ht="14.65" thickBot="1" x14ac:dyDescent="0.5">
      <c r="A530" s="113"/>
      <c r="B530" s="869" t="s">
        <v>0</v>
      </c>
      <c r="C530" s="1151" t="s">
        <v>1</v>
      </c>
      <c r="D530" s="870" t="s">
        <v>841</v>
      </c>
      <c r="E530" s="870" t="s">
        <v>471</v>
      </c>
      <c r="F530" s="870" t="s">
        <v>472</v>
      </c>
      <c r="G530" s="870" t="s">
        <v>2</v>
      </c>
      <c r="H530" s="870" t="s">
        <v>300</v>
      </c>
      <c r="I530" s="1263" t="s">
        <v>116</v>
      </c>
      <c r="J530" s="1264" t="s">
        <v>117</v>
      </c>
    </row>
    <row r="531" spans="1:10" s="124" customFormat="1" ht="15.75" x14ac:dyDescent="0.45">
      <c r="B531" s="871" t="s">
        <v>4278</v>
      </c>
      <c r="C531" s="1152" t="s">
        <v>4278</v>
      </c>
      <c r="D531" s="872">
        <v>0.33444800000000002</v>
      </c>
      <c r="E531" s="873" t="s">
        <v>2243</v>
      </c>
      <c r="F531" s="873" t="s">
        <v>1256</v>
      </c>
      <c r="G531" s="872" t="s">
        <v>4279</v>
      </c>
      <c r="H531" s="874">
        <v>6</v>
      </c>
      <c r="I531" s="674"/>
      <c r="J531" s="675"/>
    </row>
    <row r="532" spans="1:10" s="124" customFormat="1" ht="16.149999999999999" thickBot="1" x14ac:dyDescent="0.5">
      <c r="B532" s="496" t="s">
        <v>4280</v>
      </c>
      <c r="C532" s="1149" t="s">
        <v>4280</v>
      </c>
      <c r="D532" s="503">
        <v>2.42475</v>
      </c>
      <c r="E532" s="504" t="s">
        <v>2243</v>
      </c>
      <c r="F532" s="504" t="s">
        <v>1256</v>
      </c>
      <c r="G532" s="503" t="s">
        <v>4281</v>
      </c>
      <c r="H532" s="505">
        <v>6</v>
      </c>
      <c r="I532" s="497"/>
      <c r="J532" s="498"/>
    </row>
    <row r="533" spans="1:10" ht="14.65" thickBot="1" x14ac:dyDescent="0.5"/>
    <row r="534" spans="1:10" ht="14.65" thickBot="1" x14ac:dyDescent="0.5">
      <c r="C534" s="1150" t="s">
        <v>4282</v>
      </c>
      <c r="D534" s="114" t="s">
        <v>317</v>
      </c>
      <c r="J534" s="1889"/>
    </row>
    <row r="535" spans="1:10" ht="14.65" thickBot="1" x14ac:dyDescent="0.5">
      <c r="B535" s="875" t="s">
        <v>0</v>
      </c>
      <c r="C535" s="1153" t="s">
        <v>1</v>
      </c>
      <c r="D535" s="877" t="s">
        <v>841</v>
      </c>
      <c r="E535" s="877" t="s">
        <v>471</v>
      </c>
      <c r="F535" s="877" t="s">
        <v>472</v>
      </c>
      <c r="G535" s="877" t="s">
        <v>2</v>
      </c>
      <c r="H535" s="877" t="s">
        <v>300</v>
      </c>
      <c r="I535" s="876" t="s">
        <v>116</v>
      </c>
      <c r="J535" s="1265" t="s">
        <v>117</v>
      </c>
    </row>
    <row r="536" spans="1:10" ht="16.149999999999999" thickBot="1" x14ac:dyDescent="0.5">
      <c r="B536" s="1285" t="s">
        <v>4283</v>
      </c>
      <c r="C536" s="1286" t="s">
        <v>4284</v>
      </c>
      <c r="D536" s="1287">
        <v>2.33</v>
      </c>
      <c r="E536" s="1288">
        <v>0</v>
      </c>
      <c r="F536" s="1288">
        <v>5</v>
      </c>
      <c r="G536" s="1288" t="s">
        <v>4285</v>
      </c>
      <c r="H536" s="1288">
        <v>2</v>
      </c>
      <c r="I536" s="1289"/>
      <c r="J536" s="1290" t="s">
        <v>4286</v>
      </c>
    </row>
    <row r="537" spans="1:10" ht="14.65" thickBot="1" x14ac:dyDescent="0.5"/>
    <row r="538" spans="1:10" ht="14.65" thickBot="1" x14ac:dyDescent="0.5">
      <c r="C538" s="1150" t="s">
        <v>4287</v>
      </c>
      <c r="D538" s="114" t="s">
        <v>317</v>
      </c>
      <c r="J538" s="1889"/>
    </row>
    <row r="539" spans="1:10" ht="14.65" thickBot="1" x14ac:dyDescent="0.5">
      <c r="B539" s="875" t="s">
        <v>0</v>
      </c>
      <c r="C539" s="1153" t="s">
        <v>1</v>
      </c>
      <c r="D539" s="877" t="s">
        <v>841</v>
      </c>
      <c r="E539" s="877" t="s">
        <v>471</v>
      </c>
      <c r="F539" s="877" t="s">
        <v>472</v>
      </c>
      <c r="G539" s="877" t="s">
        <v>2</v>
      </c>
      <c r="H539" s="877" t="s">
        <v>300</v>
      </c>
      <c r="I539" s="876" t="s">
        <v>116</v>
      </c>
      <c r="J539" s="1265" t="s">
        <v>117</v>
      </c>
    </row>
    <row r="540" spans="1:10" ht="15.75" x14ac:dyDescent="0.45">
      <c r="B540" s="1267" t="s">
        <v>4288</v>
      </c>
      <c r="C540" s="1268" t="s">
        <v>4289</v>
      </c>
      <c r="D540" s="1269">
        <v>5.1999999999999998E-2</v>
      </c>
      <c r="E540" s="1270">
        <v>0</v>
      </c>
      <c r="F540" s="1270">
        <v>5</v>
      </c>
      <c r="G540" s="1270" t="s">
        <v>4285</v>
      </c>
      <c r="H540" s="1270">
        <v>2</v>
      </c>
      <c r="I540" s="1271"/>
      <c r="J540" s="1272" t="s">
        <v>4290</v>
      </c>
    </row>
    <row r="541" spans="1:10" ht="15.75" x14ac:dyDescent="0.45">
      <c r="B541" s="1273" t="s">
        <v>4291</v>
      </c>
      <c r="C541" s="1274" t="s">
        <v>4292</v>
      </c>
      <c r="D541" s="1275">
        <v>5.1999999999999998E-2</v>
      </c>
      <c r="E541" s="1276">
        <v>0</v>
      </c>
      <c r="F541" s="1276">
        <v>5</v>
      </c>
      <c r="G541" s="1276" t="s">
        <v>4285</v>
      </c>
      <c r="H541" s="1276">
        <v>2</v>
      </c>
      <c r="I541" s="1277"/>
      <c r="J541" s="1278"/>
    </row>
    <row r="542" spans="1:10" ht="15.75" x14ac:dyDescent="0.45">
      <c r="B542" s="1273" t="s">
        <v>4293</v>
      </c>
      <c r="C542" s="1274" t="s">
        <v>4294</v>
      </c>
      <c r="D542" s="1275">
        <v>5.1999999999999998E-2</v>
      </c>
      <c r="E542" s="1276">
        <v>0</v>
      </c>
      <c r="F542" s="1276">
        <v>5</v>
      </c>
      <c r="G542" s="1276" t="s">
        <v>4285</v>
      </c>
      <c r="H542" s="1276">
        <v>2</v>
      </c>
      <c r="I542" s="1277"/>
      <c r="J542" s="1278"/>
    </row>
    <row r="543" spans="1:10" ht="15.75" x14ac:dyDescent="0.45">
      <c r="B543" s="1273" t="s">
        <v>4295</v>
      </c>
      <c r="C543" s="1274" t="s">
        <v>4296</v>
      </c>
      <c r="D543" s="1275">
        <v>5.1999999999999998E-2</v>
      </c>
      <c r="E543" s="1276">
        <v>0</v>
      </c>
      <c r="F543" s="1276">
        <v>5</v>
      </c>
      <c r="G543" s="1276" t="s">
        <v>4285</v>
      </c>
      <c r="H543" s="1276">
        <v>2</v>
      </c>
      <c r="I543" s="1277"/>
      <c r="J543" s="1278"/>
    </row>
    <row r="544" spans="1:10" ht="15.75" x14ac:dyDescent="0.45">
      <c r="B544" s="1273" t="s">
        <v>4297</v>
      </c>
      <c r="C544" s="1274" t="s">
        <v>4298</v>
      </c>
      <c r="D544" s="1275">
        <v>5.1999999999999998E-2</v>
      </c>
      <c r="E544" s="1276">
        <v>0</v>
      </c>
      <c r="F544" s="1276">
        <v>5</v>
      </c>
      <c r="G544" s="1276" t="s">
        <v>4285</v>
      </c>
      <c r="H544" s="1276">
        <v>2</v>
      </c>
      <c r="I544" s="1277"/>
      <c r="J544" s="1278"/>
    </row>
    <row r="545" spans="2:10" ht="15.75" x14ac:dyDescent="0.45">
      <c r="B545" s="1273" t="s">
        <v>4299</v>
      </c>
      <c r="C545" s="1274" t="s">
        <v>4300</v>
      </c>
      <c r="D545" s="1275">
        <v>5.1999999999999998E-2</v>
      </c>
      <c r="E545" s="1276">
        <v>0</v>
      </c>
      <c r="F545" s="1276">
        <v>5</v>
      </c>
      <c r="G545" s="1276" t="s">
        <v>4285</v>
      </c>
      <c r="H545" s="1276">
        <v>2</v>
      </c>
      <c r="I545" s="1277"/>
      <c r="J545" s="1278"/>
    </row>
    <row r="546" spans="2:10" ht="15.75" x14ac:dyDescent="0.45">
      <c r="B546" s="1273" t="s">
        <v>4301</v>
      </c>
      <c r="C546" s="1274" t="s">
        <v>4302</v>
      </c>
      <c r="D546" s="1275">
        <v>5.1999999999999998E-2</v>
      </c>
      <c r="E546" s="1276">
        <v>0</v>
      </c>
      <c r="F546" s="1276">
        <v>5</v>
      </c>
      <c r="G546" s="1276" t="s">
        <v>4285</v>
      </c>
      <c r="H546" s="1276">
        <v>2</v>
      </c>
      <c r="I546" s="1277"/>
      <c r="J546" s="1278"/>
    </row>
    <row r="547" spans="2:10" ht="15.75" x14ac:dyDescent="0.45">
      <c r="B547" s="1273" t="s">
        <v>4303</v>
      </c>
      <c r="C547" s="1274" t="s">
        <v>4304</v>
      </c>
      <c r="D547" s="1275">
        <v>5.1999999999999998E-2</v>
      </c>
      <c r="E547" s="1276">
        <v>0</v>
      </c>
      <c r="F547" s="1276">
        <v>5</v>
      </c>
      <c r="G547" s="1276" t="s">
        <v>4285</v>
      </c>
      <c r="H547" s="1276">
        <v>2</v>
      </c>
      <c r="I547" s="1277"/>
      <c r="J547" s="1278"/>
    </row>
    <row r="548" spans="2:10" ht="16.149999999999999" thickBot="1" x14ac:dyDescent="0.5">
      <c r="B548" s="1279" t="s">
        <v>4305</v>
      </c>
      <c r="C548" s="1280" t="s">
        <v>4306</v>
      </c>
      <c r="D548" s="1281">
        <v>5.1999999999999998E-2</v>
      </c>
      <c r="E548" s="1282">
        <v>0</v>
      </c>
      <c r="F548" s="1282">
        <v>5</v>
      </c>
      <c r="G548" s="1282" t="s">
        <v>4285</v>
      </c>
      <c r="H548" s="1282">
        <v>2</v>
      </c>
      <c r="I548" s="1283"/>
      <c r="J548" s="1284"/>
    </row>
    <row r="549" spans="2:10" ht="14.65" thickBot="1" x14ac:dyDescent="0.5"/>
    <row r="550" spans="2:10" ht="14.65" thickBot="1" x14ac:dyDescent="0.5">
      <c r="C550" s="1150" t="s">
        <v>4307</v>
      </c>
      <c r="D550" s="114" t="s">
        <v>317</v>
      </c>
      <c r="J550" s="1889"/>
    </row>
    <row r="551" spans="2:10" ht="14.65" thickBot="1" x14ac:dyDescent="0.5">
      <c r="B551" s="875" t="s">
        <v>0</v>
      </c>
      <c r="C551" s="1153" t="s">
        <v>1</v>
      </c>
      <c r="D551" s="877" t="s">
        <v>841</v>
      </c>
      <c r="E551" s="877" t="s">
        <v>471</v>
      </c>
      <c r="F551" s="877" t="s">
        <v>472</v>
      </c>
      <c r="G551" s="877" t="s">
        <v>2</v>
      </c>
      <c r="H551" s="877" t="s">
        <v>300</v>
      </c>
      <c r="I551" s="876" t="s">
        <v>116</v>
      </c>
      <c r="J551" s="1265" t="s">
        <v>117</v>
      </c>
    </row>
    <row r="552" spans="2:10" ht="15.75" x14ac:dyDescent="0.45">
      <c r="B552" s="1267" t="s">
        <v>4308</v>
      </c>
      <c r="C552" s="1268" t="s">
        <v>4309</v>
      </c>
      <c r="D552" s="1269">
        <v>0.11</v>
      </c>
      <c r="E552" s="1270">
        <v>0</v>
      </c>
      <c r="F552" s="1270">
        <v>5</v>
      </c>
      <c r="G552" s="1270" t="s">
        <v>4285</v>
      </c>
      <c r="H552" s="1270">
        <v>2</v>
      </c>
      <c r="I552" s="1271"/>
      <c r="J552" s="1272" t="s">
        <v>4310</v>
      </c>
    </row>
    <row r="553" spans="2:10" ht="15.75" x14ac:dyDescent="0.45">
      <c r="B553" s="1273" t="s">
        <v>4311</v>
      </c>
      <c r="C553" s="1274" t="s">
        <v>4312</v>
      </c>
      <c r="D553" s="1275">
        <v>0.11</v>
      </c>
      <c r="E553" s="1276">
        <v>0</v>
      </c>
      <c r="F553" s="1276">
        <v>5</v>
      </c>
      <c r="G553" s="1276" t="s">
        <v>4285</v>
      </c>
      <c r="H553" s="1276">
        <v>2</v>
      </c>
      <c r="I553" s="1277"/>
      <c r="J553" s="1278"/>
    </row>
    <row r="554" spans="2:10" ht="15.75" x14ac:dyDescent="0.45">
      <c r="B554" s="1273" t="s">
        <v>4313</v>
      </c>
      <c r="C554" s="1274" t="s">
        <v>4314</v>
      </c>
      <c r="D554" s="1275">
        <v>0.11</v>
      </c>
      <c r="E554" s="1276">
        <v>0</v>
      </c>
      <c r="F554" s="1276">
        <v>5</v>
      </c>
      <c r="G554" s="1276" t="s">
        <v>4285</v>
      </c>
      <c r="H554" s="1276">
        <v>2</v>
      </c>
      <c r="I554" s="1277"/>
      <c r="J554" s="1278"/>
    </row>
    <row r="555" spans="2:10" ht="15.75" x14ac:dyDescent="0.45">
      <c r="B555" s="1273" t="s">
        <v>4315</v>
      </c>
      <c r="C555" s="1274" t="s">
        <v>4316</v>
      </c>
      <c r="D555" s="1275">
        <v>0.11</v>
      </c>
      <c r="E555" s="1276">
        <v>0</v>
      </c>
      <c r="F555" s="1276">
        <v>5</v>
      </c>
      <c r="G555" s="1276" t="s">
        <v>4285</v>
      </c>
      <c r="H555" s="1276">
        <v>2</v>
      </c>
      <c r="I555" s="1277"/>
      <c r="J555" s="1278"/>
    </row>
    <row r="556" spans="2:10" ht="15.75" x14ac:dyDescent="0.45">
      <c r="B556" s="1273" t="s">
        <v>4317</v>
      </c>
      <c r="C556" s="1274" t="s">
        <v>4318</v>
      </c>
      <c r="D556" s="1275">
        <v>0.17</v>
      </c>
      <c r="E556" s="1276">
        <v>0</v>
      </c>
      <c r="F556" s="1276">
        <v>5</v>
      </c>
      <c r="G556" s="1276" t="s">
        <v>4285</v>
      </c>
      <c r="H556" s="1276">
        <v>2</v>
      </c>
      <c r="I556" s="1277"/>
      <c r="J556" s="1278" t="s">
        <v>4319</v>
      </c>
    </row>
    <row r="557" spans="2:10" ht="15.75" x14ac:dyDescent="0.45">
      <c r="B557" s="1273" t="s">
        <v>4320</v>
      </c>
      <c r="C557" s="1274" t="s">
        <v>4321</v>
      </c>
      <c r="D557" s="1275">
        <v>0.17</v>
      </c>
      <c r="E557" s="1276">
        <v>0</v>
      </c>
      <c r="F557" s="1276">
        <v>5</v>
      </c>
      <c r="G557" s="1276" t="s">
        <v>4285</v>
      </c>
      <c r="H557" s="1276">
        <v>2</v>
      </c>
      <c r="I557" s="1277"/>
      <c r="J557" s="1278"/>
    </row>
    <row r="558" spans="2:10" ht="16.149999999999999" thickBot="1" x14ac:dyDescent="0.5">
      <c r="B558" s="1279" t="s">
        <v>4322</v>
      </c>
      <c r="C558" s="1280" t="s">
        <v>4323</v>
      </c>
      <c r="D558" s="1281">
        <v>0.33</v>
      </c>
      <c r="E558" s="1282">
        <v>0</v>
      </c>
      <c r="F558" s="1282">
        <v>5</v>
      </c>
      <c r="G558" s="1282" t="s">
        <v>4285</v>
      </c>
      <c r="H558" s="1282">
        <v>2</v>
      </c>
      <c r="I558" s="1283"/>
      <c r="J558" s="1284" t="s">
        <v>4324</v>
      </c>
    </row>
    <row r="559" spans="2:10" ht="14.65" thickBot="1" x14ac:dyDescent="0.5"/>
    <row r="560" spans="2:10" ht="14.65" thickBot="1" x14ac:dyDescent="0.5">
      <c r="B560" s="370"/>
      <c r="C560" s="425" t="s">
        <v>5840</v>
      </c>
      <c r="D560" s="114" t="s">
        <v>301</v>
      </c>
    </row>
    <row r="561" spans="2:10" ht="14.65" thickBot="1" x14ac:dyDescent="0.5">
      <c r="B561" s="2813" t="s">
        <v>0</v>
      </c>
      <c r="C561" s="2814" t="s">
        <v>1</v>
      </c>
      <c r="D561" s="2287" t="s">
        <v>841</v>
      </c>
      <c r="E561" s="2287" t="s">
        <v>471</v>
      </c>
      <c r="F561" s="2287" t="s">
        <v>472</v>
      </c>
      <c r="G561" s="2287" t="s">
        <v>2</v>
      </c>
      <c r="H561" s="2287" t="s">
        <v>300</v>
      </c>
      <c r="I561" s="982" t="s">
        <v>116</v>
      </c>
      <c r="J561" s="2815" t="s">
        <v>117</v>
      </c>
    </row>
    <row r="562" spans="2:10" ht="16.149999999999999" thickBot="1" x14ac:dyDescent="0.5">
      <c r="B562" s="2816" t="s">
        <v>5868</v>
      </c>
      <c r="C562" s="2817" t="s">
        <v>5841</v>
      </c>
      <c r="D562" s="2818">
        <v>3.66</v>
      </c>
      <c r="E562" s="2819">
        <v>0</v>
      </c>
      <c r="F562" s="2819" t="s">
        <v>1256</v>
      </c>
      <c r="G562" s="2340" t="s">
        <v>444</v>
      </c>
      <c r="H562" s="2819">
        <v>1</v>
      </c>
      <c r="I562" s="2820"/>
      <c r="J562" s="2821"/>
    </row>
    <row r="563" spans="2:10" ht="16.149999999999999" thickBot="1" x14ac:dyDescent="0.5">
      <c r="B563" s="2816" t="s">
        <v>5869</v>
      </c>
      <c r="C563" s="2817" t="s">
        <v>5842</v>
      </c>
      <c r="D563" s="2822">
        <v>0.54900000000000004</v>
      </c>
      <c r="E563" s="2819">
        <v>0</v>
      </c>
      <c r="F563" s="2819" t="s">
        <v>1256</v>
      </c>
      <c r="G563" s="2340" t="s">
        <v>444</v>
      </c>
      <c r="H563" s="2823">
        <v>2</v>
      </c>
      <c r="I563" s="2824"/>
      <c r="J563" s="2825"/>
    </row>
    <row r="564" spans="2:10" ht="16.149999999999999" thickBot="1" x14ac:dyDescent="0.5">
      <c r="B564" s="2816" t="s">
        <v>5843</v>
      </c>
      <c r="C564" s="2817" t="s">
        <v>5844</v>
      </c>
      <c r="D564" s="2822">
        <v>0.21</v>
      </c>
      <c r="E564" s="2819">
        <v>0</v>
      </c>
      <c r="F564" s="2819" t="s">
        <v>1256</v>
      </c>
      <c r="G564" s="2886" t="s">
        <v>5892</v>
      </c>
      <c r="H564" s="2819">
        <v>1</v>
      </c>
      <c r="I564" s="2820"/>
      <c r="J564" s="2821"/>
    </row>
    <row r="565" spans="2:10" ht="15.75" x14ac:dyDescent="0.45">
      <c r="B565" s="2816" t="s">
        <v>5870</v>
      </c>
      <c r="C565" s="2817" t="s">
        <v>5845</v>
      </c>
      <c r="D565" s="2822">
        <v>1.79</v>
      </c>
      <c r="E565" s="2819">
        <v>0</v>
      </c>
      <c r="F565" s="2819" t="s">
        <v>1256</v>
      </c>
      <c r="G565" s="2886" t="s">
        <v>4983</v>
      </c>
      <c r="H565" s="2823">
        <v>2</v>
      </c>
      <c r="I565" s="2824"/>
      <c r="J565" s="2825"/>
    </row>
  </sheetData>
  <phoneticPr fontId="31"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O12"/>
  <sheetViews>
    <sheetView showGridLines="0" workbookViewId="0">
      <selection activeCell="D18" sqref="D18"/>
    </sheetView>
  </sheetViews>
  <sheetFormatPr defaultColWidth="9.1328125" defaultRowHeight="14.25" x14ac:dyDescent="0.45"/>
  <cols>
    <col min="1" max="1" width="9.1328125" style="176"/>
    <col min="2" max="2" width="7.53125" style="176" bestFit="1" customWidth="1"/>
    <col min="3" max="3" width="43.53125" style="176" bestFit="1" customWidth="1"/>
    <col min="4" max="4" width="11.53125" style="176" bestFit="1" customWidth="1"/>
    <col min="5" max="5" width="13.6640625" style="176" bestFit="1" customWidth="1"/>
    <col min="6" max="6" width="14.19921875" style="176" bestFit="1" customWidth="1"/>
    <col min="7" max="7" width="10.53125" style="176" bestFit="1" customWidth="1"/>
    <col min="8" max="8" width="10.6640625" style="176" bestFit="1" customWidth="1"/>
    <col min="9" max="9" width="9.1328125" style="176"/>
    <col min="10" max="10" width="9.53125" style="176" bestFit="1" customWidth="1"/>
    <col min="11" max="11" width="5.46484375" style="176" bestFit="1" customWidth="1"/>
    <col min="12" max="12" width="9" style="176" bestFit="1" customWidth="1"/>
    <col min="13" max="13" width="5" style="176" bestFit="1" customWidth="1"/>
    <col min="14" max="14" width="18.46484375" style="176" bestFit="1" customWidth="1"/>
    <col min="15" max="16384" width="9.1328125" style="176"/>
  </cols>
  <sheetData>
    <row r="1" spans="2:15" ht="14.65" thickBot="1" x14ac:dyDescent="0.5"/>
    <row r="2" spans="2:15" s="628" customFormat="1" ht="14.65" thickBot="1" x14ac:dyDescent="0.5">
      <c r="B2" s="626"/>
      <c r="C2" s="627" t="s">
        <v>3729</v>
      </c>
      <c r="D2" s="626"/>
      <c r="E2" s="626"/>
      <c r="F2" s="626"/>
      <c r="G2" s="626"/>
      <c r="H2" s="626"/>
      <c r="I2" s="626"/>
    </row>
    <row r="3" spans="2:15" s="626" customFormat="1" ht="28.9" thickBot="1" x14ac:dyDescent="0.5">
      <c r="B3" s="720" t="s">
        <v>0</v>
      </c>
      <c r="C3" s="721" t="s">
        <v>1</v>
      </c>
      <c r="D3" s="722" t="s">
        <v>3730</v>
      </c>
      <c r="E3" s="722" t="s">
        <v>3731</v>
      </c>
      <c r="F3" s="722" t="s">
        <v>3732</v>
      </c>
      <c r="G3" s="722" t="s">
        <v>3733</v>
      </c>
      <c r="H3" s="722" t="s">
        <v>3746</v>
      </c>
      <c r="I3" s="722" t="s">
        <v>471</v>
      </c>
      <c r="J3" s="722" t="s">
        <v>472</v>
      </c>
      <c r="K3" s="722" t="s">
        <v>2</v>
      </c>
      <c r="L3" s="722" t="s">
        <v>300</v>
      </c>
      <c r="M3" s="722" t="s">
        <v>116</v>
      </c>
      <c r="N3" s="723" t="s">
        <v>117</v>
      </c>
    </row>
    <row r="4" spans="2:15" s="628" customFormat="1" ht="15.75" x14ac:dyDescent="0.55000000000000004">
      <c r="B4" s="629" t="s">
        <v>3734</v>
      </c>
      <c r="C4" s="630" t="s">
        <v>3735</v>
      </c>
      <c r="D4" s="631">
        <v>0.04</v>
      </c>
      <c r="E4" s="631">
        <v>1.54</v>
      </c>
      <c r="F4" s="632">
        <v>2.2999999999999998</v>
      </c>
      <c r="G4" s="632">
        <v>34.799999999999997</v>
      </c>
      <c r="H4" s="632" t="s">
        <v>1213</v>
      </c>
      <c r="I4" s="631">
        <v>0</v>
      </c>
      <c r="J4" s="631">
        <v>100</v>
      </c>
      <c r="K4" s="631" t="s">
        <v>1888</v>
      </c>
      <c r="L4" s="631"/>
      <c r="M4" s="631"/>
      <c r="N4" s="633"/>
    </row>
    <row r="5" spans="2:15" s="628" customFormat="1" ht="15.75" x14ac:dyDescent="0.55000000000000004">
      <c r="B5" s="634" t="s">
        <v>3736</v>
      </c>
      <c r="C5" s="635" t="s">
        <v>3737</v>
      </c>
      <c r="D5" s="636" t="s">
        <v>1213</v>
      </c>
      <c r="E5" s="636" t="s">
        <v>1213</v>
      </c>
      <c r="F5" s="637">
        <v>0.04</v>
      </c>
      <c r="G5" s="637">
        <v>65</v>
      </c>
      <c r="H5" s="637" t="s">
        <v>1213</v>
      </c>
      <c r="I5" s="636">
        <v>0</v>
      </c>
      <c r="J5" s="636">
        <v>100</v>
      </c>
      <c r="K5" s="636" t="s">
        <v>1888</v>
      </c>
      <c r="L5" s="636"/>
      <c r="M5" s="636"/>
      <c r="N5" s="638"/>
    </row>
    <row r="6" spans="2:15" s="628" customFormat="1" ht="15.75" x14ac:dyDescent="0.55000000000000004">
      <c r="B6" s="634" t="s">
        <v>3738</v>
      </c>
      <c r="C6" s="635" t="s">
        <v>3739</v>
      </c>
      <c r="D6" s="636" t="s">
        <v>1213</v>
      </c>
      <c r="E6" s="636" t="s">
        <v>1213</v>
      </c>
      <c r="F6" s="637">
        <v>3.16</v>
      </c>
      <c r="G6" s="637">
        <v>0.12</v>
      </c>
      <c r="H6" s="637" t="s">
        <v>1213</v>
      </c>
      <c r="I6" s="636">
        <v>0</v>
      </c>
      <c r="J6" s="636">
        <v>100</v>
      </c>
      <c r="K6" s="636" t="s">
        <v>1888</v>
      </c>
      <c r="L6" s="636"/>
      <c r="M6" s="636"/>
      <c r="N6" s="638"/>
    </row>
    <row r="7" spans="2:15" s="628" customFormat="1" ht="15.75" x14ac:dyDescent="0.55000000000000004">
      <c r="B7" s="634" t="s">
        <v>3740</v>
      </c>
      <c r="C7" s="635" t="s">
        <v>3741</v>
      </c>
      <c r="D7" s="636">
        <v>20.95</v>
      </c>
      <c r="E7" s="636">
        <v>18.84</v>
      </c>
      <c r="F7" s="637" t="s">
        <v>1213</v>
      </c>
      <c r="G7" s="637" t="s">
        <v>1213</v>
      </c>
      <c r="H7" s="637">
        <v>99.9</v>
      </c>
      <c r="I7" s="636">
        <v>0</v>
      </c>
      <c r="J7" s="636">
        <v>100</v>
      </c>
      <c r="K7" s="636" t="s">
        <v>1888</v>
      </c>
      <c r="L7" s="636"/>
      <c r="M7" s="636"/>
      <c r="N7" s="638"/>
    </row>
    <row r="8" spans="2:15" s="628" customFormat="1" ht="15.75" x14ac:dyDescent="0.55000000000000004">
      <c r="B8" s="634" t="s">
        <v>3742</v>
      </c>
      <c r="C8" s="635" t="s">
        <v>3743</v>
      </c>
      <c r="D8" s="636" t="s">
        <v>1213</v>
      </c>
      <c r="E8" s="636" t="s">
        <v>1213</v>
      </c>
      <c r="F8" s="637" t="s">
        <v>1213</v>
      </c>
      <c r="G8" s="639">
        <v>0.01</v>
      </c>
      <c r="H8" s="639" t="s">
        <v>1213</v>
      </c>
      <c r="I8" s="636">
        <v>0</v>
      </c>
      <c r="J8" s="636">
        <v>100</v>
      </c>
      <c r="K8" s="636" t="s">
        <v>1888</v>
      </c>
      <c r="L8" s="636"/>
      <c r="M8" s="636"/>
      <c r="N8" s="638"/>
    </row>
    <row r="9" spans="2:15" s="628" customFormat="1" ht="15.75" x14ac:dyDescent="0.55000000000000004">
      <c r="B9" s="634" t="s">
        <v>3829</v>
      </c>
      <c r="C9" s="635" t="s">
        <v>3831</v>
      </c>
      <c r="D9" s="636" t="s">
        <v>1213</v>
      </c>
      <c r="E9" s="636" t="s">
        <v>1213</v>
      </c>
      <c r="F9" s="636" t="s">
        <v>1213</v>
      </c>
      <c r="G9" s="636" t="s">
        <v>1213</v>
      </c>
      <c r="H9" s="636" t="s">
        <v>1213</v>
      </c>
      <c r="I9" s="636">
        <v>0</v>
      </c>
      <c r="J9" s="636">
        <v>100</v>
      </c>
      <c r="K9" s="636" t="s">
        <v>1888</v>
      </c>
      <c r="L9" s="636"/>
      <c r="M9" s="636"/>
      <c r="N9" s="638"/>
    </row>
    <row r="10" spans="2:15" s="628" customFormat="1" ht="15.75" x14ac:dyDescent="0.55000000000000004">
      <c r="B10" s="634" t="s">
        <v>3830</v>
      </c>
      <c r="C10" s="635" t="s">
        <v>3832</v>
      </c>
      <c r="D10" s="636" t="s">
        <v>1213</v>
      </c>
      <c r="E10" s="636" t="s">
        <v>1213</v>
      </c>
      <c r="F10" s="636" t="s">
        <v>1213</v>
      </c>
      <c r="G10" s="636" t="s">
        <v>1213</v>
      </c>
      <c r="H10" s="636" t="s">
        <v>1213</v>
      </c>
      <c r="I10" s="636">
        <v>0</v>
      </c>
      <c r="J10" s="636">
        <v>100</v>
      </c>
      <c r="K10" s="636" t="s">
        <v>1888</v>
      </c>
      <c r="L10" s="636"/>
      <c r="M10" s="636"/>
      <c r="N10" s="638"/>
    </row>
    <row r="11" spans="2:15" s="628" customFormat="1" ht="16.149999999999999" thickBot="1" x14ac:dyDescent="0.6">
      <c r="B11" s="640" t="s">
        <v>3744</v>
      </c>
      <c r="C11" s="641" t="s">
        <v>3745</v>
      </c>
      <c r="D11" s="642">
        <v>79.010000000000005</v>
      </c>
      <c r="E11" s="642">
        <v>79.62</v>
      </c>
      <c r="F11" s="643">
        <v>94.5</v>
      </c>
      <c r="G11" s="643">
        <v>7.0000000000000007E-2</v>
      </c>
      <c r="H11" s="643">
        <v>0.1</v>
      </c>
      <c r="I11" s="642">
        <v>0</v>
      </c>
      <c r="J11" s="642">
        <v>100</v>
      </c>
      <c r="K11" s="642" t="s">
        <v>1888</v>
      </c>
      <c r="L11" s="642"/>
      <c r="M11" s="642"/>
      <c r="N11" s="644"/>
    </row>
    <row r="12" spans="2:15" ht="28.9" thickBot="1" x14ac:dyDescent="0.6">
      <c r="B12" s="2472" t="s">
        <v>5350</v>
      </c>
      <c r="C12" s="2473" t="s">
        <v>5351</v>
      </c>
      <c r="D12" s="2474" t="s">
        <v>1213</v>
      </c>
      <c r="E12" s="2475" t="s">
        <v>1213</v>
      </c>
      <c r="F12" s="2476" t="s">
        <v>1213</v>
      </c>
      <c r="G12" s="2476">
        <v>0.13</v>
      </c>
      <c r="H12" s="2477" t="s">
        <v>1213</v>
      </c>
      <c r="I12" s="2478" t="s">
        <v>1213</v>
      </c>
      <c r="J12" s="2476">
        <v>0</v>
      </c>
      <c r="K12" s="2476">
        <v>100</v>
      </c>
      <c r="L12" s="2476" t="s">
        <v>1888</v>
      </c>
      <c r="M12" s="2476"/>
      <c r="N12" s="2476"/>
      <c r="O12" s="247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unka3"/>
  <dimension ref="A1:DI310"/>
  <sheetViews>
    <sheetView showGridLines="0" zoomScale="80" zoomScaleNormal="80" workbookViewId="0">
      <pane xSplit="4" ySplit="3" topLeftCell="AN38" activePane="bottomRight" state="frozen"/>
      <selection pane="topRight" activeCell="E1" sqref="E1"/>
      <selection pane="bottomLeft" activeCell="A4" sqref="A4"/>
      <selection pane="bottomRight" activeCell="D66" sqref="D66"/>
    </sheetView>
  </sheetViews>
  <sheetFormatPr defaultColWidth="9.1328125" defaultRowHeight="14.25" x14ac:dyDescent="0.45"/>
  <cols>
    <col min="1" max="1" width="3.86328125" bestFit="1" customWidth="1"/>
    <col min="2" max="2" width="5.19921875" style="72" bestFit="1" customWidth="1"/>
    <col min="3" max="3" width="7.53125" style="72" bestFit="1" customWidth="1"/>
    <col min="4" max="4" width="44.53125" customWidth="1"/>
    <col min="5" max="5" width="32.6640625" bestFit="1" customWidth="1"/>
    <col min="6" max="6" width="12.6640625" bestFit="1" customWidth="1"/>
    <col min="7" max="7" width="14.46484375" bestFit="1" customWidth="1"/>
    <col min="8" max="12" width="5.86328125" bestFit="1" customWidth="1"/>
    <col min="13" max="13" width="13.1328125" bestFit="1" customWidth="1"/>
    <col min="14" max="14" width="29.46484375" bestFit="1" customWidth="1"/>
    <col min="15" max="15" width="5.86328125" bestFit="1" customWidth="1"/>
    <col min="16" max="16" width="8.19921875" bestFit="1" customWidth="1"/>
    <col min="17" max="17" width="17" bestFit="1" customWidth="1"/>
    <col min="18" max="18" width="16.6640625" bestFit="1" customWidth="1"/>
    <col min="19" max="19" width="18.6640625" bestFit="1" customWidth="1"/>
    <col min="20" max="20" width="18.6640625" customWidth="1"/>
    <col min="21" max="21" width="17.1328125" bestFit="1" customWidth="1"/>
    <col min="22" max="22" width="17.1328125" customWidth="1"/>
    <col min="23" max="24" width="18.6640625" bestFit="1" customWidth="1"/>
    <col min="25" max="27" width="18.6640625" customWidth="1"/>
    <col min="28" max="29" width="16.53125" customWidth="1"/>
    <col min="30" max="30" width="21.1328125" customWidth="1"/>
    <col min="31" max="31" width="22.1328125" customWidth="1"/>
    <col min="32" max="34" width="16.1328125" customWidth="1"/>
    <col min="35" max="35" width="35.6640625" bestFit="1" customWidth="1"/>
    <col min="36" max="36" width="7.1328125" customWidth="1"/>
    <col min="37" max="37" width="10.53125" bestFit="1" customWidth="1"/>
    <col min="38" max="38" width="9.19921875" customWidth="1"/>
    <col min="39" max="39" width="25" bestFit="1" customWidth="1"/>
    <col min="40" max="40" width="26.19921875" bestFit="1" customWidth="1"/>
    <col min="41" max="41" width="9.6640625" customWidth="1"/>
    <col min="42" max="43" width="10.46484375" customWidth="1"/>
    <col min="44" max="44" width="36" customWidth="1"/>
    <col min="45" max="45" width="16.19921875" customWidth="1"/>
    <col min="46" max="46" width="19.6640625" customWidth="1"/>
    <col min="47" max="47" width="62" bestFit="1" customWidth="1"/>
    <col min="48" max="48" width="11.19921875" style="163" customWidth="1"/>
    <col min="49" max="49" width="12.46484375" style="163" customWidth="1"/>
    <col min="50" max="50" width="16.19921875" style="163" customWidth="1"/>
    <col min="51" max="51" width="35.1328125" style="163" bestFit="1" customWidth="1"/>
    <col min="52" max="52" width="27.19921875" style="163" bestFit="1" customWidth="1"/>
    <col min="53" max="53" width="25.86328125" bestFit="1" customWidth="1"/>
    <col min="54" max="56" width="25.86328125" customWidth="1"/>
    <col min="57" max="57" width="14.46484375" bestFit="1" customWidth="1"/>
    <col min="58" max="58" width="24.19921875" bestFit="1" customWidth="1"/>
    <col min="59" max="59" width="23.53125" bestFit="1" customWidth="1"/>
    <col min="60" max="60" width="22.53125" bestFit="1" customWidth="1"/>
    <col min="61" max="61" width="25.6640625" bestFit="1" customWidth="1"/>
    <col min="62" max="62" width="25" bestFit="1" customWidth="1"/>
    <col min="63" max="63" width="24.53125" bestFit="1" customWidth="1"/>
    <col min="64" max="64" width="17.46484375" bestFit="1" customWidth="1"/>
    <col min="65" max="65" width="24.19921875" bestFit="1" customWidth="1"/>
    <col min="66" max="66" width="23.53125" bestFit="1" customWidth="1"/>
    <col min="67" max="67" width="22.53125" bestFit="1" customWidth="1"/>
    <col min="68" max="68" width="25.6640625" bestFit="1" customWidth="1"/>
    <col min="69" max="69" width="25" bestFit="1" customWidth="1"/>
    <col min="70" max="70" width="24.53125" bestFit="1" customWidth="1"/>
    <col min="71" max="71" width="17.46484375" bestFit="1" customWidth="1"/>
    <col min="72" max="72" width="13.6640625" bestFit="1" customWidth="1"/>
    <col min="73" max="73" width="14.1328125" bestFit="1" customWidth="1"/>
    <col min="74" max="74" width="14.1328125" customWidth="1"/>
    <col min="75" max="75" width="13.19921875" bestFit="1" customWidth="1"/>
    <col min="76" max="76" width="21" bestFit="1" customWidth="1"/>
    <col min="77" max="77" width="21" customWidth="1"/>
    <col min="78" max="79" width="18.6640625" customWidth="1"/>
    <col min="80" max="80" width="45.6640625" bestFit="1" customWidth="1"/>
    <col min="81" max="81" width="45.53125" bestFit="1" customWidth="1"/>
    <col min="82" max="82" width="39.46484375" bestFit="1" customWidth="1"/>
    <col min="83" max="83" width="40.19921875" bestFit="1" customWidth="1"/>
    <col min="84" max="84" width="39" bestFit="1" customWidth="1"/>
    <col min="85" max="85" width="19.46484375" customWidth="1"/>
    <col min="86" max="86" width="16.46484375" customWidth="1"/>
    <col min="87" max="87" width="44.19921875" bestFit="1" customWidth="1"/>
    <col min="88" max="93" width="44.19921875" customWidth="1"/>
    <col min="94" max="94" width="19.46484375" customWidth="1"/>
    <col min="95" max="95" width="16.46484375" customWidth="1"/>
    <col min="96" max="99" width="44.19921875" customWidth="1"/>
    <col min="100" max="100" width="145.19921875" style="70" customWidth="1"/>
    <col min="101" max="101" width="9.19921875" style="4" bestFit="1" customWidth="1"/>
    <col min="102" max="102" width="29.19921875" style="4" bestFit="1" customWidth="1"/>
    <col min="103" max="103" width="15.86328125" style="4" bestFit="1" customWidth="1"/>
    <col min="104" max="104" width="7.86328125" style="81" customWidth="1"/>
    <col min="105" max="105" width="12.53125" bestFit="1" customWidth="1"/>
    <col min="106" max="109" width="9.46484375" bestFit="1" customWidth="1"/>
  </cols>
  <sheetData>
    <row r="1" spans="1:105" s="47" customFormat="1" ht="54" customHeight="1" thickBot="1" x14ac:dyDescent="0.6">
      <c r="A1" s="48"/>
      <c r="B1" s="102"/>
      <c r="C1" s="102"/>
      <c r="AV1" s="161"/>
      <c r="AW1" s="161"/>
      <c r="AX1" s="161"/>
      <c r="AY1" s="161"/>
      <c r="AZ1" s="161"/>
      <c r="BE1" s="76"/>
      <c r="BF1" s="76"/>
      <c r="BH1" s="76"/>
      <c r="BI1" s="76"/>
      <c r="BJ1" s="76"/>
      <c r="BK1" s="76"/>
      <c r="BL1" s="76"/>
      <c r="BM1" s="76"/>
      <c r="BO1" s="76"/>
      <c r="BP1" s="76"/>
      <c r="BQ1" s="76"/>
      <c r="BR1" s="76"/>
      <c r="BS1" s="76"/>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334"/>
      <c r="CW1" s="130"/>
      <c r="CX1" s="130"/>
      <c r="CY1" s="130"/>
      <c r="CZ1" s="80"/>
    </row>
    <row r="2" spans="1:105" ht="18.75" customHeight="1" thickBot="1" x14ac:dyDescent="0.5">
      <c r="D2" s="54" t="s">
        <v>128</v>
      </c>
      <c r="E2" s="2016"/>
      <c r="F2" s="2016"/>
      <c r="G2" s="2016"/>
      <c r="H2" s="2016"/>
      <c r="I2" s="2016"/>
      <c r="J2" s="2016"/>
      <c r="K2" s="2016"/>
      <c r="L2" s="2016"/>
      <c r="M2" s="2016"/>
      <c r="N2" s="2016"/>
      <c r="O2" s="2016"/>
      <c r="P2" s="2016"/>
      <c r="Q2" s="2016"/>
      <c r="R2" s="2016"/>
      <c r="S2" s="2016"/>
      <c r="T2" s="2016"/>
      <c r="U2" s="2016"/>
      <c r="V2" s="2016"/>
      <c r="W2" s="2016"/>
      <c r="X2" s="2016"/>
      <c r="Y2" s="2016"/>
      <c r="Z2" s="2016"/>
      <c r="AA2" s="2016"/>
      <c r="AB2" s="2016"/>
      <c r="AC2" s="2016"/>
      <c r="AD2" s="2016"/>
      <c r="AE2" s="2016"/>
      <c r="AF2" s="2016"/>
      <c r="AG2" s="2016"/>
      <c r="AH2" s="2016"/>
      <c r="AI2" s="2016"/>
      <c r="AJ2" s="2016"/>
      <c r="AK2" s="2016"/>
      <c r="AL2" s="2016"/>
      <c r="AM2" s="2016"/>
      <c r="AN2" s="2016"/>
      <c r="AO2" s="2016"/>
      <c r="AP2" s="2016"/>
      <c r="AQ2" s="2016"/>
      <c r="AR2" s="2016"/>
      <c r="AS2" s="2016"/>
      <c r="AT2" s="2016"/>
      <c r="AU2" s="2016"/>
      <c r="AV2" s="2016"/>
      <c r="AW2" s="2016"/>
      <c r="AX2" s="2016"/>
      <c r="AY2" s="2016"/>
      <c r="AZ2" s="2016"/>
      <c r="BA2" s="2016"/>
      <c r="BB2" s="2016"/>
      <c r="BC2" s="2016"/>
      <c r="BD2" s="2016"/>
      <c r="BE2" s="2016"/>
      <c r="BF2" s="2016"/>
      <c r="BG2" s="2016"/>
      <c r="BH2" s="2016"/>
      <c r="BI2" s="2016"/>
      <c r="BJ2" s="2016"/>
      <c r="BK2" s="2016"/>
      <c r="BL2" s="2016"/>
      <c r="BM2" s="2016"/>
      <c r="BN2" s="2016"/>
      <c r="BO2" s="2016"/>
      <c r="BP2" s="2016"/>
      <c r="BQ2" s="2016"/>
      <c r="BR2" s="2016"/>
      <c r="BS2" s="2016"/>
      <c r="BT2" s="2016"/>
      <c r="BU2" s="2016"/>
      <c r="BV2" s="2016"/>
      <c r="BW2" s="2016"/>
      <c r="BX2" s="2016"/>
      <c r="BY2" s="2016"/>
      <c r="BZ2" s="2016"/>
      <c r="CA2" s="2016"/>
      <c r="CB2" s="2016"/>
      <c r="CC2" s="2016"/>
      <c r="CD2" s="2016"/>
      <c r="CE2" s="2016"/>
      <c r="CF2" s="2016"/>
      <c r="CG2" s="2016"/>
      <c r="CH2" s="2016"/>
      <c r="CI2" s="2016"/>
      <c r="CJ2" s="2016"/>
      <c r="CK2" s="2016"/>
      <c r="CL2" s="2016"/>
      <c r="CM2" s="2016"/>
      <c r="CN2" s="2016"/>
      <c r="CO2" s="2016"/>
      <c r="CP2" s="2016"/>
      <c r="CQ2" s="2016"/>
      <c r="CR2" s="2016"/>
      <c r="CS2" s="2016"/>
      <c r="CT2" s="2016"/>
      <c r="CU2" s="2016"/>
      <c r="CV2" s="2017"/>
      <c r="CW2" s="2017"/>
      <c r="CX2" s="2017"/>
      <c r="CY2" s="2017"/>
    </row>
    <row r="3" spans="1:105" s="1" customFormat="1" ht="18.399999999999999" thickBot="1" x14ac:dyDescent="0.5">
      <c r="B3" s="676" t="s">
        <v>93</v>
      </c>
      <c r="C3" s="677" t="s">
        <v>0</v>
      </c>
      <c r="D3" s="677" t="s">
        <v>1</v>
      </c>
      <c r="E3" s="678" t="s">
        <v>804</v>
      </c>
      <c r="F3" s="678" t="s">
        <v>805</v>
      </c>
      <c r="G3" s="678" t="s">
        <v>806</v>
      </c>
      <c r="H3" s="678" t="s">
        <v>807</v>
      </c>
      <c r="I3" s="678" t="s">
        <v>808</v>
      </c>
      <c r="J3" s="678" t="s">
        <v>809</v>
      </c>
      <c r="K3" s="678" t="s">
        <v>810</v>
      </c>
      <c r="L3" s="678" t="s">
        <v>811</v>
      </c>
      <c r="M3" s="678" t="s">
        <v>812</v>
      </c>
      <c r="N3" s="678" t="s">
        <v>2139</v>
      </c>
      <c r="O3" s="678" t="s">
        <v>813</v>
      </c>
      <c r="P3" s="678" t="s">
        <v>1743</v>
      </c>
      <c r="Q3" s="678" t="s">
        <v>814</v>
      </c>
      <c r="R3" s="885" t="s">
        <v>4446</v>
      </c>
      <c r="S3" s="678" t="s">
        <v>815</v>
      </c>
      <c r="T3" s="678" t="s">
        <v>2258</v>
      </c>
      <c r="U3" s="678" t="s">
        <v>2257</v>
      </c>
      <c r="V3" s="678" t="s">
        <v>2274</v>
      </c>
      <c r="W3" s="678" t="s">
        <v>816</v>
      </c>
      <c r="X3" s="678" t="s">
        <v>817</v>
      </c>
      <c r="Y3" s="2555" t="s">
        <v>5366</v>
      </c>
      <c r="Z3" s="2555" t="s">
        <v>5368</v>
      </c>
      <c r="AA3" s="2555" t="s">
        <v>5370</v>
      </c>
      <c r="AB3" s="678" t="s">
        <v>818</v>
      </c>
      <c r="AC3" s="678" t="s">
        <v>4025</v>
      </c>
      <c r="AD3" s="678" t="s">
        <v>2256</v>
      </c>
      <c r="AE3" s="678" t="s">
        <v>2255</v>
      </c>
      <c r="AF3" s="678" t="s">
        <v>5120</v>
      </c>
      <c r="AG3" s="678" t="s">
        <v>5121</v>
      </c>
      <c r="AH3" s="678" t="s">
        <v>3748</v>
      </c>
      <c r="AI3" s="678" t="s">
        <v>819</v>
      </c>
      <c r="AJ3" s="678" t="s">
        <v>820</v>
      </c>
      <c r="AK3" s="678" t="s">
        <v>822</v>
      </c>
      <c r="AL3" s="678" t="s">
        <v>823</v>
      </c>
      <c r="AM3" s="678" t="s">
        <v>824</v>
      </c>
      <c r="AN3" s="678" t="s">
        <v>2138</v>
      </c>
      <c r="AO3" s="678" t="s">
        <v>825</v>
      </c>
      <c r="AP3" s="678" t="s">
        <v>826</v>
      </c>
      <c r="AQ3" s="678" t="s">
        <v>827</v>
      </c>
      <c r="AR3" s="678" t="s">
        <v>828</v>
      </c>
      <c r="AS3" s="678" t="s">
        <v>830</v>
      </c>
      <c r="AT3" s="678" t="s">
        <v>831</v>
      </c>
      <c r="AU3" s="678" t="s">
        <v>832</v>
      </c>
      <c r="AV3" s="678" t="s">
        <v>833</v>
      </c>
      <c r="AW3" s="678" t="s">
        <v>1160</v>
      </c>
      <c r="AX3" s="678" t="s">
        <v>1161</v>
      </c>
      <c r="AY3" s="678" t="s">
        <v>999</v>
      </c>
      <c r="AZ3" s="678" t="s">
        <v>1644</v>
      </c>
      <c r="BA3" s="678" t="s">
        <v>1045</v>
      </c>
      <c r="BB3" s="2555" t="s">
        <v>5372</v>
      </c>
      <c r="BC3" s="2555" t="s">
        <v>5375</v>
      </c>
      <c r="BD3" s="2555" t="s">
        <v>5377</v>
      </c>
      <c r="BE3" s="678" t="s">
        <v>1604</v>
      </c>
      <c r="BF3" s="678" t="s">
        <v>1645</v>
      </c>
      <c r="BG3" s="678" t="s">
        <v>1646</v>
      </c>
      <c r="BH3" s="678" t="s">
        <v>1647</v>
      </c>
      <c r="BI3" s="678" t="s">
        <v>1648</v>
      </c>
      <c r="BJ3" s="678" t="s">
        <v>1649</v>
      </c>
      <c r="BK3" s="678" t="s">
        <v>1650</v>
      </c>
      <c r="BL3" s="678" t="s">
        <v>1651</v>
      </c>
      <c r="BM3" s="678" t="s">
        <v>4483</v>
      </c>
      <c r="BN3" s="678" t="s">
        <v>4340</v>
      </c>
      <c r="BO3" s="678" t="s">
        <v>4341</v>
      </c>
      <c r="BP3" s="678" t="s">
        <v>4342</v>
      </c>
      <c r="BQ3" s="678" t="s">
        <v>4343</v>
      </c>
      <c r="BR3" s="678" t="s">
        <v>4344</v>
      </c>
      <c r="BS3" s="678" t="s">
        <v>4345</v>
      </c>
      <c r="BT3" s="679" t="s">
        <v>1001</v>
      </c>
      <c r="BU3" s="679" t="s">
        <v>1133</v>
      </c>
      <c r="BV3" s="679" t="s">
        <v>4350</v>
      </c>
      <c r="BW3" s="679" t="s">
        <v>355</v>
      </c>
      <c r="BX3" s="678" t="s">
        <v>1115</v>
      </c>
      <c r="BY3" s="2555" t="s">
        <v>5379</v>
      </c>
      <c r="BZ3" s="678" t="s">
        <v>135</v>
      </c>
      <c r="CA3" s="885" t="s">
        <v>4351</v>
      </c>
      <c r="CB3" s="677" t="s">
        <v>1652</v>
      </c>
      <c r="CC3" s="677" t="s">
        <v>1653</v>
      </c>
      <c r="CD3" s="677" t="s">
        <v>1654</v>
      </c>
      <c r="CE3" s="677" t="s">
        <v>1655</v>
      </c>
      <c r="CF3" s="677" t="s">
        <v>1052</v>
      </c>
      <c r="CG3" s="677" t="s">
        <v>3749</v>
      </c>
      <c r="CH3" s="677" t="s">
        <v>3750</v>
      </c>
      <c r="CI3" s="677" t="s">
        <v>1656</v>
      </c>
      <c r="CJ3" s="2544" t="s">
        <v>5386</v>
      </c>
      <c r="CK3" s="677" t="s">
        <v>3186</v>
      </c>
      <c r="CL3" s="677" t="s">
        <v>3187</v>
      </c>
      <c r="CM3" s="677" t="s">
        <v>3188</v>
      </c>
      <c r="CN3" s="677" t="s">
        <v>3189</v>
      </c>
      <c r="CO3" s="677" t="s">
        <v>3190</v>
      </c>
      <c r="CP3" s="677" t="s">
        <v>3753</v>
      </c>
      <c r="CQ3" s="677" t="s">
        <v>3754</v>
      </c>
      <c r="CR3" s="677" t="s">
        <v>3191</v>
      </c>
      <c r="CS3" s="2544" t="s">
        <v>5381</v>
      </c>
      <c r="CT3" s="2544" t="s">
        <v>5383</v>
      </c>
      <c r="CU3" s="2544" t="s">
        <v>5850</v>
      </c>
      <c r="CV3" s="680" t="s">
        <v>1222</v>
      </c>
      <c r="CW3" s="681" t="s">
        <v>2</v>
      </c>
      <c r="CX3" s="681" t="s">
        <v>9</v>
      </c>
      <c r="CY3" s="682" t="s">
        <v>116</v>
      </c>
      <c r="CZ3" s="2018"/>
    </row>
    <row r="4" spans="1:105" ht="15.75" x14ac:dyDescent="0.55000000000000004">
      <c r="B4" s="751">
        <v>1</v>
      </c>
      <c r="C4" s="752" t="s">
        <v>224</v>
      </c>
      <c r="D4" s="753" t="s">
        <v>1657</v>
      </c>
      <c r="E4" s="754" t="s">
        <v>1745</v>
      </c>
      <c r="F4" s="755"/>
      <c r="G4" s="755"/>
      <c r="H4" s="755"/>
      <c r="I4" s="755"/>
      <c r="J4" s="755"/>
      <c r="K4" s="755"/>
      <c r="L4" s="755"/>
      <c r="M4" s="755"/>
      <c r="N4" s="755"/>
      <c r="O4" s="755"/>
      <c r="P4" s="755"/>
      <c r="Q4" s="755">
        <v>1</v>
      </c>
      <c r="R4" s="755"/>
      <c r="S4" s="755"/>
      <c r="T4" s="755"/>
      <c r="U4" s="755"/>
      <c r="V4" s="755"/>
      <c r="W4" s="755"/>
      <c r="X4" s="755"/>
      <c r="Y4" s="2545"/>
      <c r="Z4" s="2545"/>
      <c r="AA4" s="2545"/>
      <c r="AB4" s="754" t="s">
        <v>1658</v>
      </c>
      <c r="AC4" s="754"/>
      <c r="AD4" s="755"/>
      <c r="AE4" s="755"/>
      <c r="AF4" s="755"/>
      <c r="AG4" s="755"/>
      <c r="AH4" s="755"/>
      <c r="AI4" s="755"/>
      <c r="AJ4" s="755"/>
      <c r="AK4" s="755"/>
      <c r="AL4" s="755"/>
      <c r="AM4" s="754" t="s">
        <v>1659</v>
      </c>
      <c r="AN4" s="755"/>
      <c r="AO4" s="755"/>
      <c r="AP4" s="755"/>
      <c r="AQ4" s="755"/>
      <c r="AR4" s="754" t="s">
        <v>1749</v>
      </c>
      <c r="AS4" s="754"/>
      <c r="AT4" s="754"/>
      <c r="AU4" s="754" t="s">
        <v>1990</v>
      </c>
      <c r="AV4" s="754" t="s">
        <v>2513</v>
      </c>
      <c r="AW4" s="754" t="s">
        <v>3681</v>
      </c>
      <c r="AX4" s="754" t="s">
        <v>3682</v>
      </c>
      <c r="AY4" s="754" t="s">
        <v>3683</v>
      </c>
      <c r="AZ4" s="754" t="s">
        <v>3684</v>
      </c>
      <c r="BA4" s="754"/>
      <c r="BB4" s="2556"/>
      <c r="BC4" s="724" t="s">
        <v>5439</v>
      </c>
      <c r="BD4" s="2556"/>
      <c r="BE4" s="754"/>
      <c r="BF4" s="754"/>
      <c r="BG4" s="754"/>
      <c r="BH4" s="754"/>
      <c r="BI4" s="754"/>
      <c r="BJ4" s="754"/>
      <c r="BK4" s="754"/>
      <c r="BL4" s="754"/>
      <c r="BM4" s="754"/>
      <c r="BN4" s="754"/>
      <c r="BO4" s="754"/>
      <c r="BP4" s="754"/>
      <c r="BQ4" s="754"/>
      <c r="BR4" s="754"/>
      <c r="BS4" s="754"/>
      <c r="BT4" s="754"/>
      <c r="BU4" s="754"/>
      <c r="BV4" s="886"/>
      <c r="BW4" s="754"/>
      <c r="BX4" s="754"/>
      <c r="BY4" s="2556"/>
      <c r="BZ4" s="754"/>
      <c r="CA4" s="886"/>
      <c r="CB4" s="754"/>
      <c r="CC4" s="754"/>
      <c r="CD4" s="754"/>
      <c r="CE4" s="754"/>
      <c r="CF4" s="754"/>
      <c r="CG4" s="754"/>
      <c r="CH4" s="754"/>
      <c r="CI4" s="754"/>
      <c r="CJ4" s="2556"/>
      <c r="CK4" s="754"/>
      <c r="CL4" s="754"/>
      <c r="CM4" s="754"/>
      <c r="CN4" s="754"/>
      <c r="CO4" s="754"/>
      <c r="CP4" s="754"/>
      <c r="CQ4" s="754"/>
      <c r="CR4" s="754"/>
      <c r="CS4" s="2556"/>
      <c r="CT4" s="2556"/>
      <c r="CU4" s="2556"/>
      <c r="CV4" s="756" t="s">
        <v>3709</v>
      </c>
      <c r="CW4" s="757" t="s">
        <v>2037</v>
      </c>
      <c r="CX4" s="757"/>
      <c r="CY4" s="758"/>
    </row>
    <row r="5" spans="1:105" ht="15.75" x14ac:dyDescent="0.55000000000000004">
      <c r="B5" s="433">
        <v>2</v>
      </c>
      <c r="C5" s="434" t="s">
        <v>225</v>
      </c>
      <c r="D5" s="759" t="s">
        <v>3775</v>
      </c>
      <c r="E5" s="724" t="s">
        <v>3778</v>
      </c>
      <c r="F5" s="725"/>
      <c r="G5" s="725"/>
      <c r="H5" s="725"/>
      <c r="I5" s="725"/>
      <c r="J5" s="725"/>
      <c r="K5" s="725"/>
      <c r="L5" s="725"/>
      <c r="M5" s="725"/>
      <c r="N5" s="725"/>
      <c r="O5" s="725"/>
      <c r="P5" s="725"/>
      <c r="Q5" s="725">
        <v>1</v>
      </c>
      <c r="R5" s="725"/>
      <c r="S5" s="725"/>
      <c r="T5" s="725"/>
      <c r="U5" s="725"/>
      <c r="V5" s="725"/>
      <c r="W5" s="725"/>
      <c r="X5" s="725"/>
      <c r="Y5" s="725"/>
      <c r="Z5" s="725"/>
      <c r="AA5" s="725"/>
      <c r="AB5" s="724" t="s">
        <v>1658</v>
      </c>
      <c r="AC5" s="724"/>
      <c r="AD5" s="724" t="s">
        <v>3780</v>
      </c>
      <c r="AE5" s="724" t="s">
        <v>3782</v>
      </c>
      <c r="AF5" s="724"/>
      <c r="AG5" s="724"/>
      <c r="AH5" s="724"/>
      <c r="AI5" s="724"/>
      <c r="AJ5" s="725"/>
      <c r="AK5" s="725"/>
      <c r="AL5" s="725"/>
      <c r="AM5" s="724" t="s">
        <v>1659</v>
      </c>
      <c r="AN5" s="725"/>
      <c r="AO5" s="725"/>
      <c r="AP5" s="725"/>
      <c r="AQ5" s="725"/>
      <c r="AR5" s="724"/>
      <c r="AS5" s="724"/>
      <c r="AT5" s="724"/>
      <c r="AU5" s="724" t="s">
        <v>3784</v>
      </c>
      <c r="AV5" s="724" t="s">
        <v>2513</v>
      </c>
      <c r="AW5" s="724" t="s">
        <v>3681</v>
      </c>
      <c r="AX5" s="724" t="s">
        <v>3682</v>
      </c>
      <c r="AY5" s="724" t="s">
        <v>3683</v>
      </c>
      <c r="AZ5" s="724" t="s">
        <v>3684</v>
      </c>
      <c r="BA5" s="724"/>
      <c r="BB5" s="724"/>
      <c r="BC5" s="724" t="s">
        <v>5439</v>
      </c>
      <c r="BD5" s="724"/>
      <c r="BE5" s="724"/>
      <c r="BF5" s="724"/>
      <c r="BG5" s="724"/>
      <c r="BH5" s="724"/>
      <c r="BI5" s="724"/>
      <c r="BJ5" s="724"/>
      <c r="BK5" s="724"/>
      <c r="BL5" s="724"/>
      <c r="BM5" s="724"/>
      <c r="BN5" s="724"/>
      <c r="BO5" s="724"/>
      <c r="BP5" s="724"/>
      <c r="BQ5" s="724"/>
      <c r="BR5" s="724"/>
      <c r="BS5" s="724"/>
      <c r="BT5" s="724"/>
      <c r="BU5" s="724"/>
      <c r="BV5" s="887"/>
      <c r="BW5" s="724"/>
      <c r="BX5" s="724"/>
      <c r="BY5" s="724"/>
      <c r="BZ5" s="724"/>
      <c r="CA5" s="887"/>
      <c r="CB5" s="724"/>
      <c r="CC5" s="724"/>
      <c r="CD5" s="724"/>
      <c r="CE5" s="724"/>
      <c r="CF5" s="724"/>
      <c r="CG5" s="724"/>
      <c r="CH5" s="724"/>
      <c r="CI5" s="724"/>
      <c r="CJ5" s="724"/>
      <c r="CK5" s="724"/>
      <c r="CL5" s="724"/>
      <c r="CM5" s="724"/>
      <c r="CN5" s="724"/>
      <c r="CO5" s="724"/>
      <c r="CP5" s="724"/>
      <c r="CQ5" s="724"/>
      <c r="CR5" s="724"/>
      <c r="CS5" s="724"/>
      <c r="CT5" s="724"/>
      <c r="CU5" s="724"/>
      <c r="CV5" s="760" t="s">
        <v>3976</v>
      </c>
      <c r="CW5" s="726" t="s">
        <v>2037</v>
      </c>
      <c r="CX5" s="726"/>
      <c r="CY5" s="669"/>
    </row>
    <row r="6" spans="1:105" ht="18" customHeight="1" x14ac:dyDescent="0.55000000000000004">
      <c r="B6" s="433">
        <v>3</v>
      </c>
      <c r="C6" s="434" t="s">
        <v>226</v>
      </c>
      <c r="D6" s="759" t="s">
        <v>3889</v>
      </c>
      <c r="E6" s="724" t="s">
        <v>3778</v>
      </c>
      <c r="F6" s="724"/>
      <c r="G6" s="725"/>
      <c r="H6" s="725"/>
      <c r="I6" s="725"/>
      <c r="J6" s="725"/>
      <c r="K6" s="725"/>
      <c r="L6" s="725"/>
      <c r="M6" s="725"/>
      <c r="N6" s="725"/>
      <c r="O6" s="725"/>
      <c r="P6" s="725"/>
      <c r="Q6" s="725">
        <v>1</v>
      </c>
      <c r="R6" s="725"/>
      <c r="S6" s="725"/>
      <c r="T6" s="725"/>
      <c r="U6" s="725"/>
      <c r="V6" s="725"/>
      <c r="W6" s="725"/>
      <c r="X6" s="725"/>
      <c r="Y6" s="725"/>
      <c r="Z6" s="725"/>
      <c r="AA6" s="725"/>
      <c r="AB6" s="724" t="s">
        <v>1658</v>
      </c>
      <c r="AC6" s="724"/>
      <c r="AD6" s="724"/>
      <c r="AE6" s="724" t="s">
        <v>3892</v>
      </c>
      <c r="AF6" s="724"/>
      <c r="AG6" s="724" t="s">
        <v>3893</v>
      </c>
      <c r="AH6" s="724"/>
      <c r="AI6" s="724"/>
      <c r="AJ6" s="725"/>
      <c r="AK6" s="725"/>
      <c r="AL6" s="725"/>
      <c r="AM6" s="724" t="s">
        <v>1659</v>
      </c>
      <c r="AN6" s="725"/>
      <c r="AO6" s="725"/>
      <c r="AP6" s="725"/>
      <c r="AQ6" s="725"/>
      <c r="AR6" s="724"/>
      <c r="AS6" s="724"/>
      <c r="AT6" s="724"/>
      <c r="AU6" s="724" t="s">
        <v>3784</v>
      </c>
      <c r="AV6" s="724" t="s">
        <v>2513</v>
      </c>
      <c r="AW6" s="724" t="s">
        <v>3681</v>
      </c>
      <c r="AX6" s="724" t="s">
        <v>3682</v>
      </c>
      <c r="AY6" s="724" t="s">
        <v>3683</v>
      </c>
      <c r="AZ6" s="724" t="s">
        <v>3684</v>
      </c>
      <c r="BA6" s="724"/>
      <c r="BB6" s="724"/>
      <c r="BC6" s="724" t="s">
        <v>5439</v>
      </c>
      <c r="BD6" s="724"/>
      <c r="BE6" s="724"/>
      <c r="BF6" s="724"/>
      <c r="BG6" s="724"/>
      <c r="BH6" s="724"/>
      <c r="BI6" s="724"/>
      <c r="BJ6" s="724"/>
      <c r="BK6" s="724"/>
      <c r="BL6" s="724"/>
      <c r="BM6" s="724"/>
      <c r="BN6" s="724"/>
      <c r="BO6" s="724"/>
      <c r="BP6" s="724"/>
      <c r="BQ6" s="724"/>
      <c r="BR6" s="724"/>
      <c r="BS6" s="724"/>
      <c r="BT6" s="724"/>
      <c r="BU6" s="724"/>
      <c r="BV6" s="887"/>
      <c r="BW6" s="724"/>
      <c r="BX6" s="724"/>
      <c r="BY6" s="724"/>
      <c r="BZ6" s="724"/>
      <c r="CA6" s="887"/>
      <c r="CB6" s="724"/>
      <c r="CC6" s="724"/>
      <c r="CD6" s="724"/>
      <c r="CE6" s="724"/>
      <c r="CF6" s="724"/>
      <c r="CG6" s="724"/>
      <c r="CH6" s="724"/>
      <c r="CI6" s="724"/>
      <c r="CJ6" s="724"/>
      <c r="CK6" s="724"/>
      <c r="CL6" s="724"/>
      <c r="CM6" s="724"/>
      <c r="CN6" s="724"/>
      <c r="CO6" s="724"/>
      <c r="CP6" s="724"/>
      <c r="CQ6" s="724"/>
      <c r="CR6" s="724"/>
      <c r="CS6" s="724"/>
      <c r="CT6" s="724"/>
      <c r="CU6" s="724"/>
      <c r="CV6" s="760" t="s">
        <v>3977</v>
      </c>
      <c r="CW6" s="726" t="s">
        <v>2037</v>
      </c>
      <c r="CX6" s="726"/>
      <c r="CY6" s="669"/>
      <c r="DA6" s="2019"/>
    </row>
    <row r="7" spans="1:105" ht="18" customHeight="1" x14ac:dyDescent="0.45">
      <c r="B7" s="433">
        <v>4</v>
      </c>
      <c r="C7" s="434" t="s">
        <v>227</v>
      </c>
      <c r="D7" s="759" t="s">
        <v>3890</v>
      </c>
      <c r="E7" s="724" t="s">
        <v>3778</v>
      </c>
      <c r="F7" s="724"/>
      <c r="G7" s="725"/>
      <c r="H7" s="725"/>
      <c r="I7" s="725"/>
      <c r="J7" s="725"/>
      <c r="K7" s="725"/>
      <c r="L7" s="725"/>
      <c r="M7" s="725"/>
      <c r="N7" s="725"/>
      <c r="O7" s="725"/>
      <c r="P7" s="725"/>
      <c r="Q7" s="725">
        <v>1</v>
      </c>
      <c r="R7" s="725"/>
      <c r="S7" s="725"/>
      <c r="T7" s="725"/>
      <c r="U7" s="725"/>
      <c r="V7" s="725"/>
      <c r="W7" s="725"/>
      <c r="X7" s="725"/>
      <c r="Y7" s="725"/>
      <c r="Z7" s="725"/>
      <c r="AA7" s="725"/>
      <c r="AB7" s="724" t="s">
        <v>1658</v>
      </c>
      <c r="AC7" s="724"/>
      <c r="AD7" s="724"/>
      <c r="AE7" s="724"/>
      <c r="AF7" s="724"/>
      <c r="AG7" s="724" t="s">
        <v>3894</v>
      </c>
      <c r="AH7" s="724" t="s">
        <v>3895</v>
      </c>
      <c r="AI7" s="724"/>
      <c r="AJ7" s="725"/>
      <c r="AK7" s="725"/>
      <c r="AL7" s="725"/>
      <c r="AM7" s="724" t="s">
        <v>1659</v>
      </c>
      <c r="AN7" s="725"/>
      <c r="AO7" s="725"/>
      <c r="AP7" s="725"/>
      <c r="AQ7" s="725"/>
      <c r="AR7" s="724"/>
      <c r="AS7" s="724"/>
      <c r="AT7" s="724"/>
      <c r="AU7" s="724" t="s">
        <v>3784</v>
      </c>
      <c r="AV7" s="724" t="s">
        <v>2513</v>
      </c>
      <c r="AW7" s="724" t="s">
        <v>3681</v>
      </c>
      <c r="AX7" s="724" t="s">
        <v>3682</v>
      </c>
      <c r="AY7" s="724" t="s">
        <v>3683</v>
      </c>
      <c r="AZ7" s="724" t="s">
        <v>3684</v>
      </c>
      <c r="BA7" s="724"/>
      <c r="BB7" s="724"/>
      <c r="BC7" s="724" t="s">
        <v>5439</v>
      </c>
      <c r="BD7" s="724"/>
      <c r="BE7" s="724"/>
      <c r="BF7" s="724"/>
      <c r="BG7" s="724"/>
      <c r="BH7" s="724"/>
      <c r="BI7" s="724"/>
      <c r="BJ7" s="724"/>
      <c r="BK7" s="724"/>
      <c r="BL7" s="724"/>
      <c r="BM7" s="724"/>
      <c r="BN7" s="724"/>
      <c r="BO7" s="724"/>
      <c r="BP7" s="724"/>
      <c r="BQ7" s="724"/>
      <c r="BR7" s="724"/>
      <c r="BS7" s="724"/>
      <c r="BT7" s="724"/>
      <c r="BU7" s="724"/>
      <c r="BV7" s="887"/>
      <c r="BW7" s="724"/>
      <c r="BX7" s="724"/>
      <c r="BY7" s="724"/>
      <c r="BZ7" s="724"/>
      <c r="CA7" s="887"/>
      <c r="CB7" s="724"/>
      <c r="CC7" s="724"/>
      <c r="CD7" s="724"/>
      <c r="CE7" s="724"/>
      <c r="CF7" s="724"/>
      <c r="CG7" s="724"/>
      <c r="CH7" s="724"/>
      <c r="CI7" s="724"/>
      <c r="CJ7" s="724"/>
      <c r="CK7" s="724"/>
      <c r="CL7" s="724"/>
      <c r="CM7" s="724"/>
      <c r="CN7" s="724"/>
      <c r="CO7" s="724"/>
      <c r="CP7" s="724"/>
      <c r="CQ7" s="724"/>
      <c r="CR7" s="724"/>
      <c r="CS7" s="724"/>
      <c r="CT7" s="724"/>
      <c r="CU7" s="724"/>
      <c r="CV7" s="760" t="s">
        <v>3978</v>
      </c>
      <c r="CW7" s="726" t="s">
        <v>2037</v>
      </c>
      <c r="CX7" s="726"/>
      <c r="CY7" s="669"/>
      <c r="DA7" s="2019"/>
    </row>
    <row r="8" spans="1:105" ht="18" customHeight="1" x14ac:dyDescent="0.55000000000000004">
      <c r="B8" s="433">
        <v>5</v>
      </c>
      <c r="C8" s="434" t="s">
        <v>228</v>
      </c>
      <c r="D8" s="759" t="s">
        <v>3891</v>
      </c>
      <c r="E8" s="724" t="s">
        <v>3778</v>
      </c>
      <c r="F8" s="724"/>
      <c r="G8" s="725"/>
      <c r="H8" s="725"/>
      <c r="I8" s="725"/>
      <c r="J8" s="725"/>
      <c r="K8" s="725"/>
      <c r="L8" s="725"/>
      <c r="M8" s="725"/>
      <c r="N8" s="725"/>
      <c r="O8" s="725"/>
      <c r="P8" s="725"/>
      <c r="Q8" s="725">
        <v>1</v>
      </c>
      <c r="R8" s="725"/>
      <c r="S8" s="725"/>
      <c r="T8" s="725"/>
      <c r="U8" s="725"/>
      <c r="V8" s="725"/>
      <c r="W8" s="725"/>
      <c r="X8" s="725"/>
      <c r="Y8" s="725"/>
      <c r="Z8" s="725"/>
      <c r="AA8" s="725"/>
      <c r="AB8" s="724" t="s">
        <v>1658</v>
      </c>
      <c r="AC8" s="724"/>
      <c r="AD8" s="724"/>
      <c r="AE8" s="724"/>
      <c r="AF8" s="724"/>
      <c r="AG8" s="724"/>
      <c r="AH8" s="724" t="s">
        <v>3896</v>
      </c>
      <c r="AI8" s="724" t="s">
        <v>3897</v>
      </c>
      <c r="AJ8" s="725"/>
      <c r="AK8" s="725"/>
      <c r="AL8" s="725"/>
      <c r="AM8" s="724" t="s">
        <v>1659</v>
      </c>
      <c r="AN8" s="725"/>
      <c r="AO8" s="725"/>
      <c r="AP8" s="725"/>
      <c r="AQ8" s="725"/>
      <c r="AR8" s="724"/>
      <c r="AS8" s="724"/>
      <c r="AT8" s="724"/>
      <c r="AU8" s="724" t="s">
        <v>3784</v>
      </c>
      <c r="AV8" s="724" t="s">
        <v>2513</v>
      </c>
      <c r="AW8" s="724" t="s">
        <v>3681</v>
      </c>
      <c r="AX8" s="724" t="s">
        <v>3682</v>
      </c>
      <c r="AY8" s="724" t="s">
        <v>3683</v>
      </c>
      <c r="AZ8" s="724" t="s">
        <v>3684</v>
      </c>
      <c r="BA8" s="724"/>
      <c r="BB8" s="724"/>
      <c r="BC8" s="724" t="s">
        <v>5439</v>
      </c>
      <c r="BD8" s="724"/>
      <c r="BE8" s="724"/>
      <c r="BF8" s="724"/>
      <c r="BG8" s="724"/>
      <c r="BH8" s="724"/>
      <c r="BI8" s="724"/>
      <c r="BJ8" s="724"/>
      <c r="BK8" s="724"/>
      <c r="BL8" s="724"/>
      <c r="BM8" s="724"/>
      <c r="BN8" s="724"/>
      <c r="BO8" s="724"/>
      <c r="BP8" s="724"/>
      <c r="BQ8" s="724"/>
      <c r="BR8" s="724"/>
      <c r="BS8" s="724"/>
      <c r="BT8" s="724"/>
      <c r="BU8" s="724"/>
      <c r="BV8" s="887"/>
      <c r="BW8" s="724"/>
      <c r="BX8" s="724"/>
      <c r="BY8" s="724"/>
      <c r="BZ8" s="724"/>
      <c r="CA8" s="887"/>
      <c r="CB8" s="724"/>
      <c r="CC8" s="724"/>
      <c r="CD8" s="724"/>
      <c r="CE8" s="724"/>
      <c r="CF8" s="724"/>
      <c r="CG8" s="724"/>
      <c r="CH8" s="724"/>
      <c r="CI8" s="724"/>
      <c r="CJ8" s="724"/>
      <c r="CK8" s="724"/>
      <c r="CL8" s="724"/>
      <c r="CM8" s="724"/>
      <c r="CN8" s="724"/>
      <c r="CO8" s="724"/>
      <c r="CP8" s="724"/>
      <c r="CQ8" s="724"/>
      <c r="CR8" s="724"/>
      <c r="CS8" s="724"/>
      <c r="CT8" s="724"/>
      <c r="CU8" s="724"/>
      <c r="CV8" s="760" t="s">
        <v>3979</v>
      </c>
      <c r="CW8" s="726" t="s">
        <v>2037</v>
      </c>
      <c r="CX8" s="726"/>
      <c r="CY8" s="669"/>
      <c r="DA8" s="2019"/>
    </row>
    <row r="9" spans="1:105" ht="15.75" x14ac:dyDescent="0.55000000000000004">
      <c r="B9" s="433">
        <v>6</v>
      </c>
      <c r="C9" s="434" t="s">
        <v>229</v>
      </c>
      <c r="D9" s="759" t="s">
        <v>1660</v>
      </c>
      <c r="E9" s="725"/>
      <c r="F9" s="724" t="s">
        <v>1746</v>
      </c>
      <c r="G9" s="725"/>
      <c r="H9" s="725"/>
      <c r="I9" s="725"/>
      <c r="J9" s="725"/>
      <c r="K9" s="725"/>
      <c r="L9" s="725"/>
      <c r="M9" s="725"/>
      <c r="N9" s="725"/>
      <c r="O9" s="725"/>
      <c r="P9" s="725"/>
      <c r="Q9" s="725">
        <v>1</v>
      </c>
      <c r="R9" s="725"/>
      <c r="S9" s="725"/>
      <c r="T9" s="725"/>
      <c r="U9" s="725"/>
      <c r="V9" s="725"/>
      <c r="W9" s="725"/>
      <c r="X9" s="725"/>
      <c r="Y9" s="725"/>
      <c r="Z9" s="725"/>
      <c r="AA9" s="725"/>
      <c r="AB9" s="724" t="s">
        <v>1658</v>
      </c>
      <c r="AC9" s="724"/>
      <c r="AD9" s="724"/>
      <c r="AE9" s="724"/>
      <c r="AF9" s="724"/>
      <c r="AG9" s="724"/>
      <c r="AH9" s="724"/>
      <c r="AI9" s="725"/>
      <c r="AJ9" s="725"/>
      <c r="AK9" s="725"/>
      <c r="AL9" s="725"/>
      <c r="AM9" s="724" t="s">
        <v>1659</v>
      </c>
      <c r="AN9" s="725"/>
      <c r="AO9" s="725"/>
      <c r="AP9" s="725"/>
      <c r="AQ9" s="725"/>
      <c r="AR9" s="724" t="s">
        <v>1750</v>
      </c>
      <c r="AS9" s="724"/>
      <c r="AT9" s="724"/>
      <c r="AU9" s="724" t="s">
        <v>1991</v>
      </c>
      <c r="AV9" s="724" t="s">
        <v>2513</v>
      </c>
      <c r="AW9" s="724" t="s">
        <v>3681</v>
      </c>
      <c r="AX9" s="724" t="s">
        <v>3682</v>
      </c>
      <c r="AY9" s="724" t="s">
        <v>3683</v>
      </c>
      <c r="AZ9" s="724" t="s">
        <v>3684</v>
      </c>
      <c r="BA9" s="724"/>
      <c r="BB9" s="724"/>
      <c r="BC9" s="724" t="s">
        <v>5820</v>
      </c>
      <c r="BD9" s="724"/>
      <c r="BE9" s="724"/>
      <c r="BF9" s="724"/>
      <c r="BG9" s="724"/>
      <c r="BH9" s="724"/>
      <c r="BI9" s="724"/>
      <c r="BJ9" s="724"/>
      <c r="BK9" s="724"/>
      <c r="BL9" s="724"/>
      <c r="BM9" s="724"/>
      <c r="BN9" s="724"/>
      <c r="BO9" s="724"/>
      <c r="BP9" s="724"/>
      <c r="BQ9" s="724"/>
      <c r="BR9" s="724"/>
      <c r="BS9" s="724"/>
      <c r="BT9" s="724"/>
      <c r="BU9" s="724"/>
      <c r="BV9" s="887"/>
      <c r="BW9" s="724"/>
      <c r="BX9" s="724"/>
      <c r="BY9" s="724"/>
      <c r="BZ9" s="724"/>
      <c r="CA9" s="887"/>
      <c r="CB9" s="724"/>
      <c r="CC9" s="724"/>
      <c r="CD9" s="724"/>
      <c r="CE9" s="724"/>
      <c r="CF9" s="724"/>
      <c r="CG9" s="724"/>
      <c r="CH9" s="724"/>
      <c r="CI9" s="724"/>
      <c r="CJ9" s="724"/>
      <c r="CK9" s="724"/>
      <c r="CL9" s="724"/>
      <c r="CM9" s="724"/>
      <c r="CN9" s="724"/>
      <c r="CO9" s="724"/>
      <c r="CP9" s="724"/>
      <c r="CQ9" s="724"/>
      <c r="CR9" s="724"/>
      <c r="CS9" s="724"/>
      <c r="CT9" s="724"/>
      <c r="CU9" s="724"/>
      <c r="CV9" s="760" t="s">
        <v>3710</v>
      </c>
      <c r="CW9" s="726" t="s">
        <v>2037</v>
      </c>
      <c r="CX9" s="726"/>
      <c r="CY9" s="669"/>
      <c r="DA9" s="2019"/>
    </row>
    <row r="10" spans="1:105" ht="15.75" x14ac:dyDescent="0.55000000000000004">
      <c r="B10" s="433">
        <v>7</v>
      </c>
      <c r="C10" s="434" t="s">
        <v>230</v>
      </c>
      <c r="D10" s="759" t="s">
        <v>3777</v>
      </c>
      <c r="E10" s="725"/>
      <c r="F10" s="724" t="s">
        <v>3779</v>
      </c>
      <c r="G10" s="725"/>
      <c r="H10" s="725"/>
      <c r="I10" s="725"/>
      <c r="J10" s="725"/>
      <c r="K10" s="725"/>
      <c r="L10" s="725"/>
      <c r="M10" s="725"/>
      <c r="N10" s="725"/>
      <c r="O10" s="725"/>
      <c r="P10" s="725"/>
      <c r="Q10" s="725">
        <v>1</v>
      </c>
      <c r="R10" s="725"/>
      <c r="S10" s="725"/>
      <c r="T10" s="725"/>
      <c r="U10" s="725"/>
      <c r="V10" s="725"/>
      <c r="W10" s="725"/>
      <c r="X10" s="725"/>
      <c r="Y10" s="725"/>
      <c r="Z10" s="725"/>
      <c r="AA10" s="725"/>
      <c r="AB10" s="724" t="s">
        <v>1658</v>
      </c>
      <c r="AC10" s="724"/>
      <c r="AD10" s="724" t="s">
        <v>3781</v>
      </c>
      <c r="AE10" s="724" t="s">
        <v>3783</v>
      </c>
      <c r="AF10" s="724"/>
      <c r="AG10" s="724"/>
      <c r="AH10" s="724"/>
      <c r="AI10" s="724"/>
      <c r="AJ10" s="725"/>
      <c r="AK10" s="725"/>
      <c r="AL10" s="725"/>
      <c r="AM10" s="724" t="s">
        <v>1659</v>
      </c>
      <c r="AN10" s="725"/>
      <c r="AO10" s="725"/>
      <c r="AP10" s="725"/>
      <c r="AQ10" s="725"/>
      <c r="AR10" s="725"/>
      <c r="AS10" s="725"/>
      <c r="AT10" s="725"/>
      <c r="AU10" s="724" t="s">
        <v>3785</v>
      </c>
      <c r="AV10" s="724" t="s">
        <v>2513</v>
      </c>
      <c r="AW10" s="724" t="s">
        <v>3681</v>
      </c>
      <c r="AX10" s="724" t="s">
        <v>3682</v>
      </c>
      <c r="AY10" s="724" t="s">
        <v>3683</v>
      </c>
      <c r="AZ10" s="724" t="s">
        <v>3684</v>
      </c>
      <c r="BA10" s="724"/>
      <c r="BB10" s="724"/>
      <c r="BC10" s="724" t="s">
        <v>5821</v>
      </c>
      <c r="BD10" s="724"/>
      <c r="BE10" s="724"/>
      <c r="BF10" s="724"/>
      <c r="BG10" s="724"/>
      <c r="BH10" s="724"/>
      <c r="BI10" s="724"/>
      <c r="BJ10" s="724"/>
      <c r="BK10" s="724"/>
      <c r="BL10" s="724"/>
      <c r="BM10" s="724"/>
      <c r="BN10" s="724"/>
      <c r="BO10" s="724"/>
      <c r="BP10" s="724"/>
      <c r="BQ10" s="724"/>
      <c r="BR10" s="724"/>
      <c r="BS10" s="724"/>
      <c r="BT10" s="724"/>
      <c r="BU10" s="724"/>
      <c r="BV10" s="887"/>
      <c r="BW10" s="724"/>
      <c r="BX10" s="724"/>
      <c r="BY10" s="724"/>
      <c r="BZ10" s="724"/>
      <c r="CA10" s="887"/>
      <c r="CB10" s="724"/>
      <c r="CC10" s="724"/>
      <c r="CD10" s="724"/>
      <c r="CE10" s="724"/>
      <c r="CF10" s="724"/>
      <c r="CG10" s="724"/>
      <c r="CH10" s="724"/>
      <c r="CI10" s="724"/>
      <c r="CJ10" s="724"/>
      <c r="CK10" s="724"/>
      <c r="CL10" s="724"/>
      <c r="CM10" s="724"/>
      <c r="CN10" s="724"/>
      <c r="CO10" s="724"/>
      <c r="CP10" s="724"/>
      <c r="CQ10" s="724"/>
      <c r="CR10" s="724"/>
      <c r="CS10" s="724"/>
      <c r="CT10" s="724"/>
      <c r="CU10" s="724"/>
      <c r="CV10" s="760" t="s">
        <v>3959</v>
      </c>
      <c r="CW10" s="726" t="s">
        <v>2037</v>
      </c>
      <c r="CX10" s="726" t="s">
        <v>3975</v>
      </c>
      <c r="CY10" s="669"/>
      <c r="DA10" s="2019"/>
    </row>
    <row r="11" spans="1:105" ht="18" customHeight="1" x14ac:dyDescent="0.55000000000000004">
      <c r="B11" s="433">
        <v>8</v>
      </c>
      <c r="C11" s="434" t="s">
        <v>231</v>
      </c>
      <c r="D11" s="759" t="s">
        <v>3776</v>
      </c>
      <c r="E11" s="725"/>
      <c r="F11" s="724" t="s">
        <v>3779</v>
      </c>
      <c r="G11" s="725"/>
      <c r="H11" s="725"/>
      <c r="I11" s="725"/>
      <c r="J11" s="725"/>
      <c r="K11" s="725"/>
      <c r="L11" s="725"/>
      <c r="M11" s="725"/>
      <c r="N11" s="725"/>
      <c r="O11" s="725"/>
      <c r="P11" s="725"/>
      <c r="Q11" s="725">
        <v>1</v>
      </c>
      <c r="R11" s="725"/>
      <c r="S11" s="725"/>
      <c r="T11" s="725"/>
      <c r="U11" s="725"/>
      <c r="V11" s="725"/>
      <c r="W11" s="725"/>
      <c r="X11" s="725"/>
      <c r="Y11" s="725"/>
      <c r="Z11" s="725"/>
      <c r="AA11" s="725"/>
      <c r="AB11" s="724" t="s">
        <v>1658</v>
      </c>
      <c r="AC11" s="724"/>
      <c r="AD11" s="724"/>
      <c r="AE11" s="724" t="s">
        <v>3843</v>
      </c>
      <c r="AF11" s="724"/>
      <c r="AG11" s="724" t="s">
        <v>3844</v>
      </c>
      <c r="AH11" s="724"/>
      <c r="AI11" s="724"/>
      <c r="AJ11" s="725"/>
      <c r="AK11" s="725"/>
      <c r="AL11" s="725"/>
      <c r="AM11" s="724" t="s">
        <v>1659</v>
      </c>
      <c r="AN11" s="725"/>
      <c r="AO11" s="725"/>
      <c r="AP11" s="725"/>
      <c r="AQ11" s="725"/>
      <c r="AR11" s="724"/>
      <c r="AS11" s="724"/>
      <c r="AT11" s="724"/>
      <c r="AU11" s="724" t="s">
        <v>3785</v>
      </c>
      <c r="AV11" s="724" t="s">
        <v>2513</v>
      </c>
      <c r="AW11" s="724" t="s">
        <v>3681</v>
      </c>
      <c r="AX11" s="724" t="s">
        <v>3682</v>
      </c>
      <c r="AY11" s="724" t="s">
        <v>3683</v>
      </c>
      <c r="AZ11" s="724" t="s">
        <v>3684</v>
      </c>
      <c r="BA11" s="724"/>
      <c r="BB11" s="724"/>
      <c r="BC11" s="724" t="s">
        <v>5821</v>
      </c>
      <c r="BD11" s="724"/>
      <c r="BE11" s="724"/>
      <c r="BF11" s="724"/>
      <c r="BG11" s="724"/>
      <c r="BH11" s="724"/>
      <c r="BI11" s="724"/>
      <c r="BJ11" s="724"/>
      <c r="BK11" s="724"/>
      <c r="BL11" s="724"/>
      <c r="BM11" s="724"/>
      <c r="BN11" s="724"/>
      <c r="BO11" s="724"/>
      <c r="BP11" s="724"/>
      <c r="BQ11" s="724"/>
      <c r="BR11" s="724"/>
      <c r="BS11" s="724"/>
      <c r="BT11" s="724"/>
      <c r="BU11" s="724"/>
      <c r="BV11" s="887"/>
      <c r="BW11" s="724"/>
      <c r="BX11" s="724"/>
      <c r="BY11" s="724"/>
      <c r="BZ11" s="724"/>
      <c r="CA11" s="887"/>
      <c r="CB11" s="724"/>
      <c r="CC11" s="724"/>
      <c r="CD11" s="724"/>
      <c r="CE11" s="724"/>
      <c r="CF11" s="724"/>
      <c r="CG11" s="724"/>
      <c r="CH11" s="724"/>
      <c r="CI11" s="724"/>
      <c r="CJ11" s="724"/>
      <c r="CK11" s="724"/>
      <c r="CL11" s="724"/>
      <c r="CM11" s="724"/>
      <c r="CN11" s="724"/>
      <c r="CO11" s="724"/>
      <c r="CP11" s="724"/>
      <c r="CQ11" s="724"/>
      <c r="CR11" s="724"/>
      <c r="CS11" s="724"/>
      <c r="CT11" s="724"/>
      <c r="CU11" s="724"/>
      <c r="CV11" s="760" t="s">
        <v>3972</v>
      </c>
      <c r="CW11" s="726" t="s">
        <v>2037</v>
      </c>
      <c r="CX11" s="726" t="s">
        <v>3975</v>
      </c>
      <c r="CY11" s="669"/>
      <c r="DA11" s="2019"/>
    </row>
    <row r="12" spans="1:105" ht="18" customHeight="1" x14ac:dyDescent="0.55000000000000004">
      <c r="B12" s="433">
        <v>9</v>
      </c>
      <c r="C12" s="434" t="s">
        <v>232</v>
      </c>
      <c r="D12" s="759" t="s">
        <v>3841</v>
      </c>
      <c r="E12" s="725"/>
      <c r="F12" s="724" t="s">
        <v>3779</v>
      </c>
      <c r="G12" s="725"/>
      <c r="H12" s="725"/>
      <c r="I12" s="725"/>
      <c r="J12" s="725"/>
      <c r="K12" s="725"/>
      <c r="L12" s="725"/>
      <c r="M12" s="725"/>
      <c r="N12" s="725"/>
      <c r="O12" s="725"/>
      <c r="P12" s="725"/>
      <c r="Q12" s="725">
        <v>1</v>
      </c>
      <c r="R12" s="725"/>
      <c r="S12" s="725"/>
      <c r="T12" s="725"/>
      <c r="U12" s="725"/>
      <c r="V12" s="725"/>
      <c r="W12" s="725"/>
      <c r="X12" s="725"/>
      <c r="Y12" s="725"/>
      <c r="Z12" s="725"/>
      <c r="AA12" s="725"/>
      <c r="AB12" s="724" t="s">
        <v>1658</v>
      </c>
      <c r="AC12" s="724"/>
      <c r="AD12" s="724"/>
      <c r="AE12" s="724"/>
      <c r="AF12" s="724"/>
      <c r="AG12" s="724" t="s">
        <v>3845</v>
      </c>
      <c r="AH12" s="724" t="s">
        <v>3846</v>
      </c>
      <c r="AI12" s="724"/>
      <c r="AJ12" s="725"/>
      <c r="AK12" s="725"/>
      <c r="AL12" s="725"/>
      <c r="AM12" s="724" t="s">
        <v>1659</v>
      </c>
      <c r="AN12" s="725"/>
      <c r="AO12" s="725"/>
      <c r="AP12" s="725"/>
      <c r="AQ12" s="725"/>
      <c r="AR12" s="724"/>
      <c r="AS12" s="724"/>
      <c r="AT12" s="724"/>
      <c r="AU12" s="724" t="s">
        <v>3785</v>
      </c>
      <c r="AV12" s="724" t="s">
        <v>2513</v>
      </c>
      <c r="AW12" s="724" t="s">
        <v>3681</v>
      </c>
      <c r="AX12" s="724" t="s">
        <v>3682</v>
      </c>
      <c r="AY12" s="724" t="s">
        <v>3683</v>
      </c>
      <c r="AZ12" s="724" t="s">
        <v>3684</v>
      </c>
      <c r="BA12" s="724"/>
      <c r="BB12" s="724"/>
      <c r="BC12" s="724" t="s">
        <v>5821</v>
      </c>
      <c r="BD12" s="724"/>
      <c r="BE12" s="724"/>
      <c r="BF12" s="724"/>
      <c r="BG12" s="724"/>
      <c r="BH12" s="724"/>
      <c r="BI12" s="724"/>
      <c r="BJ12" s="724"/>
      <c r="BK12" s="724"/>
      <c r="BL12" s="724"/>
      <c r="BM12" s="724"/>
      <c r="BN12" s="724"/>
      <c r="BO12" s="724"/>
      <c r="BP12" s="724"/>
      <c r="BQ12" s="724"/>
      <c r="BR12" s="724"/>
      <c r="BS12" s="724"/>
      <c r="BT12" s="724"/>
      <c r="BU12" s="724"/>
      <c r="BV12" s="887"/>
      <c r="BW12" s="724"/>
      <c r="BX12" s="724"/>
      <c r="BY12" s="724"/>
      <c r="BZ12" s="724"/>
      <c r="CA12" s="887"/>
      <c r="CB12" s="724"/>
      <c r="CC12" s="724"/>
      <c r="CD12" s="724"/>
      <c r="CE12" s="724"/>
      <c r="CF12" s="724"/>
      <c r="CG12" s="724"/>
      <c r="CH12" s="724"/>
      <c r="CI12" s="724"/>
      <c r="CJ12" s="724"/>
      <c r="CK12" s="724"/>
      <c r="CL12" s="724"/>
      <c r="CM12" s="724"/>
      <c r="CN12" s="724"/>
      <c r="CO12" s="724"/>
      <c r="CP12" s="724"/>
      <c r="CQ12" s="724"/>
      <c r="CR12" s="724"/>
      <c r="CS12" s="724"/>
      <c r="CT12" s="724"/>
      <c r="CU12" s="724"/>
      <c r="CV12" s="760" t="s">
        <v>3973</v>
      </c>
      <c r="CW12" s="726" t="s">
        <v>2037</v>
      </c>
      <c r="CX12" s="726" t="s">
        <v>3975</v>
      </c>
      <c r="CY12" s="669"/>
      <c r="DA12" s="2019"/>
    </row>
    <row r="13" spans="1:105" ht="18" customHeight="1" x14ac:dyDescent="0.55000000000000004">
      <c r="B13" s="433">
        <v>10</v>
      </c>
      <c r="C13" s="434" t="s">
        <v>233</v>
      </c>
      <c r="D13" s="759" t="s">
        <v>3842</v>
      </c>
      <c r="E13" s="725"/>
      <c r="F13" s="724" t="s">
        <v>3779</v>
      </c>
      <c r="G13" s="725"/>
      <c r="H13" s="725"/>
      <c r="I13" s="725"/>
      <c r="J13" s="725"/>
      <c r="K13" s="725"/>
      <c r="L13" s="725"/>
      <c r="M13" s="725"/>
      <c r="N13" s="725"/>
      <c r="O13" s="725"/>
      <c r="P13" s="725"/>
      <c r="Q13" s="725">
        <v>1</v>
      </c>
      <c r="R13" s="725"/>
      <c r="S13" s="725"/>
      <c r="T13" s="725"/>
      <c r="U13" s="725"/>
      <c r="V13" s="725"/>
      <c r="W13" s="725"/>
      <c r="X13" s="725"/>
      <c r="Y13" s="725"/>
      <c r="Z13" s="725"/>
      <c r="AA13" s="725"/>
      <c r="AB13" s="724" t="s">
        <v>1658</v>
      </c>
      <c r="AC13" s="724"/>
      <c r="AD13" s="724"/>
      <c r="AE13" s="724"/>
      <c r="AF13" s="724"/>
      <c r="AG13" s="724"/>
      <c r="AH13" s="724" t="s">
        <v>3847</v>
      </c>
      <c r="AI13" s="724" t="s">
        <v>3848</v>
      </c>
      <c r="AJ13" s="725"/>
      <c r="AK13" s="725"/>
      <c r="AL13" s="725"/>
      <c r="AM13" s="724" t="s">
        <v>1659</v>
      </c>
      <c r="AN13" s="725"/>
      <c r="AO13" s="725"/>
      <c r="AP13" s="725"/>
      <c r="AQ13" s="725"/>
      <c r="AR13" s="724"/>
      <c r="AS13" s="724"/>
      <c r="AT13" s="724"/>
      <c r="AU13" s="724" t="s">
        <v>3785</v>
      </c>
      <c r="AV13" s="724" t="s">
        <v>2513</v>
      </c>
      <c r="AW13" s="724" t="s">
        <v>3681</v>
      </c>
      <c r="AX13" s="724" t="s">
        <v>3682</v>
      </c>
      <c r="AY13" s="724" t="s">
        <v>3683</v>
      </c>
      <c r="AZ13" s="724" t="s">
        <v>3684</v>
      </c>
      <c r="BA13" s="724"/>
      <c r="BB13" s="724"/>
      <c r="BC13" s="724" t="s">
        <v>5821</v>
      </c>
      <c r="BD13" s="724"/>
      <c r="BE13" s="724"/>
      <c r="BF13" s="724"/>
      <c r="BG13" s="724"/>
      <c r="BH13" s="724"/>
      <c r="BI13" s="724"/>
      <c r="BJ13" s="724"/>
      <c r="BK13" s="724"/>
      <c r="BL13" s="724"/>
      <c r="BM13" s="724"/>
      <c r="BN13" s="724"/>
      <c r="BO13" s="724"/>
      <c r="BP13" s="724"/>
      <c r="BQ13" s="724"/>
      <c r="BR13" s="724"/>
      <c r="BS13" s="724"/>
      <c r="BT13" s="724"/>
      <c r="BU13" s="724"/>
      <c r="BV13" s="887"/>
      <c r="BW13" s="724"/>
      <c r="BX13" s="724"/>
      <c r="BY13" s="724"/>
      <c r="BZ13" s="724"/>
      <c r="CA13" s="887"/>
      <c r="CB13" s="724"/>
      <c r="CC13" s="724"/>
      <c r="CD13" s="724"/>
      <c r="CE13" s="724"/>
      <c r="CF13" s="724"/>
      <c r="CG13" s="724"/>
      <c r="CH13" s="724"/>
      <c r="CI13" s="724"/>
      <c r="CJ13" s="724"/>
      <c r="CK13" s="724"/>
      <c r="CL13" s="724"/>
      <c r="CM13" s="724"/>
      <c r="CN13" s="724"/>
      <c r="CO13" s="724"/>
      <c r="CP13" s="724"/>
      <c r="CQ13" s="724"/>
      <c r="CR13" s="724"/>
      <c r="CS13" s="724"/>
      <c r="CT13" s="724"/>
      <c r="CU13" s="724"/>
      <c r="CV13" s="760" t="s">
        <v>3974</v>
      </c>
      <c r="CW13" s="726" t="s">
        <v>2037</v>
      </c>
      <c r="CX13" s="726" t="s">
        <v>3975</v>
      </c>
      <c r="CY13" s="669"/>
      <c r="DA13" s="2019"/>
    </row>
    <row r="14" spans="1:105" ht="18" customHeight="1" x14ac:dyDescent="0.55000000000000004">
      <c r="B14" s="433">
        <v>11</v>
      </c>
      <c r="C14" s="434" t="s">
        <v>234</v>
      </c>
      <c r="D14" s="759" t="s">
        <v>2214</v>
      </c>
      <c r="E14" s="725" t="s">
        <v>2212</v>
      </c>
      <c r="F14" s="724" t="s">
        <v>1747</v>
      </c>
      <c r="G14" s="725"/>
      <c r="H14" s="725"/>
      <c r="I14" s="725"/>
      <c r="J14" s="725"/>
      <c r="K14" s="725"/>
      <c r="L14" s="725"/>
      <c r="M14" s="725"/>
      <c r="N14" s="725"/>
      <c r="O14" s="725"/>
      <c r="P14" s="725"/>
      <c r="Q14" s="725">
        <v>1</v>
      </c>
      <c r="R14" s="725"/>
      <c r="S14" s="725"/>
      <c r="T14" s="725"/>
      <c r="U14" s="725"/>
      <c r="V14" s="725"/>
      <c r="W14" s="725"/>
      <c r="X14" s="725"/>
      <c r="Y14" s="725"/>
      <c r="Z14" s="725"/>
      <c r="AA14" s="725"/>
      <c r="AB14" s="724" t="s">
        <v>1658</v>
      </c>
      <c r="AC14" s="724"/>
      <c r="AD14" s="725"/>
      <c r="AE14" s="725"/>
      <c r="AF14" s="725"/>
      <c r="AG14" s="725"/>
      <c r="AH14" s="725"/>
      <c r="AI14" s="725"/>
      <c r="AJ14" s="725"/>
      <c r="AK14" s="725"/>
      <c r="AL14" s="725"/>
      <c r="AM14" s="724" t="s">
        <v>1659</v>
      </c>
      <c r="AN14" s="725"/>
      <c r="AO14" s="725"/>
      <c r="AP14" s="725"/>
      <c r="AQ14" s="725"/>
      <c r="AR14" s="725"/>
      <c r="AS14" s="725"/>
      <c r="AT14" s="725" t="s">
        <v>2216</v>
      </c>
      <c r="AU14" s="761" t="s">
        <v>2218</v>
      </c>
      <c r="AV14" s="724" t="s">
        <v>2513</v>
      </c>
      <c r="AW14" s="724" t="s">
        <v>3681</v>
      </c>
      <c r="AX14" s="724" t="s">
        <v>3682</v>
      </c>
      <c r="AY14" s="724" t="s">
        <v>3683</v>
      </c>
      <c r="AZ14" s="724" t="s">
        <v>3684</v>
      </c>
      <c r="BA14" s="724"/>
      <c r="BB14" s="724"/>
      <c r="BC14" s="724" t="s">
        <v>5822</v>
      </c>
      <c r="BD14" s="724"/>
      <c r="BE14" s="724"/>
      <c r="BF14" s="724"/>
      <c r="BG14" s="724"/>
      <c r="BH14" s="724"/>
      <c r="BI14" s="724"/>
      <c r="BJ14" s="724"/>
      <c r="BK14" s="724"/>
      <c r="BL14" s="724"/>
      <c r="BM14" s="724"/>
      <c r="BN14" s="724"/>
      <c r="BO14" s="724"/>
      <c r="BP14" s="724"/>
      <c r="BQ14" s="724"/>
      <c r="BR14" s="724"/>
      <c r="BS14" s="724"/>
      <c r="BT14" s="724"/>
      <c r="BU14" s="724"/>
      <c r="BV14" s="887"/>
      <c r="BW14" s="724"/>
      <c r="BX14" s="724"/>
      <c r="BY14" s="724"/>
      <c r="BZ14" s="724"/>
      <c r="CA14" s="887"/>
      <c r="CB14" s="724"/>
      <c r="CC14" s="724"/>
      <c r="CD14" s="724"/>
      <c r="CE14" s="724"/>
      <c r="CF14" s="724"/>
      <c r="CG14" s="724"/>
      <c r="CH14" s="724"/>
      <c r="CI14" s="724"/>
      <c r="CJ14" s="724"/>
      <c r="CK14" s="724"/>
      <c r="CL14" s="724"/>
      <c r="CM14" s="724"/>
      <c r="CN14" s="724"/>
      <c r="CO14" s="724"/>
      <c r="CP14" s="724"/>
      <c r="CQ14" s="724"/>
      <c r="CR14" s="724"/>
      <c r="CS14" s="724"/>
      <c r="CT14" s="724"/>
      <c r="CU14" s="724"/>
      <c r="CV14" s="760" t="s">
        <v>3711</v>
      </c>
      <c r="CW14" s="726" t="s">
        <v>2037</v>
      </c>
      <c r="CX14" s="726"/>
      <c r="CY14" s="683"/>
    </row>
    <row r="15" spans="1:105" ht="18" customHeight="1" x14ac:dyDescent="0.55000000000000004">
      <c r="B15" s="433">
        <v>12</v>
      </c>
      <c r="C15" s="434" t="s">
        <v>235</v>
      </c>
      <c r="D15" s="759" t="s">
        <v>2951</v>
      </c>
      <c r="E15" s="725" t="s">
        <v>2213</v>
      </c>
      <c r="F15" s="724" t="s">
        <v>1747</v>
      </c>
      <c r="G15" s="725"/>
      <c r="H15" s="725"/>
      <c r="I15" s="725"/>
      <c r="J15" s="725"/>
      <c r="K15" s="725"/>
      <c r="L15" s="725"/>
      <c r="M15" s="725"/>
      <c r="N15" s="725"/>
      <c r="O15" s="725"/>
      <c r="P15" s="725"/>
      <c r="Q15" s="725">
        <v>1</v>
      </c>
      <c r="R15" s="725"/>
      <c r="S15" s="725"/>
      <c r="T15" s="725"/>
      <c r="U15" s="725"/>
      <c r="V15" s="725"/>
      <c r="W15" s="725"/>
      <c r="X15" s="725"/>
      <c r="Y15" s="725"/>
      <c r="Z15" s="725"/>
      <c r="AA15" s="725"/>
      <c r="AB15" s="724" t="s">
        <v>1658</v>
      </c>
      <c r="AC15" s="724"/>
      <c r="AD15" s="725"/>
      <c r="AE15" s="725"/>
      <c r="AF15" s="725"/>
      <c r="AG15" s="725"/>
      <c r="AH15" s="725"/>
      <c r="AI15" s="725"/>
      <c r="AJ15" s="725"/>
      <c r="AK15" s="725"/>
      <c r="AL15" s="725"/>
      <c r="AM15" s="724" t="s">
        <v>1659</v>
      </c>
      <c r="AN15" s="725"/>
      <c r="AO15" s="725"/>
      <c r="AP15" s="725"/>
      <c r="AQ15" s="725"/>
      <c r="AR15" s="725"/>
      <c r="AS15" s="725"/>
      <c r="AT15" s="725" t="s">
        <v>2217</v>
      </c>
      <c r="AU15" s="761" t="s">
        <v>2219</v>
      </c>
      <c r="AV15" s="724" t="s">
        <v>2513</v>
      </c>
      <c r="AW15" s="724" t="s">
        <v>3681</v>
      </c>
      <c r="AX15" s="724" t="s">
        <v>3682</v>
      </c>
      <c r="AY15" s="724" t="s">
        <v>3683</v>
      </c>
      <c r="AZ15" s="724" t="s">
        <v>3684</v>
      </c>
      <c r="BA15" s="724"/>
      <c r="BB15" s="724"/>
      <c r="BC15" s="724" t="s">
        <v>5822</v>
      </c>
      <c r="BD15" s="724"/>
      <c r="BE15" s="724"/>
      <c r="BF15" s="724"/>
      <c r="BG15" s="724"/>
      <c r="BH15" s="724"/>
      <c r="BI15" s="724"/>
      <c r="BJ15" s="724"/>
      <c r="BK15" s="724"/>
      <c r="BL15" s="724"/>
      <c r="BM15" s="724"/>
      <c r="BN15" s="724"/>
      <c r="BO15" s="724"/>
      <c r="BP15" s="724"/>
      <c r="BQ15" s="724"/>
      <c r="BR15" s="724"/>
      <c r="BS15" s="724"/>
      <c r="BT15" s="724"/>
      <c r="BU15" s="724"/>
      <c r="BV15" s="887"/>
      <c r="BW15" s="724"/>
      <c r="BX15" s="724"/>
      <c r="BY15" s="724"/>
      <c r="BZ15" s="724"/>
      <c r="CA15" s="887"/>
      <c r="CB15" s="724"/>
      <c r="CC15" s="724"/>
      <c r="CD15" s="724"/>
      <c r="CE15" s="724"/>
      <c r="CF15" s="724"/>
      <c r="CG15" s="724"/>
      <c r="CH15" s="724"/>
      <c r="CI15" s="724"/>
      <c r="CJ15" s="724"/>
      <c r="CK15" s="724"/>
      <c r="CL15" s="724"/>
      <c r="CM15" s="724"/>
      <c r="CN15" s="724"/>
      <c r="CO15" s="724"/>
      <c r="CP15" s="724"/>
      <c r="CQ15" s="724"/>
      <c r="CR15" s="724"/>
      <c r="CS15" s="724"/>
      <c r="CT15" s="724"/>
      <c r="CU15" s="724"/>
      <c r="CV15" s="760" t="s">
        <v>3712</v>
      </c>
      <c r="CW15" s="726" t="s">
        <v>2037</v>
      </c>
      <c r="CX15" s="726"/>
      <c r="CY15" s="683"/>
    </row>
    <row r="16" spans="1:105" ht="15.75" x14ac:dyDescent="0.55000000000000004">
      <c r="B16" s="433">
        <v>13</v>
      </c>
      <c r="C16" s="434" t="s">
        <v>236</v>
      </c>
      <c r="D16" s="759" t="s">
        <v>1661</v>
      </c>
      <c r="E16" s="725"/>
      <c r="F16" s="725"/>
      <c r="G16" s="724" t="s">
        <v>1748</v>
      </c>
      <c r="H16" s="725"/>
      <c r="I16" s="725"/>
      <c r="J16" s="725"/>
      <c r="K16" s="725"/>
      <c r="L16" s="725"/>
      <c r="M16" s="725"/>
      <c r="N16" s="725"/>
      <c r="O16" s="725"/>
      <c r="P16" s="725"/>
      <c r="Q16" s="725">
        <v>1</v>
      </c>
      <c r="R16" s="725"/>
      <c r="S16" s="725"/>
      <c r="T16" s="725"/>
      <c r="U16" s="725"/>
      <c r="V16" s="725"/>
      <c r="W16" s="725"/>
      <c r="X16" s="725"/>
      <c r="Y16" s="725"/>
      <c r="Z16" s="725"/>
      <c r="AA16" s="725"/>
      <c r="AB16" s="724" t="s">
        <v>1658</v>
      </c>
      <c r="AC16" s="724"/>
      <c r="AD16" s="725"/>
      <c r="AE16" s="725"/>
      <c r="AF16" s="725"/>
      <c r="AG16" s="725"/>
      <c r="AH16" s="725"/>
      <c r="AI16" s="725"/>
      <c r="AJ16" s="725"/>
      <c r="AK16" s="725"/>
      <c r="AL16" s="725"/>
      <c r="AM16" s="724" t="s">
        <v>1659</v>
      </c>
      <c r="AN16" s="725"/>
      <c r="AO16" s="725"/>
      <c r="AP16" s="725"/>
      <c r="AQ16" s="725"/>
      <c r="AR16" s="724" t="s">
        <v>1751</v>
      </c>
      <c r="AS16" s="724"/>
      <c r="AT16" s="724"/>
      <c r="AU16" s="724" t="s">
        <v>1993</v>
      </c>
      <c r="AV16" s="724" t="s">
        <v>2513</v>
      </c>
      <c r="AW16" s="724" t="s">
        <v>3681</v>
      </c>
      <c r="AX16" s="724" t="s">
        <v>3682</v>
      </c>
      <c r="AY16" s="724" t="s">
        <v>3683</v>
      </c>
      <c r="AZ16" s="724" t="s">
        <v>3684</v>
      </c>
      <c r="BA16" s="724"/>
      <c r="BB16" s="724"/>
      <c r="BC16" s="724" t="s">
        <v>5439</v>
      </c>
      <c r="BD16" s="724"/>
      <c r="BE16" s="724"/>
      <c r="BF16" s="724"/>
      <c r="BG16" s="724"/>
      <c r="BH16" s="724"/>
      <c r="BI16" s="724"/>
      <c r="BJ16" s="724"/>
      <c r="BK16" s="724"/>
      <c r="BL16" s="724"/>
      <c r="BM16" s="724"/>
      <c r="BN16" s="724"/>
      <c r="BO16" s="724"/>
      <c r="BP16" s="724"/>
      <c r="BQ16" s="724"/>
      <c r="BR16" s="724"/>
      <c r="BS16" s="724"/>
      <c r="BT16" s="724"/>
      <c r="BU16" s="724"/>
      <c r="BV16" s="887"/>
      <c r="BW16" s="724"/>
      <c r="BX16" s="724"/>
      <c r="BY16" s="724"/>
      <c r="BZ16" s="724"/>
      <c r="CA16" s="887"/>
      <c r="CB16" s="724"/>
      <c r="CC16" s="724"/>
      <c r="CD16" s="724"/>
      <c r="CE16" s="724"/>
      <c r="CF16" s="724"/>
      <c r="CG16" s="724"/>
      <c r="CH16" s="724"/>
      <c r="CI16" s="724"/>
      <c r="CJ16" s="724"/>
      <c r="CK16" s="724"/>
      <c r="CL16" s="724"/>
      <c r="CM16" s="724"/>
      <c r="CN16" s="724"/>
      <c r="CO16" s="724"/>
      <c r="CP16" s="724"/>
      <c r="CQ16" s="724"/>
      <c r="CR16" s="724"/>
      <c r="CS16" s="724"/>
      <c r="CT16" s="724"/>
      <c r="CU16" s="724"/>
      <c r="CV16" s="760" t="s">
        <v>3713</v>
      </c>
      <c r="CW16" s="726" t="s">
        <v>2037</v>
      </c>
      <c r="CX16" s="726"/>
      <c r="CY16" s="669"/>
    </row>
    <row r="17" spans="2:105" ht="15.75" x14ac:dyDescent="0.45">
      <c r="B17" s="433">
        <v>14</v>
      </c>
      <c r="C17" s="434" t="s">
        <v>237</v>
      </c>
      <c r="D17" s="759" t="s">
        <v>289</v>
      </c>
      <c r="E17" s="725"/>
      <c r="F17" s="725"/>
      <c r="G17" s="725"/>
      <c r="H17" s="725"/>
      <c r="I17" s="725" t="s">
        <v>1662</v>
      </c>
      <c r="J17" s="725"/>
      <c r="K17" s="725"/>
      <c r="L17" s="725"/>
      <c r="M17" s="725"/>
      <c r="N17" s="725"/>
      <c r="O17" s="725" t="s">
        <v>1663</v>
      </c>
      <c r="P17" s="725"/>
      <c r="Q17" s="725">
        <v>-1</v>
      </c>
      <c r="R17" s="725"/>
      <c r="S17" s="725"/>
      <c r="T17" s="725"/>
      <c r="U17" s="725"/>
      <c r="V17" s="725"/>
      <c r="W17" s="725"/>
      <c r="X17" s="725"/>
      <c r="Y17" s="725"/>
      <c r="Z17" s="725"/>
      <c r="AA17" s="725"/>
      <c r="AB17" s="724" t="s">
        <v>2184</v>
      </c>
      <c r="AC17" s="724"/>
      <c r="AD17" s="725"/>
      <c r="AE17" s="725"/>
      <c r="AF17" s="725"/>
      <c r="AG17" s="725"/>
      <c r="AH17" s="725"/>
      <c r="AI17" s="725"/>
      <c r="AJ17" s="725"/>
      <c r="AK17" s="725" t="s">
        <v>1664</v>
      </c>
      <c r="AL17" s="725"/>
      <c r="AM17" s="725"/>
      <c r="AN17" s="725"/>
      <c r="AO17" s="725"/>
      <c r="AP17" s="725" t="s">
        <v>1665</v>
      </c>
      <c r="AQ17" s="725"/>
      <c r="AR17" s="725"/>
      <c r="AS17" s="725"/>
      <c r="AT17" s="725"/>
      <c r="AU17" s="725" t="s">
        <v>2007</v>
      </c>
      <c r="AV17" s="725" t="s">
        <v>2514</v>
      </c>
      <c r="AW17" s="724" t="s">
        <v>3685</v>
      </c>
      <c r="AX17" s="724" t="s">
        <v>3686</v>
      </c>
      <c r="AY17" s="724" t="s">
        <v>3687</v>
      </c>
      <c r="AZ17" s="724" t="s">
        <v>3688</v>
      </c>
      <c r="BA17" s="724"/>
      <c r="BB17" s="724"/>
      <c r="BC17" s="724" t="s">
        <v>5423</v>
      </c>
      <c r="BD17" s="724"/>
      <c r="BE17" s="724"/>
      <c r="BF17" s="724"/>
      <c r="BG17" s="724"/>
      <c r="BH17" s="724"/>
      <c r="BI17" s="724"/>
      <c r="BJ17" s="724"/>
      <c r="BK17" s="724"/>
      <c r="BL17" s="724"/>
      <c r="BM17" s="724"/>
      <c r="BN17" s="724"/>
      <c r="BO17" s="724"/>
      <c r="BP17" s="724"/>
      <c r="BQ17" s="724"/>
      <c r="BR17" s="724"/>
      <c r="BS17" s="724"/>
      <c r="BT17" s="724"/>
      <c r="BU17" s="724"/>
      <c r="BV17" s="887"/>
      <c r="BW17" s="724"/>
      <c r="BX17" s="724"/>
      <c r="BY17" s="724"/>
      <c r="BZ17" s="724"/>
      <c r="CA17" s="887"/>
      <c r="CB17" s="724"/>
      <c r="CC17" s="724"/>
      <c r="CD17" s="724"/>
      <c r="CE17" s="724"/>
      <c r="CF17" s="724"/>
      <c r="CG17" s="724"/>
      <c r="CH17" s="724"/>
      <c r="CI17" s="724"/>
      <c r="CJ17" s="724"/>
      <c r="CK17" s="724"/>
      <c r="CL17" s="724"/>
      <c r="CM17" s="724"/>
      <c r="CN17" s="724"/>
      <c r="CO17" s="724"/>
      <c r="CP17" s="724"/>
      <c r="CQ17" s="724"/>
      <c r="CR17" s="724"/>
      <c r="CS17" s="724"/>
      <c r="CT17" s="724"/>
      <c r="CU17" s="724"/>
      <c r="CV17" s="760" t="s">
        <v>3081</v>
      </c>
      <c r="CW17" s="726" t="s">
        <v>2037</v>
      </c>
      <c r="CX17" s="726"/>
      <c r="CY17" s="669"/>
    </row>
    <row r="18" spans="2:105" ht="15.75" x14ac:dyDescent="0.45">
      <c r="B18" s="433">
        <v>15</v>
      </c>
      <c r="C18" s="434" t="s">
        <v>238</v>
      </c>
      <c r="D18" s="759" t="s">
        <v>3074</v>
      </c>
      <c r="E18" s="725"/>
      <c r="F18" s="725"/>
      <c r="G18" s="725"/>
      <c r="H18" s="725"/>
      <c r="I18" s="725" t="s">
        <v>1662</v>
      </c>
      <c r="J18" s="725"/>
      <c r="K18" s="725"/>
      <c r="L18" s="725"/>
      <c r="M18" s="725"/>
      <c r="N18" s="725"/>
      <c r="O18" s="725"/>
      <c r="P18" s="725" t="s">
        <v>1663</v>
      </c>
      <c r="Q18" s="725">
        <v>-1</v>
      </c>
      <c r="R18" s="725"/>
      <c r="S18" s="725"/>
      <c r="T18" s="725"/>
      <c r="U18" s="725"/>
      <c r="V18" s="725"/>
      <c r="W18" s="725"/>
      <c r="X18" s="725"/>
      <c r="Y18" s="725"/>
      <c r="Z18" s="725"/>
      <c r="AA18" s="725"/>
      <c r="AB18" s="724" t="s">
        <v>2184</v>
      </c>
      <c r="AC18" s="724"/>
      <c r="AD18" s="725"/>
      <c r="AE18" s="725"/>
      <c r="AF18" s="725"/>
      <c r="AG18" s="725"/>
      <c r="AH18" s="725"/>
      <c r="AI18" s="725"/>
      <c r="AJ18" s="725"/>
      <c r="AK18" s="725" t="s">
        <v>1664</v>
      </c>
      <c r="AL18" s="725"/>
      <c r="AM18" s="725"/>
      <c r="AN18" s="725"/>
      <c r="AO18" s="725"/>
      <c r="AP18" s="725" t="s">
        <v>1665</v>
      </c>
      <c r="AQ18" s="725"/>
      <c r="AR18" s="725"/>
      <c r="AS18" s="725"/>
      <c r="AT18" s="725"/>
      <c r="AU18" s="725" t="s">
        <v>2007</v>
      </c>
      <c r="AV18" s="725" t="s">
        <v>2514</v>
      </c>
      <c r="AW18" s="724" t="s">
        <v>3685</v>
      </c>
      <c r="AX18" s="724" t="s">
        <v>3686</v>
      </c>
      <c r="AY18" s="724" t="s">
        <v>3687</v>
      </c>
      <c r="AZ18" s="724" t="s">
        <v>3688</v>
      </c>
      <c r="BA18" s="724"/>
      <c r="BB18" s="724"/>
      <c r="BC18" s="724" t="s">
        <v>5423</v>
      </c>
      <c r="BD18" s="724"/>
      <c r="BE18" s="724"/>
      <c r="BF18" s="724"/>
      <c r="BG18" s="724"/>
      <c r="BH18" s="724"/>
      <c r="BI18" s="724"/>
      <c r="BJ18" s="724"/>
      <c r="BK18" s="724"/>
      <c r="BL18" s="724"/>
      <c r="BM18" s="724"/>
      <c r="BN18" s="724"/>
      <c r="BO18" s="724"/>
      <c r="BP18" s="724"/>
      <c r="BQ18" s="724"/>
      <c r="BR18" s="724"/>
      <c r="BS18" s="724"/>
      <c r="BT18" s="724"/>
      <c r="BU18" s="724"/>
      <c r="BV18" s="887"/>
      <c r="BW18" s="724"/>
      <c r="BX18" s="724"/>
      <c r="BY18" s="724"/>
      <c r="BZ18" s="724"/>
      <c r="CA18" s="887"/>
      <c r="CB18" s="724"/>
      <c r="CC18" s="724"/>
      <c r="CD18" s="724"/>
      <c r="CE18" s="724"/>
      <c r="CF18" s="724"/>
      <c r="CG18" s="724"/>
      <c r="CH18" s="724"/>
      <c r="CI18" s="724"/>
      <c r="CJ18" s="724"/>
      <c r="CK18" s="724"/>
      <c r="CL18" s="724"/>
      <c r="CM18" s="724"/>
      <c r="CN18" s="724"/>
      <c r="CO18" s="724"/>
      <c r="CP18" s="724"/>
      <c r="CQ18" s="724"/>
      <c r="CR18" s="724"/>
      <c r="CS18" s="724"/>
      <c r="CT18" s="724"/>
      <c r="CU18" s="724"/>
      <c r="CV18" s="760" t="s">
        <v>3082</v>
      </c>
      <c r="CW18" s="726" t="s">
        <v>2037</v>
      </c>
      <c r="CX18" s="726"/>
      <c r="CY18" s="669"/>
    </row>
    <row r="19" spans="2:105" ht="15.75" x14ac:dyDescent="0.55000000000000004">
      <c r="B19" s="762">
        <v>16</v>
      </c>
      <c r="C19" s="763" t="s">
        <v>239</v>
      </c>
      <c r="D19" s="764" t="s">
        <v>2279</v>
      </c>
      <c r="E19" s="727"/>
      <c r="F19" s="727"/>
      <c r="G19" s="765" t="s">
        <v>1667</v>
      </c>
      <c r="H19" s="727"/>
      <c r="I19" s="727"/>
      <c r="J19" s="727"/>
      <c r="K19" s="727"/>
      <c r="L19" s="727"/>
      <c r="M19" s="727"/>
      <c r="N19" s="727"/>
      <c r="O19" s="727"/>
      <c r="P19" s="727"/>
      <c r="Q19" s="727"/>
      <c r="R19" s="727"/>
      <c r="S19" s="727">
        <v>1</v>
      </c>
      <c r="T19" s="727"/>
      <c r="U19" s="727"/>
      <c r="V19" s="727"/>
      <c r="W19" s="727"/>
      <c r="X19" s="727"/>
      <c r="Y19" s="727"/>
      <c r="Z19" s="727"/>
      <c r="AA19" s="727"/>
      <c r="AB19" s="727" t="s">
        <v>1658</v>
      </c>
      <c r="AC19" s="727"/>
      <c r="AD19" s="765"/>
      <c r="AE19" s="765" t="s">
        <v>2281</v>
      </c>
      <c r="AF19" s="765"/>
      <c r="AG19" s="765"/>
      <c r="AH19" s="765"/>
      <c r="AI19" s="765" t="s">
        <v>2282</v>
      </c>
      <c r="AJ19" s="727"/>
      <c r="AK19" s="727"/>
      <c r="AL19" s="727"/>
      <c r="AM19" s="765" t="s">
        <v>1659</v>
      </c>
      <c r="AN19" s="727"/>
      <c r="AO19" s="727"/>
      <c r="AP19" s="727"/>
      <c r="AQ19" s="727"/>
      <c r="AR19" s="727"/>
      <c r="AS19" s="727"/>
      <c r="AT19" s="727"/>
      <c r="AU19" s="765" t="s">
        <v>1992</v>
      </c>
      <c r="AV19" s="765" t="s">
        <v>2513</v>
      </c>
      <c r="AW19" s="765" t="s">
        <v>3681</v>
      </c>
      <c r="AX19" s="765" t="s">
        <v>3682</v>
      </c>
      <c r="AY19" s="765" t="s">
        <v>3683</v>
      </c>
      <c r="AZ19" s="765" t="s">
        <v>3684</v>
      </c>
      <c r="BA19" s="765"/>
      <c r="BB19" s="765"/>
      <c r="BC19" s="765" t="s">
        <v>5439</v>
      </c>
      <c r="BD19" s="765"/>
      <c r="BE19" s="765"/>
      <c r="BF19" s="765"/>
      <c r="BG19" s="765"/>
      <c r="BH19" s="765"/>
      <c r="BI19" s="765"/>
      <c r="BJ19" s="765"/>
      <c r="BK19" s="765"/>
      <c r="BL19" s="765"/>
      <c r="BM19" s="765"/>
      <c r="BN19" s="765"/>
      <c r="BO19" s="765"/>
      <c r="BP19" s="765"/>
      <c r="BQ19" s="765"/>
      <c r="BR19" s="765"/>
      <c r="BS19" s="765"/>
      <c r="BT19" s="765"/>
      <c r="BU19" s="765"/>
      <c r="BV19" s="888"/>
      <c r="BW19" s="765"/>
      <c r="BX19" s="765"/>
      <c r="BY19" s="765"/>
      <c r="BZ19" s="765"/>
      <c r="CA19" s="888"/>
      <c r="CB19" s="765"/>
      <c r="CC19" s="765"/>
      <c r="CD19" s="765"/>
      <c r="CE19" s="765"/>
      <c r="CF19" s="765"/>
      <c r="CG19" s="765"/>
      <c r="CH19" s="765"/>
      <c r="CI19" s="765"/>
      <c r="CJ19" s="765"/>
      <c r="CK19" s="765"/>
      <c r="CL19" s="765"/>
      <c r="CM19" s="765"/>
      <c r="CN19" s="765"/>
      <c r="CO19" s="765"/>
      <c r="CP19" s="765"/>
      <c r="CQ19" s="765"/>
      <c r="CR19" s="765"/>
      <c r="CS19" s="765"/>
      <c r="CT19" s="765"/>
      <c r="CU19" s="765"/>
      <c r="CV19" s="766" t="s">
        <v>3714</v>
      </c>
      <c r="CW19" s="767" t="s">
        <v>2037</v>
      </c>
      <c r="CX19" s="767"/>
      <c r="CY19" s="684"/>
    </row>
    <row r="20" spans="2:105" ht="15.75" x14ac:dyDescent="0.55000000000000004">
      <c r="B20" s="762">
        <v>17</v>
      </c>
      <c r="C20" s="763" t="s">
        <v>240</v>
      </c>
      <c r="D20" s="764" t="s">
        <v>1666</v>
      </c>
      <c r="E20" s="727"/>
      <c r="F20" s="727"/>
      <c r="G20" s="765" t="s">
        <v>1667</v>
      </c>
      <c r="H20" s="727"/>
      <c r="I20" s="727"/>
      <c r="J20" s="727"/>
      <c r="K20" s="727"/>
      <c r="L20" s="727"/>
      <c r="M20" s="727"/>
      <c r="N20" s="727"/>
      <c r="O20" s="727"/>
      <c r="P20" s="727"/>
      <c r="Q20" s="727"/>
      <c r="R20" s="727"/>
      <c r="S20" s="727">
        <v>1</v>
      </c>
      <c r="T20" s="727"/>
      <c r="U20" s="727"/>
      <c r="V20" s="727"/>
      <c r="W20" s="727"/>
      <c r="X20" s="727"/>
      <c r="Y20" s="727"/>
      <c r="Z20" s="727"/>
      <c r="AA20" s="727"/>
      <c r="AB20" s="727" t="s">
        <v>1658</v>
      </c>
      <c r="AC20" s="727"/>
      <c r="AD20" s="765" t="s">
        <v>2284</v>
      </c>
      <c r="AE20" s="765" t="s">
        <v>2283</v>
      </c>
      <c r="AF20" s="765"/>
      <c r="AG20" s="765"/>
      <c r="AH20" s="765"/>
      <c r="AI20" s="765"/>
      <c r="AJ20" s="727"/>
      <c r="AK20" s="727"/>
      <c r="AL20" s="727"/>
      <c r="AM20" s="765" t="s">
        <v>1659</v>
      </c>
      <c r="AN20" s="727"/>
      <c r="AO20" s="727"/>
      <c r="AP20" s="727"/>
      <c r="AQ20" s="727"/>
      <c r="AR20" s="727"/>
      <c r="AS20" s="727"/>
      <c r="AT20" s="727"/>
      <c r="AU20" s="765" t="s">
        <v>1992</v>
      </c>
      <c r="AV20" s="765" t="s">
        <v>2513</v>
      </c>
      <c r="AW20" s="765" t="s">
        <v>3681</v>
      </c>
      <c r="AX20" s="765" t="s">
        <v>3682</v>
      </c>
      <c r="AY20" s="765" t="s">
        <v>3683</v>
      </c>
      <c r="AZ20" s="765" t="s">
        <v>3684</v>
      </c>
      <c r="BA20" s="765"/>
      <c r="BB20" s="765"/>
      <c r="BC20" s="765" t="s">
        <v>5439</v>
      </c>
      <c r="BD20" s="765"/>
      <c r="BE20" s="765"/>
      <c r="BF20" s="765"/>
      <c r="BG20" s="765"/>
      <c r="BH20" s="765"/>
      <c r="BI20" s="765"/>
      <c r="BJ20" s="765"/>
      <c r="BK20" s="765"/>
      <c r="BL20" s="765"/>
      <c r="BM20" s="765"/>
      <c r="BN20" s="765"/>
      <c r="BO20" s="765"/>
      <c r="BP20" s="765"/>
      <c r="BQ20" s="765"/>
      <c r="BR20" s="765"/>
      <c r="BS20" s="765"/>
      <c r="BT20" s="765"/>
      <c r="BU20" s="765"/>
      <c r="BV20" s="888"/>
      <c r="BW20" s="765"/>
      <c r="BX20" s="765"/>
      <c r="BY20" s="765"/>
      <c r="BZ20" s="765"/>
      <c r="CA20" s="888"/>
      <c r="CB20" s="765"/>
      <c r="CC20" s="765"/>
      <c r="CD20" s="765"/>
      <c r="CE20" s="765"/>
      <c r="CF20" s="765"/>
      <c r="CG20" s="765"/>
      <c r="CH20" s="765"/>
      <c r="CI20" s="765"/>
      <c r="CJ20" s="765"/>
      <c r="CK20" s="765"/>
      <c r="CL20" s="765"/>
      <c r="CM20" s="765"/>
      <c r="CN20" s="765"/>
      <c r="CO20" s="765"/>
      <c r="CP20" s="765"/>
      <c r="CQ20" s="765"/>
      <c r="CR20" s="765"/>
      <c r="CS20" s="765"/>
      <c r="CT20" s="765"/>
      <c r="CU20" s="765"/>
      <c r="CV20" s="766" t="s">
        <v>3715</v>
      </c>
      <c r="CW20" s="767" t="s">
        <v>2037</v>
      </c>
      <c r="CX20" s="767"/>
      <c r="CY20" s="684"/>
    </row>
    <row r="21" spans="2:105" ht="15.75" x14ac:dyDescent="0.45">
      <c r="B21" s="762">
        <v>18</v>
      </c>
      <c r="C21" s="763" t="s">
        <v>241</v>
      </c>
      <c r="D21" s="764" t="s">
        <v>290</v>
      </c>
      <c r="E21" s="727"/>
      <c r="F21" s="727"/>
      <c r="G21" s="727"/>
      <c r="H21" s="727"/>
      <c r="I21" s="727" t="s">
        <v>1662</v>
      </c>
      <c r="J21" s="727"/>
      <c r="K21" s="727"/>
      <c r="L21" s="727"/>
      <c r="M21" s="727"/>
      <c r="N21" s="727"/>
      <c r="O21" s="727" t="s">
        <v>1663</v>
      </c>
      <c r="P21" s="727"/>
      <c r="Q21" s="727"/>
      <c r="R21" s="727"/>
      <c r="S21" s="727">
        <v>-1</v>
      </c>
      <c r="T21" s="727"/>
      <c r="U21" s="727"/>
      <c r="V21" s="727"/>
      <c r="W21" s="727"/>
      <c r="X21" s="727"/>
      <c r="Y21" s="727"/>
      <c r="Z21" s="727"/>
      <c r="AA21" s="727"/>
      <c r="AB21" s="727" t="s">
        <v>2184</v>
      </c>
      <c r="AC21" s="727"/>
      <c r="AD21" s="727"/>
      <c r="AE21" s="727"/>
      <c r="AF21" s="727"/>
      <c r="AG21" s="727"/>
      <c r="AH21" s="727"/>
      <c r="AI21" s="727"/>
      <c r="AJ21" s="727"/>
      <c r="AK21" s="727" t="s">
        <v>1664</v>
      </c>
      <c r="AL21" s="727"/>
      <c r="AM21" s="727"/>
      <c r="AN21" s="727"/>
      <c r="AO21" s="727"/>
      <c r="AP21" s="727" t="s">
        <v>1665</v>
      </c>
      <c r="AQ21" s="727"/>
      <c r="AR21" s="727"/>
      <c r="AS21" s="727"/>
      <c r="AT21" s="727"/>
      <c r="AU21" s="727" t="s">
        <v>2007</v>
      </c>
      <c r="AV21" s="727" t="s">
        <v>2514</v>
      </c>
      <c r="AW21" s="765" t="s">
        <v>3685</v>
      </c>
      <c r="AX21" s="765" t="s">
        <v>3686</v>
      </c>
      <c r="AY21" s="765" t="s">
        <v>3687</v>
      </c>
      <c r="AZ21" s="765" t="s">
        <v>3688</v>
      </c>
      <c r="BA21" s="765"/>
      <c r="BB21" s="765"/>
      <c r="BC21" s="765" t="s">
        <v>5423</v>
      </c>
      <c r="BD21" s="765"/>
      <c r="BE21" s="765"/>
      <c r="BF21" s="765"/>
      <c r="BG21" s="765"/>
      <c r="BH21" s="765"/>
      <c r="BI21" s="765"/>
      <c r="BJ21" s="765"/>
      <c r="BK21" s="765"/>
      <c r="BL21" s="765"/>
      <c r="BM21" s="765"/>
      <c r="BN21" s="765"/>
      <c r="BO21" s="765"/>
      <c r="BP21" s="765"/>
      <c r="BQ21" s="765"/>
      <c r="BR21" s="765"/>
      <c r="BS21" s="765"/>
      <c r="BT21" s="765"/>
      <c r="BU21" s="765"/>
      <c r="BV21" s="888"/>
      <c r="BW21" s="765"/>
      <c r="BX21" s="765"/>
      <c r="BY21" s="765"/>
      <c r="BZ21" s="765"/>
      <c r="CA21" s="888"/>
      <c r="CB21" s="765"/>
      <c r="CC21" s="765"/>
      <c r="CD21" s="765"/>
      <c r="CE21" s="765"/>
      <c r="CF21" s="765"/>
      <c r="CG21" s="765"/>
      <c r="CH21" s="765"/>
      <c r="CI21" s="765"/>
      <c r="CJ21" s="765"/>
      <c r="CK21" s="765"/>
      <c r="CL21" s="765"/>
      <c r="CM21" s="765"/>
      <c r="CN21" s="765"/>
      <c r="CO21" s="765"/>
      <c r="CP21" s="765"/>
      <c r="CQ21" s="765"/>
      <c r="CR21" s="765"/>
      <c r="CS21" s="765"/>
      <c r="CT21" s="765"/>
      <c r="CU21" s="765"/>
      <c r="CV21" s="766" t="s">
        <v>3609</v>
      </c>
      <c r="CW21" s="767" t="s">
        <v>2037</v>
      </c>
      <c r="CX21" s="767"/>
      <c r="CY21" s="684"/>
    </row>
    <row r="22" spans="2:105" ht="15.75" x14ac:dyDescent="0.45">
      <c r="B22" s="762">
        <v>19</v>
      </c>
      <c r="C22" s="763" t="s">
        <v>242</v>
      </c>
      <c r="D22" s="764" t="s">
        <v>3075</v>
      </c>
      <c r="E22" s="727"/>
      <c r="F22" s="727"/>
      <c r="G22" s="727"/>
      <c r="H22" s="727"/>
      <c r="I22" s="727" t="s">
        <v>1662</v>
      </c>
      <c r="J22" s="727"/>
      <c r="K22" s="727"/>
      <c r="L22" s="727"/>
      <c r="M22" s="727"/>
      <c r="N22" s="727"/>
      <c r="O22" s="727"/>
      <c r="P22" s="727" t="s">
        <v>1663</v>
      </c>
      <c r="Q22" s="727"/>
      <c r="R22" s="727"/>
      <c r="S22" s="727">
        <v>-1</v>
      </c>
      <c r="T22" s="727"/>
      <c r="U22" s="727"/>
      <c r="V22" s="727"/>
      <c r="W22" s="727"/>
      <c r="X22" s="727"/>
      <c r="Y22" s="727"/>
      <c r="Z22" s="727"/>
      <c r="AA22" s="727"/>
      <c r="AB22" s="727" t="s">
        <v>2184</v>
      </c>
      <c r="AC22" s="727"/>
      <c r="AD22" s="727"/>
      <c r="AE22" s="727"/>
      <c r="AF22" s="727"/>
      <c r="AG22" s="727"/>
      <c r="AH22" s="727"/>
      <c r="AI22" s="727"/>
      <c r="AJ22" s="727"/>
      <c r="AK22" s="727" t="s">
        <v>1664</v>
      </c>
      <c r="AL22" s="727"/>
      <c r="AM22" s="727"/>
      <c r="AN22" s="727"/>
      <c r="AO22" s="727"/>
      <c r="AP22" s="727" t="s">
        <v>1665</v>
      </c>
      <c r="AQ22" s="727"/>
      <c r="AR22" s="727"/>
      <c r="AS22" s="727"/>
      <c r="AT22" s="727"/>
      <c r="AU22" s="727" t="s">
        <v>2007</v>
      </c>
      <c r="AV22" s="727" t="s">
        <v>2514</v>
      </c>
      <c r="AW22" s="765" t="s">
        <v>3685</v>
      </c>
      <c r="AX22" s="765" t="s">
        <v>3686</v>
      </c>
      <c r="AY22" s="765" t="s">
        <v>3687</v>
      </c>
      <c r="AZ22" s="765" t="s">
        <v>3688</v>
      </c>
      <c r="BA22" s="765"/>
      <c r="BB22" s="765"/>
      <c r="BC22" s="765" t="s">
        <v>5423</v>
      </c>
      <c r="BD22" s="765"/>
      <c r="BE22" s="765"/>
      <c r="BF22" s="765"/>
      <c r="BG22" s="765"/>
      <c r="BH22" s="765"/>
      <c r="BI22" s="765"/>
      <c r="BJ22" s="765"/>
      <c r="BK22" s="765"/>
      <c r="BL22" s="765"/>
      <c r="BM22" s="765"/>
      <c r="BN22" s="765"/>
      <c r="BO22" s="765"/>
      <c r="BP22" s="765"/>
      <c r="BQ22" s="765"/>
      <c r="BR22" s="765"/>
      <c r="BS22" s="765"/>
      <c r="BT22" s="765"/>
      <c r="BU22" s="765"/>
      <c r="BV22" s="888"/>
      <c r="BW22" s="765"/>
      <c r="BX22" s="765"/>
      <c r="BY22" s="765"/>
      <c r="BZ22" s="765"/>
      <c r="CA22" s="888"/>
      <c r="CB22" s="765"/>
      <c r="CC22" s="765"/>
      <c r="CD22" s="765"/>
      <c r="CE22" s="765"/>
      <c r="CF22" s="765"/>
      <c r="CG22" s="765"/>
      <c r="CH22" s="765"/>
      <c r="CI22" s="765"/>
      <c r="CJ22" s="765"/>
      <c r="CK22" s="765"/>
      <c r="CL22" s="765"/>
      <c r="CM22" s="765"/>
      <c r="CN22" s="765"/>
      <c r="CO22" s="765"/>
      <c r="CP22" s="765"/>
      <c r="CQ22" s="765"/>
      <c r="CR22" s="765"/>
      <c r="CS22" s="765"/>
      <c r="CT22" s="765"/>
      <c r="CU22" s="765"/>
      <c r="CV22" s="766" t="s">
        <v>3610</v>
      </c>
      <c r="CW22" s="767" t="s">
        <v>2037</v>
      </c>
      <c r="CX22" s="767"/>
      <c r="CY22" s="684"/>
    </row>
    <row r="23" spans="2:105" ht="15.75" x14ac:dyDescent="0.45">
      <c r="B23" s="915">
        <v>20</v>
      </c>
      <c r="C23" s="915" t="s">
        <v>243</v>
      </c>
      <c r="D23" s="916" t="s">
        <v>4352</v>
      </c>
      <c r="E23" s="890"/>
      <c r="F23" s="890"/>
      <c r="G23" s="890"/>
      <c r="H23" s="890"/>
      <c r="I23" s="890"/>
      <c r="J23" s="890"/>
      <c r="K23" s="890"/>
      <c r="L23" s="890"/>
      <c r="M23" s="889" t="s">
        <v>4353</v>
      </c>
      <c r="N23" s="889" t="s">
        <v>4354</v>
      </c>
      <c r="O23" s="890"/>
      <c r="P23" s="890"/>
      <c r="Q23" s="890"/>
      <c r="R23" s="890">
        <v>1</v>
      </c>
      <c r="S23" s="890"/>
      <c r="T23" s="890"/>
      <c r="U23" s="890"/>
      <c r="V23" s="890"/>
      <c r="W23" s="890"/>
      <c r="X23" s="890"/>
      <c r="Y23" s="2546"/>
      <c r="Z23" s="2546"/>
      <c r="AA23" s="2546"/>
      <c r="AB23" s="890" t="s">
        <v>1658</v>
      </c>
      <c r="AC23" s="890"/>
      <c r="AD23" s="890"/>
      <c r="AE23" s="890"/>
      <c r="AF23" s="890"/>
      <c r="AG23" s="890"/>
      <c r="AH23" s="890"/>
      <c r="AI23" s="890"/>
      <c r="AJ23" s="890"/>
      <c r="AK23" s="890"/>
      <c r="AL23" s="890"/>
      <c r="AM23" s="889" t="s">
        <v>1659</v>
      </c>
      <c r="AN23" s="890"/>
      <c r="AO23" s="890"/>
      <c r="AP23" s="890"/>
      <c r="AQ23" s="890"/>
      <c r="AR23" s="889" t="s">
        <v>4355</v>
      </c>
      <c r="AS23" s="889"/>
      <c r="AT23" s="889"/>
      <c r="AU23" s="889" t="s">
        <v>4356</v>
      </c>
      <c r="AV23" s="889" t="s">
        <v>2513</v>
      </c>
      <c r="AW23" s="889" t="s">
        <v>3681</v>
      </c>
      <c r="AX23" s="889" t="s">
        <v>3682</v>
      </c>
      <c r="AY23" s="889" t="s">
        <v>3683</v>
      </c>
      <c r="AZ23" s="889" t="s">
        <v>3684</v>
      </c>
      <c r="BA23" s="889"/>
      <c r="BB23" s="2557"/>
      <c r="BC23" s="2546" t="s">
        <v>5439</v>
      </c>
      <c r="BD23" s="2557"/>
      <c r="BE23" s="889"/>
      <c r="BF23" s="889"/>
      <c r="BG23" s="889"/>
      <c r="BH23" s="889"/>
      <c r="BI23" s="889"/>
      <c r="BJ23" s="889"/>
      <c r="BK23" s="889"/>
      <c r="BL23" s="889"/>
      <c r="BM23" s="889"/>
      <c r="BN23" s="889"/>
      <c r="BO23" s="889"/>
      <c r="BP23" s="889"/>
      <c r="BQ23" s="889"/>
      <c r="BR23" s="889"/>
      <c r="BS23" s="889"/>
      <c r="BT23" s="889"/>
      <c r="BU23" s="889"/>
      <c r="BV23" s="889"/>
      <c r="BW23" s="889"/>
      <c r="BX23" s="889"/>
      <c r="BY23" s="2557"/>
      <c r="BZ23" s="889"/>
      <c r="CA23" s="889"/>
      <c r="CB23" s="889"/>
      <c r="CC23" s="889"/>
      <c r="CD23" s="889"/>
      <c r="CE23" s="889"/>
      <c r="CF23" s="889"/>
      <c r="CG23" s="889"/>
      <c r="CH23" s="889"/>
      <c r="CI23" s="889"/>
      <c r="CJ23" s="2557"/>
      <c r="CK23" s="889"/>
      <c r="CL23" s="889"/>
      <c r="CM23" s="889"/>
      <c r="CN23" s="889"/>
      <c r="CO23" s="889"/>
      <c r="CP23" s="889"/>
      <c r="CQ23" s="889"/>
      <c r="CR23" s="889"/>
      <c r="CS23" s="2557"/>
      <c r="CT23" s="2557"/>
      <c r="CU23" s="2557"/>
      <c r="CV23" s="917" t="s">
        <v>4357</v>
      </c>
      <c r="CW23" s="890" t="s">
        <v>2037</v>
      </c>
      <c r="CX23" s="916"/>
      <c r="CY23" s="685"/>
    </row>
    <row r="24" spans="2:105" ht="15.75" x14ac:dyDescent="0.45">
      <c r="B24" s="915">
        <v>21</v>
      </c>
      <c r="C24" s="915" t="s">
        <v>244</v>
      </c>
      <c r="D24" s="916" t="s">
        <v>4358</v>
      </c>
      <c r="E24" s="890"/>
      <c r="F24" s="890"/>
      <c r="G24" s="890"/>
      <c r="H24" s="890"/>
      <c r="I24" s="890"/>
      <c r="J24" s="890"/>
      <c r="K24" s="890"/>
      <c r="L24" s="890"/>
      <c r="M24" s="889" t="s">
        <v>4359</v>
      </c>
      <c r="N24" s="889" t="s">
        <v>4360</v>
      </c>
      <c r="O24" s="890"/>
      <c r="P24" s="890"/>
      <c r="Q24" s="890"/>
      <c r="R24" s="890">
        <v>1</v>
      </c>
      <c r="S24" s="890"/>
      <c r="T24" s="890"/>
      <c r="U24" s="890"/>
      <c r="V24" s="890"/>
      <c r="W24" s="890"/>
      <c r="X24" s="890"/>
      <c r="Y24" s="2546"/>
      <c r="Z24" s="2546"/>
      <c r="AA24" s="2546"/>
      <c r="AB24" s="890" t="s">
        <v>1658</v>
      </c>
      <c r="AC24" s="889"/>
      <c r="AD24" s="889"/>
      <c r="AE24" s="889" t="s">
        <v>4361</v>
      </c>
      <c r="AF24" s="890"/>
      <c r="AG24" s="890"/>
      <c r="AH24" s="890"/>
      <c r="AI24" s="889" t="s">
        <v>4362</v>
      </c>
      <c r="AJ24" s="889"/>
      <c r="AK24" s="889"/>
      <c r="AL24" s="889"/>
      <c r="AM24" s="889" t="s">
        <v>1659</v>
      </c>
      <c r="AN24" s="890"/>
      <c r="AO24" s="890"/>
      <c r="AP24" s="890"/>
      <c r="AQ24" s="890"/>
      <c r="AR24" s="889"/>
      <c r="AS24" s="889"/>
      <c r="AT24" s="889"/>
      <c r="AU24" s="889" t="s">
        <v>4363</v>
      </c>
      <c r="AV24" s="889" t="s">
        <v>2513</v>
      </c>
      <c r="AW24" s="889" t="s">
        <v>3681</v>
      </c>
      <c r="AX24" s="889" t="s">
        <v>3682</v>
      </c>
      <c r="AY24" s="889" t="s">
        <v>3683</v>
      </c>
      <c r="AZ24" s="889" t="s">
        <v>3684</v>
      </c>
      <c r="BA24" s="889"/>
      <c r="BB24" s="2557"/>
      <c r="BC24" s="2546" t="s">
        <v>5439</v>
      </c>
      <c r="BD24" s="2557"/>
      <c r="BE24" s="889"/>
      <c r="BF24" s="889"/>
      <c r="BG24" s="889"/>
      <c r="BH24" s="889"/>
      <c r="BI24" s="889"/>
      <c r="BJ24" s="889"/>
      <c r="BK24" s="889"/>
      <c r="BL24" s="889"/>
      <c r="BM24" s="889"/>
      <c r="BN24" s="889"/>
      <c r="BO24" s="889"/>
      <c r="BP24" s="889"/>
      <c r="BQ24" s="889"/>
      <c r="BR24" s="889"/>
      <c r="BS24" s="889"/>
      <c r="BT24" s="889"/>
      <c r="BU24" s="889"/>
      <c r="BV24" s="889"/>
      <c r="BW24" s="889"/>
      <c r="BX24" s="889"/>
      <c r="BY24" s="2557"/>
      <c r="BZ24" s="889"/>
      <c r="CA24" s="889"/>
      <c r="CB24" s="889"/>
      <c r="CC24" s="889"/>
      <c r="CD24" s="889"/>
      <c r="CE24" s="889"/>
      <c r="CF24" s="889"/>
      <c r="CG24" s="889"/>
      <c r="CH24" s="889"/>
      <c r="CI24" s="889"/>
      <c r="CJ24" s="2557"/>
      <c r="CK24" s="889"/>
      <c r="CL24" s="889"/>
      <c r="CM24" s="889"/>
      <c r="CN24" s="889"/>
      <c r="CO24" s="889"/>
      <c r="CP24" s="889"/>
      <c r="CQ24" s="889"/>
      <c r="CR24" s="889"/>
      <c r="CS24" s="2557"/>
      <c r="CT24" s="2557"/>
      <c r="CU24" s="2557"/>
      <c r="CV24" s="917" t="s">
        <v>4364</v>
      </c>
      <c r="CW24" s="890" t="s">
        <v>2037</v>
      </c>
      <c r="CX24" s="916"/>
      <c r="CY24" s="685"/>
    </row>
    <row r="25" spans="2:105" ht="15.75" x14ac:dyDescent="0.45">
      <c r="B25" s="915">
        <v>22</v>
      </c>
      <c r="C25" s="915" t="s">
        <v>245</v>
      </c>
      <c r="D25" s="916" t="s">
        <v>4365</v>
      </c>
      <c r="E25" s="890"/>
      <c r="F25" s="890"/>
      <c r="G25" s="890"/>
      <c r="H25" s="890"/>
      <c r="I25" s="890"/>
      <c r="J25" s="890"/>
      <c r="K25" s="890"/>
      <c r="L25" s="890"/>
      <c r="M25" s="889" t="s">
        <v>4359</v>
      </c>
      <c r="N25" s="889" t="s">
        <v>4360</v>
      </c>
      <c r="O25" s="890"/>
      <c r="P25" s="890"/>
      <c r="Q25" s="890"/>
      <c r="R25" s="890">
        <v>1</v>
      </c>
      <c r="S25" s="890"/>
      <c r="T25" s="890"/>
      <c r="U25" s="890"/>
      <c r="V25" s="890"/>
      <c r="W25" s="890"/>
      <c r="X25" s="890"/>
      <c r="Y25" s="2546"/>
      <c r="Z25" s="2546"/>
      <c r="AA25" s="2546"/>
      <c r="AB25" s="890" t="s">
        <v>1658</v>
      </c>
      <c r="AC25" s="889"/>
      <c r="AD25" s="889" t="s">
        <v>4367</v>
      </c>
      <c r="AE25" s="889" t="s">
        <v>4366</v>
      </c>
      <c r="AF25" s="890"/>
      <c r="AG25" s="890"/>
      <c r="AH25" s="890"/>
      <c r="AI25" s="889"/>
      <c r="AJ25" s="889"/>
      <c r="AK25" s="889"/>
      <c r="AL25" s="889"/>
      <c r="AM25" s="889" t="s">
        <v>1659</v>
      </c>
      <c r="AN25" s="890"/>
      <c r="AO25" s="890"/>
      <c r="AP25" s="890"/>
      <c r="AQ25" s="890"/>
      <c r="AR25" s="890"/>
      <c r="AS25" s="890"/>
      <c r="AT25" s="890"/>
      <c r="AU25" s="889" t="s">
        <v>4363</v>
      </c>
      <c r="AV25" s="889" t="s">
        <v>2513</v>
      </c>
      <c r="AW25" s="889" t="s">
        <v>3681</v>
      </c>
      <c r="AX25" s="889" t="s">
        <v>3682</v>
      </c>
      <c r="AY25" s="889" t="s">
        <v>3683</v>
      </c>
      <c r="AZ25" s="889" t="s">
        <v>3684</v>
      </c>
      <c r="BA25" s="889"/>
      <c r="BB25" s="2557"/>
      <c r="BC25" s="2546" t="s">
        <v>5439</v>
      </c>
      <c r="BD25" s="2557"/>
      <c r="BE25" s="889"/>
      <c r="BF25" s="889"/>
      <c r="BG25" s="889"/>
      <c r="BH25" s="889"/>
      <c r="BI25" s="889"/>
      <c r="BJ25" s="889"/>
      <c r="BK25" s="889"/>
      <c r="BL25" s="889"/>
      <c r="BM25" s="889"/>
      <c r="BN25" s="889"/>
      <c r="BO25" s="889"/>
      <c r="BP25" s="889"/>
      <c r="BQ25" s="889"/>
      <c r="BR25" s="889"/>
      <c r="BS25" s="889"/>
      <c r="BT25" s="889"/>
      <c r="BU25" s="889"/>
      <c r="BV25" s="889"/>
      <c r="BW25" s="889"/>
      <c r="BX25" s="889"/>
      <c r="BY25" s="2557"/>
      <c r="BZ25" s="889"/>
      <c r="CA25" s="889"/>
      <c r="CB25" s="889"/>
      <c r="CC25" s="889"/>
      <c r="CD25" s="889"/>
      <c r="CE25" s="889"/>
      <c r="CF25" s="889"/>
      <c r="CG25" s="889"/>
      <c r="CH25" s="889"/>
      <c r="CI25" s="889"/>
      <c r="CJ25" s="2557"/>
      <c r="CK25" s="889"/>
      <c r="CL25" s="889"/>
      <c r="CM25" s="889"/>
      <c r="CN25" s="889"/>
      <c r="CO25" s="889"/>
      <c r="CP25" s="889"/>
      <c r="CQ25" s="889"/>
      <c r="CR25" s="889"/>
      <c r="CS25" s="2557"/>
      <c r="CT25" s="2557"/>
      <c r="CU25" s="2557"/>
      <c r="CV25" s="917" t="s">
        <v>4368</v>
      </c>
      <c r="CW25" s="890" t="s">
        <v>2037</v>
      </c>
      <c r="CX25" s="916"/>
      <c r="CY25" s="686"/>
    </row>
    <row r="26" spans="2:105" s="70" customFormat="1" ht="15.75" x14ac:dyDescent="0.45">
      <c r="B26" s="915">
        <v>23</v>
      </c>
      <c r="C26" s="915" t="s">
        <v>246</v>
      </c>
      <c r="D26" s="916" t="s">
        <v>4369</v>
      </c>
      <c r="E26" s="890"/>
      <c r="F26" s="890"/>
      <c r="G26" s="890"/>
      <c r="H26" s="890"/>
      <c r="I26" s="890"/>
      <c r="J26" s="890"/>
      <c r="K26" s="890"/>
      <c r="L26" s="890"/>
      <c r="M26" s="889"/>
      <c r="N26" s="889"/>
      <c r="O26" s="890"/>
      <c r="P26" s="890"/>
      <c r="Q26" s="890"/>
      <c r="R26" s="889" t="s">
        <v>4370</v>
      </c>
      <c r="S26" s="890"/>
      <c r="T26" s="890"/>
      <c r="U26" s="890"/>
      <c r="V26" s="890"/>
      <c r="W26" s="890"/>
      <c r="X26" s="890"/>
      <c r="Y26" s="2546"/>
      <c r="Z26" s="2546"/>
      <c r="AA26" s="2546"/>
      <c r="AB26" s="890" t="s">
        <v>4371</v>
      </c>
      <c r="AC26" s="889"/>
      <c r="AD26" s="889"/>
      <c r="AE26" s="889"/>
      <c r="AF26" s="890"/>
      <c r="AG26" s="890"/>
      <c r="AH26" s="890"/>
      <c r="AI26" s="890"/>
      <c r="AJ26" s="890"/>
      <c r="AK26" s="890"/>
      <c r="AL26" s="890"/>
      <c r="AM26" s="889" t="s">
        <v>4372</v>
      </c>
      <c r="AN26" s="890">
        <v>1</v>
      </c>
      <c r="AO26" s="890"/>
      <c r="AP26" s="890"/>
      <c r="AQ26" s="890"/>
      <c r="AR26" s="889" t="s">
        <v>4370</v>
      </c>
      <c r="AS26" s="890"/>
      <c r="AT26" s="890"/>
      <c r="AU26" s="889" t="s">
        <v>4373</v>
      </c>
      <c r="AV26" s="889" t="s">
        <v>4374</v>
      </c>
      <c r="AW26" s="889" t="s">
        <v>4375</v>
      </c>
      <c r="AX26" s="889" t="s">
        <v>4376</v>
      </c>
      <c r="AY26" s="889" t="s">
        <v>4377</v>
      </c>
      <c r="AZ26" s="889" t="s">
        <v>4378</v>
      </c>
      <c r="BA26" s="889" t="s">
        <v>4379</v>
      </c>
      <c r="BB26" s="2557"/>
      <c r="BC26" s="2546" t="s">
        <v>5823</v>
      </c>
      <c r="BD26" s="2557"/>
      <c r="BE26" s="889"/>
      <c r="BF26" s="889"/>
      <c r="BG26" s="889"/>
      <c r="BH26" s="889"/>
      <c r="BI26" s="889"/>
      <c r="BJ26" s="889"/>
      <c r="BK26" s="889"/>
      <c r="BL26" s="889"/>
      <c r="BM26" s="889"/>
      <c r="BN26" s="889"/>
      <c r="BO26" s="889"/>
      <c r="BP26" s="889"/>
      <c r="BQ26" s="889"/>
      <c r="BR26" s="889"/>
      <c r="BS26" s="889"/>
      <c r="BT26" s="889"/>
      <c r="BU26" s="889"/>
      <c r="BV26" s="889"/>
      <c r="BW26" s="889"/>
      <c r="BX26" s="889"/>
      <c r="BY26" s="2557"/>
      <c r="BZ26" s="889"/>
      <c r="CA26" s="889"/>
      <c r="CB26" s="889"/>
      <c r="CC26" s="889"/>
      <c r="CD26" s="889"/>
      <c r="CE26" s="889"/>
      <c r="CF26" s="889"/>
      <c r="CG26" s="889"/>
      <c r="CH26" s="889"/>
      <c r="CI26" s="889"/>
      <c r="CJ26" s="2557"/>
      <c r="CK26" s="889"/>
      <c r="CL26" s="889"/>
      <c r="CM26" s="889"/>
      <c r="CN26" s="889"/>
      <c r="CO26" s="889"/>
      <c r="CP26" s="889"/>
      <c r="CQ26" s="889"/>
      <c r="CR26" s="889"/>
      <c r="CS26" s="2557"/>
      <c r="CT26" s="2557"/>
      <c r="CU26" s="2557"/>
      <c r="CV26" s="917" t="s">
        <v>4380</v>
      </c>
      <c r="CW26" s="890" t="s">
        <v>3790</v>
      </c>
      <c r="CX26" s="916"/>
      <c r="CY26" s="686"/>
      <c r="CZ26" s="2020"/>
    </row>
    <row r="27" spans="2:105" s="70" customFormat="1" ht="15.75" x14ac:dyDescent="0.45">
      <c r="B27" s="915">
        <v>24</v>
      </c>
      <c r="C27" s="915" t="s">
        <v>247</v>
      </c>
      <c r="D27" s="916" t="s">
        <v>4381</v>
      </c>
      <c r="E27" s="890"/>
      <c r="F27" s="890"/>
      <c r="G27" s="890"/>
      <c r="H27" s="890"/>
      <c r="I27" s="890"/>
      <c r="J27" s="890"/>
      <c r="K27" s="890"/>
      <c r="L27" s="890"/>
      <c r="M27" s="889"/>
      <c r="N27" s="889"/>
      <c r="O27" s="890"/>
      <c r="P27" s="890"/>
      <c r="Q27" s="890"/>
      <c r="R27" s="889" t="s">
        <v>4382</v>
      </c>
      <c r="S27" s="890"/>
      <c r="T27" s="890"/>
      <c r="U27" s="890"/>
      <c r="V27" s="890"/>
      <c r="W27" s="890"/>
      <c r="X27" s="890"/>
      <c r="Y27" s="2546"/>
      <c r="Z27" s="2546"/>
      <c r="AA27" s="2546"/>
      <c r="AB27" s="890" t="s">
        <v>4383</v>
      </c>
      <c r="AC27" s="889"/>
      <c r="AD27" s="889"/>
      <c r="AE27" s="889" t="s">
        <v>4384</v>
      </c>
      <c r="AF27" s="890"/>
      <c r="AG27" s="890"/>
      <c r="AH27" s="890"/>
      <c r="AI27" s="889" t="s">
        <v>4385</v>
      </c>
      <c r="AJ27" s="889"/>
      <c r="AK27" s="889"/>
      <c r="AL27" s="889"/>
      <c r="AM27" s="889" t="s">
        <v>4386</v>
      </c>
      <c r="AN27" s="890">
        <v>1</v>
      </c>
      <c r="AO27" s="890"/>
      <c r="AP27" s="890"/>
      <c r="AQ27" s="890"/>
      <c r="AR27" s="890"/>
      <c r="AS27" s="890"/>
      <c r="AT27" s="890"/>
      <c r="AU27" s="889" t="s">
        <v>4387</v>
      </c>
      <c r="AV27" s="889" t="s">
        <v>4388</v>
      </c>
      <c r="AW27" s="889" t="s">
        <v>4389</v>
      </c>
      <c r="AX27" s="889" t="s">
        <v>4390</v>
      </c>
      <c r="AY27" s="889" t="s">
        <v>4391</v>
      </c>
      <c r="AZ27" s="889" t="s">
        <v>4392</v>
      </c>
      <c r="BA27" s="889" t="s">
        <v>4379</v>
      </c>
      <c r="BB27" s="2557"/>
      <c r="BC27" s="2546" t="s">
        <v>5824</v>
      </c>
      <c r="BD27" s="2557"/>
      <c r="BE27" s="889"/>
      <c r="BF27" s="889"/>
      <c r="BG27" s="889"/>
      <c r="BH27" s="889"/>
      <c r="BI27" s="889"/>
      <c r="BJ27" s="889"/>
      <c r="BK27" s="889"/>
      <c r="BL27" s="889"/>
      <c r="BM27" s="889"/>
      <c r="BN27" s="889"/>
      <c r="BO27" s="889"/>
      <c r="BP27" s="889"/>
      <c r="BQ27" s="889"/>
      <c r="BR27" s="889"/>
      <c r="BS27" s="889"/>
      <c r="BT27" s="889"/>
      <c r="BU27" s="889"/>
      <c r="BV27" s="889"/>
      <c r="BW27" s="889"/>
      <c r="BX27" s="889"/>
      <c r="BY27" s="2557"/>
      <c r="BZ27" s="889"/>
      <c r="CA27" s="889"/>
      <c r="CB27" s="889"/>
      <c r="CC27" s="889"/>
      <c r="CD27" s="889"/>
      <c r="CE27" s="889"/>
      <c r="CF27" s="889"/>
      <c r="CG27" s="889"/>
      <c r="CH27" s="889"/>
      <c r="CI27" s="889"/>
      <c r="CJ27" s="2557"/>
      <c r="CK27" s="889"/>
      <c r="CL27" s="889"/>
      <c r="CM27" s="889"/>
      <c r="CN27" s="889"/>
      <c r="CO27" s="889"/>
      <c r="CP27" s="889"/>
      <c r="CQ27" s="889"/>
      <c r="CR27" s="889"/>
      <c r="CS27" s="2557"/>
      <c r="CT27" s="2557"/>
      <c r="CU27" s="2557"/>
      <c r="CV27" s="917" t="s">
        <v>4393</v>
      </c>
      <c r="CW27" s="890" t="s">
        <v>3790</v>
      </c>
      <c r="CX27" s="916"/>
      <c r="CY27" s="686"/>
      <c r="CZ27" s="2020"/>
    </row>
    <row r="28" spans="2:105" s="70" customFormat="1" ht="15.75" x14ac:dyDescent="0.45">
      <c r="B28" s="915">
        <v>25</v>
      </c>
      <c r="C28" s="915" t="s">
        <v>248</v>
      </c>
      <c r="D28" s="916" t="s">
        <v>4394</v>
      </c>
      <c r="E28" s="890"/>
      <c r="F28" s="890"/>
      <c r="G28" s="890"/>
      <c r="H28" s="890"/>
      <c r="I28" s="890"/>
      <c r="J28" s="890"/>
      <c r="K28" s="890"/>
      <c r="L28" s="890"/>
      <c r="M28" s="889"/>
      <c r="N28" s="889"/>
      <c r="O28" s="890"/>
      <c r="P28" s="890"/>
      <c r="Q28" s="890"/>
      <c r="R28" s="889" t="s">
        <v>4382</v>
      </c>
      <c r="S28" s="890"/>
      <c r="T28" s="890"/>
      <c r="U28" s="890"/>
      <c r="V28" s="890"/>
      <c r="W28" s="890"/>
      <c r="X28" s="890"/>
      <c r="Y28" s="2546"/>
      <c r="Z28" s="2546"/>
      <c r="AA28" s="2546"/>
      <c r="AB28" s="890" t="s">
        <v>4383</v>
      </c>
      <c r="AC28" s="889"/>
      <c r="AD28" s="889" t="s">
        <v>4396</v>
      </c>
      <c r="AE28" s="889" t="s">
        <v>4395</v>
      </c>
      <c r="AF28" s="890"/>
      <c r="AG28" s="890"/>
      <c r="AH28" s="890"/>
      <c r="AI28" s="890"/>
      <c r="AJ28" s="890"/>
      <c r="AK28" s="890"/>
      <c r="AL28" s="890"/>
      <c r="AM28" s="889" t="s">
        <v>4386</v>
      </c>
      <c r="AN28" s="890">
        <v>1</v>
      </c>
      <c r="AO28" s="890"/>
      <c r="AP28" s="890"/>
      <c r="AQ28" s="890"/>
      <c r="AR28" s="890"/>
      <c r="AS28" s="890"/>
      <c r="AT28" s="890"/>
      <c r="AU28" s="889" t="s">
        <v>4387</v>
      </c>
      <c r="AV28" s="889" t="s">
        <v>4388</v>
      </c>
      <c r="AW28" s="889" t="s">
        <v>4389</v>
      </c>
      <c r="AX28" s="889" t="s">
        <v>4390</v>
      </c>
      <c r="AY28" s="889" t="s">
        <v>4391</v>
      </c>
      <c r="AZ28" s="889" t="s">
        <v>4392</v>
      </c>
      <c r="BA28" s="889" t="s">
        <v>4379</v>
      </c>
      <c r="BB28" s="2557"/>
      <c r="BC28" s="2546" t="s">
        <v>5824</v>
      </c>
      <c r="BD28" s="2557"/>
      <c r="BE28" s="889"/>
      <c r="BF28" s="889"/>
      <c r="BG28" s="889"/>
      <c r="BH28" s="889"/>
      <c r="BI28" s="889"/>
      <c r="BJ28" s="889"/>
      <c r="BK28" s="889"/>
      <c r="BL28" s="889"/>
      <c r="BM28" s="889"/>
      <c r="BN28" s="889"/>
      <c r="BO28" s="889"/>
      <c r="BP28" s="889"/>
      <c r="BQ28" s="889"/>
      <c r="BR28" s="889"/>
      <c r="BS28" s="889"/>
      <c r="BT28" s="889"/>
      <c r="BU28" s="889"/>
      <c r="BV28" s="889"/>
      <c r="BW28" s="889"/>
      <c r="BX28" s="889"/>
      <c r="BY28" s="2557"/>
      <c r="BZ28" s="889"/>
      <c r="CA28" s="889"/>
      <c r="CB28" s="889"/>
      <c r="CC28" s="889"/>
      <c r="CD28" s="889"/>
      <c r="CE28" s="889"/>
      <c r="CF28" s="889"/>
      <c r="CG28" s="889"/>
      <c r="CH28" s="889"/>
      <c r="CI28" s="889"/>
      <c r="CJ28" s="2557"/>
      <c r="CK28" s="889"/>
      <c r="CL28" s="889"/>
      <c r="CM28" s="889"/>
      <c r="CN28" s="889"/>
      <c r="CO28" s="889"/>
      <c r="CP28" s="889"/>
      <c r="CQ28" s="889"/>
      <c r="CR28" s="889"/>
      <c r="CS28" s="2557"/>
      <c r="CT28" s="2557"/>
      <c r="CU28" s="2557"/>
      <c r="CV28" s="917" t="s">
        <v>4397</v>
      </c>
      <c r="CW28" s="890" t="s">
        <v>3790</v>
      </c>
      <c r="CX28" s="916"/>
      <c r="CY28" s="686"/>
      <c r="CZ28" s="2020"/>
    </row>
    <row r="29" spans="2:105" ht="15.75" x14ac:dyDescent="0.45">
      <c r="B29" s="915">
        <v>26</v>
      </c>
      <c r="C29" s="915" t="s">
        <v>249</v>
      </c>
      <c r="D29" s="916" t="s">
        <v>1668</v>
      </c>
      <c r="E29" s="890"/>
      <c r="F29" s="890"/>
      <c r="G29" s="890"/>
      <c r="H29" s="890"/>
      <c r="I29" s="890"/>
      <c r="J29" s="890"/>
      <c r="K29" s="890"/>
      <c r="L29" s="890"/>
      <c r="M29" s="889" t="s">
        <v>4398</v>
      </c>
      <c r="N29" s="889"/>
      <c r="O29" s="890"/>
      <c r="P29" s="890"/>
      <c r="Q29" s="890"/>
      <c r="R29" s="890">
        <v>1</v>
      </c>
      <c r="S29" s="890"/>
      <c r="T29" s="890"/>
      <c r="U29" s="890"/>
      <c r="V29" s="890"/>
      <c r="W29" s="890"/>
      <c r="X29" s="890"/>
      <c r="Y29" s="2546"/>
      <c r="Z29" s="2546"/>
      <c r="AA29" s="2546"/>
      <c r="AB29" s="890" t="s">
        <v>1658</v>
      </c>
      <c r="AC29" s="890"/>
      <c r="AD29" s="890"/>
      <c r="AE29" s="890"/>
      <c r="AF29" s="890"/>
      <c r="AG29" s="890"/>
      <c r="AH29" s="890"/>
      <c r="AI29" s="890"/>
      <c r="AJ29" s="890"/>
      <c r="AK29" s="890"/>
      <c r="AL29" s="890"/>
      <c r="AM29" s="889"/>
      <c r="AN29" s="889" t="s">
        <v>1659</v>
      </c>
      <c r="AO29" s="890"/>
      <c r="AP29" s="890"/>
      <c r="AQ29" s="890"/>
      <c r="AR29" s="889" t="s">
        <v>4399</v>
      </c>
      <c r="AS29" s="889"/>
      <c r="AT29" s="889"/>
      <c r="AU29" s="889" t="s">
        <v>4400</v>
      </c>
      <c r="AV29" s="889" t="s">
        <v>2513</v>
      </c>
      <c r="AW29" s="889" t="s">
        <v>3681</v>
      </c>
      <c r="AX29" s="889" t="s">
        <v>3682</v>
      </c>
      <c r="AY29" s="889" t="s">
        <v>3689</v>
      </c>
      <c r="AZ29" s="889" t="s">
        <v>3690</v>
      </c>
      <c r="BA29" s="889" t="s">
        <v>1669</v>
      </c>
      <c r="BB29" s="2557"/>
      <c r="BC29" s="2557" t="s">
        <v>5439</v>
      </c>
      <c r="BD29" s="2557"/>
      <c r="BE29" s="889"/>
      <c r="BF29" s="889"/>
      <c r="BG29" s="889"/>
      <c r="BH29" s="889"/>
      <c r="BI29" s="889"/>
      <c r="BJ29" s="889"/>
      <c r="BK29" s="889"/>
      <c r="BL29" s="889"/>
      <c r="BM29" s="889"/>
      <c r="BN29" s="889"/>
      <c r="BO29" s="889"/>
      <c r="BP29" s="889"/>
      <c r="BQ29" s="889"/>
      <c r="BR29" s="889"/>
      <c r="BS29" s="889"/>
      <c r="BT29" s="889"/>
      <c r="BU29" s="889"/>
      <c r="BV29" s="889"/>
      <c r="BW29" s="889"/>
      <c r="BX29" s="889"/>
      <c r="BY29" s="2557"/>
      <c r="BZ29" s="889"/>
      <c r="CA29" s="889"/>
      <c r="CB29" s="889"/>
      <c r="CC29" s="889"/>
      <c r="CD29" s="889"/>
      <c r="CE29" s="889"/>
      <c r="CF29" s="889"/>
      <c r="CG29" s="889"/>
      <c r="CH29" s="889"/>
      <c r="CI29" s="889"/>
      <c r="CJ29" s="2557"/>
      <c r="CK29" s="889"/>
      <c r="CL29" s="889"/>
      <c r="CM29" s="889"/>
      <c r="CN29" s="889"/>
      <c r="CO29" s="889"/>
      <c r="CP29" s="889"/>
      <c r="CQ29" s="889"/>
      <c r="CR29" s="889"/>
      <c r="CS29" s="2557"/>
      <c r="CT29" s="2557"/>
      <c r="CU29" s="2557"/>
      <c r="CV29" s="916" t="s">
        <v>4401</v>
      </c>
      <c r="CW29" s="890" t="s">
        <v>2037</v>
      </c>
      <c r="CX29" s="916"/>
      <c r="CY29" s="686"/>
      <c r="DA29" s="2019"/>
    </row>
    <row r="30" spans="2:105" ht="15.75" x14ac:dyDescent="0.45">
      <c r="B30" s="915">
        <v>27</v>
      </c>
      <c r="C30" s="915" t="s">
        <v>250</v>
      </c>
      <c r="D30" s="916" t="s">
        <v>2280</v>
      </c>
      <c r="E30" s="890"/>
      <c r="F30" s="890"/>
      <c r="G30" s="890"/>
      <c r="H30" s="890"/>
      <c r="I30" s="890"/>
      <c r="J30" s="890"/>
      <c r="K30" s="890"/>
      <c r="L30" s="890"/>
      <c r="M30" s="889" t="s">
        <v>4402</v>
      </c>
      <c r="N30" s="889"/>
      <c r="O30" s="890"/>
      <c r="P30" s="890"/>
      <c r="Q30" s="890"/>
      <c r="R30" s="890">
        <v>1</v>
      </c>
      <c r="S30" s="890"/>
      <c r="T30" s="890"/>
      <c r="U30" s="890"/>
      <c r="V30" s="890"/>
      <c r="W30" s="890"/>
      <c r="X30" s="890"/>
      <c r="Y30" s="2546"/>
      <c r="Z30" s="2546"/>
      <c r="AA30" s="2546"/>
      <c r="AB30" s="890" t="s">
        <v>1658</v>
      </c>
      <c r="AC30" s="889"/>
      <c r="AD30" s="889"/>
      <c r="AE30" s="889" t="s">
        <v>4403</v>
      </c>
      <c r="AF30" s="890"/>
      <c r="AG30" s="890"/>
      <c r="AH30" s="890"/>
      <c r="AI30" s="889" t="s">
        <v>4404</v>
      </c>
      <c r="AJ30" s="889"/>
      <c r="AK30" s="889"/>
      <c r="AL30" s="889"/>
      <c r="AM30" s="889"/>
      <c r="AN30" s="889" t="s">
        <v>1659</v>
      </c>
      <c r="AO30" s="890"/>
      <c r="AP30" s="890"/>
      <c r="AQ30" s="890"/>
      <c r="AR30" s="889"/>
      <c r="AS30" s="889"/>
      <c r="AT30" s="889"/>
      <c r="AU30" s="889" t="s">
        <v>4405</v>
      </c>
      <c r="AV30" s="889" t="s">
        <v>2513</v>
      </c>
      <c r="AW30" s="889" t="s">
        <v>3681</v>
      </c>
      <c r="AX30" s="889" t="s">
        <v>3682</v>
      </c>
      <c r="AY30" s="889" t="s">
        <v>3689</v>
      </c>
      <c r="AZ30" s="889" t="s">
        <v>3690</v>
      </c>
      <c r="BA30" s="889" t="s">
        <v>1669</v>
      </c>
      <c r="BB30" s="2557"/>
      <c r="BC30" s="2557" t="s">
        <v>5439</v>
      </c>
      <c r="BD30" s="2557"/>
      <c r="BE30" s="889"/>
      <c r="BF30" s="889"/>
      <c r="BG30" s="889"/>
      <c r="BH30" s="889"/>
      <c r="BI30" s="889"/>
      <c r="BJ30" s="889"/>
      <c r="BK30" s="889"/>
      <c r="BL30" s="889"/>
      <c r="BM30" s="889"/>
      <c r="BN30" s="889"/>
      <c r="BO30" s="889"/>
      <c r="BP30" s="889"/>
      <c r="BQ30" s="889"/>
      <c r="BR30" s="889"/>
      <c r="BS30" s="889"/>
      <c r="BT30" s="889"/>
      <c r="BU30" s="889"/>
      <c r="BV30" s="889"/>
      <c r="BW30" s="889"/>
      <c r="BX30" s="889"/>
      <c r="BY30" s="2557"/>
      <c r="BZ30" s="889"/>
      <c r="CA30" s="889"/>
      <c r="CB30" s="889"/>
      <c r="CC30" s="889"/>
      <c r="CD30" s="889"/>
      <c r="CE30" s="889"/>
      <c r="CF30" s="889"/>
      <c r="CG30" s="889"/>
      <c r="CH30" s="889"/>
      <c r="CI30" s="889"/>
      <c r="CJ30" s="2557"/>
      <c r="CK30" s="889"/>
      <c r="CL30" s="889"/>
      <c r="CM30" s="889"/>
      <c r="CN30" s="889"/>
      <c r="CO30" s="889"/>
      <c r="CP30" s="889"/>
      <c r="CQ30" s="889"/>
      <c r="CR30" s="889"/>
      <c r="CS30" s="2557"/>
      <c r="CT30" s="2557"/>
      <c r="CU30" s="2557"/>
      <c r="CV30" s="916" t="s">
        <v>4406</v>
      </c>
      <c r="CW30" s="890" t="s">
        <v>2037</v>
      </c>
      <c r="CX30" s="916"/>
      <c r="CY30" s="686"/>
      <c r="DA30" s="2019"/>
    </row>
    <row r="31" spans="2:105" ht="15.75" x14ac:dyDescent="0.45">
      <c r="B31" s="915">
        <v>28</v>
      </c>
      <c r="C31" s="915" t="s">
        <v>251</v>
      </c>
      <c r="D31" s="916" t="s">
        <v>1670</v>
      </c>
      <c r="E31" s="890"/>
      <c r="F31" s="890"/>
      <c r="G31" s="890"/>
      <c r="H31" s="890"/>
      <c r="I31" s="890"/>
      <c r="J31" s="890"/>
      <c r="K31" s="890"/>
      <c r="L31" s="890"/>
      <c r="M31" s="889" t="s">
        <v>4402</v>
      </c>
      <c r="N31" s="889"/>
      <c r="O31" s="890"/>
      <c r="P31" s="890"/>
      <c r="Q31" s="890"/>
      <c r="R31" s="890">
        <v>1</v>
      </c>
      <c r="S31" s="890"/>
      <c r="T31" s="890"/>
      <c r="U31" s="890"/>
      <c r="V31" s="890"/>
      <c r="W31" s="890"/>
      <c r="X31" s="890"/>
      <c r="Y31" s="2546"/>
      <c r="Z31" s="2546"/>
      <c r="AA31" s="2546"/>
      <c r="AB31" s="890" t="s">
        <v>1658</v>
      </c>
      <c r="AC31" s="889"/>
      <c r="AD31" s="889" t="s">
        <v>4408</v>
      </c>
      <c r="AE31" s="889" t="s">
        <v>4407</v>
      </c>
      <c r="AF31" s="890"/>
      <c r="AG31" s="890"/>
      <c r="AH31" s="890"/>
      <c r="AI31" s="889"/>
      <c r="AJ31" s="889"/>
      <c r="AK31" s="889"/>
      <c r="AL31" s="889"/>
      <c r="AM31" s="889"/>
      <c r="AN31" s="889" t="s">
        <v>1659</v>
      </c>
      <c r="AO31" s="890"/>
      <c r="AP31" s="890"/>
      <c r="AQ31" s="890"/>
      <c r="AR31" s="890"/>
      <c r="AS31" s="890"/>
      <c r="AT31" s="890"/>
      <c r="AU31" s="889" t="s">
        <v>4405</v>
      </c>
      <c r="AV31" s="889" t="s">
        <v>2513</v>
      </c>
      <c r="AW31" s="889" t="s">
        <v>3681</v>
      </c>
      <c r="AX31" s="889" t="s">
        <v>3682</v>
      </c>
      <c r="AY31" s="889" t="s">
        <v>3689</v>
      </c>
      <c r="AZ31" s="889" t="s">
        <v>3690</v>
      </c>
      <c r="BA31" s="889" t="s">
        <v>1669</v>
      </c>
      <c r="BB31" s="2557"/>
      <c r="BC31" s="2557" t="s">
        <v>5439</v>
      </c>
      <c r="BD31" s="2557"/>
      <c r="BE31" s="889"/>
      <c r="BF31" s="889"/>
      <c r="BG31" s="889"/>
      <c r="BH31" s="889"/>
      <c r="BI31" s="889"/>
      <c r="BJ31" s="889"/>
      <c r="BK31" s="889"/>
      <c r="BL31" s="889"/>
      <c r="BM31" s="889"/>
      <c r="BN31" s="889"/>
      <c r="BO31" s="889"/>
      <c r="BP31" s="889"/>
      <c r="BQ31" s="889"/>
      <c r="BR31" s="889"/>
      <c r="BS31" s="889"/>
      <c r="BT31" s="889"/>
      <c r="BU31" s="889"/>
      <c r="BV31" s="889"/>
      <c r="BW31" s="889"/>
      <c r="BX31" s="889"/>
      <c r="BY31" s="2557"/>
      <c r="BZ31" s="889"/>
      <c r="CA31" s="889"/>
      <c r="CB31" s="889"/>
      <c r="CC31" s="889"/>
      <c r="CD31" s="889"/>
      <c r="CE31" s="889"/>
      <c r="CF31" s="889"/>
      <c r="CG31" s="889"/>
      <c r="CH31" s="889"/>
      <c r="CI31" s="889"/>
      <c r="CJ31" s="2557"/>
      <c r="CK31" s="889"/>
      <c r="CL31" s="889"/>
      <c r="CM31" s="889"/>
      <c r="CN31" s="889"/>
      <c r="CO31" s="889"/>
      <c r="CP31" s="889"/>
      <c r="CQ31" s="889"/>
      <c r="CR31" s="889"/>
      <c r="CS31" s="2557"/>
      <c r="CT31" s="2557"/>
      <c r="CU31" s="2557"/>
      <c r="CV31" s="916" t="s">
        <v>4409</v>
      </c>
      <c r="CW31" s="890" t="s">
        <v>2037</v>
      </c>
      <c r="CX31" s="916"/>
      <c r="CY31" s="686"/>
      <c r="DA31" s="2019"/>
    </row>
    <row r="32" spans="2:105" ht="15.75" x14ac:dyDescent="0.45">
      <c r="B32" s="915">
        <v>29</v>
      </c>
      <c r="C32" s="915" t="s">
        <v>252</v>
      </c>
      <c r="D32" s="916" t="s">
        <v>4410</v>
      </c>
      <c r="E32" s="890">
        <v>-1</v>
      </c>
      <c r="F32" s="890"/>
      <c r="G32" s="890"/>
      <c r="H32" s="890"/>
      <c r="I32" s="890"/>
      <c r="J32" s="890"/>
      <c r="K32" s="890"/>
      <c r="L32" s="890"/>
      <c r="M32" s="890">
        <v>1</v>
      </c>
      <c r="N32" s="890"/>
      <c r="O32" s="890"/>
      <c r="P32" s="890"/>
      <c r="Q32" s="890"/>
      <c r="R32" s="890"/>
      <c r="S32" s="890"/>
      <c r="T32" s="890"/>
      <c r="U32" s="890"/>
      <c r="V32" s="890"/>
      <c r="W32" s="890"/>
      <c r="X32" s="890"/>
      <c r="Y32" s="2546"/>
      <c r="Z32" s="2546"/>
      <c r="AA32" s="2546"/>
      <c r="AB32" s="890"/>
      <c r="AC32" s="889"/>
      <c r="AD32" s="889"/>
      <c r="AE32" s="889"/>
      <c r="AF32" s="890"/>
      <c r="AG32" s="890"/>
      <c r="AH32" s="890"/>
      <c r="AI32" s="889"/>
      <c r="AJ32" s="889"/>
      <c r="AK32" s="889"/>
      <c r="AL32" s="889"/>
      <c r="AM32" s="890" t="s">
        <v>1671</v>
      </c>
      <c r="AN32" s="889" t="s">
        <v>1672</v>
      </c>
      <c r="AO32" s="890"/>
      <c r="AP32" s="890"/>
      <c r="AQ32" s="890"/>
      <c r="AR32" s="890"/>
      <c r="AS32" s="890"/>
      <c r="AT32" s="890"/>
      <c r="AU32" s="890" t="s">
        <v>1996</v>
      </c>
      <c r="AV32" s="890"/>
      <c r="AW32" s="890"/>
      <c r="AX32" s="890"/>
      <c r="AY32" s="889" t="s">
        <v>1673</v>
      </c>
      <c r="AZ32" s="889" t="s">
        <v>1674</v>
      </c>
      <c r="BA32" s="889" t="s">
        <v>1675</v>
      </c>
      <c r="BB32" s="2557"/>
      <c r="BC32" s="2557"/>
      <c r="BD32" s="2557"/>
      <c r="BE32" s="890"/>
      <c r="BF32" s="890"/>
      <c r="BG32" s="890"/>
      <c r="BH32" s="890"/>
      <c r="BI32" s="890"/>
      <c r="BJ32" s="890"/>
      <c r="BK32" s="890"/>
      <c r="BL32" s="890"/>
      <c r="BM32" s="890"/>
      <c r="BN32" s="890"/>
      <c r="BO32" s="890"/>
      <c r="BP32" s="890"/>
      <c r="BQ32" s="890"/>
      <c r="BR32" s="890"/>
      <c r="BS32" s="890"/>
      <c r="BT32" s="890"/>
      <c r="BU32" s="890"/>
      <c r="BV32" s="889"/>
      <c r="BW32" s="890"/>
      <c r="BX32" s="890"/>
      <c r="BY32" s="2546"/>
      <c r="BZ32" s="890"/>
      <c r="CA32" s="890"/>
      <c r="CB32" s="890"/>
      <c r="CC32" s="890"/>
      <c r="CD32" s="890"/>
      <c r="CE32" s="890"/>
      <c r="CF32" s="890"/>
      <c r="CG32" s="890"/>
      <c r="CH32" s="890"/>
      <c r="CI32" s="890"/>
      <c r="CJ32" s="2546"/>
      <c r="CK32" s="890"/>
      <c r="CL32" s="890"/>
      <c r="CM32" s="890"/>
      <c r="CN32" s="890"/>
      <c r="CO32" s="890"/>
      <c r="CP32" s="890"/>
      <c r="CQ32" s="890"/>
      <c r="CR32" s="890"/>
      <c r="CS32" s="2546"/>
      <c r="CT32" s="2546"/>
      <c r="CU32" s="2546"/>
      <c r="CV32" s="916" t="s">
        <v>4411</v>
      </c>
      <c r="CW32" s="890" t="s">
        <v>2037</v>
      </c>
      <c r="CX32" s="916"/>
      <c r="CY32" s="686"/>
    </row>
    <row r="33" spans="2:105" ht="15.75" x14ac:dyDescent="0.45">
      <c r="B33" s="918">
        <v>30</v>
      </c>
      <c r="C33" s="918" t="s">
        <v>1367</v>
      </c>
      <c r="D33" s="919" t="s">
        <v>2141</v>
      </c>
      <c r="E33" s="892">
        <v>-1</v>
      </c>
      <c r="F33" s="892"/>
      <c r="G33" s="892"/>
      <c r="H33" s="892"/>
      <c r="I33" s="892"/>
      <c r="J33" s="892"/>
      <c r="K33" s="892"/>
      <c r="L33" s="892"/>
      <c r="M33" s="892"/>
      <c r="N33" s="892">
        <v>1</v>
      </c>
      <c r="O33" s="892"/>
      <c r="P33" s="892"/>
      <c r="Q33" s="892"/>
      <c r="R33" s="892"/>
      <c r="S33" s="892"/>
      <c r="T33" s="892"/>
      <c r="U33" s="892"/>
      <c r="V33" s="892"/>
      <c r="W33" s="892"/>
      <c r="X33" s="892"/>
      <c r="Y33" s="2547"/>
      <c r="Z33" s="2547"/>
      <c r="AA33" s="2547"/>
      <c r="AB33" s="892"/>
      <c r="AC33" s="891"/>
      <c r="AD33" s="891"/>
      <c r="AE33" s="891"/>
      <c r="AF33" s="892"/>
      <c r="AG33" s="892"/>
      <c r="AH33" s="892"/>
      <c r="AI33" s="892"/>
      <c r="AJ33" s="892"/>
      <c r="AK33" s="892"/>
      <c r="AL33" s="892"/>
      <c r="AM33" s="892"/>
      <c r="AN33" s="891"/>
      <c r="AO33" s="892"/>
      <c r="AP33" s="892"/>
      <c r="AQ33" s="892"/>
      <c r="AR33" s="892"/>
      <c r="AS33" s="892"/>
      <c r="AT33" s="892"/>
      <c r="AU33" s="892" t="s">
        <v>2142</v>
      </c>
      <c r="AV33" s="891"/>
      <c r="AW33" s="891"/>
      <c r="AX33" s="891"/>
      <c r="AY33" s="891"/>
      <c r="AZ33" s="891"/>
      <c r="BA33" s="891"/>
      <c r="BB33" s="2558"/>
      <c r="BC33" s="2558"/>
      <c r="BD33" s="2558"/>
      <c r="BE33" s="892"/>
      <c r="BF33" s="892"/>
      <c r="BG33" s="892"/>
      <c r="BH33" s="892"/>
      <c r="BI33" s="892"/>
      <c r="BJ33" s="892"/>
      <c r="BK33" s="892"/>
      <c r="BL33" s="892"/>
      <c r="BM33" s="892"/>
      <c r="BN33" s="892"/>
      <c r="BO33" s="892"/>
      <c r="BP33" s="892"/>
      <c r="BQ33" s="892"/>
      <c r="BR33" s="892"/>
      <c r="BS33" s="892"/>
      <c r="BT33" s="892"/>
      <c r="BU33" s="892"/>
      <c r="BV33" s="892"/>
      <c r="BW33" s="892"/>
      <c r="BX33" s="892"/>
      <c r="BY33" s="2547"/>
      <c r="BZ33" s="892"/>
      <c r="CA33" s="892"/>
      <c r="CB33" s="892"/>
      <c r="CC33" s="892"/>
      <c r="CD33" s="892"/>
      <c r="CE33" s="892"/>
      <c r="CF33" s="892"/>
      <c r="CG33" s="892"/>
      <c r="CH33" s="892"/>
      <c r="CI33" s="892"/>
      <c r="CJ33" s="2547"/>
      <c r="CK33" s="892"/>
      <c r="CL33" s="892"/>
      <c r="CM33" s="892"/>
      <c r="CN33" s="892"/>
      <c r="CO33" s="892"/>
      <c r="CP33" s="892"/>
      <c r="CQ33" s="892"/>
      <c r="CR33" s="892"/>
      <c r="CS33" s="2547"/>
      <c r="CT33" s="2547"/>
      <c r="CU33" s="2547"/>
      <c r="CV33" s="919" t="s">
        <v>4412</v>
      </c>
      <c r="CW33" s="892" t="s">
        <v>2037</v>
      </c>
      <c r="CX33" s="919"/>
      <c r="CY33" s="687"/>
    </row>
    <row r="34" spans="2:105" ht="15.75" x14ac:dyDescent="0.45">
      <c r="B34" s="915">
        <v>31</v>
      </c>
      <c r="C34" s="915" t="s">
        <v>1368</v>
      </c>
      <c r="D34" s="916" t="s">
        <v>4413</v>
      </c>
      <c r="E34" s="890"/>
      <c r="F34" s="890"/>
      <c r="G34" s="890"/>
      <c r="H34" s="890"/>
      <c r="I34" s="890"/>
      <c r="J34" s="890"/>
      <c r="K34" s="890"/>
      <c r="L34" s="890"/>
      <c r="M34" s="889" t="s">
        <v>4414</v>
      </c>
      <c r="N34" s="889" t="s">
        <v>4415</v>
      </c>
      <c r="O34" s="890"/>
      <c r="P34" s="890"/>
      <c r="Q34" s="890"/>
      <c r="R34" s="890"/>
      <c r="S34" s="890"/>
      <c r="T34" s="890"/>
      <c r="U34" s="890"/>
      <c r="V34" s="890"/>
      <c r="W34" s="890"/>
      <c r="X34" s="890"/>
      <c r="Y34" s="2546"/>
      <c r="Z34" s="2546"/>
      <c r="AA34" s="2546"/>
      <c r="AB34" s="890"/>
      <c r="AC34" s="890"/>
      <c r="AD34" s="890"/>
      <c r="AE34" s="890"/>
      <c r="AF34" s="890"/>
      <c r="AG34" s="890"/>
      <c r="AH34" s="890"/>
      <c r="AI34" s="890"/>
      <c r="AJ34" s="890"/>
      <c r="AK34" s="890"/>
      <c r="AL34" s="890"/>
      <c r="AM34" s="890"/>
      <c r="AN34" s="889"/>
      <c r="AO34" s="890"/>
      <c r="AP34" s="890"/>
      <c r="AQ34" s="890"/>
      <c r="AR34" s="890">
        <v>-1</v>
      </c>
      <c r="AS34" s="890"/>
      <c r="AT34" s="890"/>
      <c r="AU34" s="890" t="s">
        <v>4416</v>
      </c>
      <c r="AV34" s="890"/>
      <c r="AW34" s="890"/>
      <c r="AX34" s="890"/>
      <c r="AY34" s="889"/>
      <c r="AZ34" s="889"/>
      <c r="BA34" s="889"/>
      <c r="BB34" s="2557"/>
      <c r="BC34" s="2557"/>
      <c r="BD34" s="2557"/>
      <c r="BE34" s="890"/>
      <c r="BF34" s="890"/>
      <c r="BG34" s="890"/>
      <c r="BH34" s="890"/>
      <c r="BI34" s="890"/>
      <c r="BJ34" s="890"/>
      <c r="BK34" s="890"/>
      <c r="BL34" s="890"/>
      <c r="BM34" s="890"/>
      <c r="BN34" s="890"/>
      <c r="BO34" s="890"/>
      <c r="BP34" s="890"/>
      <c r="BQ34" s="890"/>
      <c r="BR34" s="890"/>
      <c r="BS34" s="890"/>
      <c r="BT34" s="890"/>
      <c r="BU34" s="890"/>
      <c r="BV34" s="890"/>
      <c r="BW34" s="890"/>
      <c r="BX34" s="890"/>
      <c r="BY34" s="2546"/>
      <c r="BZ34" s="890"/>
      <c r="CA34" s="890"/>
      <c r="CB34" s="890"/>
      <c r="CC34" s="890"/>
      <c r="CD34" s="890"/>
      <c r="CE34" s="890"/>
      <c r="CF34" s="890"/>
      <c r="CG34" s="890"/>
      <c r="CH34" s="890"/>
      <c r="CI34" s="890"/>
      <c r="CJ34" s="2546"/>
      <c r="CK34" s="890"/>
      <c r="CL34" s="890"/>
      <c r="CM34" s="890"/>
      <c r="CN34" s="890"/>
      <c r="CO34" s="890"/>
      <c r="CP34" s="890"/>
      <c r="CQ34" s="890"/>
      <c r="CR34" s="890"/>
      <c r="CS34" s="2546"/>
      <c r="CT34" s="2546"/>
      <c r="CU34" s="2546"/>
      <c r="CV34" s="916" t="s">
        <v>4417</v>
      </c>
      <c r="CW34" s="890" t="s">
        <v>2037</v>
      </c>
      <c r="CX34" s="916"/>
      <c r="CY34" s="686"/>
    </row>
    <row r="35" spans="2:105" ht="15.75" x14ac:dyDescent="0.45">
      <c r="B35" s="915">
        <v>32</v>
      </c>
      <c r="C35" s="915" t="s">
        <v>253</v>
      </c>
      <c r="D35" s="916" t="s">
        <v>4418</v>
      </c>
      <c r="E35" s="890"/>
      <c r="F35" s="890"/>
      <c r="G35" s="890"/>
      <c r="H35" s="890"/>
      <c r="I35" s="890"/>
      <c r="J35" s="890"/>
      <c r="K35" s="890"/>
      <c r="L35" s="890"/>
      <c r="M35" s="889" t="s">
        <v>4414</v>
      </c>
      <c r="N35" s="889" t="s">
        <v>4415</v>
      </c>
      <c r="O35" s="890"/>
      <c r="P35" s="890"/>
      <c r="Q35" s="890"/>
      <c r="R35" s="890"/>
      <c r="S35" s="890"/>
      <c r="T35" s="890"/>
      <c r="U35" s="890"/>
      <c r="V35" s="890"/>
      <c r="W35" s="890"/>
      <c r="X35" s="890"/>
      <c r="Y35" s="2546"/>
      <c r="Z35" s="2546"/>
      <c r="AA35" s="2546"/>
      <c r="AB35" s="890"/>
      <c r="AC35" s="889"/>
      <c r="AD35" s="889"/>
      <c r="AE35" s="889" t="s">
        <v>2484</v>
      </c>
      <c r="AF35" s="890"/>
      <c r="AG35" s="890"/>
      <c r="AH35" s="890"/>
      <c r="AI35" s="889" t="s">
        <v>2485</v>
      </c>
      <c r="AJ35" s="889"/>
      <c r="AK35" s="889"/>
      <c r="AL35" s="889"/>
      <c r="AM35" s="890"/>
      <c r="AN35" s="889"/>
      <c r="AO35" s="890"/>
      <c r="AP35" s="890"/>
      <c r="AQ35" s="890"/>
      <c r="AR35" s="890"/>
      <c r="AS35" s="890"/>
      <c r="AT35" s="890"/>
      <c r="AU35" s="890" t="s">
        <v>4416</v>
      </c>
      <c r="AV35" s="890"/>
      <c r="AW35" s="890"/>
      <c r="AX35" s="890"/>
      <c r="AY35" s="889"/>
      <c r="AZ35" s="889"/>
      <c r="BA35" s="889"/>
      <c r="BB35" s="2557"/>
      <c r="BC35" s="2557"/>
      <c r="BD35" s="2557"/>
      <c r="BE35" s="890"/>
      <c r="BF35" s="890"/>
      <c r="BG35" s="890"/>
      <c r="BH35" s="890"/>
      <c r="BI35" s="890"/>
      <c r="BJ35" s="890"/>
      <c r="BK35" s="890"/>
      <c r="BL35" s="890"/>
      <c r="BM35" s="890"/>
      <c r="BN35" s="890"/>
      <c r="BO35" s="890"/>
      <c r="BP35" s="890"/>
      <c r="BQ35" s="890"/>
      <c r="BR35" s="890"/>
      <c r="BS35" s="890"/>
      <c r="BT35" s="890"/>
      <c r="BU35" s="890"/>
      <c r="BV35" s="890"/>
      <c r="BW35" s="890"/>
      <c r="BX35" s="890"/>
      <c r="BY35" s="2546"/>
      <c r="BZ35" s="890"/>
      <c r="CA35" s="890"/>
      <c r="CB35" s="890"/>
      <c r="CC35" s="890"/>
      <c r="CD35" s="890"/>
      <c r="CE35" s="890"/>
      <c r="CF35" s="890"/>
      <c r="CG35" s="890"/>
      <c r="CH35" s="890"/>
      <c r="CI35" s="890"/>
      <c r="CJ35" s="2546"/>
      <c r="CK35" s="890"/>
      <c r="CL35" s="890"/>
      <c r="CM35" s="890"/>
      <c r="CN35" s="890"/>
      <c r="CO35" s="890"/>
      <c r="CP35" s="890"/>
      <c r="CQ35" s="890"/>
      <c r="CR35" s="890"/>
      <c r="CS35" s="2546"/>
      <c r="CT35" s="2546"/>
      <c r="CU35" s="2546"/>
      <c r="CV35" s="916" t="s">
        <v>4419</v>
      </c>
      <c r="CW35" s="890" t="s">
        <v>2037</v>
      </c>
      <c r="CX35" s="916"/>
      <c r="CY35" s="686"/>
    </row>
    <row r="36" spans="2:105" ht="15.75" x14ac:dyDescent="0.45">
      <c r="B36" s="915">
        <v>33</v>
      </c>
      <c r="C36" s="915" t="s">
        <v>254</v>
      </c>
      <c r="D36" s="916" t="s">
        <v>4420</v>
      </c>
      <c r="E36" s="890"/>
      <c r="F36" s="890"/>
      <c r="G36" s="890"/>
      <c r="H36" s="890"/>
      <c r="I36" s="890"/>
      <c r="J36" s="890"/>
      <c r="K36" s="890"/>
      <c r="L36" s="890"/>
      <c r="M36" s="889" t="s">
        <v>4414</v>
      </c>
      <c r="N36" s="889" t="s">
        <v>4415</v>
      </c>
      <c r="O36" s="890"/>
      <c r="P36" s="890"/>
      <c r="Q36" s="890"/>
      <c r="R36" s="890"/>
      <c r="S36" s="890"/>
      <c r="T36" s="890"/>
      <c r="U36" s="890"/>
      <c r="V36" s="890"/>
      <c r="W36" s="890"/>
      <c r="X36" s="890"/>
      <c r="Y36" s="2546"/>
      <c r="Z36" s="2546"/>
      <c r="AA36" s="2546"/>
      <c r="AB36" s="890"/>
      <c r="AC36" s="889"/>
      <c r="AD36" s="889" t="s">
        <v>2486</v>
      </c>
      <c r="AE36" s="889" t="s">
        <v>2487</v>
      </c>
      <c r="AF36" s="890"/>
      <c r="AG36" s="890"/>
      <c r="AH36" s="890"/>
      <c r="AI36" s="889"/>
      <c r="AJ36" s="889"/>
      <c r="AK36" s="889"/>
      <c r="AL36" s="889"/>
      <c r="AM36" s="890"/>
      <c r="AN36" s="889"/>
      <c r="AO36" s="890"/>
      <c r="AP36" s="890"/>
      <c r="AQ36" s="890"/>
      <c r="AR36" s="890"/>
      <c r="AS36" s="890"/>
      <c r="AT36" s="890"/>
      <c r="AU36" s="890" t="s">
        <v>4416</v>
      </c>
      <c r="AV36" s="890"/>
      <c r="AW36" s="890"/>
      <c r="AX36" s="890"/>
      <c r="AY36" s="889"/>
      <c r="AZ36" s="889"/>
      <c r="BA36" s="889"/>
      <c r="BB36" s="2557"/>
      <c r="BC36" s="2557"/>
      <c r="BD36" s="2557"/>
      <c r="BE36" s="890"/>
      <c r="BF36" s="890"/>
      <c r="BG36" s="890"/>
      <c r="BH36" s="890"/>
      <c r="BI36" s="890"/>
      <c r="BJ36" s="890"/>
      <c r="BK36" s="890"/>
      <c r="BL36" s="890"/>
      <c r="BM36" s="890"/>
      <c r="BN36" s="890"/>
      <c r="BO36" s="890"/>
      <c r="BP36" s="890"/>
      <c r="BQ36" s="890"/>
      <c r="BR36" s="890"/>
      <c r="BS36" s="890"/>
      <c r="BT36" s="890"/>
      <c r="BU36" s="890"/>
      <c r="BV36" s="890"/>
      <c r="BW36" s="890"/>
      <c r="BX36" s="890"/>
      <c r="BY36" s="2546"/>
      <c r="BZ36" s="890"/>
      <c r="CA36" s="890"/>
      <c r="CB36" s="890"/>
      <c r="CC36" s="890"/>
      <c r="CD36" s="890"/>
      <c r="CE36" s="890"/>
      <c r="CF36" s="890"/>
      <c r="CG36" s="890"/>
      <c r="CH36" s="890"/>
      <c r="CI36" s="890"/>
      <c r="CJ36" s="2546"/>
      <c r="CK36" s="890"/>
      <c r="CL36" s="890"/>
      <c r="CM36" s="890"/>
      <c r="CN36" s="890"/>
      <c r="CO36" s="890"/>
      <c r="CP36" s="890"/>
      <c r="CQ36" s="890"/>
      <c r="CR36" s="890"/>
      <c r="CS36" s="2546"/>
      <c r="CT36" s="2546"/>
      <c r="CU36" s="2546"/>
      <c r="CV36" s="916" t="s">
        <v>4421</v>
      </c>
      <c r="CW36" s="890" t="s">
        <v>2037</v>
      </c>
      <c r="CX36" s="916"/>
      <c r="CY36" s="686"/>
    </row>
    <row r="37" spans="2:105" ht="15.75" x14ac:dyDescent="0.45">
      <c r="B37" s="918">
        <v>34</v>
      </c>
      <c r="C37" s="918" t="s">
        <v>292</v>
      </c>
      <c r="D37" s="919" t="s">
        <v>2239</v>
      </c>
      <c r="E37" s="892">
        <v>1</v>
      </c>
      <c r="F37" s="892"/>
      <c r="G37" s="892"/>
      <c r="H37" s="892"/>
      <c r="I37" s="892"/>
      <c r="J37" s="892"/>
      <c r="K37" s="892"/>
      <c r="L37" s="892"/>
      <c r="M37" s="892"/>
      <c r="N37" s="892">
        <v>-1</v>
      </c>
      <c r="O37" s="892"/>
      <c r="P37" s="892"/>
      <c r="Q37" s="892"/>
      <c r="R37" s="892"/>
      <c r="S37" s="892"/>
      <c r="T37" s="892"/>
      <c r="U37" s="892"/>
      <c r="V37" s="892"/>
      <c r="W37" s="892"/>
      <c r="X37" s="892"/>
      <c r="Y37" s="2547"/>
      <c r="Z37" s="2547"/>
      <c r="AA37" s="2547"/>
      <c r="AB37" s="892"/>
      <c r="AC37" s="891"/>
      <c r="AD37" s="891"/>
      <c r="AE37" s="891"/>
      <c r="AF37" s="892"/>
      <c r="AG37" s="892"/>
      <c r="AH37" s="892"/>
      <c r="AI37" s="891"/>
      <c r="AJ37" s="891"/>
      <c r="AK37" s="891"/>
      <c r="AL37" s="891"/>
      <c r="AM37" s="892"/>
      <c r="AN37" s="891"/>
      <c r="AO37" s="892"/>
      <c r="AP37" s="892"/>
      <c r="AQ37" s="892"/>
      <c r="AR37" s="892"/>
      <c r="AS37" s="892"/>
      <c r="AT37" s="892"/>
      <c r="AU37" s="892" t="s">
        <v>2240</v>
      </c>
      <c r="AV37" s="891"/>
      <c r="AW37" s="891"/>
      <c r="AX37" s="891"/>
      <c r="AY37" s="891"/>
      <c r="AZ37" s="891"/>
      <c r="BA37" s="891"/>
      <c r="BB37" s="2558"/>
      <c r="BC37" s="2558"/>
      <c r="BD37" s="2558"/>
      <c r="BE37" s="892"/>
      <c r="BF37" s="892"/>
      <c r="BG37" s="892"/>
      <c r="BH37" s="892"/>
      <c r="BI37" s="892"/>
      <c r="BJ37" s="892"/>
      <c r="BK37" s="892"/>
      <c r="BL37" s="892"/>
      <c r="BM37" s="892"/>
      <c r="BN37" s="892"/>
      <c r="BO37" s="892"/>
      <c r="BP37" s="892"/>
      <c r="BQ37" s="892"/>
      <c r="BR37" s="892"/>
      <c r="BS37" s="892"/>
      <c r="BT37" s="892"/>
      <c r="BU37" s="892"/>
      <c r="BV37" s="892"/>
      <c r="BW37" s="892"/>
      <c r="BX37" s="892"/>
      <c r="BY37" s="2547"/>
      <c r="BZ37" s="892"/>
      <c r="CA37" s="892"/>
      <c r="CB37" s="892"/>
      <c r="CC37" s="892"/>
      <c r="CD37" s="892"/>
      <c r="CE37" s="892"/>
      <c r="CF37" s="892"/>
      <c r="CG37" s="892"/>
      <c r="CH37" s="892"/>
      <c r="CI37" s="892"/>
      <c r="CJ37" s="2547"/>
      <c r="CK37" s="892"/>
      <c r="CL37" s="892"/>
      <c r="CM37" s="892"/>
      <c r="CN37" s="892"/>
      <c r="CO37" s="892"/>
      <c r="CP37" s="892"/>
      <c r="CQ37" s="892"/>
      <c r="CR37" s="892"/>
      <c r="CS37" s="2547"/>
      <c r="CT37" s="2547"/>
      <c r="CU37" s="2547"/>
      <c r="CV37" s="919" t="s">
        <v>4422</v>
      </c>
      <c r="CW37" s="892" t="s">
        <v>2037</v>
      </c>
      <c r="CX37" s="919"/>
      <c r="CY37" s="687"/>
    </row>
    <row r="38" spans="2:105" ht="15.75" x14ac:dyDescent="0.45">
      <c r="B38" s="915">
        <v>35</v>
      </c>
      <c r="C38" s="915" t="s">
        <v>298</v>
      </c>
      <c r="D38" s="916" t="s">
        <v>2245</v>
      </c>
      <c r="E38" s="890"/>
      <c r="F38" s="890"/>
      <c r="G38" s="890"/>
      <c r="H38" s="890"/>
      <c r="I38" s="890"/>
      <c r="J38" s="890"/>
      <c r="K38" s="890"/>
      <c r="L38" s="890"/>
      <c r="M38" s="890"/>
      <c r="N38" s="890"/>
      <c r="O38" s="890"/>
      <c r="P38" s="890"/>
      <c r="Q38" s="890"/>
      <c r="R38" s="890"/>
      <c r="S38" s="890"/>
      <c r="T38" s="890"/>
      <c r="U38" s="890"/>
      <c r="V38" s="890"/>
      <c r="W38" s="890"/>
      <c r="X38" s="890"/>
      <c r="Y38" s="2546"/>
      <c r="Z38" s="2546"/>
      <c r="AA38" s="2546"/>
      <c r="AB38" s="890"/>
      <c r="AC38" s="890"/>
      <c r="AD38" s="890"/>
      <c r="AE38" s="890"/>
      <c r="AF38" s="890"/>
      <c r="AG38" s="890"/>
      <c r="AH38" s="890"/>
      <c r="AI38" s="890"/>
      <c r="AJ38" s="890"/>
      <c r="AK38" s="890"/>
      <c r="AL38" s="890"/>
      <c r="AM38" s="890">
        <v>1</v>
      </c>
      <c r="AN38" s="890">
        <v>-1</v>
      </c>
      <c r="AO38" s="890"/>
      <c r="AP38" s="890"/>
      <c r="AQ38" s="890"/>
      <c r="AR38" s="890"/>
      <c r="AS38" s="890"/>
      <c r="AT38" s="890"/>
      <c r="AU38" s="890"/>
      <c r="AV38" s="890"/>
      <c r="AW38" s="890"/>
      <c r="AX38" s="890"/>
      <c r="AY38" s="889" t="s">
        <v>1676</v>
      </c>
      <c r="AZ38" s="889" t="s">
        <v>1677</v>
      </c>
      <c r="BA38" s="889" t="s">
        <v>1678</v>
      </c>
      <c r="BB38" s="2557"/>
      <c r="BC38" s="2557"/>
      <c r="BD38" s="2557"/>
      <c r="BE38" s="890"/>
      <c r="BF38" s="890"/>
      <c r="BG38" s="890"/>
      <c r="BH38" s="890"/>
      <c r="BI38" s="890"/>
      <c r="BJ38" s="890"/>
      <c r="BK38" s="890"/>
      <c r="BL38" s="890"/>
      <c r="BM38" s="890"/>
      <c r="BN38" s="890"/>
      <c r="BO38" s="890"/>
      <c r="BP38" s="890"/>
      <c r="BQ38" s="890"/>
      <c r="BR38" s="890"/>
      <c r="BS38" s="890"/>
      <c r="BT38" s="890"/>
      <c r="BU38" s="890"/>
      <c r="BV38" s="890"/>
      <c r="BW38" s="890"/>
      <c r="BX38" s="890"/>
      <c r="BY38" s="2546"/>
      <c r="BZ38" s="890"/>
      <c r="CA38" s="890"/>
      <c r="CB38" s="890"/>
      <c r="CC38" s="890"/>
      <c r="CD38" s="890"/>
      <c r="CE38" s="890"/>
      <c r="CF38" s="890"/>
      <c r="CG38" s="890"/>
      <c r="CH38" s="890"/>
      <c r="CI38" s="890"/>
      <c r="CJ38" s="2546"/>
      <c r="CK38" s="890"/>
      <c r="CL38" s="890"/>
      <c r="CM38" s="890"/>
      <c r="CN38" s="890"/>
      <c r="CO38" s="890"/>
      <c r="CP38" s="890"/>
      <c r="CQ38" s="890"/>
      <c r="CR38" s="890"/>
      <c r="CS38" s="2546"/>
      <c r="CT38" s="2546"/>
      <c r="CU38" s="2546"/>
      <c r="CV38" s="916" t="s">
        <v>4423</v>
      </c>
      <c r="CW38" s="890" t="s">
        <v>2037</v>
      </c>
      <c r="CX38" s="916"/>
      <c r="CY38" s="686"/>
    </row>
    <row r="39" spans="2:105" ht="15.75" x14ac:dyDescent="0.45">
      <c r="B39" s="915">
        <v>36</v>
      </c>
      <c r="C39" s="915" t="s">
        <v>4893</v>
      </c>
      <c r="D39" s="916" t="s">
        <v>3166</v>
      </c>
      <c r="E39" s="890" t="s">
        <v>4424</v>
      </c>
      <c r="F39" s="889" t="s">
        <v>4425</v>
      </c>
      <c r="G39" s="890"/>
      <c r="H39" s="890"/>
      <c r="I39" s="890"/>
      <c r="J39" s="890"/>
      <c r="K39" s="890"/>
      <c r="L39" s="890"/>
      <c r="M39" s="889"/>
      <c r="N39" s="889"/>
      <c r="O39" s="890"/>
      <c r="P39" s="890"/>
      <c r="Q39" s="890"/>
      <c r="R39" s="890">
        <v>1</v>
      </c>
      <c r="S39" s="890"/>
      <c r="T39" s="890"/>
      <c r="U39" s="890"/>
      <c r="V39" s="890"/>
      <c r="W39" s="890"/>
      <c r="X39" s="890"/>
      <c r="Y39" s="2546"/>
      <c r="Z39" s="2546"/>
      <c r="AA39" s="2546"/>
      <c r="AB39" s="890" t="s">
        <v>1658</v>
      </c>
      <c r="AC39" s="889"/>
      <c r="AD39" s="889"/>
      <c r="AE39" s="889"/>
      <c r="AF39" s="890"/>
      <c r="AG39" s="890"/>
      <c r="AH39" s="890"/>
      <c r="AI39" s="889"/>
      <c r="AJ39" s="889"/>
      <c r="AK39" s="889"/>
      <c r="AL39" s="889"/>
      <c r="AM39" s="890" t="s">
        <v>1659</v>
      </c>
      <c r="AN39" s="889"/>
      <c r="AO39" s="890"/>
      <c r="AP39" s="890"/>
      <c r="AQ39" s="890"/>
      <c r="AR39" s="890"/>
      <c r="AS39" s="890"/>
      <c r="AT39" s="890" t="s">
        <v>4426</v>
      </c>
      <c r="AU39" s="890" t="s">
        <v>4427</v>
      </c>
      <c r="AV39" s="889" t="s">
        <v>2513</v>
      </c>
      <c r="AW39" s="889" t="s">
        <v>3681</v>
      </c>
      <c r="AX39" s="889" t="s">
        <v>3682</v>
      </c>
      <c r="AY39" s="889" t="s">
        <v>3683</v>
      </c>
      <c r="AZ39" s="889" t="s">
        <v>3684</v>
      </c>
      <c r="BA39" s="889"/>
      <c r="BB39" s="2557"/>
      <c r="BC39" s="2557" t="s">
        <v>5825</v>
      </c>
      <c r="BD39" s="2557"/>
      <c r="BE39" s="889"/>
      <c r="BF39" s="889"/>
      <c r="BG39" s="889"/>
      <c r="BH39" s="889"/>
      <c r="BI39" s="889"/>
      <c r="BJ39" s="889"/>
      <c r="BK39" s="889"/>
      <c r="BL39" s="889"/>
      <c r="BM39" s="889"/>
      <c r="BN39" s="889"/>
      <c r="BO39" s="889"/>
      <c r="BP39" s="889"/>
      <c r="BQ39" s="889"/>
      <c r="BR39" s="889"/>
      <c r="BS39" s="889"/>
      <c r="BT39" s="889"/>
      <c r="BU39" s="889"/>
      <c r="BV39" s="890"/>
      <c r="BW39" s="889"/>
      <c r="BX39" s="889"/>
      <c r="BY39" s="2557"/>
      <c r="BZ39" s="889"/>
      <c r="CA39" s="889"/>
      <c r="CB39" s="889"/>
      <c r="CC39" s="889"/>
      <c r="CD39" s="889"/>
      <c r="CE39" s="889"/>
      <c r="CF39" s="889"/>
      <c r="CG39" s="889"/>
      <c r="CH39" s="889"/>
      <c r="CI39" s="889"/>
      <c r="CJ39" s="2557"/>
      <c r="CK39" s="889"/>
      <c r="CL39" s="889"/>
      <c r="CM39" s="889"/>
      <c r="CN39" s="889"/>
      <c r="CO39" s="889"/>
      <c r="CP39" s="889"/>
      <c r="CQ39" s="889"/>
      <c r="CR39" s="889"/>
      <c r="CS39" s="2557"/>
      <c r="CT39" s="2557"/>
      <c r="CU39" s="2557"/>
      <c r="CV39" s="916" t="s">
        <v>4428</v>
      </c>
      <c r="CW39" s="890" t="s">
        <v>2037</v>
      </c>
      <c r="CX39" s="916"/>
      <c r="CY39" s="686"/>
      <c r="DA39" s="2019"/>
    </row>
    <row r="40" spans="2:105" ht="15.75" x14ac:dyDescent="0.45">
      <c r="B40" s="915">
        <v>37</v>
      </c>
      <c r="C40" s="915" t="s">
        <v>4894</v>
      </c>
      <c r="D40" s="916" t="s">
        <v>3167</v>
      </c>
      <c r="E40" s="890" t="s">
        <v>4429</v>
      </c>
      <c r="F40" s="889" t="s">
        <v>4425</v>
      </c>
      <c r="G40" s="890"/>
      <c r="H40" s="890"/>
      <c r="I40" s="890"/>
      <c r="J40" s="890"/>
      <c r="K40" s="890"/>
      <c r="L40" s="890"/>
      <c r="M40" s="889"/>
      <c r="N40" s="889"/>
      <c r="O40" s="890"/>
      <c r="P40" s="890"/>
      <c r="Q40" s="890"/>
      <c r="R40" s="890">
        <v>1</v>
      </c>
      <c r="S40" s="890"/>
      <c r="T40" s="890"/>
      <c r="U40" s="890"/>
      <c r="V40" s="890"/>
      <c r="W40" s="890"/>
      <c r="X40" s="890"/>
      <c r="Y40" s="2546"/>
      <c r="Z40" s="2546"/>
      <c r="AA40" s="2546"/>
      <c r="AB40" s="890" t="s">
        <v>1658</v>
      </c>
      <c r="AC40" s="889"/>
      <c r="AD40" s="889"/>
      <c r="AE40" s="889"/>
      <c r="AF40" s="890"/>
      <c r="AG40" s="890"/>
      <c r="AH40" s="890"/>
      <c r="AI40" s="889"/>
      <c r="AJ40" s="889"/>
      <c r="AK40" s="889"/>
      <c r="AL40" s="889"/>
      <c r="AM40" s="890" t="s">
        <v>1659</v>
      </c>
      <c r="AN40" s="889"/>
      <c r="AO40" s="890"/>
      <c r="AP40" s="890"/>
      <c r="AQ40" s="890"/>
      <c r="AR40" s="890"/>
      <c r="AS40" s="890"/>
      <c r="AT40" s="890" t="s">
        <v>4430</v>
      </c>
      <c r="AU40" s="890" t="s">
        <v>4431</v>
      </c>
      <c r="AV40" s="889" t="s">
        <v>2513</v>
      </c>
      <c r="AW40" s="889" t="s">
        <v>3681</v>
      </c>
      <c r="AX40" s="889" t="s">
        <v>3682</v>
      </c>
      <c r="AY40" s="889" t="s">
        <v>3683</v>
      </c>
      <c r="AZ40" s="889" t="s">
        <v>3684</v>
      </c>
      <c r="BA40" s="889"/>
      <c r="BB40" s="2557"/>
      <c r="BC40" s="2557" t="s">
        <v>5825</v>
      </c>
      <c r="BD40" s="2557"/>
      <c r="BE40" s="889"/>
      <c r="BF40" s="889"/>
      <c r="BG40" s="889"/>
      <c r="BH40" s="889"/>
      <c r="BI40" s="889"/>
      <c r="BJ40" s="889"/>
      <c r="BK40" s="889"/>
      <c r="BL40" s="889"/>
      <c r="BM40" s="889"/>
      <c r="BN40" s="889"/>
      <c r="BO40" s="889"/>
      <c r="BP40" s="889"/>
      <c r="BQ40" s="889"/>
      <c r="BR40" s="889"/>
      <c r="BS40" s="889"/>
      <c r="BT40" s="889"/>
      <c r="BU40" s="889"/>
      <c r="BV40" s="890"/>
      <c r="BW40" s="889"/>
      <c r="BX40" s="889"/>
      <c r="BY40" s="2557"/>
      <c r="BZ40" s="889"/>
      <c r="CA40" s="889"/>
      <c r="CB40" s="889"/>
      <c r="CC40" s="889"/>
      <c r="CD40" s="889"/>
      <c r="CE40" s="889"/>
      <c r="CF40" s="889"/>
      <c r="CG40" s="889"/>
      <c r="CH40" s="889"/>
      <c r="CI40" s="889"/>
      <c r="CJ40" s="2557"/>
      <c r="CK40" s="889"/>
      <c r="CL40" s="889"/>
      <c r="CM40" s="889"/>
      <c r="CN40" s="889"/>
      <c r="CO40" s="889"/>
      <c r="CP40" s="889"/>
      <c r="CQ40" s="889"/>
      <c r="CR40" s="889"/>
      <c r="CS40" s="2557"/>
      <c r="CT40" s="2557"/>
      <c r="CU40" s="2557"/>
      <c r="CV40" s="916" t="s">
        <v>4432</v>
      </c>
      <c r="CW40" s="890" t="s">
        <v>2037</v>
      </c>
      <c r="CX40" s="916"/>
      <c r="CY40" s="686"/>
      <c r="DA40" s="2019"/>
    </row>
    <row r="41" spans="2:105" ht="15.75" x14ac:dyDescent="0.45">
      <c r="B41" s="915">
        <v>38</v>
      </c>
      <c r="C41" s="915" t="s">
        <v>4895</v>
      </c>
      <c r="D41" s="916" t="s">
        <v>4433</v>
      </c>
      <c r="E41" s="889" t="s">
        <v>4434</v>
      </c>
      <c r="F41" s="890"/>
      <c r="G41" s="890"/>
      <c r="H41" s="890"/>
      <c r="I41" s="890" t="s">
        <v>1662</v>
      </c>
      <c r="J41" s="890"/>
      <c r="K41" s="890"/>
      <c r="L41" s="890"/>
      <c r="M41" s="889" t="s">
        <v>4435</v>
      </c>
      <c r="N41" s="889" t="s">
        <v>4436</v>
      </c>
      <c r="O41" s="890" t="s">
        <v>1663</v>
      </c>
      <c r="P41" s="890"/>
      <c r="Q41" s="890"/>
      <c r="R41" s="890">
        <v>-1</v>
      </c>
      <c r="S41" s="890"/>
      <c r="T41" s="890"/>
      <c r="U41" s="890"/>
      <c r="V41" s="890"/>
      <c r="W41" s="890"/>
      <c r="X41" s="890"/>
      <c r="Y41" s="2546"/>
      <c r="Z41" s="2546"/>
      <c r="AA41" s="2546"/>
      <c r="AB41" s="890" t="s">
        <v>2184</v>
      </c>
      <c r="AC41" s="890"/>
      <c r="AD41" s="890"/>
      <c r="AE41" s="890"/>
      <c r="AF41" s="890"/>
      <c r="AG41" s="890"/>
      <c r="AH41" s="890"/>
      <c r="AI41" s="890"/>
      <c r="AJ41" s="890"/>
      <c r="AK41" s="890" t="s">
        <v>1664</v>
      </c>
      <c r="AL41" s="890"/>
      <c r="AM41" s="889" t="s">
        <v>4437</v>
      </c>
      <c r="AN41" s="889" t="s">
        <v>4438</v>
      </c>
      <c r="AO41" s="890"/>
      <c r="AP41" s="890" t="s">
        <v>1665</v>
      </c>
      <c r="AQ41" s="890"/>
      <c r="AR41" s="890"/>
      <c r="AS41" s="890"/>
      <c r="AT41" s="890"/>
      <c r="AU41" s="890" t="s">
        <v>4439</v>
      </c>
      <c r="AV41" s="890" t="s">
        <v>2514</v>
      </c>
      <c r="AW41" s="889" t="s">
        <v>3685</v>
      </c>
      <c r="AX41" s="889" t="s">
        <v>3686</v>
      </c>
      <c r="AY41" s="889" t="s">
        <v>4440</v>
      </c>
      <c r="AZ41" s="889" t="s">
        <v>4441</v>
      </c>
      <c r="BA41" s="889" t="s">
        <v>4442</v>
      </c>
      <c r="BB41" s="2557"/>
      <c r="BC41" s="2557" t="s">
        <v>5423</v>
      </c>
      <c r="BD41" s="2557"/>
      <c r="BE41" s="890"/>
      <c r="BF41" s="890"/>
      <c r="BG41" s="890"/>
      <c r="BH41" s="890"/>
      <c r="BI41" s="890"/>
      <c r="BJ41" s="890"/>
      <c r="BK41" s="890"/>
      <c r="BL41" s="890"/>
      <c r="BM41" s="890"/>
      <c r="BN41" s="890"/>
      <c r="BO41" s="890"/>
      <c r="BP41" s="890"/>
      <c r="BQ41" s="890"/>
      <c r="BR41" s="890"/>
      <c r="BS41" s="890"/>
      <c r="BT41" s="890"/>
      <c r="BU41" s="890"/>
      <c r="BV41" s="890"/>
      <c r="BW41" s="890"/>
      <c r="BX41" s="890"/>
      <c r="BY41" s="2546"/>
      <c r="BZ41" s="890"/>
      <c r="CA41" s="890"/>
      <c r="CB41" s="890"/>
      <c r="CC41" s="890"/>
      <c r="CD41" s="890"/>
      <c r="CE41" s="890"/>
      <c r="CF41" s="890"/>
      <c r="CG41" s="890"/>
      <c r="CH41" s="890"/>
      <c r="CI41" s="890"/>
      <c r="CJ41" s="2546"/>
      <c r="CK41" s="890"/>
      <c r="CL41" s="890"/>
      <c r="CM41" s="890"/>
      <c r="CN41" s="890"/>
      <c r="CO41" s="890"/>
      <c r="CP41" s="890"/>
      <c r="CQ41" s="890"/>
      <c r="CR41" s="890"/>
      <c r="CS41" s="2546"/>
      <c r="CT41" s="2546"/>
      <c r="CU41" s="2546"/>
      <c r="CV41" s="916" t="s">
        <v>4443</v>
      </c>
      <c r="CW41" s="890" t="s">
        <v>2037</v>
      </c>
      <c r="CX41" s="916"/>
      <c r="CY41" s="686"/>
    </row>
    <row r="42" spans="2:105" ht="15.75" x14ac:dyDescent="0.45">
      <c r="B42" s="915">
        <v>39</v>
      </c>
      <c r="C42" s="915" t="s">
        <v>4896</v>
      </c>
      <c r="D42" s="916" t="s">
        <v>4444</v>
      </c>
      <c r="E42" s="889" t="s">
        <v>4434</v>
      </c>
      <c r="F42" s="890"/>
      <c r="G42" s="890"/>
      <c r="H42" s="890"/>
      <c r="I42" s="890" t="s">
        <v>1662</v>
      </c>
      <c r="J42" s="890"/>
      <c r="K42" s="890"/>
      <c r="L42" s="890"/>
      <c r="M42" s="889" t="s">
        <v>4435</v>
      </c>
      <c r="N42" s="889" t="s">
        <v>4436</v>
      </c>
      <c r="O42" s="890"/>
      <c r="P42" s="890" t="s">
        <v>1663</v>
      </c>
      <c r="Q42" s="890"/>
      <c r="R42" s="890">
        <v>-1</v>
      </c>
      <c r="S42" s="890"/>
      <c r="T42" s="890"/>
      <c r="U42" s="890"/>
      <c r="V42" s="890"/>
      <c r="W42" s="890"/>
      <c r="X42" s="890"/>
      <c r="Y42" s="2546"/>
      <c r="Z42" s="2546"/>
      <c r="AA42" s="2546"/>
      <c r="AB42" s="890" t="s">
        <v>2184</v>
      </c>
      <c r="AC42" s="890"/>
      <c r="AD42" s="890"/>
      <c r="AE42" s="890"/>
      <c r="AF42" s="890"/>
      <c r="AG42" s="890"/>
      <c r="AH42" s="890"/>
      <c r="AI42" s="890"/>
      <c r="AJ42" s="890"/>
      <c r="AK42" s="890" t="s">
        <v>1664</v>
      </c>
      <c r="AL42" s="890"/>
      <c r="AM42" s="889" t="s">
        <v>4437</v>
      </c>
      <c r="AN42" s="889" t="s">
        <v>4438</v>
      </c>
      <c r="AO42" s="890"/>
      <c r="AP42" s="890" t="s">
        <v>1665</v>
      </c>
      <c r="AQ42" s="890"/>
      <c r="AR42" s="890"/>
      <c r="AS42" s="890"/>
      <c r="AT42" s="890"/>
      <c r="AU42" s="890" t="s">
        <v>4439</v>
      </c>
      <c r="AV42" s="890" t="s">
        <v>2514</v>
      </c>
      <c r="AW42" s="889" t="s">
        <v>3685</v>
      </c>
      <c r="AX42" s="889" t="s">
        <v>3686</v>
      </c>
      <c r="AY42" s="889" t="s">
        <v>4440</v>
      </c>
      <c r="AZ42" s="889" t="s">
        <v>4441</v>
      </c>
      <c r="BA42" s="889" t="s">
        <v>4442</v>
      </c>
      <c r="BB42" s="2557"/>
      <c r="BC42" s="2557" t="s">
        <v>5423</v>
      </c>
      <c r="BD42" s="2557"/>
      <c r="BE42" s="890"/>
      <c r="BF42" s="890"/>
      <c r="BG42" s="890"/>
      <c r="BH42" s="890"/>
      <c r="BI42" s="890"/>
      <c r="BJ42" s="890"/>
      <c r="BK42" s="890"/>
      <c r="BL42" s="890"/>
      <c r="BM42" s="890"/>
      <c r="BN42" s="890"/>
      <c r="BO42" s="890"/>
      <c r="BP42" s="890"/>
      <c r="BQ42" s="890"/>
      <c r="BR42" s="890"/>
      <c r="BS42" s="890"/>
      <c r="BT42" s="890"/>
      <c r="BU42" s="890"/>
      <c r="BV42" s="890"/>
      <c r="BW42" s="890"/>
      <c r="BX42" s="890"/>
      <c r="BY42" s="2546"/>
      <c r="BZ42" s="890"/>
      <c r="CA42" s="890"/>
      <c r="CB42" s="890"/>
      <c r="CC42" s="890"/>
      <c r="CD42" s="890"/>
      <c r="CE42" s="890"/>
      <c r="CF42" s="890"/>
      <c r="CG42" s="890"/>
      <c r="CH42" s="890"/>
      <c r="CI42" s="890"/>
      <c r="CJ42" s="2546"/>
      <c r="CK42" s="890"/>
      <c r="CL42" s="890"/>
      <c r="CM42" s="890"/>
      <c r="CN42" s="890"/>
      <c r="CO42" s="890"/>
      <c r="CP42" s="890"/>
      <c r="CQ42" s="890"/>
      <c r="CR42" s="890"/>
      <c r="CS42" s="2546"/>
      <c r="CT42" s="2546"/>
      <c r="CU42" s="2546"/>
      <c r="CV42" s="916" t="s">
        <v>4445</v>
      </c>
      <c r="CW42" s="890" t="s">
        <v>2037</v>
      </c>
      <c r="CX42" s="916"/>
      <c r="CY42" s="686"/>
    </row>
    <row r="43" spans="2:105" ht="15.75" x14ac:dyDescent="0.45">
      <c r="B43" s="768">
        <v>40</v>
      </c>
      <c r="C43" s="768" t="s">
        <v>4897</v>
      </c>
      <c r="D43" s="769" t="s">
        <v>4047</v>
      </c>
      <c r="E43" s="770"/>
      <c r="F43" s="728"/>
      <c r="G43" s="728"/>
      <c r="H43" s="728"/>
      <c r="I43" s="728"/>
      <c r="J43" s="728"/>
      <c r="K43" s="728"/>
      <c r="L43" s="728"/>
      <c r="M43" s="770"/>
      <c r="N43" s="770"/>
      <c r="O43" s="728"/>
      <c r="P43" s="728"/>
      <c r="Q43" s="728"/>
      <c r="R43" s="728"/>
      <c r="S43" s="728"/>
      <c r="T43" s="728"/>
      <c r="U43" s="728"/>
      <c r="V43" s="728"/>
      <c r="W43" s="728"/>
      <c r="X43" s="728"/>
      <c r="Y43" s="728"/>
      <c r="Z43" s="728"/>
      <c r="AA43" s="728"/>
      <c r="AB43" s="728">
        <v>-1</v>
      </c>
      <c r="AC43" s="728">
        <v>1</v>
      </c>
      <c r="AD43" s="770"/>
      <c r="AE43" s="770"/>
      <c r="AF43" s="770"/>
      <c r="AG43" s="770"/>
      <c r="AH43" s="770"/>
      <c r="AI43" s="728"/>
      <c r="AJ43" s="728"/>
      <c r="AK43" s="728"/>
      <c r="AL43" s="728"/>
      <c r="AM43" s="770"/>
      <c r="AN43" s="770"/>
      <c r="AO43" s="728"/>
      <c r="AP43" s="728"/>
      <c r="AQ43" s="728"/>
      <c r="AR43" s="770" t="s">
        <v>4030</v>
      </c>
      <c r="AS43" s="728"/>
      <c r="AT43" s="728"/>
      <c r="AU43" s="770"/>
      <c r="AV43" s="770"/>
      <c r="AW43" s="770"/>
      <c r="AX43" s="770"/>
      <c r="AY43" s="770"/>
      <c r="AZ43" s="770"/>
      <c r="BA43" s="748"/>
      <c r="BB43" s="748"/>
      <c r="BC43" s="748"/>
      <c r="BD43" s="748"/>
      <c r="BE43" s="728"/>
      <c r="BF43" s="728"/>
      <c r="BG43" s="728"/>
      <c r="BH43" s="728"/>
      <c r="BI43" s="728"/>
      <c r="BJ43" s="728"/>
      <c r="BK43" s="728"/>
      <c r="BL43" s="728"/>
      <c r="BM43" s="728"/>
      <c r="BN43" s="728"/>
      <c r="BO43" s="728"/>
      <c r="BP43" s="728"/>
      <c r="BQ43" s="728"/>
      <c r="BR43" s="728"/>
      <c r="BS43" s="728"/>
      <c r="BT43" s="728"/>
      <c r="BU43" s="728"/>
      <c r="BV43" s="893"/>
      <c r="BW43" s="728"/>
      <c r="BX43" s="728"/>
      <c r="BY43" s="728"/>
      <c r="BZ43" s="728"/>
      <c r="CA43" s="893"/>
      <c r="CB43" s="728"/>
      <c r="CC43" s="728"/>
      <c r="CD43" s="728"/>
      <c r="CE43" s="728"/>
      <c r="CF43" s="728"/>
      <c r="CG43" s="728"/>
      <c r="CH43" s="728"/>
      <c r="CI43" s="728"/>
      <c r="CJ43" s="728"/>
      <c r="CK43" s="728"/>
      <c r="CL43" s="728"/>
      <c r="CM43" s="728"/>
      <c r="CN43" s="728"/>
      <c r="CO43" s="728"/>
      <c r="CP43" s="728"/>
      <c r="CQ43" s="728"/>
      <c r="CR43" s="728"/>
      <c r="CS43" s="728"/>
      <c r="CT43" s="728"/>
      <c r="CU43" s="728"/>
      <c r="CV43" s="750" t="s">
        <v>5082</v>
      </c>
      <c r="CW43" s="748" t="s">
        <v>2037</v>
      </c>
      <c r="CX43" s="748"/>
      <c r="CY43" s="670"/>
    </row>
    <row r="44" spans="2:105" ht="15.75" x14ac:dyDescent="0.45">
      <c r="B44" s="768">
        <v>41</v>
      </c>
      <c r="C44" s="768" t="s">
        <v>4898</v>
      </c>
      <c r="D44" s="769" t="s">
        <v>4023</v>
      </c>
      <c r="E44" s="770"/>
      <c r="F44" s="728"/>
      <c r="G44" s="728"/>
      <c r="H44" s="728"/>
      <c r="I44" s="728"/>
      <c r="J44" s="728"/>
      <c r="K44" s="728"/>
      <c r="L44" s="728"/>
      <c r="M44" s="770"/>
      <c r="N44" s="770"/>
      <c r="O44" s="728"/>
      <c r="P44" s="728"/>
      <c r="Q44" s="728"/>
      <c r="R44" s="728"/>
      <c r="S44" s="728"/>
      <c r="T44" s="728">
        <v>1</v>
      </c>
      <c r="U44" s="728"/>
      <c r="V44" s="728"/>
      <c r="W44" s="728"/>
      <c r="X44" s="728"/>
      <c r="Y44" s="728"/>
      <c r="Z44" s="728"/>
      <c r="AA44" s="728"/>
      <c r="AB44" s="770" t="s">
        <v>1658</v>
      </c>
      <c r="AC44" s="770" t="s">
        <v>4029</v>
      </c>
      <c r="AD44" s="770"/>
      <c r="AE44" s="770"/>
      <c r="AF44" s="770" t="s">
        <v>2265</v>
      </c>
      <c r="AG44" s="770"/>
      <c r="AH44" s="770"/>
      <c r="AI44" s="728"/>
      <c r="AJ44" s="728"/>
      <c r="AK44" s="728"/>
      <c r="AL44" s="728"/>
      <c r="AM44" s="770" t="s">
        <v>1659</v>
      </c>
      <c r="AN44" s="770"/>
      <c r="AO44" s="728"/>
      <c r="AP44" s="728"/>
      <c r="AQ44" s="728"/>
      <c r="AR44" s="770" t="s">
        <v>4031</v>
      </c>
      <c r="AS44" s="728"/>
      <c r="AT44" s="728"/>
      <c r="AU44" s="770" t="s">
        <v>1679</v>
      </c>
      <c r="AV44" s="770" t="s">
        <v>2513</v>
      </c>
      <c r="AW44" s="770" t="s">
        <v>3681</v>
      </c>
      <c r="AX44" s="770" t="s">
        <v>3682</v>
      </c>
      <c r="AY44" s="770" t="s">
        <v>3683</v>
      </c>
      <c r="AZ44" s="770" t="s">
        <v>3684</v>
      </c>
      <c r="BA44" s="748"/>
      <c r="BB44" s="748"/>
      <c r="BC44" s="728" t="s">
        <v>5439</v>
      </c>
      <c r="BD44" s="748"/>
      <c r="BE44" s="728"/>
      <c r="BF44" s="728"/>
      <c r="BG44" s="728"/>
      <c r="BH44" s="728"/>
      <c r="BI44" s="728"/>
      <c r="BJ44" s="728"/>
      <c r="BK44" s="728"/>
      <c r="BL44" s="728"/>
      <c r="BM44" s="728"/>
      <c r="BN44" s="728"/>
      <c r="BO44" s="728"/>
      <c r="BP44" s="728"/>
      <c r="BQ44" s="728"/>
      <c r="BR44" s="728"/>
      <c r="BS44" s="728"/>
      <c r="BT44" s="728"/>
      <c r="BU44" s="728"/>
      <c r="BV44" s="893"/>
      <c r="BW44" s="728"/>
      <c r="BX44" s="728"/>
      <c r="BY44" s="728"/>
      <c r="BZ44" s="728"/>
      <c r="CA44" s="893"/>
      <c r="CB44" s="728"/>
      <c r="CC44" s="728"/>
      <c r="CD44" s="728"/>
      <c r="CE44" s="728"/>
      <c r="CF44" s="728"/>
      <c r="CG44" s="728"/>
      <c r="CH44" s="728"/>
      <c r="CI44" s="728"/>
      <c r="CJ44" s="728"/>
      <c r="CK44" s="728"/>
      <c r="CL44" s="728"/>
      <c r="CM44" s="728"/>
      <c r="CN44" s="728"/>
      <c r="CO44" s="728"/>
      <c r="CP44" s="728"/>
      <c r="CQ44" s="728"/>
      <c r="CR44" s="728"/>
      <c r="CS44" s="728"/>
      <c r="CT44" s="728"/>
      <c r="CU44" s="728"/>
      <c r="CV44" s="750" t="s">
        <v>4087</v>
      </c>
      <c r="CW44" s="748" t="s">
        <v>2037</v>
      </c>
      <c r="CX44" s="748"/>
      <c r="CY44" s="670"/>
    </row>
    <row r="45" spans="2:105" ht="15.75" x14ac:dyDescent="0.45">
      <c r="B45" s="768">
        <v>42</v>
      </c>
      <c r="C45" s="768" t="s">
        <v>4899</v>
      </c>
      <c r="D45" s="769" t="s">
        <v>4024</v>
      </c>
      <c r="E45" s="770"/>
      <c r="F45" s="728"/>
      <c r="G45" s="728"/>
      <c r="H45" s="728"/>
      <c r="I45" s="728"/>
      <c r="J45" s="728"/>
      <c r="K45" s="728"/>
      <c r="L45" s="728"/>
      <c r="M45" s="770"/>
      <c r="N45" s="770"/>
      <c r="O45" s="728"/>
      <c r="P45" s="728"/>
      <c r="Q45" s="728"/>
      <c r="R45" s="728"/>
      <c r="S45" s="728"/>
      <c r="T45" s="728"/>
      <c r="U45" s="728"/>
      <c r="V45" s="728"/>
      <c r="W45" s="728"/>
      <c r="X45" s="728"/>
      <c r="Y45" s="728"/>
      <c r="Z45" s="728"/>
      <c r="AA45" s="728"/>
      <c r="AB45" s="728"/>
      <c r="AC45" s="728"/>
      <c r="AD45" s="770"/>
      <c r="AE45" s="770">
        <v>1</v>
      </c>
      <c r="AF45" s="770">
        <v>-1</v>
      </c>
      <c r="AG45" s="770"/>
      <c r="AH45" s="770"/>
      <c r="AI45" s="728"/>
      <c r="AJ45" s="728"/>
      <c r="AK45" s="728"/>
      <c r="AL45" s="728"/>
      <c r="AM45" s="770"/>
      <c r="AN45" s="770"/>
      <c r="AO45" s="728"/>
      <c r="AP45" s="728"/>
      <c r="AQ45" s="728"/>
      <c r="AR45" s="770" t="s">
        <v>4032</v>
      </c>
      <c r="AS45" s="728"/>
      <c r="AT45" s="728"/>
      <c r="AU45" s="770"/>
      <c r="AV45" s="770"/>
      <c r="AW45" s="770"/>
      <c r="AX45" s="770"/>
      <c r="AY45" s="770"/>
      <c r="AZ45" s="770"/>
      <c r="BA45" s="748"/>
      <c r="BB45" s="748"/>
      <c r="BC45" s="748"/>
      <c r="BD45" s="748"/>
      <c r="BE45" s="728"/>
      <c r="BF45" s="728"/>
      <c r="BG45" s="728"/>
      <c r="BH45" s="728"/>
      <c r="BI45" s="728"/>
      <c r="BJ45" s="728"/>
      <c r="BK45" s="728"/>
      <c r="BL45" s="728"/>
      <c r="BM45" s="728"/>
      <c r="BN45" s="728"/>
      <c r="BO45" s="728"/>
      <c r="BP45" s="728"/>
      <c r="BQ45" s="728"/>
      <c r="BR45" s="728"/>
      <c r="BS45" s="728"/>
      <c r="BT45" s="728"/>
      <c r="BU45" s="728"/>
      <c r="BV45" s="893"/>
      <c r="BW45" s="728"/>
      <c r="BX45" s="728"/>
      <c r="BY45" s="728"/>
      <c r="BZ45" s="728"/>
      <c r="CA45" s="893"/>
      <c r="CB45" s="728"/>
      <c r="CC45" s="728"/>
      <c r="CD45" s="728"/>
      <c r="CE45" s="728"/>
      <c r="CF45" s="728"/>
      <c r="CG45" s="728"/>
      <c r="CH45" s="728"/>
      <c r="CI45" s="728"/>
      <c r="CJ45" s="728"/>
      <c r="CK45" s="728"/>
      <c r="CL45" s="728"/>
      <c r="CM45" s="728"/>
      <c r="CN45" s="728"/>
      <c r="CO45" s="728"/>
      <c r="CP45" s="728"/>
      <c r="CQ45" s="728"/>
      <c r="CR45" s="728"/>
      <c r="CS45" s="728"/>
      <c r="CT45" s="728"/>
      <c r="CU45" s="728"/>
      <c r="CV45" s="750" t="s">
        <v>5083</v>
      </c>
      <c r="CW45" s="748" t="s">
        <v>2037</v>
      </c>
      <c r="CX45" s="748"/>
      <c r="CY45" s="670"/>
    </row>
    <row r="46" spans="2:105" ht="15.75" x14ac:dyDescent="0.45">
      <c r="B46" s="768">
        <v>43</v>
      </c>
      <c r="C46" s="768" t="s">
        <v>4900</v>
      </c>
      <c r="D46" s="769" t="s">
        <v>4095</v>
      </c>
      <c r="E46" s="770"/>
      <c r="F46" s="728"/>
      <c r="G46" s="728"/>
      <c r="H46" s="728"/>
      <c r="I46" s="728"/>
      <c r="J46" s="728"/>
      <c r="K46" s="728"/>
      <c r="L46" s="728"/>
      <c r="M46" s="770"/>
      <c r="N46" s="770"/>
      <c r="O46" s="728"/>
      <c r="P46" s="728"/>
      <c r="Q46" s="728"/>
      <c r="R46" s="728"/>
      <c r="S46" s="728"/>
      <c r="T46" s="728"/>
      <c r="U46" s="728"/>
      <c r="V46" s="728"/>
      <c r="W46" s="728"/>
      <c r="X46" s="728"/>
      <c r="Y46" s="728"/>
      <c r="Z46" s="728"/>
      <c r="AA46" s="728"/>
      <c r="AB46" s="728"/>
      <c r="AC46" s="728">
        <v>-1</v>
      </c>
      <c r="AD46" s="770"/>
      <c r="AE46" s="770">
        <v>1</v>
      </c>
      <c r="AF46" s="770">
        <v>-4</v>
      </c>
      <c r="AG46" s="770"/>
      <c r="AH46" s="770">
        <v>4</v>
      </c>
      <c r="AI46" s="728"/>
      <c r="AJ46" s="728"/>
      <c r="AK46" s="728"/>
      <c r="AL46" s="728"/>
      <c r="AM46" s="770"/>
      <c r="AN46" s="770"/>
      <c r="AO46" s="728"/>
      <c r="AP46" s="728"/>
      <c r="AQ46" s="728"/>
      <c r="AR46" s="770"/>
      <c r="AS46" s="728"/>
      <c r="AT46" s="728"/>
      <c r="AU46" s="770"/>
      <c r="AV46" s="770"/>
      <c r="AW46" s="770"/>
      <c r="AX46" s="770"/>
      <c r="AY46" s="770"/>
      <c r="AZ46" s="770"/>
      <c r="BA46" s="748"/>
      <c r="BB46" s="748"/>
      <c r="BC46" s="748"/>
      <c r="BD46" s="748"/>
      <c r="BE46" s="728"/>
      <c r="BF46" s="728"/>
      <c r="BG46" s="728"/>
      <c r="BH46" s="728"/>
      <c r="BI46" s="728"/>
      <c r="BJ46" s="728"/>
      <c r="BK46" s="728"/>
      <c r="BL46" s="728"/>
      <c r="BM46" s="728"/>
      <c r="BN46" s="728"/>
      <c r="BO46" s="728"/>
      <c r="BP46" s="728"/>
      <c r="BQ46" s="728"/>
      <c r="BR46" s="728"/>
      <c r="BS46" s="728"/>
      <c r="BT46" s="728"/>
      <c r="BU46" s="728"/>
      <c r="BV46" s="893"/>
      <c r="BW46" s="728"/>
      <c r="BX46" s="728"/>
      <c r="BY46" s="728"/>
      <c r="BZ46" s="728"/>
      <c r="CA46" s="893"/>
      <c r="CB46" s="728"/>
      <c r="CC46" s="728"/>
      <c r="CD46" s="728"/>
      <c r="CE46" s="728"/>
      <c r="CF46" s="728"/>
      <c r="CG46" s="728"/>
      <c r="CH46" s="728"/>
      <c r="CI46" s="728"/>
      <c r="CJ46" s="728"/>
      <c r="CK46" s="728"/>
      <c r="CL46" s="728"/>
      <c r="CM46" s="728"/>
      <c r="CN46" s="728"/>
      <c r="CO46" s="728"/>
      <c r="CP46" s="728"/>
      <c r="CQ46" s="728"/>
      <c r="CR46" s="728"/>
      <c r="CS46" s="728"/>
      <c r="CT46" s="728"/>
      <c r="CU46" s="728"/>
      <c r="CV46" s="750" t="s">
        <v>5113</v>
      </c>
      <c r="CW46" s="748" t="s">
        <v>3790</v>
      </c>
      <c r="CX46" s="748"/>
      <c r="CY46" s="670"/>
    </row>
    <row r="47" spans="2:105" ht="15.75" x14ac:dyDescent="0.45">
      <c r="B47" s="768">
        <v>44</v>
      </c>
      <c r="C47" s="768" t="s">
        <v>4901</v>
      </c>
      <c r="D47" s="769" t="s">
        <v>4096</v>
      </c>
      <c r="E47" s="770"/>
      <c r="F47" s="728"/>
      <c r="G47" s="728"/>
      <c r="H47" s="728"/>
      <c r="I47" s="728"/>
      <c r="J47" s="728"/>
      <c r="K47" s="728"/>
      <c r="L47" s="728"/>
      <c r="M47" s="770"/>
      <c r="N47" s="770"/>
      <c r="O47" s="728"/>
      <c r="P47" s="728"/>
      <c r="Q47" s="728"/>
      <c r="R47" s="728"/>
      <c r="S47" s="728"/>
      <c r="T47" s="728"/>
      <c r="U47" s="728"/>
      <c r="V47" s="728"/>
      <c r="W47" s="728"/>
      <c r="X47" s="728"/>
      <c r="Y47" s="728"/>
      <c r="Z47" s="728"/>
      <c r="AA47" s="728"/>
      <c r="AB47" s="728"/>
      <c r="AC47" s="728">
        <v>-1</v>
      </c>
      <c r="AD47" s="770"/>
      <c r="AE47" s="770">
        <v>-1</v>
      </c>
      <c r="AF47" s="770"/>
      <c r="AG47" s="770"/>
      <c r="AH47" s="770">
        <v>2</v>
      </c>
      <c r="AI47" s="728"/>
      <c r="AJ47" s="728"/>
      <c r="AK47" s="728"/>
      <c r="AL47" s="728"/>
      <c r="AM47" s="770"/>
      <c r="AN47" s="770"/>
      <c r="AO47" s="728"/>
      <c r="AP47" s="728"/>
      <c r="AQ47" s="728"/>
      <c r="AR47" s="770"/>
      <c r="AS47" s="728"/>
      <c r="AT47" s="728"/>
      <c r="AU47" s="770"/>
      <c r="AV47" s="770"/>
      <c r="AW47" s="770"/>
      <c r="AX47" s="770"/>
      <c r="AY47" s="770"/>
      <c r="AZ47" s="770"/>
      <c r="BA47" s="748"/>
      <c r="BB47" s="748"/>
      <c r="BC47" s="748"/>
      <c r="BD47" s="748"/>
      <c r="BE47" s="728"/>
      <c r="BF47" s="728"/>
      <c r="BG47" s="728"/>
      <c r="BH47" s="728"/>
      <c r="BI47" s="728"/>
      <c r="BJ47" s="728"/>
      <c r="BK47" s="728"/>
      <c r="BL47" s="728"/>
      <c r="BM47" s="728"/>
      <c r="BN47" s="728"/>
      <c r="BO47" s="728"/>
      <c r="BP47" s="728"/>
      <c r="BQ47" s="728"/>
      <c r="BR47" s="728"/>
      <c r="BS47" s="728"/>
      <c r="BT47" s="728"/>
      <c r="BU47" s="728"/>
      <c r="BV47" s="893"/>
      <c r="BW47" s="728"/>
      <c r="BX47" s="728"/>
      <c r="BY47" s="728"/>
      <c r="BZ47" s="728"/>
      <c r="CA47" s="893"/>
      <c r="CB47" s="728"/>
      <c r="CC47" s="728"/>
      <c r="CD47" s="728"/>
      <c r="CE47" s="728"/>
      <c r="CF47" s="728"/>
      <c r="CG47" s="728"/>
      <c r="CH47" s="728"/>
      <c r="CI47" s="728"/>
      <c r="CJ47" s="728"/>
      <c r="CK47" s="728"/>
      <c r="CL47" s="728"/>
      <c r="CM47" s="728"/>
      <c r="CN47" s="728"/>
      <c r="CO47" s="728"/>
      <c r="CP47" s="728"/>
      <c r="CQ47" s="728"/>
      <c r="CR47" s="728"/>
      <c r="CS47" s="728"/>
      <c r="CT47" s="728"/>
      <c r="CU47" s="728"/>
      <c r="CV47" s="750" t="s">
        <v>5114</v>
      </c>
      <c r="CW47" s="748" t="s">
        <v>3790</v>
      </c>
      <c r="CX47" s="748"/>
      <c r="CY47" s="670"/>
    </row>
    <row r="48" spans="2:105" ht="15.75" x14ac:dyDescent="0.45">
      <c r="B48" s="768">
        <v>45</v>
      </c>
      <c r="C48" s="768" t="s">
        <v>441</v>
      </c>
      <c r="D48" s="769" t="s">
        <v>2269</v>
      </c>
      <c r="E48" s="770"/>
      <c r="F48" s="728"/>
      <c r="G48" s="728"/>
      <c r="H48" s="728"/>
      <c r="I48" s="728" t="s">
        <v>1662</v>
      </c>
      <c r="J48" s="728"/>
      <c r="K48" s="728"/>
      <c r="L48" s="728"/>
      <c r="M48" s="770"/>
      <c r="N48" s="770"/>
      <c r="O48" s="728" t="s">
        <v>1663</v>
      </c>
      <c r="P48" s="728"/>
      <c r="Q48" s="728"/>
      <c r="R48" s="728"/>
      <c r="S48" s="728"/>
      <c r="T48" s="728">
        <v>-1</v>
      </c>
      <c r="U48" s="728"/>
      <c r="V48" s="728"/>
      <c r="W48" s="728"/>
      <c r="X48" s="728"/>
      <c r="Y48" s="728"/>
      <c r="Z48" s="728"/>
      <c r="AA48" s="728"/>
      <c r="AB48" s="728" t="s">
        <v>2184</v>
      </c>
      <c r="AC48" s="728"/>
      <c r="AD48" s="728"/>
      <c r="AE48" s="728"/>
      <c r="AF48" s="728"/>
      <c r="AG48" s="728"/>
      <c r="AH48" s="728"/>
      <c r="AI48" s="728"/>
      <c r="AJ48" s="728"/>
      <c r="AK48" s="728" t="s">
        <v>1664</v>
      </c>
      <c r="AL48" s="728"/>
      <c r="AM48" s="728"/>
      <c r="AN48" s="770"/>
      <c r="AO48" s="728"/>
      <c r="AP48" s="728" t="s">
        <v>1665</v>
      </c>
      <c r="AQ48" s="728"/>
      <c r="AR48" s="728"/>
      <c r="AS48" s="728"/>
      <c r="AT48" s="728"/>
      <c r="AU48" s="728" t="s">
        <v>2007</v>
      </c>
      <c r="AV48" s="770" t="s">
        <v>2514</v>
      </c>
      <c r="AW48" s="770" t="s">
        <v>3685</v>
      </c>
      <c r="AX48" s="770" t="s">
        <v>3686</v>
      </c>
      <c r="AY48" s="770" t="s">
        <v>3687</v>
      </c>
      <c r="AZ48" s="770" t="s">
        <v>3688</v>
      </c>
      <c r="BA48" s="748"/>
      <c r="BB48" s="748"/>
      <c r="BC48" s="770" t="s">
        <v>5423</v>
      </c>
      <c r="BD48" s="748"/>
      <c r="BE48" s="728"/>
      <c r="BF48" s="728"/>
      <c r="BG48" s="728"/>
      <c r="BH48" s="728"/>
      <c r="BI48" s="728"/>
      <c r="BJ48" s="728"/>
      <c r="BK48" s="728"/>
      <c r="BL48" s="728"/>
      <c r="BM48" s="728"/>
      <c r="BN48" s="728"/>
      <c r="BO48" s="728"/>
      <c r="BP48" s="728"/>
      <c r="BQ48" s="728"/>
      <c r="BR48" s="728"/>
      <c r="BS48" s="728"/>
      <c r="BT48" s="728"/>
      <c r="BU48" s="728"/>
      <c r="BV48" s="893"/>
      <c r="BW48" s="728"/>
      <c r="BX48" s="728"/>
      <c r="BY48" s="728"/>
      <c r="BZ48" s="728"/>
      <c r="CA48" s="893"/>
      <c r="CB48" s="728"/>
      <c r="CC48" s="728"/>
      <c r="CD48" s="728"/>
      <c r="CE48" s="728"/>
      <c r="CF48" s="728"/>
      <c r="CG48" s="728"/>
      <c r="CH48" s="728"/>
      <c r="CI48" s="728"/>
      <c r="CJ48" s="728"/>
      <c r="CK48" s="728"/>
      <c r="CL48" s="728"/>
      <c r="CM48" s="728"/>
      <c r="CN48" s="728"/>
      <c r="CO48" s="728"/>
      <c r="CP48" s="728"/>
      <c r="CQ48" s="728"/>
      <c r="CR48" s="728"/>
      <c r="CS48" s="728"/>
      <c r="CT48" s="728"/>
      <c r="CU48" s="728"/>
      <c r="CV48" s="750" t="s">
        <v>4588</v>
      </c>
      <c r="CW48" s="750" t="s">
        <v>2037</v>
      </c>
      <c r="CX48" s="750"/>
      <c r="CY48" s="688"/>
    </row>
    <row r="49" spans="2:105" ht="15.75" x14ac:dyDescent="0.45">
      <c r="B49" s="768">
        <v>46</v>
      </c>
      <c r="C49" s="768" t="s">
        <v>442</v>
      </c>
      <c r="D49" s="769" t="s">
        <v>3076</v>
      </c>
      <c r="E49" s="770"/>
      <c r="F49" s="728"/>
      <c r="G49" s="728"/>
      <c r="H49" s="728"/>
      <c r="I49" s="728" t="s">
        <v>1662</v>
      </c>
      <c r="J49" s="728"/>
      <c r="K49" s="728"/>
      <c r="L49" s="728"/>
      <c r="M49" s="770"/>
      <c r="N49" s="770"/>
      <c r="O49" s="728"/>
      <c r="P49" s="728" t="s">
        <v>1663</v>
      </c>
      <c r="Q49" s="728"/>
      <c r="R49" s="728"/>
      <c r="S49" s="728"/>
      <c r="T49" s="728">
        <v>-1</v>
      </c>
      <c r="U49" s="728"/>
      <c r="V49" s="728"/>
      <c r="W49" s="728"/>
      <c r="X49" s="728"/>
      <c r="Y49" s="728"/>
      <c r="Z49" s="728"/>
      <c r="AA49" s="728"/>
      <c r="AB49" s="728" t="s">
        <v>2184</v>
      </c>
      <c r="AC49" s="728"/>
      <c r="AD49" s="728"/>
      <c r="AE49" s="728"/>
      <c r="AF49" s="728"/>
      <c r="AG49" s="728"/>
      <c r="AH49" s="728"/>
      <c r="AI49" s="728"/>
      <c r="AJ49" s="728"/>
      <c r="AK49" s="728" t="s">
        <v>1664</v>
      </c>
      <c r="AL49" s="728"/>
      <c r="AM49" s="728"/>
      <c r="AN49" s="770"/>
      <c r="AO49" s="728"/>
      <c r="AP49" s="728" t="s">
        <v>1665</v>
      </c>
      <c r="AQ49" s="728"/>
      <c r="AR49" s="728"/>
      <c r="AS49" s="728"/>
      <c r="AT49" s="728"/>
      <c r="AU49" s="728" t="s">
        <v>2007</v>
      </c>
      <c r="AV49" s="770" t="s">
        <v>2514</v>
      </c>
      <c r="AW49" s="770" t="s">
        <v>3685</v>
      </c>
      <c r="AX49" s="770" t="s">
        <v>3686</v>
      </c>
      <c r="AY49" s="770" t="s">
        <v>3687</v>
      </c>
      <c r="AZ49" s="770" t="s">
        <v>3688</v>
      </c>
      <c r="BA49" s="748"/>
      <c r="BB49" s="748"/>
      <c r="BC49" s="770" t="s">
        <v>5423</v>
      </c>
      <c r="BD49" s="748"/>
      <c r="BE49" s="728"/>
      <c r="BF49" s="728"/>
      <c r="BG49" s="728"/>
      <c r="BH49" s="728"/>
      <c r="BI49" s="728"/>
      <c r="BJ49" s="728"/>
      <c r="BK49" s="728"/>
      <c r="BL49" s="728"/>
      <c r="BM49" s="728"/>
      <c r="BN49" s="728"/>
      <c r="BO49" s="728"/>
      <c r="BP49" s="728"/>
      <c r="BQ49" s="728"/>
      <c r="BR49" s="728"/>
      <c r="BS49" s="728"/>
      <c r="BT49" s="728"/>
      <c r="BU49" s="728"/>
      <c r="BV49" s="893"/>
      <c r="BW49" s="728"/>
      <c r="BX49" s="728"/>
      <c r="BY49" s="728"/>
      <c r="BZ49" s="728"/>
      <c r="CA49" s="893"/>
      <c r="CB49" s="728"/>
      <c r="CC49" s="728"/>
      <c r="CD49" s="728"/>
      <c r="CE49" s="728"/>
      <c r="CF49" s="728"/>
      <c r="CG49" s="728"/>
      <c r="CH49" s="728"/>
      <c r="CI49" s="728"/>
      <c r="CJ49" s="728"/>
      <c r="CK49" s="728"/>
      <c r="CL49" s="728"/>
      <c r="CM49" s="728"/>
      <c r="CN49" s="728"/>
      <c r="CO49" s="728"/>
      <c r="CP49" s="728"/>
      <c r="CQ49" s="728"/>
      <c r="CR49" s="728"/>
      <c r="CS49" s="728"/>
      <c r="CT49" s="728"/>
      <c r="CU49" s="728"/>
      <c r="CV49" s="750" t="s">
        <v>4589</v>
      </c>
      <c r="CW49" s="750" t="s">
        <v>2037</v>
      </c>
      <c r="CX49" s="750"/>
      <c r="CY49" s="688"/>
    </row>
    <row r="50" spans="2:105" ht="15.75" x14ac:dyDescent="0.45">
      <c r="B50" s="771">
        <v>47</v>
      </c>
      <c r="C50" s="771" t="s">
        <v>465</v>
      </c>
      <c r="D50" s="772" t="s">
        <v>2270</v>
      </c>
      <c r="E50" s="729"/>
      <c r="F50" s="729"/>
      <c r="G50" s="729"/>
      <c r="H50" s="729"/>
      <c r="I50" s="729"/>
      <c r="J50" s="729"/>
      <c r="K50" s="729"/>
      <c r="L50" s="729"/>
      <c r="M50" s="729"/>
      <c r="N50" s="729"/>
      <c r="O50" s="729"/>
      <c r="P50" s="729"/>
      <c r="Q50" s="729"/>
      <c r="R50" s="729"/>
      <c r="S50" s="729"/>
      <c r="T50" s="729"/>
      <c r="U50" s="729">
        <v>1</v>
      </c>
      <c r="V50" s="729"/>
      <c r="W50" s="729"/>
      <c r="X50" s="729"/>
      <c r="Y50" s="729"/>
      <c r="Z50" s="729"/>
      <c r="AA50" s="729"/>
      <c r="AB50" s="729" t="s">
        <v>2266</v>
      </c>
      <c r="AC50" s="729"/>
      <c r="AD50" s="729" t="s">
        <v>2268</v>
      </c>
      <c r="AE50" s="729" t="s">
        <v>2267</v>
      </c>
      <c r="AF50" s="729"/>
      <c r="AG50" s="729"/>
      <c r="AH50" s="729"/>
      <c r="AI50" s="729"/>
      <c r="AJ50" s="729"/>
      <c r="AK50" s="729"/>
      <c r="AL50" s="729"/>
      <c r="AM50" s="729" t="s">
        <v>1659</v>
      </c>
      <c r="AN50" s="729"/>
      <c r="AO50" s="729"/>
      <c r="AP50" s="729"/>
      <c r="AQ50" s="729"/>
      <c r="AR50" s="729" t="s">
        <v>2264</v>
      </c>
      <c r="AS50" s="729"/>
      <c r="AT50" s="729"/>
      <c r="AU50" s="729" t="s">
        <v>1679</v>
      </c>
      <c r="AV50" s="729" t="s">
        <v>2513</v>
      </c>
      <c r="AW50" s="729" t="s">
        <v>3681</v>
      </c>
      <c r="AX50" s="729" t="s">
        <v>3682</v>
      </c>
      <c r="AY50" s="729" t="s">
        <v>3683</v>
      </c>
      <c r="AZ50" s="729" t="s">
        <v>3684</v>
      </c>
      <c r="BA50" s="729"/>
      <c r="BB50" s="729"/>
      <c r="BC50" s="729" t="s">
        <v>5439</v>
      </c>
      <c r="BD50" s="729"/>
      <c r="BE50" s="729"/>
      <c r="BF50" s="729"/>
      <c r="BG50" s="729"/>
      <c r="BH50" s="729"/>
      <c r="BI50" s="729"/>
      <c r="BJ50" s="729"/>
      <c r="BK50" s="729"/>
      <c r="BL50" s="729"/>
      <c r="BM50" s="729"/>
      <c r="BN50" s="729"/>
      <c r="BO50" s="729"/>
      <c r="BP50" s="729"/>
      <c r="BQ50" s="729"/>
      <c r="BR50" s="729"/>
      <c r="BS50" s="729"/>
      <c r="BT50" s="729"/>
      <c r="BU50" s="729"/>
      <c r="BV50" s="894"/>
      <c r="BW50" s="729"/>
      <c r="BX50" s="729"/>
      <c r="BY50" s="729"/>
      <c r="BZ50" s="729"/>
      <c r="CA50" s="894"/>
      <c r="CB50" s="729"/>
      <c r="CC50" s="729"/>
      <c r="CD50" s="729"/>
      <c r="CE50" s="729"/>
      <c r="CF50" s="729"/>
      <c r="CG50" s="729"/>
      <c r="CH50" s="729"/>
      <c r="CI50" s="729"/>
      <c r="CJ50" s="729"/>
      <c r="CK50" s="729"/>
      <c r="CL50" s="729"/>
      <c r="CM50" s="729"/>
      <c r="CN50" s="729"/>
      <c r="CO50" s="729"/>
      <c r="CP50" s="729"/>
      <c r="CQ50" s="729"/>
      <c r="CR50" s="729"/>
      <c r="CS50" s="729"/>
      <c r="CT50" s="729"/>
      <c r="CU50" s="729"/>
      <c r="CV50" s="773" t="s">
        <v>3716</v>
      </c>
      <c r="CW50" s="773" t="s">
        <v>2037</v>
      </c>
      <c r="CX50" s="773"/>
      <c r="CY50" s="689"/>
    </row>
    <row r="51" spans="2:105" ht="15.75" x14ac:dyDescent="0.45">
      <c r="B51" s="771">
        <v>48</v>
      </c>
      <c r="C51" s="771" t="s">
        <v>466</v>
      </c>
      <c r="D51" s="772" t="s">
        <v>2271</v>
      </c>
      <c r="E51" s="729"/>
      <c r="F51" s="729"/>
      <c r="G51" s="729"/>
      <c r="H51" s="729"/>
      <c r="I51" s="729" t="s">
        <v>1662</v>
      </c>
      <c r="J51" s="729"/>
      <c r="K51" s="729"/>
      <c r="L51" s="729"/>
      <c r="M51" s="729"/>
      <c r="N51" s="729"/>
      <c r="O51" s="729" t="s">
        <v>1663</v>
      </c>
      <c r="P51" s="729"/>
      <c r="Q51" s="729"/>
      <c r="R51" s="729"/>
      <c r="S51" s="729"/>
      <c r="T51" s="729"/>
      <c r="U51" s="729">
        <v>-1</v>
      </c>
      <c r="V51" s="729"/>
      <c r="W51" s="729"/>
      <c r="X51" s="729"/>
      <c r="Y51" s="729"/>
      <c r="Z51" s="729"/>
      <c r="AA51" s="729"/>
      <c r="AB51" s="729" t="s">
        <v>2184</v>
      </c>
      <c r="AC51" s="729"/>
      <c r="AD51" s="729"/>
      <c r="AE51" s="729"/>
      <c r="AF51" s="729"/>
      <c r="AG51" s="729"/>
      <c r="AH51" s="729"/>
      <c r="AI51" s="729"/>
      <c r="AJ51" s="729"/>
      <c r="AK51" s="729" t="s">
        <v>1664</v>
      </c>
      <c r="AL51" s="729"/>
      <c r="AM51" s="729"/>
      <c r="AN51" s="729"/>
      <c r="AO51" s="729"/>
      <c r="AP51" s="729" t="s">
        <v>1665</v>
      </c>
      <c r="AQ51" s="729"/>
      <c r="AR51" s="729"/>
      <c r="AS51" s="729"/>
      <c r="AT51" s="729"/>
      <c r="AU51" s="729" t="s">
        <v>2007</v>
      </c>
      <c r="AV51" s="729" t="s">
        <v>2514</v>
      </c>
      <c r="AW51" s="729" t="s">
        <v>3685</v>
      </c>
      <c r="AX51" s="729" t="s">
        <v>3686</v>
      </c>
      <c r="AY51" s="729" t="s">
        <v>3687</v>
      </c>
      <c r="AZ51" s="729" t="s">
        <v>3688</v>
      </c>
      <c r="BA51" s="729"/>
      <c r="BB51" s="729"/>
      <c r="BC51" s="729" t="s">
        <v>5423</v>
      </c>
      <c r="BD51" s="729"/>
      <c r="BE51" s="729"/>
      <c r="BF51" s="729"/>
      <c r="BG51" s="729"/>
      <c r="BH51" s="729"/>
      <c r="BI51" s="729"/>
      <c r="BJ51" s="729"/>
      <c r="BK51" s="729"/>
      <c r="BL51" s="729"/>
      <c r="BM51" s="729"/>
      <c r="BN51" s="729"/>
      <c r="BO51" s="729"/>
      <c r="BP51" s="729"/>
      <c r="BQ51" s="729"/>
      <c r="BR51" s="729"/>
      <c r="BS51" s="729"/>
      <c r="BT51" s="729"/>
      <c r="BU51" s="729"/>
      <c r="BV51" s="894"/>
      <c r="BW51" s="729"/>
      <c r="BX51" s="729"/>
      <c r="BY51" s="729"/>
      <c r="BZ51" s="729"/>
      <c r="CA51" s="894"/>
      <c r="CB51" s="729"/>
      <c r="CC51" s="729"/>
      <c r="CD51" s="729"/>
      <c r="CE51" s="729"/>
      <c r="CF51" s="729"/>
      <c r="CG51" s="729"/>
      <c r="CH51" s="729"/>
      <c r="CI51" s="729"/>
      <c r="CJ51" s="729"/>
      <c r="CK51" s="729"/>
      <c r="CL51" s="729"/>
      <c r="CM51" s="729"/>
      <c r="CN51" s="729"/>
      <c r="CO51" s="729"/>
      <c r="CP51" s="729"/>
      <c r="CQ51" s="729"/>
      <c r="CR51" s="729"/>
      <c r="CS51" s="729"/>
      <c r="CT51" s="729"/>
      <c r="CU51" s="729"/>
      <c r="CV51" s="773" t="s">
        <v>4590</v>
      </c>
      <c r="CW51" s="773" t="s">
        <v>2037</v>
      </c>
      <c r="CX51" s="773"/>
      <c r="CY51" s="689"/>
    </row>
    <row r="52" spans="2:105" ht="15.75" x14ac:dyDescent="0.45">
      <c r="B52" s="771">
        <v>49</v>
      </c>
      <c r="C52" s="771" t="s">
        <v>467</v>
      </c>
      <c r="D52" s="772" t="s">
        <v>3077</v>
      </c>
      <c r="E52" s="729"/>
      <c r="F52" s="729"/>
      <c r="G52" s="729"/>
      <c r="H52" s="729"/>
      <c r="I52" s="729" t="s">
        <v>1662</v>
      </c>
      <c r="J52" s="729"/>
      <c r="K52" s="729"/>
      <c r="L52" s="729"/>
      <c r="M52" s="729"/>
      <c r="N52" s="729"/>
      <c r="O52" s="729"/>
      <c r="P52" s="729" t="s">
        <v>1663</v>
      </c>
      <c r="Q52" s="729"/>
      <c r="R52" s="729"/>
      <c r="S52" s="729"/>
      <c r="T52" s="729"/>
      <c r="U52" s="729">
        <v>-1</v>
      </c>
      <c r="V52" s="729"/>
      <c r="W52" s="729"/>
      <c r="X52" s="729"/>
      <c r="Y52" s="729"/>
      <c r="Z52" s="729"/>
      <c r="AA52" s="729"/>
      <c r="AB52" s="729" t="s">
        <v>2184</v>
      </c>
      <c r="AC52" s="729"/>
      <c r="AD52" s="729"/>
      <c r="AE52" s="729"/>
      <c r="AF52" s="729"/>
      <c r="AG52" s="729"/>
      <c r="AH52" s="729"/>
      <c r="AI52" s="729"/>
      <c r="AJ52" s="729"/>
      <c r="AK52" s="729" t="s">
        <v>1664</v>
      </c>
      <c r="AL52" s="729"/>
      <c r="AM52" s="729"/>
      <c r="AN52" s="729"/>
      <c r="AO52" s="729"/>
      <c r="AP52" s="729" t="s">
        <v>1665</v>
      </c>
      <c r="AQ52" s="729"/>
      <c r="AR52" s="729"/>
      <c r="AS52" s="729"/>
      <c r="AT52" s="729"/>
      <c r="AU52" s="729" t="s">
        <v>2007</v>
      </c>
      <c r="AV52" s="729" t="s">
        <v>2514</v>
      </c>
      <c r="AW52" s="729" t="s">
        <v>3685</v>
      </c>
      <c r="AX52" s="729" t="s">
        <v>3686</v>
      </c>
      <c r="AY52" s="729" t="s">
        <v>3687</v>
      </c>
      <c r="AZ52" s="729" t="s">
        <v>3688</v>
      </c>
      <c r="BA52" s="729"/>
      <c r="BB52" s="729"/>
      <c r="BC52" s="729" t="s">
        <v>5423</v>
      </c>
      <c r="BD52" s="729"/>
      <c r="BE52" s="729"/>
      <c r="BF52" s="729"/>
      <c r="BG52" s="729"/>
      <c r="BH52" s="729"/>
      <c r="BI52" s="729"/>
      <c r="BJ52" s="729"/>
      <c r="BK52" s="729"/>
      <c r="BL52" s="729"/>
      <c r="BM52" s="729"/>
      <c r="BN52" s="729"/>
      <c r="BO52" s="729"/>
      <c r="BP52" s="729"/>
      <c r="BQ52" s="729"/>
      <c r="BR52" s="729"/>
      <c r="BS52" s="729"/>
      <c r="BT52" s="729"/>
      <c r="BU52" s="729"/>
      <c r="BV52" s="894"/>
      <c r="BW52" s="729"/>
      <c r="BX52" s="729"/>
      <c r="BY52" s="729"/>
      <c r="BZ52" s="729"/>
      <c r="CA52" s="894"/>
      <c r="CB52" s="729"/>
      <c r="CC52" s="729"/>
      <c r="CD52" s="729"/>
      <c r="CE52" s="729"/>
      <c r="CF52" s="729"/>
      <c r="CG52" s="729"/>
      <c r="CH52" s="729"/>
      <c r="CI52" s="729"/>
      <c r="CJ52" s="729"/>
      <c r="CK52" s="729"/>
      <c r="CL52" s="729"/>
      <c r="CM52" s="729"/>
      <c r="CN52" s="729"/>
      <c r="CO52" s="729"/>
      <c r="CP52" s="729"/>
      <c r="CQ52" s="729"/>
      <c r="CR52" s="729"/>
      <c r="CS52" s="729"/>
      <c r="CT52" s="729"/>
      <c r="CU52" s="729"/>
      <c r="CV52" s="773" t="s">
        <v>4591</v>
      </c>
      <c r="CW52" s="773" t="s">
        <v>2037</v>
      </c>
      <c r="CX52" s="773"/>
      <c r="CY52" s="689"/>
    </row>
    <row r="53" spans="2:105" ht="15.75" x14ac:dyDescent="0.45">
      <c r="B53" s="774">
        <v>50</v>
      </c>
      <c r="C53" s="774" t="s">
        <v>2164</v>
      </c>
      <c r="D53" s="775" t="s">
        <v>2272</v>
      </c>
      <c r="E53" s="730"/>
      <c r="F53" s="730"/>
      <c r="G53" s="730"/>
      <c r="H53" s="730"/>
      <c r="I53" s="730"/>
      <c r="J53" s="730"/>
      <c r="K53" s="730"/>
      <c r="L53" s="730"/>
      <c r="M53" s="730"/>
      <c r="N53" s="730"/>
      <c r="O53" s="730"/>
      <c r="P53" s="730"/>
      <c r="Q53" s="730"/>
      <c r="R53" s="730"/>
      <c r="S53" s="730"/>
      <c r="T53" s="730"/>
      <c r="U53" s="730"/>
      <c r="V53" s="730">
        <v>1</v>
      </c>
      <c r="W53" s="730"/>
      <c r="X53" s="730"/>
      <c r="Y53" s="730"/>
      <c r="Z53" s="730"/>
      <c r="AA53" s="730"/>
      <c r="AB53" s="730" t="s">
        <v>2275</v>
      </c>
      <c r="AC53" s="730"/>
      <c r="AD53" s="730" t="s">
        <v>2277</v>
      </c>
      <c r="AE53" s="730" t="s">
        <v>2276</v>
      </c>
      <c r="AF53" s="730"/>
      <c r="AG53" s="730"/>
      <c r="AH53" s="730"/>
      <c r="AI53" s="730" t="s">
        <v>2278</v>
      </c>
      <c r="AJ53" s="730"/>
      <c r="AK53" s="730"/>
      <c r="AL53" s="730"/>
      <c r="AM53" s="730" t="s">
        <v>1659</v>
      </c>
      <c r="AN53" s="730"/>
      <c r="AO53" s="730"/>
      <c r="AP53" s="730"/>
      <c r="AQ53" s="730"/>
      <c r="AR53" s="730"/>
      <c r="AS53" s="730"/>
      <c r="AT53" s="730"/>
      <c r="AU53" s="730" t="s">
        <v>1679</v>
      </c>
      <c r="AV53" s="730" t="s">
        <v>2513</v>
      </c>
      <c r="AW53" s="730" t="s">
        <v>3681</v>
      </c>
      <c r="AX53" s="730" t="s">
        <v>3682</v>
      </c>
      <c r="AY53" s="730" t="s">
        <v>3683</v>
      </c>
      <c r="AZ53" s="730" t="s">
        <v>3684</v>
      </c>
      <c r="BA53" s="730"/>
      <c r="BB53" s="730"/>
      <c r="BC53" s="730" t="s">
        <v>5439</v>
      </c>
      <c r="BD53" s="730"/>
      <c r="BE53" s="730"/>
      <c r="BF53" s="730"/>
      <c r="BG53" s="730"/>
      <c r="BH53" s="730"/>
      <c r="BI53" s="730"/>
      <c r="BJ53" s="730"/>
      <c r="BK53" s="730"/>
      <c r="BL53" s="730"/>
      <c r="BM53" s="730"/>
      <c r="BN53" s="730"/>
      <c r="BO53" s="730"/>
      <c r="BP53" s="730"/>
      <c r="BQ53" s="730"/>
      <c r="BR53" s="730"/>
      <c r="BS53" s="730"/>
      <c r="BT53" s="730"/>
      <c r="BU53" s="730"/>
      <c r="BV53" s="895"/>
      <c r="BW53" s="730"/>
      <c r="BX53" s="730"/>
      <c r="BY53" s="730"/>
      <c r="BZ53" s="730"/>
      <c r="CA53" s="895"/>
      <c r="CB53" s="730"/>
      <c r="CC53" s="730"/>
      <c r="CD53" s="730"/>
      <c r="CE53" s="730"/>
      <c r="CF53" s="730"/>
      <c r="CG53" s="730"/>
      <c r="CH53" s="730"/>
      <c r="CI53" s="730"/>
      <c r="CJ53" s="730"/>
      <c r="CK53" s="730"/>
      <c r="CL53" s="730"/>
      <c r="CM53" s="730"/>
      <c r="CN53" s="730"/>
      <c r="CO53" s="730"/>
      <c r="CP53" s="730"/>
      <c r="CQ53" s="730"/>
      <c r="CR53" s="730"/>
      <c r="CS53" s="730"/>
      <c r="CT53" s="730"/>
      <c r="CU53" s="730"/>
      <c r="CV53" s="776" t="s">
        <v>3717</v>
      </c>
      <c r="CW53" s="776" t="s">
        <v>2037</v>
      </c>
      <c r="CX53" s="776"/>
      <c r="CY53" s="690"/>
    </row>
    <row r="54" spans="2:105" ht="15.75" x14ac:dyDescent="0.45">
      <c r="B54" s="774">
        <v>51</v>
      </c>
      <c r="C54" s="774" t="s">
        <v>2165</v>
      </c>
      <c r="D54" s="775" t="s">
        <v>2273</v>
      </c>
      <c r="E54" s="731"/>
      <c r="F54" s="731"/>
      <c r="G54" s="731"/>
      <c r="H54" s="731"/>
      <c r="I54" s="731" t="s">
        <v>1662</v>
      </c>
      <c r="J54" s="731"/>
      <c r="K54" s="731"/>
      <c r="L54" s="731"/>
      <c r="M54" s="731"/>
      <c r="N54" s="731"/>
      <c r="O54" s="731" t="s">
        <v>1663</v>
      </c>
      <c r="P54" s="731"/>
      <c r="Q54" s="731"/>
      <c r="R54" s="731"/>
      <c r="S54" s="731"/>
      <c r="T54" s="731"/>
      <c r="U54" s="731"/>
      <c r="V54" s="731">
        <v>-1</v>
      </c>
      <c r="W54" s="731"/>
      <c r="X54" s="731"/>
      <c r="Y54" s="731"/>
      <c r="Z54" s="731"/>
      <c r="AA54" s="731"/>
      <c r="AB54" s="731" t="s">
        <v>2184</v>
      </c>
      <c r="AC54" s="731"/>
      <c r="AD54" s="731"/>
      <c r="AE54" s="731"/>
      <c r="AF54" s="731"/>
      <c r="AG54" s="731"/>
      <c r="AH54" s="731"/>
      <c r="AI54" s="731"/>
      <c r="AJ54" s="731"/>
      <c r="AK54" s="731" t="s">
        <v>1664</v>
      </c>
      <c r="AL54" s="731"/>
      <c r="AM54" s="731"/>
      <c r="AN54" s="731"/>
      <c r="AO54" s="731"/>
      <c r="AP54" s="731" t="s">
        <v>1665</v>
      </c>
      <c r="AQ54" s="731"/>
      <c r="AR54" s="731"/>
      <c r="AS54" s="731"/>
      <c r="AT54" s="731"/>
      <c r="AU54" s="731" t="s">
        <v>2007</v>
      </c>
      <c r="AV54" s="731" t="s">
        <v>2514</v>
      </c>
      <c r="AW54" s="731" t="s">
        <v>3685</v>
      </c>
      <c r="AX54" s="731" t="s">
        <v>3686</v>
      </c>
      <c r="AY54" s="731" t="s">
        <v>3687</v>
      </c>
      <c r="AZ54" s="731" t="s">
        <v>3688</v>
      </c>
      <c r="BA54" s="731"/>
      <c r="BB54" s="731"/>
      <c r="BC54" s="731" t="s">
        <v>5423</v>
      </c>
      <c r="BD54" s="731"/>
      <c r="BE54" s="731"/>
      <c r="BF54" s="731"/>
      <c r="BG54" s="731"/>
      <c r="BH54" s="731"/>
      <c r="BI54" s="731"/>
      <c r="BJ54" s="731"/>
      <c r="BK54" s="731"/>
      <c r="BL54" s="731"/>
      <c r="BM54" s="731"/>
      <c r="BN54" s="731"/>
      <c r="BO54" s="731"/>
      <c r="BP54" s="731"/>
      <c r="BQ54" s="731"/>
      <c r="BR54" s="731"/>
      <c r="BS54" s="731"/>
      <c r="BT54" s="731"/>
      <c r="BU54" s="731"/>
      <c r="BV54" s="896"/>
      <c r="BW54" s="731"/>
      <c r="BX54" s="731"/>
      <c r="BY54" s="731"/>
      <c r="BZ54" s="731"/>
      <c r="CA54" s="896"/>
      <c r="CB54" s="731"/>
      <c r="CC54" s="731"/>
      <c r="CD54" s="731"/>
      <c r="CE54" s="731"/>
      <c r="CF54" s="731"/>
      <c r="CG54" s="731"/>
      <c r="CH54" s="731"/>
      <c r="CI54" s="731"/>
      <c r="CJ54" s="731"/>
      <c r="CK54" s="731"/>
      <c r="CL54" s="731"/>
      <c r="CM54" s="731"/>
      <c r="CN54" s="731"/>
      <c r="CO54" s="731"/>
      <c r="CP54" s="731"/>
      <c r="CQ54" s="731"/>
      <c r="CR54" s="731"/>
      <c r="CS54" s="731"/>
      <c r="CT54" s="731"/>
      <c r="CU54" s="731"/>
      <c r="CV54" s="777" t="s">
        <v>4592</v>
      </c>
      <c r="CW54" s="777" t="s">
        <v>2037</v>
      </c>
      <c r="CX54" s="777"/>
      <c r="CY54" s="691"/>
    </row>
    <row r="55" spans="2:105" ht="15.75" x14ac:dyDescent="0.45">
      <c r="B55" s="774">
        <v>52</v>
      </c>
      <c r="C55" s="774" t="s">
        <v>2166</v>
      </c>
      <c r="D55" s="775" t="s">
        <v>3078</v>
      </c>
      <c r="E55" s="731"/>
      <c r="F55" s="731"/>
      <c r="G55" s="731"/>
      <c r="H55" s="731"/>
      <c r="I55" s="731" t="s">
        <v>1662</v>
      </c>
      <c r="J55" s="731"/>
      <c r="K55" s="731"/>
      <c r="L55" s="731"/>
      <c r="M55" s="731"/>
      <c r="N55" s="731"/>
      <c r="O55" s="731"/>
      <c r="P55" s="731" t="s">
        <v>1663</v>
      </c>
      <c r="Q55" s="731"/>
      <c r="R55" s="731"/>
      <c r="S55" s="731"/>
      <c r="T55" s="731"/>
      <c r="U55" s="731"/>
      <c r="V55" s="731">
        <v>-1</v>
      </c>
      <c r="W55" s="731"/>
      <c r="X55" s="731"/>
      <c r="Y55" s="731"/>
      <c r="Z55" s="731"/>
      <c r="AA55" s="731"/>
      <c r="AB55" s="731" t="s">
        <v>2184</v>
      </c>
      <c r="AC55" s="731"/>
      <c r="AD55" s="731"/>
      <c r="AE55" s="731"/>
      <c r="AF55" s="731"/>
      <c r="AG55" s="731"/>
      <c r="AH55" s="731"/>
      <c r="AI55" s="731"/>
      <c r="AJ55" s="731"/>
      <c r="AK55" s="731" t="s">
        <v>1664</v>
      </c>
      <c r="AL55" s="731"/>
      <c r="AM55" s="731"/>
      <c r="AN55" s="731"/>
      <c r="AO55" s="731"/>
      <c r="AP55" s="731" t="s">
        <v>1665</v>
      </c>
      <c r="AQ55" s="731"/>
      <c r="AR55" s="731"/>
      <c r="AS55" s="731"/>
      <c r="AT55" s="731"/>
      <c r="AU55" s="731" t="s">
        <v>2007</v>
      </c>
      <c r="AV55" s="731" t="s">
        <v>2514</v>
      </c>
      <c r="AW55" s="731" t="s">
        <v>3685</v>
      </c>
      <c r="AX55" s="731" t="s">
        <v>3686</v>
      </c>
      <c r="AY55" s="731" t="s">
        <v>3687</v>
      </c>
      <c r="AZ55" s="731" t="s">
        <v>3688</v>
      </c>
      <c r="BA55" s="731"/>
      <c r="BB55" s="731"/>
      <c r="BC55" s="731" t="s">
        <v>5423</v>
      </c>
      <c r="BD55" s="731"/>
      <c r="BE55" s="731"/>
      <c r="BF55" s="731"/>
      <c r="BG55" s="731"/>
      <c r="BH55" s="731"/>
      <c r="BI55" s="731"/>
      <c r="BJ55" s="731"/>
      <c r="BK55" s="731"/>
      <c r="BL55" s="731"/>
      <c r="BM55" s="731"/>
      <c r="BN55" s="731"/>
      <c r="BO55" s="731"/>
      <c r="BP55" s="731"/>
      <c r="BQ55" s="731"/>
      <c r="BR55" s="731"/>
      <c r="BS55" s="731"/>
      <c r="BT55" s="731"/>
      <c r="BU55" s="731"/>
      <c r="BV55" s="896"/>
      <c r="BW55" s="731"/>
      <c r="BX55" s="731"/>
      <c r="BY55" s="731"/>
      <c r="BZ55" s="731"/>
      <c r="CA55" s="896"/>
      <c r="CB55" s="731"/>
      <c r="CC55" s="731"/>
      <c r="CD55" s="731"/>
      <c r="CE55" s="731"/>
      <c r="CF55" s="731"/>
      <c r="CG55" s="731"/>
      <c r="CH55" s="731"/>
      <c r="CI55" s="731"/>
      <c r="CJ55" s="731"/>
      <c r="CK55" s="731"/>
      <c r="CL55" s="731"/>
      <c r="CM55" s="731"/>
      <c r="CN55" s="731"/>
      <c r="CO55" s="731"/>
      <c r="CP55" s="731"/>
      <c r="CQ55" s="731"/>
      <c r="CR55" s="731"/>
      <c r="CS55" s="731"/>
      <c r="CT55" s="731"/>
      <c r="CU55" s="731"/>
      <c r="CV55" s="777" t="s">
        <v>4593</v>
      </c>
      <c r="CW55" s="777" t="s">
        <v>2037</v>
      </c>
      <c r="CX55" s="777"/>
      <c r="CY55" s="691"/>
    </row>
    <row r="56" spans="2:105" ht="15.75" x14ac:dyDescent="0.45">
      <c r="B56" s="778">
        <v>53</v>
      </c>
      <c r="C56" s="778" t="s">
        <v>2167</v>
      </c>
      <c r="D56" s="779" t="s">
        <v>304</v>
      </c>
      <c r="E56" s="780" t="s">
        <v>1680</v>
      </c>
      <c r="F56" s="732"/>
      <c r="G56" s="732"/>
      <c r="H56" s="732"/>
      <c r="I56" s="732"/>
      <c r="J56" s="732"/>
      <c r="K56" s="732"/>
      <c r="L56" s="732"/>
      <c r="M56" s="732"/>
      <c r="N56" s="732"/>
      <c r="O56" s="732"/>
      <c r="P56" s="732"/>
      <c r="Q56" s="732"/>
      <c r="R56" s="732"/>
      <c r="S56" s="732"/>
      <c r="T56" s="732"/>
      <c r="U56" s="732"/>
      <c r="V56" s="732"/>
      <c r="W56" s="732">
        <v>1</v>
      </c>
      <c r="X56" s="732"/>
      <c r="Y56" s="732"/>
      <c r="Z56" s="732"/>
      <c r="AA56" s="732"/>
      <c r="AB56" s="732" t="s">
        <v>1658</v>
      </c>
      <c r="AC56" s="732"/>
      <c r="AD56" s="732"/>
      <c r="AE56" s="732"/>
      <c r="AF56" s="732"/>
      <c r="AG56" s="732"/>
      <c r="AH56" s="732"/>
      <c r="AI56" s="732"/>
      <c r="AJ56" s="732"/>
      <c r="AK56" s="732"/>
      <c r="AL56" s="732"/>
      <c r="AM56" s="780" t="s">
        <v>1659</v>
      </c>
      <c r="AN56" s="732"/>
      <c r="AO56" s="732"/>
      <c r="AP56" s="732"/>
      <c r="AQ56" s="732"/>
      <c r="AR56" s="732"/>
      <c r="AS56" s="732" t="s">
        <v>1681</v>
      </c>
      <c r="AT56" s="732"/>
      <c r="AU56" s="732" t="s">
        <v>2228</v>
      </c>
      <c r="AV56" s="780" t="s">
        <v>2513</v>
      </c>
      <c r="AW56" s="780" t="s">
        <v>3681</v>
      </c>
      <c r="AX56" s="780" t="s">
        <v>3682</v>
      </c>
      <c r="AY56" s="780" t="s">
        <v>3683</v>
      </c>
      <c r="AZ56" s="780" t="s">
        <v>3684</v>
      </c>
      <c r="BA56" s="780"/>
      <c r="BB56" s="780"/>
      <c r="BC56" s="780" t="s">
        <v>5439</v>
      </c>
      <c r="BD56" s="780"/>
      <c r="BE56" s="780"/>
      <c r="BF56" s="780"/>
      <c r="BG56" s="780"/>
      <c r="BH56" s="780"/>
      <c r="BI56" s="780"/>
      <c r="BJ56" s="780"/>
      <c r="BK56" s="780"/>
      <c r="BL56" s="780"/>
      <c r="BM56" s="780"/>
      <c r="BN56" s="780"/>
      <c r="BO56" s="780"/>
      <c r="BP56" s="780"/>
      <c r="BQ56" s="780"/>
      <c r="BR56" s="780"/>
      <c r="BS56" s="780"/>
      <c r="BT56" s="780"/>
      <c r="BU56" s="780"/>
      <c r="BV56" s="897"/>
      <c r="BW56" s="780"/>
      <c r="BX56" s="780"/>
      <c r="BY56" s="780"/>
      <c r="BZ56" s="780"/>
      <c r="CA56" s="897"/>
      <c r="CB56" s="780"/>
      <c r="CC56" s="780"/>
      <c r="CD56" s="780"/>
      <c r="CE56" s="780"/>
      <c r="CF56" s="780"/>
      <c r="CG56" s="780"/>
      <c r="CH56" s="780"/>
      <c r="CI56" s="780"/>
      <c r="CJ56" s="780"/>
      <c r="CK56" s="780"/>
      <c r="CL56" s="780"/>
      <c r="CM56" s="780"/>
      <c r="CN56" s="780"/>
      <c r="CO56" s="780"/>
      <c r="CP56" s="780"/>
      <c r="CQ56" s="780"/>
      <c r="CR56" s="780"/>
      <c r="CS56" s="780"/>
      <c r="CT56" s="780"/>
      <c r="CU56" s="780"/>
      <c r="CV56" s="781" t="s">
        <v>5174</v>
      </c>
      <c r="CW56" s="782" t="s">
        <v>2037</v>
      </c>
      <c r="CX56" s="782" t="s">
        <v>905</v>
      </c>
      <c r="CY56" s="692"/>
    </row>
    <row r="57" spans="2:105" ht="15.75" x14ac:dyDescent="0.45">
      <c r="B57" s="778">
        <v>54</v>
      </c>
      <c r="C57" s="778" t="s">
        <v>2168</v>
      </c>
      <c r="D57" s="779" t="s">
        <v>296</v>
      </c>
      <c r="E57" s="732"/>
      <c r="F57" s="732"/>
      <c r="G57" s="732"/>
      <c r="H57" s="732"/>
      <c r="I57" s="732" t="s">
        <v>1662</v>
      </c>
      <c r="J57" s="732"/>
      <c r="K57" s="732"/>
      <c r="L57" s="732"/>
      <c r="M57" s="732"/>
      <c r="N57" s="732"/>
      <c r="O57" s="732" t="s">
        <v>1663</v>
      </c>
      <c r="P57" s="732"/>
      <c r="Q57" s="732"/>
      <c r="R57" s="732"/>
      <c r="S57" s="732"/>
      <c r="T57" s="732"/>
      <c r="U57" s="732"/>
      <c r="V57" s="732"/>
      <c r="W57" s="732">
        <v>-1</v>
      </c>
      <c r="X57" s="732"/>
      <c r="Y57" s="732"/>
      <c r="Z57" s="732"/>
      <c r="AA57" s="732"/>
      <c r="AB57" s="732" t="s">
        <v>2184</v>
      </c>
      <c r="AC57" s="732"/>
      <c r="AD57" s="732"/>
      <c r="AE57" s="732"/>
      <c r="AF57" s="732"/>
      <c r="AG57" s="732"/>
      <c r="AH57" s="732"/>
      <c r="AI57" s="732"/>
      <c r="AJ57" s="732"/>
      <c r="AK57" s="732" t="s">
        <v>1664</v>
      </c>
      <c r="AL57" s="732"/>
      <c r="AM57" s="780"/>
      <c r="AN57" s="732"/>
      <c r="AO57" s="732"/>
      <c r="AP57" s="732" t="s">
        <v>1665</v>
      </c>
      <c r="AQ57" s="732"/>
      <c r="AR57" s="732"/>
      <c r="AS57" s="732"/>
      <c r="AT57" s="732"/>
      <c r="AU57" s="732" t="s">
        <v>2007</v>
      </c>
      <c r="AV57" s="732" t="s">
        <v>2514</v>
      </c>
      <c r="AW57" s="732" t="s">
        <v>3685</v>
      </c>
      <c r="AX57" s="732" t="s">
        <v>3686</v>
      </c>
      <c r="AY57" s="732" t="s">
        <v>3687</v>
      </c>
      <c r="AZ57" s="732" t="s">
        <v>3688</v>
      </c>
      <c r="BA57" s="732"/>
      <c r="BB57" s="732"/>
      <c r="BC57" s="732" t="s">
        <v>5423</v>
      </c>
      <c r="BD57" s="732"/>
      <c r="BE57" s="732"/>
      <c r="BF57" s="732"/>
      <c r="BG57" s="732"/>
      <c r="BH57" s="732"/>
      <c r="BI57" s="732"/>
      <c r="BJ57" s="732"/>
      <c r="BK57" s="732"/>
      <c r="BL57" s="732"/>
      <c r="BM57" s="732"/>
      <c r="BN57" s="732"/>
      <c r="BO57" s="732"/>
      <c r="BP57" s="732"/>
      <c r="BQ57" s="732"/>
      <c r="BR57" s="732"/>
      <c r="BS57" s="732"/>
      <c r="BT57" s="732"/>
      <c r="BU57" s="732"/>
      <c r="BV57" s="898"/>
      <c r="BW57" s="732"/>
      <c r="BX57" s="732"/>
      <c r="BY57" s="732"/>
      <c r="BZ57" s="732"/>
      <c r="CA57" s="898"/>
      <c r="CB57" s="732"/>
      <c r="CC57" s="732"/>
      <c r="CD57" s="732"/>
      <c r="CE57" s="732"/>
      <c r="CF57" s="732"/>
      <c r="CG57" s="732"/>
      <c r="CH57" s="732"/>
      <c r="CI57" s="732"/>
      <c r="CJ57" s="732"/>
      <c r="CK57" s="732"/>
      <c r="CL57" s="732"/>
      <c r="CM57" s="732"/>
      <c r="CN57" s="732"/>
      <c r="CO57" s="732"/>
      <c r="CP57" s="732"/>
      <c r="CQ57" s="732"/>
      <c r="CR57" s="732"/>
      <c r="CS57" s="732"/>
      <c r="CT57" s="732"/>
      <c r="CU57" s="732"/>
      <c r="CV57" s="782" t="s">
        <v>3611</v>
      </c>
      <c r="CW57" s="782" t="s">
        <v>2037</v>
      </c>
      <c r="CX57" s="782"/>
      <c r="CY57" s="692"/>
    </row>
    <row r="58" spans="2:105" ht="15.75" x14ac:dyDescent="0.45">
      <c r="B58" s="778">
        <v>55</v>
      </c>
      <c r="C58" s="778" t="s">
        <v>2169</v>
      </c>
      <c r="D58" s="779" t="s">
        <v>3079</v>
      </c>
      <c r="E58" s="732"/>
      <c r="F58" s="732"/>
      <c r="G58" s="732"/>
      <c r="H58" s="732"/>
      <c r="I58" s="732" t="s">
        <v>1662</v>
      </c>
      <c r="J58" s="732"/>
      <c r="K58" s="732"/>
      <c r="L58" s="732"/>
      <c r="M58" s="732"/>
      <c r="N58" s="732"/>
      <c r="O58" s="732"/>
      <c r="P58" s="732" t="s">
        <v>1663</v>
      </c>
      <c r="Q58" s="732"/>
      <c r="R58" s="732"/>
      <c r="S58" s="732"/>
      <c r="T58" s="732"/>
      <c r="U58" s="732"/>
      <c r="V58" s="732"/>
      <c r="W58" s="732">
        <v>-1</v>
      </c>
      <c r="X58" s="732"/>
      <c r="Y58" s="732"/>
      <c r="Z58" s="732"/>
      <c r="AA58" s="732"/>
      <c r="AB58" s="732" t="s">
        <v>2184</v>
      </c>
      <c r="AC58" s="732"/>
      <c r="AD58" s="732"/>
      <c r="AE58" s="732"/>
      <c r="AF58" s="732"/>
      <c r="AG58" s="732"/>
      <c r="AH58" s="732"/>
      <c r="AI58" s="732"/>
      <c r="AJ58" s="732"/>
      <c r="AK58" s="732" t="s">
        <v>1664</v>
      </c>
      <c r="AL58" s="732"/>
      <c r="AM58" s="780"/>
      <c r="AN58" s="732"/>
      <c r="AO58" s="732"/>
      <c r="AP58" s="732" t="s">
        <v>1665</v>
      </c>
      <c r="AQ58" s="732"/>
      <c r="AR58" s="732"/>
      <c r="AS58" s="732"/>
      <c r="AT58" s="732"/>
      <c r="AU58" s="732" t="s">
        <v>2007</v>
      </c>
      <c r="AV58" s="732" t="s">
        <v>2514</v>
      </c>
      <c r="AW58" s="732" t="s">
        <v>3685</v>
      </c>
      <c r="AX58" s="732" t="s">
        <v>3686</v>
      </c>
      <c r="AY58" s="732" t="s">
        <v>3687</v>
      </c>
      <c r="AZ58" s="732" t="s">
        <v>3688</v>
      </c>
      <c r="BA58" s="732"/>
      <c r="BB58" s="732"/>
      <c r="BC58" s="732" t="s">
        <v>5423</v>
      </c>
      <c r="BD58" s="732"/>
      <c r="BE58" s="732"/>
      <c r="BF58" s="732"/>
      <c r="BG58" s="732"/>
      <c r="BH58" s="732"/>
      <c r="BI58" s="732"/>
      <c r="BJ58" s="732"/>
      <c r="BK58" s="732"/>
      <c r="BL58" s="732"/>
      <c r="BM58" s="732"/>
      <c r="BN58" s="732"/>
      <c r="BO58" s="732"/>
      <c r="BP58" s="732"/>
      <c r="BQ58" s="732"/>
      <c r="BR58" s="732"/>
      <c r="BS58" s="732"/>
      <c r="BT58" s="732"/>
      <c r="BU58" s="732"/>
      <c r="BV58" s="898"/>
      <c r="BW58" s="732"/>
      <c r="BX58" s="732"/>
      <c r="BY58" s="732"/>
      <c r="BZ58" s="732"/>
      <c r="CA58" s="898"/>
      <c r="CB58" s="732"/>
      <c r="CC58" s="732"/>
      <c r="CD58" s="732"/>
      <c r="CE58" s="732"/>
      <c r="CF58" s="732"/>
      <c r="CG58" s="732"/>
      <c r="CH58" s="732"/>
      <c r="CI58" s="732"/>
      <c r="CJ58" s="732"/>
      <c r="CK58" s="732"/>
      <c r="CL58" s="732"/>
      <c r="CM58" s="732"/>
      <c r="CN58" s="732"/>
      <c r="CO58" s="732"/>
      <c r="CP58" s="732"/>
      <c r="CQ58" s="732"/>
      <c r="CR58" s="732"/>
      <c r="CS58" s="732"/>
      <c r="CT58" s="732"/>
      <c r="CU58" s="732"/>
      <c r="CV58" s="782" t="s">
        <v>3612</v>
      </c>
      <c r="CW58" s="782" t="s">
        <v>2037</v>
      </c>
      <c r="CX58" s="782"/>
      <c r="CY58" s="692"/>
    </row>
    <row r="59" spans="2:105" ht="15.75" x14ac:dyDescent="0.45">
      <c r="B59" s="783">
        <v>56</v>
      </c>
      <c r="C59" s="783" t="s">
        <v>2170</v>
      </c>
      <c r="D59" s="784" t="s">
        <v>305</v>
      </c>
      <c r="E59" s="733"/>
      <c r="F59" s="733"/>
      <c r="G59" s="733"/>
      <c r="H59" s="733"/>
      <c r="I59" s="733"/>
      <c r="J59" s="733"/>
      <c r="K59" s="733"/>
      <c r="L59" s="733"/>
      <c r="M59" s="733"/>
      <c r="N59" s="733"/>
      <c r="O59" s="733"/>
      <c r="P59" s="733"/>
      <c r="Q59" s="733"/>
      <c r="R59" s="733"/>
      <c r="S59" s="733"/>
      <c r="T59" s="733"/>
      <c r="U59" s="733"/>
      <c r="V59" s="733"/>
      <c r="W59" s="733"/>
      <c r="X59" s="733">
        <v>1</v>
      </c>
      <c r="Y59" s="733"/>
      <c r="Z59" s="733"/>
      <c r="AA59" s="733"/>
      <c r="AB59" s="733" t="s">
        <v>1658</v>
      </c>
      <c r="AC59" s="733"/>
      <c r="AD59" s="733"/>
      <c r="AE59" s="733"/>
      <c r="AF59" s="733"/>
      <c r="AG59" s="733"/>
      <c r="AH59" s="733"/>
      <c r="AI59" s="733"/>
      <c r="AJ59" s="733"/>
      <c r="AK59" s="733"/>
      <c r="AL59" s="733"/>
      <c r="AM59" s="785" t="s">
        <v>1659</v>
      </c>
      <c r="AN59" s="733"/>
      <c r="AO59" s="733"/>
      <c r="AP59" s="733"/>
      <c r="AQ59" s="733"/>
      <c r="AR59" s="733"/>
      <c r="AS59" s="733" t="s">
        <v>1682</v>
      </c>
      <c r="AT59" s="785" t="s">
        <v>1683</v>
      </c>
      <c r="AU59" s="785" t="s">
        <v>1994</v>
      </c>
      <c r="AV59" s="785" t="s">
        <v>2513</v>
      </c>
      <c r="AW59" s="785" t="s">
        <v>3681</v>
      </c>
      <c r="AX59" s="785" t="s">
        <v>3682</v>
      </c>
      <c r="AY59" s="785" t="s">
        <v>3683</v>
      </c>
      <c r="AZ59" s="785" t="s">
        <v>3684</v>
      </c>
      <c r="BA59" s="785"/>
      <c r="BB59" s="785"/>
      <c r="BC59" s="785" t="s">
        <v>5439</v>
      </c>
      <c r="BD59" s="785"/>
      <c r="BE59" s="785"/>
      <c r="BF59" s="785"/>
      <c r="BG59" s="785"/>
      <c r="BH59" s="785"/>
      <c r="BI59" s="785"/>
      <c r="BJ59" s="785"/>
      <c r="BK59" s="785"/>
      <c r="BL59" s="785"/>
      <c r="BM59" s="785"/>
      <c r="BN59" s="785"/>
      <c r="BO59" s="785"/>
      <c r="BP59" s="785"/>
      <c r="BQ59" s="785"/>
      <c r="BR59" s="785"/>
      <c r="BS59" s="785"/>
      <c r="BT59" s="785"/>
      <c r="BU59" s="785"/>
      <c r="BV59" s="899"/>
      <c r="BW59" s="785"/>
      <c r="BX59" s="785"/>
      <c r="BY59" s="785"/>
      <c r="BZ59" s="785"/>
      <c r="CA59" s="899"/>
      <c r="CB59" s="785"/>
      <c r="CC59" s="785"/>
      <c r="CD59" s="785"/>
      <c r="CE59" s="785"/>
      <c r="CF59" s="785"/>
      <c r="CG59" s="785"/>
      <c r="CH59" s="785"/>
      <c r="CI59" s="785"/>
      <c r="CJ59" s="785"/>
      <c r="CK59" s="785"/>
      <c r="CL59" s="785"/>
      <c r="CM59" s="785"/>
      <c r="CN59" s="785"/>
      <c r="CO59" s="785"/>
      <c r="CP59" s="785"/>
      <c r="CQ59" s="785"/>
      <c r="CR59" s="785"/>
      <c r="CS59" s="785"/>
      <c r="CT59" s="785"/>
      <c r="CU59" s="785"/>
      <c r="CV59" s="786" t="s">
        <v>3718</v>
      </c>
      <c r="CW59" s="787" t="s">
        <v>2037</v>
      </c>
      <c r="CX59" s="787" t="s">
        <v>307</v>
      </c>
      <c r="CY59" s="693"/>
    </row>
    <row r="60" spans="2:105" ht="15.75" x14ac:dyDescent="0.45">
      <c r="B60" s="783">
        <v>57</v>
      </c>
      <c r="C60" s="783" t="s">
        <v>2171</v>
      </c>
      <c r="D60" s="784" t="s">
        <v>295</v>
      </c>
      <c r="E60" s="733"/>
      <c r="F60" s="733"/>
      <c r="G60" s="733"/>
      <c r="H60" s="733"/>
      <c r="I60" s="733" t="s">
        <v>1662</v>
      </c>
      <c r="J60" s="733"/>
      <c r="K60" s="733"/>
      <c r="L60" s="733"/>
      <c r="M60" s="733"/>
      <c r="N60" s="733"/>
      <c r="O60" s="733" t="s">
        <v>1663</v>
      </c>
      <c r="P60" s="733"/>
      <c r="Q60" s="733"/>
      <c r="R60" s="733"/>
      <c r="S60" s="733"/>
      <c r="T60" s="733"/>
      <c r="U60" s="733"/>
      <c r="V60" s="733"/>
      <c r="W60" s="733"/>
      <c r="X60" s="733">
        <v>-1</v>
      </c>
      <c r="Y60" s="733"/>
      <c r="Z60" s="733"/>
      <c r="AA60" s="733"/>
      <c r="AB60" s="733" t="s">
        <v>2184</v>
      </c>
      <c r="AC60" s="733"/>
      <c r="AD60" s="733"/>
      <c r="AE60" s="733"/>
      <c r="AF60" s="733"/>
      <c r="AG60" s="733"/>
      <c r="AH60" s="733"/>
      <c r="AI60" s="733"/>
      <c r="AJ60" s="733"/>
      <c r="AK60" s="733" t="s">
        <v>1664</v>
      </c>
      <c r="AL60" s="733"/>
      <c r="AM60" s="733"/>
      <c r="AN60" s="733"/>
      <c r="AO60" s="733"/>
      <c r="AP60" s="733" t="s">
        <v>1665</v>
      </c>
      <c r="AQ60" s="733"/>
      <c r="AR60" s="733"/>
      <c r="AS60" s="733"/>
      <c r="AT60" s="733"/>
      <c r="AU60" s="733" t="s">
        <v>2007</v>
      </c>
      <c r="AV60" s="733" t="s">
        <v>2514</v>
      </c>
      <c r="AW60" s="733" t="s">
        <v>3685</v>
      </c>
      <c r="AX60" s="733" t="s">
        <v>3686</v>
      </c>
      <c r="AY60" s="733" t="s">
        <v>3687</v>
      </c>
      <c r="AZ60" s="733" t="s">
        <v>3688</v>
      </c>
      <c r="BA60" s="733"/>
      <c r="BB60" s="733"/>
      <c r="BC60" s="733" t="s">
        <v>5423</v>
      </c>
      <c r="BD60" s="733"/>
      <c r="BE60" s="733"/>
      <c r="BF60" s="733"/>
      <c r="BG60" s="733"/>
      <c r="BH60" s="733"/>
      <c r="BI60" s="733"/>
      <c r="BJ60" s="733"/>
      <c r="BK60" s="733"/>
      <c r="BL60" s="733"/>
      <c r="BM60" s="733"/>
      <c r="BN60" s="733"/>
      <c r="BO60" s="733"/>
      <c r="BP60" s="733"/>
      <c r="BQ60" s="733"/>
      <c r="BR60" s="733"/>
      <c r="BS60" s="733"/>
      <c r="BT60" s="733"/>
      <c r="BU60" s="733"/>
      <c r="BV60" s="900"/>
      <c r="BW60" s="733"/>
      <c r="BX60" s="733"/>
      <c r="BY60" s="733"/>
      <c r="BZ60" s="733"/>
      <c r="CA60" s="900"/>
      <c r="CB60" s="733"/>
      <c r="CC60" s="733"/>
      <c r="CD60" s="733"/>
      <c r="CE60" s="733"/>
      <c r="CF60" s="733"/>
      <c r="CG60" s="733"/>
      <c r="CH60" s="733"/>
      <c r="CI60" s="733"/>
      <c r="CJ60" s="733"/>
      <c r="CK60" s="733"/>
      <c r="CL60" s="733"/>
      <c r="CM60" s="733"/>
      <c r="CN60" s="733"/>
      <c r="CO60" s="733"/>
      <c r="CP60" s="733"/>
      <c r="CQ60" s="733"/>
      <c r="CR60" s="733"/>
      <c r="CS60" s="733"/>
      <c r="CT60" s="733"/>
      <c r="CU60" s="733"/>
      <c r="CV60" s="787" t="s">
        <v>3613</v>
      </c>
      <c r="CW60" s="787" t="s">
        <v>2037</v>
      </c>
      <c r="CX60" s="787"/>
      <c r="CY60" s="693"/>
    </row>
    <row r="61" spans="2:105" ht="15.75" x14ac:dyDescent="0.45">
      <c r="B61" s="783">
        <v>58</v>
      </c>
      <c r="C61" s="783" t="s">
        <v>2215</v>
      </c>
      <c r="D61" s="784" t="s">
        <v>3080</v>
      </c>
      <c r="E61" s="733"/>
      <c r="F61" s="733"/>
      <c r="G61" s="733"/>
      <c r="H61" s="733"/>
      <c r="I61" s="733" t="s">
        <v>1662</v>
      </c>
      <c r="J61" s="733"/>
      <c r="K61" s="733"/>
      <c r="L61" s="733"/>
      <c r="M61" s="733"/>
      <c r="N61" s="733"/>
      <c r="O61" s="733"/>
      <c r="P61" s="733" t="s">
        <v>1663</v>
      </c>
      <c r="Q61" s="733"/>
      <c r="R61" s="733"/>
      <c r="S61" s="733"/>
      <c r="T61" s="733"/>
      <c r="U61" s="733"/>
      <c r="V61" s="733"/>
      <c r="W61" s="733"/>
      <c r="X61" s="733">
        <v>-1</v>
      </c>
      <c r="Y61" s="733"/>
      <c r="Z61" s="733"/>
      <c r="AA61" s="733"/>
      <c r="AB61" s="733" t="s">
        <v>2184</v>
      </c>
      <c r="AC61" s="733"/>
      <c r="AD61" s="733"/>
      <c r="AE61" s="733"/>
      <c r="AF61" s="733"/>
      <c r="AG61" s="733"/>
      <c r="AH61" s="733"/>
      <c r="AI61" s="733"/>
      <c r="AJ61" s="733"/>
      <c r="AK61" s="733" t="s">
        <v>1664</v>
      </c>
      <c r="AL61" s="733"/>
      <c r="AM61" s="733"/>
      <c r="AN61" s="733"/>
      <c r="AO61" s="733"/>
      <c r="AP61" s="733" t="s">
        <v>1665</v>
      </c>
      <c r="AQ61" s="733"/>
      <c r="AR61" s="733"/>
      <c r="AS61" s="733"/>
      <c r="AT61" s="733"/>
      <c r="AU61" s="733" t="s">
        <v>2007</v>
      </c>
      <c r="AV61" s="733" t="s">
        <v>2514</v>
      </c>
      <c r="AW61" s="733" t="s">
        <v>3685</v>
      </c>
      <c r="AX61" s="733" t="s">
        <v>3686</v>
      </c>
      <c r="AY61" s="733" t="s">
        <v>3687</v>
      </c>
      <c r="AZ61" s="733" t="s">
        <v>3688</v>
      </c>
      <c r="BA61" s="733"/>
      <c r="BB61" s="733"/>
      <c r="BC61" s="733" t="s">
        <v>5423</v>
      </c>
      <c r="BD61" s="733"/>
      <c r="BE61" s="733"/>
      <c r="BF61" s="733"/>
      <c r="BG61" s="733"/>
      <c r="BH61" s="733"/>
      <c r="BI61" s="733"/>
      <c r="BJ61" s="733"/>
      <c r="BK61" s="733"/>
      <c r="BL61" s="733"/>
      <c r="BM61" s="733"/>
      <c r="BN61" s="733"/>
      <c r="BO61" s="733"/>
      <c r="BP61" s="733"/>
      <c r="BQ61" s="733"/>
      <c r="BR61" s="733"/>
      <c r="BS61" s="733"/>
      <c r="BT61" s="733"/>
      <c r="BU61" s="733"/>
      <c r="BV61" s="900"/>
      <c r="BW61" s="733"/>
      <c r="BX61" s="733"/>
      <c r="BY61" s="733"/>
      <c r="BZ61" s="733"/>
      <c r="CA61" s="900"/>
      <c r="CB61" s="733"/>
      <c r="CC61" s="733"/>
      <c r="CD61" s="733"/>
      <c r="CE61" s="733"/>
      <c r="CF61" s="733"/>
      <c r="CG61" s="733"/>
      <c r="CH61" s="733"/>
      <c r="CI61" s="733"/>
      <c r="CJ61" s="733"/>
      <c r="CK61" s="733"/>
      <c r="CL61" s="733"/>
      <c r="CM61" s="733"/>
      <c r="CN61" s="733"/>
      <c r="CO61" s="733"/>
      <c r="CP61" s="733"/>
      <c r="CQ61" s="733"/>
      <c r="CR61" s="733"/>
      <c r="CS61" s="733"/>
      <c r="CT61" s="733"/>
      <c r="CU61" s="733"/>
      <c r="CV61" s="787" t="s">
        <v>3614</v>
      </c>
      <c r="CW61" s="787" t="s">
        <v>2037</v>
      </c>
      <c r="CX61" s="787"/>
      <c r="CY61" s="693"/>
    </row>
    <row r="62" spans="2:105" ht="15.75" x14ac:dyDescent="0.45">
      <c r="B62" s="788">
        <v>59</v>
      </c>
      <c r="C62" s="788" t="s">
        <v>2242</v>
      </c>
      <c r="D62" s="789" t="s">
        <v>1684</v>
      </c>
      <c r="E62" s="734"/>
      <c r="F62" s="734"/>
      <c r="G62" s="734"/>
      <c r="H62" s="734">
        <v>-1</v>
      </c>
      <c r="I62" s="734">
        <v>1</v>
      </c>
      <c r="J62" s="734"/>
      <c r="K62" s="734"/>
      <c r="L62" s="734"/>
      <c r="M62" s="734"/>
      <c r="N62" s="734"/>
      <c r="O62" s="734"/>
      <c r="P62" s="734"/>
      <c r="Q62" s="734"/>
      <c r="R62" s="734"/>
      <c r="S62" s="734"/>
      <c r="T62" s="734"/>
      <c r="U62" s="734"/>
      <c r="V62" s="734"/>
      <c r="W62" s="734"/>
      <c r="X62" s="734"/>
      <c r="Y62" s="734"/>
      <c r="Z62" s="734"/>
      <c r="AA62" s="734"/>
      <c r="AB62" s="734"/>
      <c r="AC62" s="734"/>
      <c r="AD62" s="734"/>
      <c r="AE62" s="734"/>
      <c r="AF62" s="734"/>
      <c r="AG62" s="734"/>
      <c r="AH62" s="734"/>
      <c r="AI62" s="734"/>
      <c r="AJ62" s="734"/>
      <c r="AK62" s="734" t="s">
        <v>1685</v>
      </c>
      <c r="AL62" s="734"/>
      <c r="AM62" s="734"/>
      <c r="AN62" s="734"/>
      <c r="AO62" s="734"/>
      <c r="AP62" s="734" t="s">
        <v>1686</v>
      </c>
      <c r="AQ62" s="734"/>
      <c r="AR62" s="734"/>
      <c r="AS62" s="734"/>
      <c r="AT62" s="734"/>
      <c r="AU62" s="734"/>
      <c r="AV62" s="734"/>
      <c r="AW62" s="734"/>
      <c r="AX62" s="734"/>
      <c r="AY62" s="734"/>
      <c r="AZ62" s="734"/>
      <c r="BA62" s="734"/>
      <c r="BB62" s="734"/>
      <c r="BC62" s="734" t="s">
        <v>5826</v>
      </c>
      <c r="BD62" s="734"/>
      <c r="BE62" s="734"/>
      <c r="BF62" s="734"/>
      <c r="BG62" s="734"/>
      <c r="BH62" s="734"/>
      <c r="BI62" s="734"/>
      <c r="BJ62" s="734"/>
      <c r="BK62" s="734"/>
      <c r="BL62" s="734"/>
      <c r="BM62" s="734"/>
      <c r="BN62" s="734"/>
      <c r="BO62" s="734"/>
      <c r="BP62" s="734"/>
      <c r="BQ62" s="734"/>
      <c r="BR62" s="734"/>
      <c r="BS62" s="734"/>
      <c r="BT62" s="734"/>
      <c r="BU62" s="734"/>
      <c r="BV62" s="901"/>
      <c r="BW62" s="734"/>
      <c r="BX62" s="734"/>
      <c r="BY62" s="734"/>
      <c r="BZ62" s="734"/>
      <c r="CA62" s="901"/>
      <c r="CB62" s="734"/>
      <c r="CC62" s="734"/>
      <c r="CD62" s="734"/>
      <c r="CE62" s="734"/>
      <c r="CF62" s="734"/>
      <c r="CG62" s="734"/>
      <c r="CH62" s="734"/>
      <c r="CI62" s="734"/>
      <c r="CJ62" s="734"/>
      <c r="CK62" s="734"/>
      <c r="CL62" s="734"/>
      <c r="CM62" s="734"/>
      <c r="CN62" s="734"/>
      <c r="CO62" s="734"/>
      <c r="CP62" s="734"/>
      <c r="CQ62" s="734"/>
      <c r="CR62" s="734"/>
      <c r="CS62" s="734"/>
      <c r="CT62" s="734"/>
      <c r="CU62" s="734"/>
      <c r="CV62" s="790" t="s">
        <v>4594</v>
      </c>
      <c r="CW62" s="790" t="s">
        <v>2037</v>
      </c>
      <c r="CX62" s="790"/>
      <c r="CY62" s="507"/>
      <c r="DA62" s="2019"/>
    </row>
    <row r="63" spans="2:105" ht="15.75" x14ac:dyDescent="0.45">
      <c r="B63" s="788">
        <v>60</v>
      </c>
      <c r="C63" s="788" t="s">
        <v>2467</v>
      </c>
      <c r="D63" s="789" t="s">
        <v>1687</v>
      </c>
      <c r="E63" s="734"/>
      <c r="F63" s="734"/>
      <c r="G63" s="734"/>
      <c r="H63" s="734"/>
      <c r="I63" s="734"/>
      <c r="J63" s="734"/>
      <c r="K63" s="734">
        <v>-1</v>
      </c>
      <c r="L63" s="734">
        <v>1</v>
      </c>
      <c r="M63" s="734"/>
      <c r="N63" s="734"/>
      <c r="O63" s="734"/>
      <c r="P63" s="734"/>
      <c r="Q63" s="734"/>
      <c r="R63" s="734"/>
      <c r="S63" s="734"/>
      <c r="T63" s="734"/>
      <c r="U63" s="734"/>
      <c r="V63" s="734"/>
      <c r="W63" s="734"/>
      <c r="X63" s="734"/>
      <c r="Y63" s="734"/>
      <c r="Z63" s="734"/>
      <c r="AA63" s="734"/>
      <c r="AB63" s="734"/>
      <c r="AC63" s="734"/>
      <c r="AD63" s="734"/>
      <c r="AE63" s="734"/>
      <c r="AF63" s="734"/>
      <c r="AG63" s="734"/>
      <c r="AH63" s="734"/>
      <c r="AI63" s="734"/>
      <c r="AJ63" s="734"/>
      <c r="AK63" s="734"/>
      <c r="AL63" s="734" t="s">
        <v>1688</v>
      </c>
      <c r="AM63" s="734"/>
      <c r="AN63" s="734"/>
      <c r="AO63" s="734"/>
      <c r="AP63" s="734"/>
      <c r="AQ63" s="734" t="s">
        <v>1689</v>
      </c>
      <c r="AR63" s="734"/>
      <c r="AS63" s="734"/>
      <c r="AT63" s="734"/>
      <c r="AU63" s="734"/>
      <c r="AV63" s="734"/>
      <c r="AW63" s="734"/>
      <c r="AX63" s="734"/>
      <c r="AY63" s="734"/>
      <c r="AZ63" s="734"/>
      <c r="BA63" s="734"/>
      <c r="BB63" s="734"/>
      <c r="BC63" s="734" t="s">
        <v>5827</v>
      </c>
      <c r="BD63" s="734"/>
      <c r="BE63" s="734"/>
      <c r="BF63" s="734"/>
      <c r="BG63" s="734"/>
      <c r="BH63" s="734"/>
      <c r="BI63" s="734"/>
      <c r="BJ63" s="734"/>
      <c r="BK63" s="734"/>
      <c r="BL63" s="734"/>
      <c r="BM63" s="734"/>
      <c r="BN63" s="734"/>
      <c r="BO63" s="734"/>
      <c r="BP63" s="734"/>
      <c r="BQ63" s="734"/>
      <c r="BR63" s="734"/>
      <c r="BS63" s="734"/>
      <c r="BT63" s="734"/>
      <c r="BU63" s="734"/>
      <c r="BV63" s="901"/>
      <c r="BW63" s="734"/>
      <c r="BX63" s="734"/>
      <c r="BY63" s="734"/>
      <c r="BZ63" s="734"/>
      <c r="CA63" s="901"/>
      <c r="CB63" s="734"/>
      <c r="CC63" s="734"/>
      <c r="CD63" s="734"/>
      <c r="CE63" s="734"/>
      <c r="CF63" s="734"/>
      <c r="CG63" s="734"/>
      <c r="CH63" s="734"/>
      <c r="CI63" s="734"/>
      <c r="CJ63" s="734"/>
      <c r="CK63" s="734"/>
      <c r="CL63" s="734"/>
      <c r="CM63" s="734"/>
      <c r="CN63" s="734"/>
      <c r="CO63" s="734"/>
      <c r="CP63" s="734"/>
      <c r="CQ63" s="734"/>
      <c r="CR63" s="734"/>
      <c r="CS63" s="734"/>
      <c r="CT63" s="734"/>
      <c r="CU63" s="734"/>
      <c r="CV63" s="790" t="s">
        <v>4595</v>
      </c>
      <c r="CW63" s="790" t="s">
        <v>2037</v>
      </c>
      <c r="CX63" s="790"/>
      <c r="CY63" s="507"/>
      <c r="DA63" s="2019"/>
    </row>
    <row r="64" spans="2:105" ht="15.75" x14ac:dyDescent="0.45">
      <c r="B64" s="788">
        <v>61</v>
      </c>
      <c r="C64" s="788" t="s">
        <v>2468</v>
      </c>
      <c r="D64" s="789" t="s">
        <v>3427</v>
      </c>
      <c r="E64" s="734"/>
      <c r="F64" s="734"/>
      <c r="G64" s="734"/>
      <c r="H64" s="734">
        <v>-1</v>
      </c>
      <c r="I64" s="734">
        <v>1</v>
      </c>
      <c r="J64" s="734"/>
      <c r="K64" s="734"/>
      <c r="L64" s="734"/>
      <c r="M64" s="734"/>
      <c r="N64" s="734"/>
      <c r="O64" s="734"/>
      <c r="P64" s="734"/>
      <c r="Q64" s="734"/>
      <c r="R64" s="734"/>
      <c r="S64" s="734"/>
      <c r="T64" s="734"/>
      <c r="U64" s="734"/>
      <c r="V64" s="734"/>
      <c r="W64" s="734"/>
      <c r="X64" s="734"/>
      <c r="Y64" s="734"/>
      <c r="Z64" s="734"/>
      <c r="AA64" s="734"/>
      <c r="AB64" s="734"/>
      <c r="AC64" s="734"/>
      <c r="AD64" s="734"/>
      <c r="AE64" s="734"/>
      <c r="AF64" s="734"/>
      <c r="AG64" s="734"/>
      <c r="AH64" s="734"/>
      <c r="AI64" s="734"/>
      <c r="AJ64" s="734"/>
      <c r="AK64" s="734" t="s">
        <v>1685</v>
      </c>
      <c r="AL64" s="734"/>
      <c r="AM64" s="734"/>
      <c r="AN64" s="734"/>
      <c r="AO64" s="734"/>
      <c r="AP64" s="734" t="s">
        <v>1686</v>
      </c>
      <c r="AQ64" s="734"/>
      <c r="AR64" s="734"/>
      <c r="AS64" s="734"/>
      <c r="AT64" s="734"/>
      <c r="AU64" s="734"/>
      <c r="AV64" s="734"/>
      <c r="AW64" s="734"/>
      <c r="AX64" s="734"/>
      <c r="AY64" s="734"/>
      <c r="AZ64" s="734"/>
      <c r="BA64" s="734"/>
      <c r="BB64" s="734"/>
      <c r="BC64" s="734" t="s">
        <v>5826</v>
      </c>
      <c r="BD64" s="734"/>
      <c r="BE64" s="734"/>
      <c r="BF64" s="734"/>
      <c r="BG64" s="734"/>
      <c r="BH64" s="734"/>
      <c r="BI64" s="734"/>
      <c r="BJ64" s="734"/>
      <c r="BK64" s="734"/>
      <c r="BL64" s="734"/>
      <c r="BM64" s="734"/>
      <c r="BN64" s="734"/>
      <c r="BO64" s="734"/>
      <c r="BP64" s="734"/>
      <c r="BQ64" s="734"/>
      <c r="BR64" s="734"/>
      <c r="BS64" s="734"/>
      <c r="BT64" s="734"/>
      <c r="BU64" s="734"/>
      <c r="BV64" s="901"/>
      <c r="BW64" s="734"/>
      <c r="BX64" s="734"/>
      <c r="BY64" s="734"/>
      <c r="BZ64" s="734"/>
      <c r="CA64" s="901"/>
      <c r="CB64" s="734"/>
      <c r="CC64" s="734"/>
      <c r="CD64" s="734"/>
      <c r="CE64" s="734"/>
      <c r="CF64" s="734"/>
      <c r="CG64" s="734"/>
      <c r="CH64" s="734"/>
      <c r="CI64" s="734"/>
      <c r="CJ64" s="734"/>
      <c r="CK64" s="734"/>
      <c r="CL64" s="734"/>
      <c r="CM64" s="734"/>
      <c r="CN64" s="734"/>
      <c r="CO64" s="734"/>
      <c r="CP64" s="734"/>
      <c r="CQ64" s="734"/>
      <c r="CR64" s="734"/>
      <c r="CS64" s="734"/>
      <c r="CT64" s="734"/>
      <c r="CU64" s="734"/>
      <c r="CV64" s="790" t="s">
        <v>3429</v>
      </c>
      <c r="CW64" s="790" t="s">
        <v>2037</v>
      </c>
      <c r="CX64" s="790"/>
      <c r="CY64" s="507" t="s">
        <v>3436</v>
      </c>
      <c r="DA64" s="2019"/>
    </row>
    <row r="65" spans="2:105" ht="15.75" x14ac:dyDescent="0.45">
      <c r="B65" s="788">
        <v>62</v>
      </c>
      <c r="C65" s="788" t="s">
        <v>2469</v>
      </c>
      <c r="D65" s="789" t="s">
        <v>3428</v>
      </c>
      <c r="E65" s="734"/>
      <c r="F65" s="734"/>
      <c r="G65" s="734"/>
      <c r="H65" s="734"/>
      <c r="I65" s="734"/>
      <c r="J65" s="734"/>
      <c r="K65" s="734">
        <v>-1</v>
      </c>
      <c r="L65" s="734">
        <v>1</v>
      </c>
      <c r="M65" s="734"/>
      <c r="N65" s="734"/>
      <c r="O65" s="734"/>
      <c r="P65" s="734"/>
      <c r="Q65" s="734"/>
      <c r="R65" s="734"/>
      <c r="S65" s="734"/>
      <c r="T65" s="734"/>
      <c r="U65" s="734"/>
      <c r="V65" s="734"/>
      <c r="W65" s="734"/>
      <c r="X65" s="734"/>
      <c r="Y65" s="734"/>
      <c r="Z65" s="734"/>
      <c r="AA65" s="734"/>
      <c r="AB65" s="734"/>
      <c r="AC65" s="734"/>
      <c r="AD65" s="734"/>
      <c r="AE65" s="734"/>
      <c r="AF65" s="734"/>
      <c r="AG65" s="734"/>
      <c r="AH65" s="734"/>
      <c r="AI65" s="734"/>
      <c r="AJ65" s="734"/>
      <c r="AK65" s="734"/>
      <c r="AL65" s="734" t="s">
        <v>1688</v>
      </c>
      <c r="AM65" s="734"/>
      <c r="AN65" s="734"/>
      <c r="AO65" s="734"/>
      <c r="AP65" s="734"/>
      <c r="AQ65" s="734" t="s">
        <v>1689</v>
      </c>
      <c r="AR65" s="734"/>
      <c r="AS65" s="734"/>
      <c r="AT65" s="734"/>
      <c r="AU65" s="734"/>
      <c r="AV65" s="734"/>
      <c r="AW65" s="734"/>
      <c r="AX65" s="734"/>
      <c r="AY65" s="734"/>
      <c r="AZ65" s="734"/>
      <c r="BA65" s="734"/>
      <c r="BB65" s="734"/>
      <c r="BC65" s="734" t="s">
        <v>5827</v>
      </c>
      <c r="BD65" s="734"/>
      <c r="BE65" s="734"/>
      <c r="BF65" s="734"/>
      <c r="BG65" s="734"/>
      <c r="BH65" s="734"/>
      <c r="BI65" s="734"/>
      <c r="BJ65" s="734"/>
      <c r="BK65" s="734"/>
      <c r="BL65" s="734"/>
      <c r="BM65" s="734"/>
      <c r="BN65" s="734"/>
      <c r="BO65" s="734"/>
      <c r="BP65" s="734"/>
      <c r="BQ65" s="734"/>
      <c r="BR65" s="734"/>
      <c r="BS65" s="734"/>
      <c r="BT65" s="734"/>
      <c r="BU65" s="734"/>
      <c r="BV65" s="901"/>
      <c r="BW65" s="734"/>
      <c r="BX65" s="734"/>
      <c r="BY65" s="734"/>
      <c r="BZ65" s="734"/>
      <c r="CA65" s="901"/>
      <c r="CB65" s="734"/>
      <c r="CC65" s="734"/>
      <c r="CD65" s="734"/>
      <c r="CE65" s="734"/>
      <c r="CF65" s="734"/>
      <c r="CG65" s="734"/>
      <c r="CH65" s="734"/>
      <c r="CI65" s="734"/>
      <c r="CJ65" s="734"/>
      <c r="CK65" s="734"/>
      <c r="CL65" s="734"/>
      <c r="CM65" s="734"/>
      <c r="CN65" s="734"/>
      <c r="CO65" s="734"/>
      <c r="CP65" s="734"/>
      <c r="CQ65" s="734"/>
      <c r="CR65" s="734"/>
      <c r="CS65" s="734"/>
      <c r="CT65" s="734"/>
      <c r="CU65" s="734"/>
      <c r="CV65" s="790" t="s">
        <v>3430</v>
      </c>
      <c r="CW65" s="790" t="s">
        <v>2037</v>
      </c>
      <c r="CX65" s="790"/>
      <c r="CY65" s="507" t="s">
        <v>3436</v>
      </c>
      <c r="DA65" s="2019"/>
    </row>
    <row r="66" spans="2:105" ht="15.75" x14ac:dyDescent="0.45">
      <c r="B66" s="788">
        <v>63</v>
      </c>
      <c r="C66" s="788" t="s">
        <v>2470</v>
      </c>
      <c r="D66" s="789" t="s">
        <v>1690</v>
      </c>
      <c r="E66" s="734"/>
      <c r="F66" s="734">
        <v>1</v>
      </c>
      <c r="G66" s="734"/>
      <c r="H66" s="734"/>
      <c r="I66" s="734">
        <v>-1</v>
      </c>
      <c r="J66" s="734"/>
      <c r="K66" s="734"/>
      <c r="L66" s="734"/>
      <c r="M66" s="734"/>
      <c r="N66" s="734"/>
      <c r="O66" s="734"/>
      <c r="P66" s="734"/>
      <c r="Q66" s="734"/>
      <c r="R66" s="734"/>
      <c r="S66" s="734"/>
      <c r="T66" s="734"/>
      <c r="U66" s="734"/>
      <c r="V66" s="734"/>
      <c r="W66" s="734"/>
      <c r="X66" s="734"/>
      <c r="Y66" s="734"/>
      <c r="Z66" s="734"/>
      <c r="AA66" s="734"/>
      <c r="AB66" s="734"/>
      <c r="AC66" s="734"/>
      <c r="AD66" s="734"/>
      <c r="AE66" s="734"/>
      <c r="AF66" s="734"/>
      <c r="AG66" s="734"/>
      <c r="AH66" s="734"/>
      <c r="AI66" s="734"/>
      <c r="AJ66" s="791" t="s">
        <v>1691</v>
      </c>
      <c r="AK66" s="791" t="s">
        <v>1692</v>
      </c>
      <c r="AL66" s="734"/>
      <c r="AM66" s="734"/>
      <c r="AN66" s="734"/>
      <c r="AO66" s="791" t="s">
        <v>1693</v>
      </c>
      <c r="AP66" s="791" t="s">
        <v>1694</v>
      </c>
      <c r="AQ66" s="734"/>
      <c r="AR66" s="734"/>
      <c r="AS66" s="734"/>
      <c r="AT66" s="734"/>
      <c r="AU66" s="734"/>
      <c r="AV66" s="734"/>
      <c r="AW66" s="734"/>
      <c r="AX66" s="734"/>
      <c r="AY66" s="734"/>
      <c r="AZ66" s="734"/>
      <c r="BA66" s="734"/>
      <c r="BB66" s="734"/>
      <c r="BC66" s="734" t="s">
        <v>5828</v>
      </c>
      <c r="BD66" s="734"/>
      <c r="BE66" s="734"/>
      <c r="BF66" s="734"/>
      <c r="BG66" s="734"/>
      <c r="BH66" s="734"/>
      <c r="BI66" s="734"/>
      <c r="BJ66" s="734"/>
      <c r="BK66" s="734"/>
      <c r="BL66" s="734"/>
      <c r="BM66" s="734"/>
      <c r="BN66" s="734"/>
      <c r="BO66" s="734"/>
      <c r="BP66" s="734"/>
      <c r="BQ66" s="734"/>
      <c r="BR66" s="734"/>
      <c r="BS66" s="734"/>
      <c r="BT66" s="734"/>
      <c r="BU66" s="734"/>
      <c r="BV66" s="901"/>
      <c r="BW66" s="734"/>
      <c r="BX66" s="734"/>
      <c r="BY66" s="734"/>
      <c r="BZ66" s="734"/>
      <c r="CA66" s="901"/>
      <c r="CB66" s="734"/>
      <c r="CC66" s="734"/>
      <c r="CD66" s="734"/>
      <c r="CE66" s="734"/>
      <c r="CF66" s="734"/>
      <c r="CG66" s="734"/>
      <c r="CH66" s="734"/>
      <c r="CI66" s="734"/>
      <c r="CJ66" s="734"/>
      <c r="CK66" s="734"/>
      <c r="CL66" s="734"/>
      <c r="CM66" s="734"/>
      <c r="CN66" s="734"/>
      <c r="CO66" s="734"/>
      <c r="CP66" s="734"/>
      <c r="CQ66" s="734"/>
      <c r="CR66" s="734"/>
      <c r="CS66" s="734"/>
      <c r="CT66" s="734"/>
      <c r="CU66" s="734"/>
      <c r="CV66" s="790" t="s">
        <v>4599</v>
      </c>
      <c r="CW66" s="790" t="s">
        <v>2037</v>
      </c>
      <c r="CX66" s="790"/>
      <c r="CY66" s="507"/>
    </row>
    <row r="67" spans="2:105" ht="15.75" x14ac:dyDescent="0.45">
      <c r="B67" s="788">
        <v>64</v>
      </c>
      <c r="C67" s="788" t="s">
        <v>2471</v>
      </c>
      <c r="D67" s="789" t="s">
        <v>1695</v>
      </c>
      <c r="E67" s="734"/>
      <c r="F67" s="734"/>
      <c r="G67" s="734"/>
      <c r="H67" s="734"/>
      <c r="I67" s="734"/>
      <c r="J67" s="734"/>
      <c r="K67" s="734"/>
      <c r="L67" s="734"/>
      <c r="M67" s="734"/>
      <c r="N67" s="734"/>
      <c r="O67" s="734"/>
      <c r="P67" s="734"/>
      <c r="Q67" s="734"/>
      <c r="R67" s="734"/>
      <c r="S67" s="734"/>
      <c r="T67" s="734"/>
      <c r="U67" s="734"/>
      <c r="V67" s="734"/>
      <c r="W67" s="734"/>
      <c r="X67" s="734"/>
      <c r="Y67" s="734"/>
      <c r="Z67" s="734"/>
      <c r="AA67" s="734"/>
      <c r="AB67" s="734">
        <v>1</v>
      </c>
      <c r="AC67" s="734"/>
      <c r="AD67" s="734"/>
      <c r="AE67" s="734"/>
      <c r="AF67" s="734"/>
      <c r="AG67" s="734"/>
      <c r="AH67" s="734"/>
      <c r="AI67" s="734"/>
      <c r="AJ67" s="734">
        <v>-1</v>
      </c>
      <c r="AK67" s="734"/>
      <c r="AL67" s="734"/>
      <c r="AM67" s="734"/>
      <c r="AN67" s="734"/>
      <c r="AO67" s="734"/>
      <c r="AP67" s="734"/>
      <c r="AQ67" s="734"/>
      <c r="AR67" s="734"/>
      <c r="AS67" s="734"/>
      <c r="AT67" s="734"/>
      <c r="AU67" s="734"/>
      <c r="AV67" s="734"/>
      <c r="AW67" s="734"/>
      <c r="AX67" s="734"/>
      <c r="AY67" s="734"/>
      <c r="AZ67" s="734"/>
      <c r="BA67" s="734"/>
      <c r="BB67" s="734"/>
      <c r="BC67" s="734"/>
      <c r="BD67" s="734"/>
      <c r="BE67" s="734"/>
      <c r="BF67" s="734"/>
      <c r="BG67" s="734"/>
      <c r="BH67" s="734"/>
      <c r="BI67" s="734"/>
      <c r="BJ67" s="734"/>
      <c r="BK67" s="734"/>
      <c r="BL67" s="734"/>
      <c r="BM67" s="734"/>
      <c r="BN67" s="734"/>
      <c r="BO67" s="734"/>
      <c r="BP67" s="734"/>
      <c r="BQ67" s="734"/>
      <c r="BR67" s="734"/>
      <c r="BS67" s="734"/>
      <c r="BT67" s="734"/>
      <c r="BU67" s="734"/>
      <c r="BV67" s="901"/>
      <c r="BW67" s="734"/>
      <c r="BX67" s="734"/>
      <c r="BY67" s="734"/>
      <c r="BZ67" s="734"/>
      <c r="CA67" s="901"/>
      <c r="CB67" s="734"/>
      <c r="CC67" s="734"/>
      <c r="CD67" s="734"/>
      <c r="CE67" s="734"/>
      <c r="CF67" s="734"/>
      <c r="CG67" s="734"/>
      <c r="CH67" s="734"/>
      <c r="CI67" s="734"/>
      <c r="CJ67" s="734"/>
      <c r="CK67" s="734"/>
      <c r="CL67" s="734"/>
      <c r="CM67" s="734"/>
      <c r="CN67" s="734"/>
      <c r="CO67" s="734"/>
      <c r="CP67" s="734"/>
      <c r="CQ67" s="734"/>
      <c r="CR67" s="734"/>
      <c r="CS67" s="734"/>
      <c r="CT67" s="734"/>
      <c r="CU67" s="734"/>
      <c r="CV67" s="790" t="s">
        <v>4598</v>
      </c>
      <c r="CW67" s="790" t="s">
        <v>2037</v>
      </c>
      <c r="CX67" s="790"/>
      <c r="CY67" s="507"/>
    </row>
    <row r="68" spans="2:105" ht="15.75" x14ac:dyDescent="0.55000000000000004">
      <c r="B68" s="788">
        <v>65</v>
      </c>
      <c r="C68" s="788" t="s">
        <v>2472</v>
      </c>
      <c r="D68" s="789" t="s">
        <v>1696</v>
      </c>
      <c r="E68" s="734"/>
      <c r="F68" s="734"/>
      <c r="G68" s="734"/>
      <c r="H68" s="734"/>
      <c r="I68" s="734"/>
      <c r="J68" s="734"/>
      <c r="K68" s="734"/>
      <c r="L68" s="734"/>
      <c r="M68" s="734"/>
      <c r="N68" s="734"/>
      <c r="O68" s="734"/>
      <c r="P68" s="734"/>
      <c r="Q68" s="734"/>
      <c r="R68" s="734"/>
      <c r="S68" s="734"/>
      <c r="T68" s="734"/>
      <c r="U68" s="734"/>
      <c r="V68" s="734"/>
      <c r="W68" s="734"/>
      <c r="X68" s="734"/>
      <c r="Y68" s="734"/>
      <c r="Z68" s="734"/>
      <c r="AA68" s="734"/>
      <c r="AB68" s="734"/>
      <c r="AC68" s="734"/>
      <c r="AD68" s="734"/>
      <c r="AE68" s="734"/>
      <c r="AF68" s="734"/>
      <c r="AG68" s="734"/>
      <c r="AH68" s="734"/>
      <c r="AI68" s="734"/>
      <c r="AJ68" s="734"/>
      <c r="AK68" s="734"/>
      <c r="AL68" s="734"/>
      <c r="AM68" s="734">
        <v>1</v>
      </c>
      <c r="AN68" s="734"/>
      <c r="AO68" s="734">
        <v>-1</v>
      </c>
      <c r="AP68" s="734"/>
      <c r="AQ68" s="734"/>
      <c r="AR68" s="734"/>
      <c r="AS68" s="734"/>
      <c r="AT68" s="734"/>
      <c r="AU68" s="734"/>
      <c r="AV68" s="734"/>
      <c r="AW68" s="734"/>
      <c r="AX68" s="734"/>
      <c r="AY68" s="734"/>
      <c r="AZ68" s="734"/>
      <c r="BA68" s="734"/>
      <c r="BB68" s="734"/>
      <c r="BC68" s="734"/>
      <c r="BD68" s="734"/>
      <c r="BE68" s="734"/>
      <c r="BF68" s="734"/>
      <c r="BG68" s="734"/>
      <c r="BH68" s="734"/>
      <c r="BI68" s="734"/>
      <c r="BJ68" s="734"/>
      <c r="BK68" s="734"/>
      <c r="BL68" s="734"/>
      <c r="BM68" s="734"/>
      <c r="BN68" s="734"/>
      <c r="BO68" s="734"/>
      <c r="BP68" s="734"/>
      <c r="BQ68" s="734"/>
      <c r="BR68" s="734"/>
      <c r="BS68" s="734"/>
      <c r="BT68" s="734"/>
      <c r="BU68" s="734"/>
      <c r="BV68" s="901"/>
      <c r="BW68" s="734"/>
      <c r="BX68" s="734"/>
      <c r="BY68" s="734"/>
      <c r="BZ68" s="734"/>
      <c r="CA68" s="901"/>
      <c r="CB68" s="734"/>
      <c r="CC68" s="734"/>
      <c r="CD68" s="734"/>
      <c r="CE68" s="734"/>
      <c r="CF68" s="734"/>
      <c r="CG68" s="734"/>
      <c r="CH68" s="734"/>
      <c r="CI68" s="734"/>
      <c r="CJ68" s="734"/>
      <c r="CK68" s="734"/>
      <c r="CL68" s="734"/>
      <c r="CM68" s="734"/>
      <c r="CN68" s="734"/>
      <c r="CO68" s="734"/>
      <c r="CP68" s="734"/>
      <c r="CQ68" s="734"/>
      <c r="CR68" s="734"/>
      <c r="CS68" s="734"/>
      <c r="CT68" s="734"/>
      <c r="CU68" s="734"/>
      <c r="CV68" s="790" t="s">
        <v>4597</v>
      </c>
      <c r="CW68" s="790" t="s">
        <v>2037</v>
      </c>
      <c r="CX68" s="790"/>
      <c r="CY68" s="507"/>
    </row>
    <row r="69" spans="2:105" ht="15.75" x14ac:dyDescent="0.45">
      <c r="B69" s="788">
        <v>66</v>
      </c>
      <c r="C69" s="788" t="s">
        <v>2473</v>
      </c>
      <c r="D69" s="789" t="s">
        <v>1697</v>
      </c>
      <c r="E69" s="734"/>
      <c r="F69" s="734"/>
      <c r="G69" s="734"/>
      <c r="H69" s="734"/>
      <c r="I69" s="734">
        <v>1</v>
      </c>
      <c r="J69" s="734"/>
      <c r="K69" s="734"/>
      <c r="L69" s="734"/>
      <c r="M69" s="734"/>
      <c r="N69" s="734"/>
      <c r="O69" s="734">
        <v>-1</v>
      </c>
      <c r="P69" s="734"/>
      <c r="Q69" s="734"/>
      <c r="R69" s="734"/>
      <c r="S69" s="734"/>
      <c r="T69" s="734"/>
      <c r="U69" s="734"/>
      <c r="V69" s="734"/>
      <c r="W69" s="734"/>
      <c r="X69" s="734"/>
      <c r="Y69" s="734"/>
      <c r="Z69" s="734"/>
      <c r="AA69" s="734"/>
      <c r="AB69" s="734"/>
      <c r="AC69" s="734"/>
      <c r="AD69" s="734"/>
      <c r="AE69" s="734"/>
      <c r="AF69" s="734"/>
      <c r="AG69" s="734"/>
      <c r="AH69" s="734"/>
      <c r="AI69" s="734"/>
      <c r="AJ69" s="734"/>
      <c r="AK69" s="734" t="s">
        <v>2183</v>
      </c>
      <c r="AL69" s="734"/>
      <c r="AM69" s="734"/>
      <c r="AN69" s="734"/>
      <c r="AO69" s="734"/>
      <c r="AP69" s="734" t="s">
        <v>1633</v>
      </c>
      <c r="AQ69" s="734"/>
      <c r="AR69" s="734"/>
      <c r="AS69" s="734"/>
      <c r="AT69" s="734"/>
      <c r="AU69" s="734" t="s">
        <v>2006</v>
      </c>
      <c r="AV69" s="734"/>
      <c r="AW69" s="734"/>
      <c r="AX69" s="734"/>
      <c r="AY69" s="734"/>
      <c r="AZ69" s="734"/>
      <c r="BA69" s="734"/>
      <c r="BB69" s="734"/>
      <c r="BC69" s="793" t="s">
        <v>5829</v>
      </c>
      <c r="BD69" s="734"/>
      <c r="BE69" s="734"/>
      <c r="BF69" s="734"/>
      <c r="BG69" s="734"/>
      <c r="BH69" s="734"/>
      <c r="BI69" s="734"/>
      <c r="BJ69" s="734"/>
      <c r="BK69" s="734"/>
      <c r="BL69" s="734"/>
      <c r="BM69" s="734"/>
      <c r="BN69" s="734"/>
      <c r="BO69" s="734"/>
      <c r="BP69" s="734"/>
      <c r="BQ69" s="734"/>
      <c r="BR69" s="734"/>
      <c r="BS69" s="734"/>
      <c r="BT69" s="734"/>
      <c r="BU69" s="734"/>
      <c r="BV69" s="901"/>
      <c r="BW69" s="734"/>
      <c r="BX69" s="734"/>
      <c r="BY69" s="734"/>
      <c r="BZ69" s="734"/>
      <c r="CA69" s="901"/>
      <c r="CB69" s="734"/>
      <c r="CC69" s="734"/>
      <c r="CD69" s="734"/>
      <c r="CE69" s="734"/>
      <c r="CF69" s="734"/>
      <c r="CG69" s="734"/>
      <c r="CH69" s="734"/>
      <c r="CI69" s="734"/>
      <c r="CJ69" s="734"/>
      <c r="CK69" s="734"/>
      <c r="CL69" s="734"/>
      <c r="CM69" s="734"/>
      <c r="CN69" s="734"/>
      <c r="CO69" s="734"/>
      <c r="CP69" s="734"/>
      <c r="CQ69" s="734"/>
      <c r="CR69" s="734"/>
      <c r="CS69" s="734"/>
      <c r="CT69" s="734"/>
      <c r="CU69" s="734"/>
      <c r="CV69" s="790" t="s">
        <v>1744</v>
      </c>
      <c r="CW69" s="790" t="s">
        <v>2037</v>
      </c>
      <c r="CX69" s="790"/>
      <c r="CY69" s="507"/>
    </row>
    <row r="70" spans="2:105" ht="15.75" x14ac:dyDescent="0.45">
      <c r="B70" s="788">
        <v>67</v>
      </c>
      <c r="C70" s="788" t="s">
        <v>2474</v>
      </c>
      <c r="D70" s="789" t="s">
        <v>1742</v>
      </c>
      <c r="E70" s="734"/>
      <c r="F70" s="734">
        <v>1</v>
      </c>
      <c r="G70" s="734"/>
      <c r="H70" s="734"/>
      <c r="I70" s="734"/>
      <c r="J70" s="734"/>
      <c r="K70" s="734"/>
      <c r="L70" s="734"/>
      <c r="M70" s="734"/>
      <c r="N70" s="734"/>
      <c r="O70" s="734"/>
      <c r="P70" s="734">
        <v>-1</v>
      </c>
      <c r="Q70" s="734"/>
      <c r="R70" s="734"/>
      <c r="S70" s="734"/>
      <c r="T70" s="734"/>
      <c r="U70" s="734"/>
      <c r="V70" s="734"/>
      <c r="W70" s="734"/>
      <c r="X70" s="734"/>
      <c r="Y70" s="734"/>
      <c r="Z70" s="734"/>
      <c r="AA70" s="734"/>
      <c r="AB70" s="734"/>
      <c r="AC70" s="734"/>
      <c r="AD70" s="734"/>
      <c r="AE70" s="734"/>
      <c r="AF70" s="734"/>
      <c r="AG70" s="734"/>
      <c r="AH70" s="734"/>
      <c r="AI70" s="734"/>
      <c r="AJ70" s="734"/>
      <c r="AK70" s="734" t="s">
        <v>2183</v>
      </c>
      <c r="AL70" s="734"/>
      <c r="AM70" s="734"/>
      <c r="AN70" s="734"/>
      <c r="AO70" s="734"/>
      <c r="AP70" s="734" t="s">
        <v>1633</v>
      </c>
      <c r="AQ70" s="734"/>
      <c r="AR70" s="734"/>
      <c r="AS70" s="734"/>
      <c r="AT70" s="734"/>
      <c r="AU70" s="734" t="s">
        <v>2006</v>
      </c>
      <c r="AV70" s="734"/>
      <c r="AW70" s="734"/>
      <c r="AX70" s="734"/>
      <c r="AY70" s="734"/>
      <c r="AZ70" s="734"/>
      <c r="BA70" s="734"/>
      <c r="BB70" s="734"/>
      <c r="BC70" s="793" t="s">
        <v>5830</v>
      </c>
      <c r="BD70" s="734"/>
      <c r="BE70" s="734"/>
      <c r="BF70" s="734"/>
      <c r="BG70" s="734"/>
      <c r="BH70" s="734"/>
      <c r="BI70" s="734"/>
      <c r="BJ70" s="734"/>
      <c r="BK70" s="734"/>
      <c r="BL70" s="734"/>
      <c r="BM70" s="734"/>
      <c r="BN70" s="734"/>
      <c r="BO70" s="734"/>
      <c r="BP70" s="734"/>
      <c r="BQ70" s="734"/>
      <c r="BR70" s="734"/>
      <c r="BS70" s="734"/>
      <c r="BT70" s="734"/>
      <c r="BU70" s="734"/>
      <c r="BV70" s="901"/>
      <c r="BW70" s="734"/>
      <c r="BX70" s="734"/>
      <c r="BY70" s="734"/>
      <c r="BZ70" s="734"/>
      <c r="CA70" s="901"/>
      <c r="CB70" s="734"/>
      <c r="CC70" s="734"/>
      <c r="CD70" s="734"/>
      <c r="CE70" s="734"/>
      <c r="CF70" s="734"/>
      <c r="CG70" s="734"/>
      <c r="CH70" s="734"/>
      <c r="CI70" s="734"/>
      <c r="CJ70" s="734"/>
      <c r="CK70" s="734"/>
      <c r="CL70" s="734"/>
      <c r="CM70" s="734"/>
      <c r="CN70" s="734"/>
      <c r="CO70" s="734"/>
      <c r="CP70" s="734"/>
      <c r="CQ70" s="734"/>
      <c r="CR70" s="734"/>
      <c r="CS70" s="734"/>
      <c r="CT70" s="734"/>
      <c r="CU70" s="734"/>
      <c r="CV70" s="790" t="s">
        <v>4596</v>
      </c>
      <c r="CW70" s="790" t="s">
        <v>2037</v>
      </c>
      <c r="CX70" s="790"/>
      <c r="CY70" s="507"/>
    </row>
    <row r="71" spans="2:105" ht="15.75" x14ac:dyDescent="0.45">
      <c r="B71" s="788">
        <v>68</v>
      </c>
      <c r="C71" s="788" t="s">
        <v>2475</v>
      </c>
      <c r="D71" s="789" t="s">
        <v>294</v>
      </c>
      <c r="E71" s="792" t="s">
        <v>1379</v>
      </c>
      <c r="F71" s="734"/>
      <c r="G71" s="734">
        <v>-1</v>
      </c>
      <c r="H71" s="734"/>
      <c r="I71" s="734"/>
      <c r="J71" s="734"/>
      <c r="K71" s="734"/>
      <c r="L71" s="734"/>
      <c r="M71" s="734"/>
      <c r="N71" s="734"/>
      <c r="O71" s="734"/>
      <c r="P71" s="734"/>
      <c r="Q71" s="734"/>
      <c r="R71" s="734"/>
      <c r="S71" s="734"/>
      <c r="T71" s="734"/>
      <c r="U71" s="734"/>
      <c r="V71" s="734"/>
      <c r="W71" s="734"/>
      <c r="X71" s="734"/>
      <c r="Y71" s="734"/>
      <c r="Z71" s="734"/>
      <c r="AA71" s="734"/>
      <c r="AB71" s="734"/>
      <c r="AC71" s="734"/>
      <c r="AD71" s="734"/>
      <c r="AE71" s="734"/>
      <c r="AF71" s="734"/>
      <c r="AG71" s="734"/>
      <c r="AH71" s="734"/>
      <c r="AI71" s="734"/>
      <c r="AJ71" s="734"/>
      <c r="AK71" s="734"/>
      <c r="AL71" s="734"/>
      <c r="AM71" s="734"/>
      <c r="AN71" s="734"/>
      <c r="AO71" s="734"/>
      <c r="AP71" s="734"/>
      <c r="AQ71" s="734"/>
      <c r="AR71" s="734"/>
      <c r="AS71" s="734"/>
      <c r="AT71" s="793" t="s">
        <v>1380</v>
      </c>
      <c r="AU71" s="734" t="s">
        <v>1995</v>
      </c>
      <c r="AV71" s="734"/>
      <c r="AW71" s="734"/>
      <c r="AX71" s="734"/>
      <c r="AY71" s="734"/>
      <c r="AZ71" s="734"/>
      <c r="BA71" s="734"/>
      <c r="BB71" s="734"/>
      <c r="BC71" s="734"/>
      <c r="BD71" s="734"/>
      <c r="BE71" s="734"/>
      <c r="BF71" s="734"/>
      <c r="BG71" s="734"/>
      <c r="BH71" s="734"/>
      <c r="BI71" s="734"/>
      <c r="BJ71" s="734"/>
      <c r="BK71" s="734"/>
      <c r="BL71" s="734"/>
      <c r="BM71" s="734"/>
      <c r="BN71" s="734"/>
      <c r="BO71" s="734"/>
      <c r="BP71" s="734"/>
      <c r="BQ71" s="734"/>
      <c r="BR71" s="734"/>
      <c r="BS71" s="734"/>
      <c r="BT71" s="734"/>
      <c r="BU71" s="734"/>
      <c r="BV71" s="901"/>
      <c r="BW71" s="734"/>
      <c r="BX71" s="734"/>
      <c r="BY71" s="734"/>
      <c r="BZ71" s="734"/>
      <c r="CA71" s="901"/>
      <c r="CB71" s="734"/>
      <c r="CC71" s="734"/>
      <c r="CD71" s="734"/>
      <c r="CE71" s="734"/>
      <c r="CF71" s="734"/>
      <c r="CG71" s="734"/>
      <c r="CH71" s="734"/>
      <c r="CI71" s="734"/>
      <c r="CJ71" s="734"/>
      <c r="CK71" s="734"/>
      <c r="CL71" s="734"/>
      <c r="CM71" s="734"/>
      <c r="CN71" s="734"/>
      <c r="CO71" s="734"/>
      <c r="CP71" s="734"/>
      <c r="CQ71" s="734"/>
      <c r="CR71" s="734"/>
      <c r="CS71" s="734"/>
      <c r="CT71" s="734"/>
      <c r="CU71" s="734"/>
      <c r="CV71" s="790" t="s">
        <v>2482</v>
      </c>
      <c r="CW71" s="790" t="s">
        <v>2037</v>
      </c>
      <c r="CX71" s="790" t="s">
        <v>297</v>
      </c>
      <c r="CY71" s="507"/>
    </row>
    <row r="72" spans="2:105" ht="15.75" x14ac:dyDescent="0.55000000000000004">
      <c r="B72" s="788">
        <v>69</v>
      </c>
      <c r="C72" s="788" t="s">
        <v>2476</v>
      </c>
      <c r="D72" s="789" t="s">
        <v>2373</v>
      </c>
      <c r="E72" s="734"/>
      <c r="F72" s="734"/>
      <c r="G72" s="734"/>
      <c r="H72" s="734"/>
      <c r="I72" s="734"/>
      <c r="J72" s="734"/>
      <c r="K72" s="734"/>
      <c r="L72" s="734"/>
      <c r="M72" s="734"/>
      <c r="N72" s="734"/>
      <c r="O72" s="734"/>
      <c r="P72" s="734"/>
      <c r="Q72" s="793" t="s">
        <v>4587</v>
      </c>
      <c r="R72" s="793" t="s">
        <v>4891</v>
      </c>
      <c r="S72" s="793" t="s">
        <v>4600</v>
      </c>
      <c r="T72" s="793" t="s">
        <v>4602</v>
      </c>
      <c r="U72" s="793" t="s">
        <v>4604</v>
      </c>
      <c r="V72" s="793" t="s">
        <v>4606</v>
      </c>
      <c r="W72" s="793" t="s">
        <v>4608</v>
      </c>
      <c r="X72" s="793" t="s">
        <v>4609</v>
      </c>
      <c r="Y72" s="793" t="s">
        <v>5832</v>
      </c>
      <c r="Z72" s="793" t="s">
        <v>5833</v>
      </c>
      <c r="AA72" s="793" t="s">
        <v>5834</v>
      </c>
      <c r="AB72" s="734" t="s">
        <v>2374</v>
      </c>
      <c r="AC72" s="734"/>
      <c r="AD72" s="734"/>
      <c r="AE72" s="734">
        <v>-1</v>
      </c>
      <c r="AF72" s="734"/>
      <c r="AG72" s="734"/>
      <c r="AH72" s="734"/>
      <c r="AI72" s="734"/>
      <c r="AJ72" s="734"/>
      <c r="AK72" s="734"/>
      <c r="AL72" s="734"/>
      <c r="AM72" s="734" t="s">
        <v>2375</v>
      </c>
      <c r="AN72" s="734"/>
      <c r="AO72" s="734"/>
      <c r="AP72" s="734"/>
      <c r="AQ72" s="734"/>
      <c r="AR72" s="734"/>
      <c r="AS72" s="734"/>
      <c r="AT72" s="734"/>
      <c r="AU72" s="734" t="s">
        <v>2376</v>
      </c>
      <c r="AV72" s="734"/>
      <c r="AW72" s="734"/>
      <c r="AX72" s="734"/>
      <c r="AY72" s="734"/>
      <c r="AZ72" s="734"/>
      <c r="BA72" s="734"/>
      <c r="BB72" s="734"/>
      <c r="BC72" s="734" t="s">
        <v>5838</v>
      </c>
      <c r="BD72" s="734"/>
      <c r="BE72" s="734"/>
      <c r="BF72" s="734"/>
      <c r="BG72" s="734"/>
      <c r="BH72" s="734"/>
      <c r="BI72" s="734"/>
      <c r="BJ72" s="734"/>
      <c r="BK72" s="734"/>
      <c r="BL72" s="734"/>
      <c r="BM72" s="734"/>
      <c r="BN72" s="734"/>
      <c r="BO72" s="734"/>
      <c r="BP72" s="734"/>
      <c r="BQ72" s="734"/>
      <c r="BR72" s="734"/>
      <c r="BS72" s="734"/>
      <c r="BT72" s="734"/>
      <c r="BU72" s="734"/>
      <c r="BV72" s="901"/>
      <c r="BW72" s="734"/>
      <c r="BX72" s="734"/>
      <c r="BY72" s="734"/>
      <c r="BZ72" s="734"/>
      <c r="CA72" s="901"/>
      <c r="CB72" s="734"/>
      <c r="CC72" s="734"/>
      <c r="CD72" s="734"/>
      <c r="CE72" s="734"/>
      <c r="CF72" s="734"/>
      <c r="CG72" s="734"/>
      <c r="CH72" s="734"/>
      <c r="CI72" s="734"/>
      <c r="CJ72" s="734"/>
      <c r="CK72" s="734"/>
      <c r="CL72" s="734"/>
      <c r="CM72" s="734"/>
      <c r="CN72" s="734"/>
      <c r="CO72" s="734"/>
      <c r="CP72" s="734"/>
      <c r="CQ72" s="734"/>
      <c r="CR72" s="734"/>
      <c r="CS72" s="734"/>
      <c r="CT72" s="734"/>
      <c r="CU72" s="793" t="s">
        <v>5890</v>
      </c>
      <c r="CV72" s="790" t="s">
        <v>4611</v>
      </c>
      <c r="CW72" s="790" t="s">
        <v>2037</v>
      </c>
      <c r="CX72" s="790"/>
      <c r="CY72" s="507"/>
    </row>
    <row r="73" spans="2:105" ht="15.75" x14ac:dyDescent="0.55000000000000004">
      <c r="B73" s="788">
        <v>70</v>
      </c>
      <c r="C73" s="788" t="s">
        <v>2477</v>
      </c>
      <c r="D73" s="789" t="s">
        <v>1698</v>
      </c>
      <c r="E73" s="734"/>
      <c r="F73" s="734"/>
      <c r="G73" s="734"/>
      <c r="H73" s="734"/>
      <c r="I73" s="734"/>
      <c r="J73" s="734"/>
      <c r="K73" s="734"/>
      <c r="L73" s="734"/>
      <c r="M73" s="734"/>
      <c r="N73" s="734"/>
      <c r="O73" s="734"/>
      <c r="P73" s="734"/>
      <c r="Q73" s="793" t="s">
        <v>4612</v>
      </c>
      <c r="R73" s="793" t="s">
        <v>4892</v>
      </c>
      <c r="S73" s="793" t="s">
        <v>4601</v>
      </c>
      <c r="T73" s="793" t="s">
        <v>4603</v>
      </c>
      <c r="U73" s="793" t="s">
        <v>4605</v>
      </c>
      <c r="V73" s="793" t="s">
        <v>4607</v>
      </c>
      <c r="W73" s="793" t="s">
        <v>4613</v>
      </c>
      <c r="X73" s="793" t="s">
        <v>4610</v>
      </c>
      <c r="Y73" s="793" t="s">
        <v>5835</v>
      </c>
      <c r="Z73" s="793" t="s">
        <v>5836</v>
      </c>
      <c r="AA73" s="793" t="s">
        <v>5837</v>
      </c>
      <c r="AB73" s="734" t="s">
        <v>1699</v>
      </c>
      <c r="AC73" s="734"/>
      <c r="AD73" s="734">
        <v>-1</v>
      </c>
      <c r="AE73" s="734"/>
      <c r="AF73" s="734"/>
      <c r="AG73" s="734"/>
      <c r="AH73" s="734"/>
      <c r="AI73" s="734"/>
      <c r="AJ73" s="734"/>
      <c r="AK73" s="734"/>
      <c r="AL73" s="734"/>
      <c r="AM73" s="734" t="s">
        <v>1700</v>
      </c>
      <c r="AN73" s="734"/>
      <c r="AO73" s="734"/>
      <c r="AP73" s="734"/>
      <c r="AQ73" s="734"/>
      <c r="AR73" s="734"/>
      <c r="AS73" s="734"/>
      <c r="AT73" s="734"/>
      <c r="AU73" s="734" t="s">
        <v>1701</v>
      </c>
      <c r="AV73" s="734"/>
      <c r="AW73" s="734"/>
      <c r="AX73" s="734"/>
      <c r="AY73" s="734"/>
      <c r="AZ73" s="734"/>
      <c r="BA73" s="734"/>
      <c r="BB73" s="734"/>
      <c r="BC73" s="734" t="s">
        <v>5839</v>
      </c>
      <c r="BD73" s="734"/>
      <c r="BE73" s="734"/>
      <c r="BF73" s="734"/>
      <c r="BG73" s="734"/>
      <c r="BH73" s="734"/>
      <c r="BI73" s="734"/>
      <c r="BJ73" s="734"/>
      <c r="BK73" s="734"/>
      <c r="BL73" s="734"/>
      <c r="BM73" s="734"/>
      <c r="BN73" s="734"/>
      <c r="BO73" s="734"/>
      <c r="BP73" s="734"/>
      <c r="BQ73" s="734"/>
      <c r="BR73" s="734"/>
      <c r="BS73" s="734"/>
      <c r="BT73" s="734"/>
      <c r="BU73" s="734"/>
      <c r="BV73" s="901"/>
      <c r="BW73" s="734"/>
      <c r="BX73" s="734"/>
      <c r="BY73" s="734"/>
      <c r="BZ73" s="734"/>
      <c r="CA73" s="901"/>
      <c r="CB73" s="734"/>
      <c r="CC73" s="734"/>
      <c r="CD73" s="734"/>
      <c r="CE73" s="734"/>
      <c r="CF73" s="734"/>
      <c r="CG73" s="734"/>
      <c r="CH73" s="734"/>
      <c r="CI73" s="734"/>
      <c r="CJ73" s="734"/>
      <c r="CK73" s="734"/>
      <c r="CL73" s="734"/>
      <c r="CM73" s="734"/>
      <c r="CN73" s="734"/>
      <c r="CO73" s="734"/>
      <c r="CP73" s="734"/>
      <c r="CQ73" s="734"/>
      <c r="CR73" s="734"/>
      <c r="CS73" s="734"/>
      <c r="CT73" s="734"/>
      <c r="CU73" s="793" t="s">
        <v>5891</v>
      </c>
      <c r="CV73" s="790" t="s">
        <v>4614</v>
      </c>
      <c r="CW73" s="790" t="s">
        <v>2037</v>
      </c>
      <c r="CX73" s="790"/>
      <c r="CY73" s="507"/>
    </row>
    <row r="74" spans="2:105" ht="17.25" customHeight="1" x14ac:dyDescent="0.45">
      <c r="B74" s="794">
        <v>71</v>
      </c>
      <c r="C74" s="794" t="s">
        <v>2488</v>
      </c>
      <c r="D74" s="795" t="s">
        <v>2952</v>
      </c>
      <c r="E74" s="735"/>
      <c r="F74" s="735"/>
      <c r="G74" s="735"/>
      <c r="H74" s="735"/>
      <c r="I74" s="735"/>
      <c r="J74" s="735"/>
      <c r="K74" s="735"/>
      <c r="L74" s="735"/>
      <c r="M74" s="735"/>
      <c r="N74" s="735"/>
      <c r="O74" s="735"/>
      <c r="P74" s="735"/>
      <c r="Q74" s="796"/>
      <c r="R74" s="735"/>
      <c r="S74" s="735"/>
      <c r="T74" s="735"/>
      <c r="U74" s="735"/>
      <c r="V74" s="735"/>
      <c r="W74" s="735"/>
      <c r="X74" s="735"/>
      <c r="Y74" s="735"/>
      <c r="Z74" s="735"/>
      <c r="AA74" s="735"/>
      <c r="AB74" s="735"/>
      <c r="AC74" s="735"/>
      <c r="AD74" s="735"/>
      <c r="AE74" s="735"/>
      <c r="AF74" s="735"/>
      <c r="AG74" s="735"/>
      <c r="AH74" s="735"/>
      <c r="AI74" s="735"/>
      <c r="AJ74" s="735"/>
      <c r="AK74" s="735"/>
      <c r="AL74" s="735"/>
      <c r="AM74" s="735"/>
      <c r="AN74" s="735"/>
      <c r="AO74" s="735"/>
      <c r="AP74" s="735"/>
      <c r="AQ74" s="735"/>
      <c r="AR74" s="735"/>
      <c r="AS74" s="735"/>
      <c r="AT74" s="735"/>
      <c r="AU74" s="735"/>
      <c r="AV74" s="735"/>
      <c r="AW74" s="735"/>
      <c r="AX74" s="735"/>
      <c r="AY74" s="735"/>
      <c r="AZ74" s="735"/>
      <c r="BA74" s="735"/>
      <c r="BB74" s="735"/>
      <c r="BC74" s="735"/>
      <c r="BD74" s="735"/>
      <c r="BE74" s="735"/>
      <c r="BF74" s="934" t="s">
        <v>1359</v>
      </c>
      <c r="BG74" s="934" t="s">
        <v>1360</v>
      </c>
      <c r="BH74" s="902"/>
      <c r="BI74" s="934" t="s">
        <v>1363</v>
      </c>
      <c r="BJ74" s="902"/>
      <c r="BK74" s="934" t="s">
        <v>1364</v>
      </c>
      <c r="BL74" s="902"/>
      <c r="BM74" s="797"/>
      <c r="BN74" s="797"/>
      <c r="BO74" s="735"/>
      <c r="BP74" s="797"/>
      <c r="BQ74" s="735"/>
      <c r="BR74" s="797"/>
      <c r="BS74" s="735"/>
      <c r="BT74" s="735"/>
      <c r="BU74" s="735"/>
      <c r="BV74" s="902"/>
      <c r="BW74" s="796"/>
      <c r="BX74" s="735"/>
      <c r="BY74" s="735"/>
      <c r="BZ74" s="735"/>
      <c r="CA74" s="902"/>
      <c r="CB74" s="796"/>
      <c r="CC74" s="796"/>
      <c r="CD74" s="796"/>
      <c r="CE74" s="796"/>
      <c r="CF74" s="796"/>
      <c r="CG74" s="796"/>
      <c r="CH74" s="796"/>
      <c r="CI74" s="796"/>
      <c r="CJ74" s="796"/>
      <c r="CK74" s="796"/>
      <c r="CL74" s="796"/>
      <c r="CM74" s="796"/>
      <c r="CN74" s="796"/>
      <c r="CO74" s="796"/>
      <c r="CP74" s="796"/>
      <c r="CQ74" s="796"/>
      <c r="CR74" s="796"/>
      <c r="CS74" s="796"/>
      <c r="CT74" s="796"/>
      <c r="CU74" s="796"/>
      <c r="CV74" s="798" t="s">
        <v>3454</v>
      </c>
      <c r="CW74" s="799" t="s">
        <v>2037</v>
      </c>
      <c r="CX74" s="799"/>
      <c r="CY74" s="538"/>
    </row>
    <row r="75" spans="2:105" ht="19.5" customHeight="1" x14ac:dyDescent="0.45">
      <c r="B75" s="794">
        <v>72</v>
      </c>
      <c r="C75" s="794" t="s">
        <v>2489</v>
      </c>
      <c r="D75" s="795" t="s">
        <v>2953</v>
      </c>
      <c r="E75" s="735"/>
      <c r="F75" s="735"/>
      <c r="G75" s="735"/>
      <c r="H75" s="735"/>
      <c r="I75" s="735"/>
      <c r="J75" s="735"/>
      <c r="K75" s="735"/>
      <c r="L75" s="735"/>
      <c r="M75" s="735"/>
      <c r="N75" s="735"/>
      <c r="O75" s="735"/>
      <c r="P75" s="735"/>
      <c r="Q75" s="796"/>
      <c r="R75" s="735"/>
      <c r="S75" s="735"/>
      <c r="T75" s="735"/>
      <c r="U75" s="735"/>
      <c r="V75" s="735"/>
      <c r="W75" s="735"/>
      <c r="X75" s="735"/>
      <c r="Y75" s="735"/>
      <c r="Z75" s="735"/>
      <c r="AA75" s="735"/>
      <c r="AB75" s="735"/>
      <c r="AC75" s="735"/>
      <c r="AD75" s="735"/>
      <c r="AE75" s="735"/>
      <c r="AF75" s="735"/>
      <c r="AG75" s="735"/>
      <c r="AH75" s="735"/>
      <c r="AI75" s="735"/>
      <c r="AJ75" s="735"/>
      <c r="AK75" s="735"/>
      <c r="AL75" s="735"/>
      <c r="AM75" s="735"/>
      <c r="AN75" s="735"/>
      <c r="AO75" s="735"/>
      <c r="AP75" s="735"/>
      <c r="AQ75" s="735"/>
      <c r="AR75" s="735"/>
      <c r="AS75" s="735"/>
      <c r="AT75" s="735"/>
      <c r="AU75" s="735"/>
      <c r="AV75" s="735"/>
      <c r="AW75" s="735"/>
      <c r="AX75" s="735"/>
      <c r="AY75" s="735"/>
      <c r="AZ75" s="735"/>
      <c r="BA75" s="735"/>
      <c r="BB75" s="735"/>
      <c r="BC75" s="735"/>
      <c r="BD75" s="735"/>
      <c r="BE75" s="735"/>
      <c r="BF75" s="902"/>
      <c r="BG75" s="934" t="s">
        <v>1361</v>
      </c>
      <c r="BH75" s="934" t="s">
        <v>1362</v>
      </c>
      <c r="BI75" s="934"/>
      <c r="BJ75" s="934" t="s">
        <v>1365</v>
      </c>
      <c r="BK75" s="934"/>
      <c r="BL75" s="934" t="s">
        <v>1366</v>
      </c>
      <c r="BM75" s="735"/>
      <c r="BN75" s="797"/>
      <c r="BO75" s="797"/>
      <c r="BP75" s="797"/>
      <c r="BQ75" s="797"/>
      <c r="BR75" s="797"/>
      <c r="BS75" s="797"/>
      <c r="BT75" s="735"/>
      <c r="BU75" s="735"/>
      <c r="BV75" s="902"/>
      <c r="BW75" s="796"/>
      <c r="BX75" s="735"/>
      <c r="BY75" s="735"/>
      <c r="BZ75" s="735"/>
      <c r="CA75" s="902"/>
      <c r="CB75" s="796"/>
      <c r="CC75" s="796"/>
      <c r="CD75" s="796"/>
      <c r="CE75" s="796"/>
      <c r="CF75" s="796"/>
      <c r="CG75" s="796"/>
      <c r="CH75" s="796"/>
      <c r="CI75" s="796"/>
      <c r="CJ75" s="796"/>
      <c r="CK75" s="796"/>
      <c r="CL75" s="796"/>
      <c r="CM75" s="796"/>
      <c r="CN75" s="796"/>
      <c r="CO75" s="796"/>
      <c r="CP75" s="796"/>
      <c r="CQ75" s="796"/>
      <c r="CR75" s="796"/>
      <c r="CS75" s="796"/>
      <c r="CT75" s="796"/>
      <c r="CU75" s="796"/>
      <c r="CV75" s="798" t="s">
        <v>3455</v>
      </c>
      <c r="CW75" s="799" t="s">
        <v>2037</v>
      </c>
      <c r="CX75" s="799"/>
      <c r="CY75" s="538"/>
    </row>
    <row r="76" spans="2:105" ht="15.75" x14ac:dyDescent="0.45">
      <c r="B76" s="794">
        <v>73</v>
      </c>
      <c r="C76" s="794" t="s">
        <v>2933</v>
      </c>
      <c r="D76" s="795" t="s">
        <v>2954</v>
      </c>
      <c r="E76" s="735"/>
      <c r="F76" s="735"/>
      <c r="G76" s="735"/>
      <c r="H76" s="735"/>
      <c r="I76" s="735"/>
      <c r="J76" s="735"/>
      <c r="K76" s="735"/>
      <c r="L76" s="735"/>
      <c r="M76" s="735"/>
      <c r="N76" s="735"/>
      <c r="O76" s="735"/>
      <c r="P76" s="735"/>
      <c r="Q76" s="796"/>
      <c r="R76" s="735"/>
      <c r="S76" s="735"/>
      <c r="T76" s="735"/>
      <c r="U76" s="735"/>
      <c r="V76" s="735"/>
      <c r="W76" s="735"/>
      <c r="X76" s="735"/>
      <c r="Y76" s="735"/>
      <c r="Z76" s="735"/>
      <c r="AA76" s="735"/>
      <c r="AB76" s="735"/>
      <c r="AC76" s="735"/>
      <c r="AD76" s="735"/>
      <c r="AE76" s="735"/>
      <c r="AF76" s="735"/>
      <c r="AG76" s="735"/>
      <c r="AH76" s="735"/>
      <c r="AI76" s="735"/>
      <c r="AJ76" s="735"/>
      <c r="AK76" s="735"/>
      <c r="AL76" s="735"/>
      <c r="AM76" s="902">
        <v>-1</v>
      </c>
      <c r="AN76" s="735"/>
      <c r="AO76" s="735"/>
      <c r="AP76" s="735"/>
      <c r="AQ76" s="735"/>
      <c r="AR76" s="735"/>
      <c r="AS76" s="735"/>
      <c r="AT76" s="735"/>
      <c r="AU76" s="735"/>
      <c r="AV76" s="735"/>
      <c r="AW76" s="735"/>
      <c r="AX76" s="735"/>
      <c r="AY76" s="735"/>
      <c r="AZ76" s="735"/>
      <c r="BA76" s="735"/>
      <c r="BB76" s="735"/>
      <c r="BC76" s="735"/>
      <c r="BD76" s="735"/>
      <c r="BE76" s="735"/>
      <c r="BF76" s="903" t="s">
        <v>4496</v>
      </c>
      <c r="BG76" s="902"/>
      <c r="BH76" s="902"/>
      <c r="BI76" s="903" t="s">
        <v>4497</v>
      </c>
      <c r="BJ76" s="902"/>
      <c r="BK76" s="903"/>
      <c r="BL76" s="903"/>
      <c r="BM76" s="796"/>
      <c r="BN76" s="735"/>
      <c r="BO76" s="735"/>
      <c r="BP76" s="796"/>
      <c r="BQ76" s="735"/>
      <c r="BR76" s="796"/>
      <c r="BS76" s="796"/>
      <c r="BT76" s="735"/>
      <c r="BU76" s="735"/>
      <c r="BV76" s="902"/>
      <c r="BW76" s="796"/>
      <c r="BX76" s="735"/>
      <c r="BY76" s="735"/>
      <c r="BZ76" s="735"/>
      <c r="CA76" s="902"/>
      <c r="CB76" s="796"/>
      <c r="CC76" s="796"/>
      <c r="CD76" s="796"/>
      <c r="CE76" s="796"/>
      <c r="CF76" s="796"/>
      <c r="CG76" s="796"/>
      <c r="CH76" s="796"/>
      <c r="CI76" s="796"/>
      <c r="CJ76" s="796"/>
      <c r="CK76" s="796"/>
      <c r="CL76" s="796"/>
      <c r="CM76" s="796"/>
      <c r="CN76" s="796"/>
      <c r="CO76" s="796"/>
      <c r="CP76" s="796"/>
      <c r="CQ76" s="796"/>
      <c r="CR76" s="796"/>
      <c r="CS76" s="796"/>
      <c r="CT76" s="796"/>
      <c r="CU76" s="796"/>
      <c r="CV76" s="798" t="s">
        <v>3456</v>
      </c>
      <c r="CW76" s="799" t="s">
        <v>2037</v>
      </c>
      <c r="CX76" s="799"/>
      <c r="CY76" s="538"/>
    </row>
    <row r="77" spans="2:105" ht="15.75" x14ac:dyDescent="0.45">
      <c r="B77" s="794">
        <v>74</v>
      </c>
      <c r="C77" s="794" t="s">
        <v>2934</v>
      </c>
      <c r="D77" s="795" t="s">
        <v>2955</v>
      </c>
      <c r="E77" s="735"/>
      <c r="F77" s="735"/>
      <c r="G77" s="735"/>
      <c r="H77" s="735"/>
      <c r="I77" s="735"/>
      <c r="J77" s="735"/>
      <c r="K77" s="735"/>
      <c r="L77" s="735"/>
      <c r="M77" s="735"/>
      <c r="N77" s="735"/>
      <c r="O77" s="735"/>
      <c r="P77" s="735"/>
      <c r="Q77" s="796"/>
      <c r="R77" s="735"/>
      <c r="S77" s="735"/>
      <c r="T77" s="735"/>
      <c r="U77" s="735"/>
      <c r="V77" s="735"/>
      <c r="W77" s="735"/>
      <c r="X77" s="735"/>
      <c r="Y77" s="735"/>
      <c r="Z77" s="735"/>
      <c r="AA77" s="735"/>
      <c r="AB77" s="735"/>
      <c r="AC77" s="735"/>
      <c r="AD77" s="735"/>
      <c r="AE77" s="735"/>
      <c r="AF77" s="735"/>
      <c r="AG77" s="735"/>
      <c r="AH77" s="735"/>
      <c r="AI77" s="735"/>
      <c r="AJ77" s="735"/>
      <c r="AK77" s="735"/>
      <c r="AL77" s="735"/>
      <c r="AM77" s="902">
        <v>-1</v>
      </c>
      <c r="AN77" s="735"/>
      <c r="AO77" s="735"/>
      <c r="AP77" s="735"/>
      <c r="AQ77" s="735"/>
      <c r="AR77" s="735"/>
      <c r="AS77" s="735"/>
      <c r="AT77" s="735"/>
      <c r="AU77" s="735"/>
      <c r="AV77" s="735"/>
      <c r="AW77" s="735"/>
      <c r="AX77" s="735"/>
      <c r="AY77" s="735"/>
      <c r="AZ77" s="735"/>
      <c r="BA77" s="735"/>
      <c r="BB77" s="735"/>
      <c r="BC77" s="735"/>
      <c r="BD77" s="735"/>
      <c r="BE77" s="735"/>
      <c r="BF77" s="902"/>
      <c r="BG77" s="903" t="s">
        <v>4498</v>
      </c>
      <c r="BH77" s="902"/>
      <c r="BI77" s="902"/>
      <c r="BJ77" s="903" t="s">
        <v>4499</v>
      </c>
      <c r="BK77" s="902"/>
      <c r="BL77" s="902"/>
      <c r="BM77" s="735"/>
      <c r="BN77" s="796"/>
      <c r="BO77" s="735"/>
      <c r="BP77" s="735"/>
      <c r="BQ77" s="796"/>
      <c r="BR77" s="735"/>
      <c r="BS77" s="735"/>
      <c r="BT77" s="735"/>
      <c r="BU77" s="735"/>
      <c r="BV77" s="902"/>
      <c r="BW77" s="796"/>
      <c r="BX77" s="735"/>
      <c r="BY77" s="735"/>
      <c r="BZ77" s="735"/>
      <c r="CA77" s="902"/>
      <c r="CB77" s="796"/>
      <c r="CC77" s="796"/>
      <c r="CD77" s="796"/>
      <c r="CE77" s="796"/>
      <c r="CF77" s="796"/>
      <c r="CG77" s="796"/>
      <c r="CH77" s="796"/>
      <c r="CI77" s="796"/>
      <c r="CJ77" s="796"/>
      <c r="CK77" s="796"/>
      <c r="CL77" s="796"/>
      <c r="CM77" s="796"/>
      <c r="CN77" s="796"/>
      <c r="CO77" s="796"/>
      <c r="CP77" s="796"/>
      <c r="CQ77" s="796"/>
      <c r="CR77" s="796"/>
      <c r="CS77" s="796"/>
      <c r="CT77" s="796"/>
      <c r="CU77" s="796"/>
      <c r="CV77" s="798" t="s">
        <v>3457</v>
      </c>
      <c r="CW77" s="799" t="s">
        <v>2037</v>
      </c>
      <c r="CX77" s="799"/>
      <c r="CY77" s="538"/>
    </row>
    <row r="78" spans="2:105" ht="15.75" x14ac:dyDescent="0.55000000000000004">
      <c r="B78" s="794">
        <v>75</v>
      </c>
      <c r="C78" s="794" t="s">
        <v>3064</v>
      </c>
      <c r="D78" s="800" t="s">
        <v>3445</v>
      </c>
      <c r="E78" s="735"/>
      <c r="F78" s="735"/>
      <c r="G78" s="735"/>
      <c r="H78" s="735"/>
      <c r="I78" s="735"/>
      <c r="J78" s="735"/>
      <c r="K78" s="735"/>
      <c r="L78" s="735"/>
      <c r="M78" s="735"/>
      <c r="N78" s="735"/>
      <c r="O78" s="735"/>
      <c r="P78" s="735"/>
      <c r="Q78" s="796"/>
      <c r="R78" s="735"/>
      <c r="S78" s="735"/>
      <c r="T78" s="735"/>
      <c r="U78" s="735"/>
      <c r="V78" s="735"/>
      <c r="W78" s="735"/>
      <c r="X78" s="735"/>
      <c r="Y78" s="735"/>
      <c r="Z78" s="735"/>
      <c r="AA78" s="735"/>
      <c r="AB78" s="735"/>
      <c r="AC78" s="735"/>
      <c r="AD78" s="735"/>
      <c r="AE78" s="735"/>
      <c r="AF78" s="735"/>
      <c r="AG78" s="735"/>
      <c r="AH78" s="735"/>
      <c r="AI78" s="735"/>
      <c r="AJ78" s="735"/>
      <c r="AK78" s="735"/>
      <c r="AL78" s="735"/>
      <c r="AM78" s="903" t="s">
        <v>4493</v>
      </c>
      <c r="AN78" s="735"/>
      <c r="AO78" s="735"/>
      <c r="AP78" s="735"/>
      <c r="AQ78" s="735"/>
      <c r="AR78" s="735"/>
      <c r="AS78" s="735"/>
      <c r="AT78" s="735"/>
      <c r="AU78" s="735"/>
      <c r="AV78" s="735"/>
      <c r="AW78" s="735"/>
      <c r="AX78" s="735"/>
      <c r="AY78" s="735"/>
      <c r="AZ78" s="735"/>
      <c r="BA78" s="735"/>
      <c r="BB78" s="735"/>
      <c r="BC78" s="735"/>
      <c r="BD78" s="735"/>
      <c r="BE78" s="796"/>
      <c r="BF78" s="902">
        <v>1</v>
      </c>
      <c r="BG78" s="902"/>
      <c r="BH78" s="903"/>
      <c r="BI78" s="903">
        <v>-1</v>
      </c>
      <c r="BJ78" s="902"/>
      <c r="BK78" s="903"/>
      <c r="BL78" s="903"/>
      <c r="BM78" s="735"/>
      <c r="BN78" s="735"/>
      <c r="BO78" s="796"/>
      <c r="BP78" s="796"/>
      <c r="BQ78" s="735"/>
      <c r="BR78" s="796"/>
      <c r="BS78" s="796"/>
      <c r="BT78" s="796"/>
      <c r="BU78" s="796"/>
      <c r="BV78" s="903"/>
      <c r="BW78" s="796"/>
      <c r="BX78" s="796"/>
      <c r="BY78" s="796"/>
      <c r="BZ78" s="796"/>
      <c r="CA78" s="903"/>
      <c r="CB78" s="796"/>
      <c r="CC78" s="796"/>
      <c r="CD78" s="796"/>
      <c r="CE78" s="796"/>
      <c r="CF78" s="796"/>
      <c r="CG78" s="796"/>
      <c r="CH78" s="796"/>
      <c r="CI78" s="796"/>
      <c r="CJ78" s="796"/>
      <c r="CK78" s="796"/>
      <c r="CL78" s="796"/>
      <c r="CM78" s="796"/>
      <c r="CN78" s="796"/>
      <c r="CO78" s="796"/>
      <c r="CP78" s="796"/>
      <c r="CQ78" s="796"/>
      <c r="CR78" s="796"/>
      <c r="CS78" s="796"/>
      <c r="CT78" s="796"/>
      <c r="CU78" s="796"/>
      <c r="CV78" s="798" t="s">
        <v>3458</v>
      </c>
      <c r="CW78" s="799" t="s">
        <v>2037</v>
      </c>
      <c r="CX78" s="799"/>
      <c r="CY78" s="538"/>
    </row>
    <row r="79" spans="2:105" ht="15.75" x14ac:dyDescent="0.55000000000000004">
      <c r="B79" s="794">
        <v>76</v>
      </c>
      <c r="C79" s="794" t="s">
        <v>3065</v>
      </c>
      <c r="D79" s="800" t="s">
        <v>3446</v>
      </c>
      <c r="E79" s="735"/>
      <c r="F79" s="735"/>
      <c r="G79" s="735"/>
      <c r="H79" s="735"/>
      <c r="I79" s="735"/>
      <c r="J79" s="735"/>
      <c r="K79" s="735"/>
      <c r="L79" s="735"/>
      <c r="M79" s="735"/>
      <c r="N79" s="735"/>
      <c r="O79" s="735"/>
      <c r="P79" s="735"/>
      <c r="Q79" s="796"/>
      <c r="R79" s="735"/>
      <c r="S79" s="735"/>
      <c r="T79" s="735"/>
      <c r="U79" s="735"/>
      <c r="V79" s="735"/>
      <c r="W79" s="735"/>
      <c r="X79" s="735"/>
      <c r="Y79" s="735"/>
      <c r="Z79" s="735"/>
      <c r="AA79" s="735"/>
      <c r="AB79" s="735"/>
      <c r="AC79" s="735"/>
      <c r="AD79" s="735"/>
      <c r="AE79" s="735"/>
      <c r="AF79" s="735"/>
      <c r="AG79" s="735"/>
      <c r="AH79" s="735"/>
      <c r="AI79" s="735"/>
      <c r="AJ79" s="735"/>
      <c r="AK79" s="735"/>
      <c r="AL79" s="735"/>
      <c r="AM79" s="903" t="s">
        <v>4494</v>
      </c>
      <c r="AN79" s="735"/>
      <c r="AO79" s="735"/>
      <c r="AP79" s="735"/>
      <c r="AQ79" s="735"/>
      <c r="AR79" s="735"/>
      <c r="AS79" s="735"/>
      <c r="AT79" s="735"/>
      <c r="AU79" s="735"/>
      <c r="AV79" s="735"/>
      <c r="AW79" s="735"/>
      <c r="AX79" s="735"/>
      <c r="AY79" s="735"/>
      <c r="AZ79" s="735"/>
      <c r="BA79" s="735"/>
      <c r="BB79" s="735"/>
      <c r="BC79" s="735"/>
      <c r="BD79" s="735"/>
      <c r="BE79" s="796"/>
      <c r="BF79" s="902"/>
      <c r="BG79" s="902">
        <v>1</v>
      </c>
      <c r="BH79" s="903"/>
      <c r="BI79" s="903"/>
      <c r="BJ79" s="902">
        <v>-1</v>
      </c>
      <c r="BK79" s="903"/>
      <c r="BL79" s="903"/>
      <c r="BM79" s="735"/>
      <c r="BN79" s="735"/>
      <c r="BO79" s="796"/>
      <c r="BP79" s="796"/>
      <c r="BQ79" s="735"/>
      <c r="BR79" s="796"/>
      <c r="BS79" s="796"/>
      <c r="BT79" s="796"/>
      <c r="BU79" s="796"/>
      <c r="BV79" s="903"/>
      <c r="BW79" s="796"/>
      <c r="BX79" s="796"/>
      <c r="BY79" s="796"/>
      <c r="BZ79" s="796"/>
      <c r="CA79" s="903"/>
      <c r="CB79" s="796"/>
      <c r="CC79" s="796"/>
      <c r="CD79" s="796"/>
      <c r="CE79" s="796"/>
      <c r="CF79" s="796"/>
      <c r="CG79" s="796"/>
      <c r="CH79" s="796"/>
      <c r="CI79" s="796"/>
      <c r="CJ79" s="796"/>
      <c r="CK79" s="796"/>
      <c r="CL79" s="796"/>
      <c r="CM79" s="796"/>
      <c r="CN79" s="796"/>
      <c r="CO79" s="796"/>
      <c r="CP79" s="796"/>
      <c r="CQ79" s="796"/>
      <c r="CR79" s="796"/>
      <c r="CS79" s="796"/>
      <c r="CT79" s="796"/>
      <c r="CU79" s="796"/>
      <c r="CV79" s="798" t="s">
        <v>3459</v>
      </c>
      <c r="CW79" s="799" t="s">
        <v>2037</v>
      </c>
      <c r="CX79" s="799"/>
      <c r="CY79" s="538"/>
    </row>
    <row r="80" spans="2:105" ht="18" customHeight="1" x14ac:dyDescent="0.55000000000000004">
      <c r="B80" s="794">
        <v>77</v>
      </c>
      <c r="C80" s="794" t="s">
        <v>3066</v>
      </c>
      <c r="D80" s="800" t="s">
        <v>3447</v>
      </c>
      <c r="E80" s="735"/>
      <c r="F80" s="735"/>
      <c r="G80" s="735"/>
      <c r="H80" s="735"/>
      <c r="I80" s="735"/>
      <c r="J80" s="735"/>
      <c r="K80" s="735"/>
      <c r="L80" s="735"/>
      <c r="M80" s="735"/>
      <c r="N80" s="735"/>
      <c r="O80" s="735"/>
      <c r="P80" s="735"/>
      <c r="Q80" s="796"/>
      <c r="R80" s="735"/>
      <c r="S80" s="735"/>
      <c r="T80" s="735"/>
      <c r="U80" s="735"/>
      <c r="V80" s="735"/>
      <c r="W80" s="735"/>
      <c r="X80" s="735"/>
      <c r="Y80" s="735"/>
      <c r="Z80" s="735"/>
      <c r="AA80" s="735"/>
      <c r="AB80" s="735"/>
      <c r="AC80" s="735"/>
      <c r="AD80" s="735"/>
      <c r="AE80" s="735"/>
      <c r="AF80" s="735"/>
      <c r="AG80" s="735"/>
      <c r="AH80" s="735"/>
      <c r="AI80" s="735"/>
      <c r="AJ80" s="735"/>
      <c r="AK80" s="735"/>
      <c r="AL80" s="735"/>
      <c r="AM80" s="903" t="s">
        <v>4495</v>
      </c>
      <c r="AN80" s="735"/>
      <c r="AO80" s="735"/>
      <c r="AP80" s="735"/>
      <c r="AQ80" s="735"/>
      <c r="AR80" s="735"/>
      <c r="AS80" s="735"/>
      <c r="AT80" s="735"/>
      <c r="AU80" s="735"/>
      <c r="AV80" s="735"/>
      <c r="AW80" s="735"/>
      <c r="AX80" s="735"/>
      <c r="AY80" s="735"/>
      <c r="AZ80" s="735"/>
      <c r="BA80" s="735"/>
      <c r="BB80" s="735"/>
      <c r="BC80" s="735"/>
      <c r="BD80" s="735"/>
      <c r="BE80" s="796"/>
      <c r="BF80" s="902"/>
      <c r="BG80" s="902"/>
      <c r="BH80" s="903">
        <v>1</v>
      </c>
      <c r="BI80" s="903"/>
      <c r="BJ80" s="902"/>
      <c r="BK80" s="934" t="s">
        <v>3449</v>
      </c>
      <c r="BL80" s="934" t="s">
        <v>3450</v>
      </c>
      <c r="BM80" s="801"/>
      <c r="BN80" s="801"/>
      <c r="BO80" s="802"/>
      <c r="BP80" s="802"/>
      <c r="BQ80" s="801"/>
      <c r="BR80" s="803"/>
      <c r="BS80" s="803"/>
      <c r="BT80" s="796"/>
      <c r="BU80" s="796"/>
      <c r="BV80" s="903"/>
      <c r="BW80" s="796"/>
      <c r="BX80" s="796"/>
      <c r="BY80" s="796"/>
      <c r="BZ80" s="796"/>
      <c r="CA80" s="903"/>
      <c r="CB80" s="796"/>
      <c r="CC80" s="796"/>
      <c r="CD80" s="796"/>
      <c r="CE80" s="796"/>
      <c r="CF80" s="796"/>
      <c r="CG80" s="796"/>
      <c r="CH80" s="796"/>
      <c r="CI80" s="796"/>
      <c r="CJ80" s="796"/>
      <c r="CK80" s="796"/>
      <c r="CL80" s="796"/>
      <c r="CM80" s="796"/>
      <c r="CN80" s="796"/>
      <c r="CO80" s="796"/>
      <c r="CP80" s="796"/>
      <c r="CQ80" s="796"/>
      <c r="CR80" s="796"/>
      <c r="CS80" s="796"/>
      <c r="CT80" s="796"/>
      <c r="CU80" s="796"/>
      <c r="CV80" s="798" t="s">
        <v>5026</v>
      </c>
      <c r="CW80" s="799" t="s">
        <v>2037</v>
      </c>
      <c r="CX80" s="799"/>
      <c r="CY80" s="538"/>
    </row>
    <row r="81" spans="2:104" ht="18.75" customHeight="1" x14ac:dyDescent="0.45">
      <c r="B81" s="804">
        <v>78</v>
      </c>
      <c r="C81" s="804" t="s">
        <v>3067</v>
      </c>
      <c r="D81" s="805" t="s">
        <v>1702</v>
      </c>
      <c r="E81" s="806" t="s">
        <v>1895</v>
      </c>
      <c r="F81" s="806" t="s">
        <v>1894</v>
      </c>
      <c r="G81" s="736"/>
      <c r="H81" s="736"/>
      <c r="I81" s="736"/>
      <c r="J81" s="736"/>
      <c r="K81" s="736"/>
      <c r="L81" s="736"/>
      <c r="M81" s="736"/>
      <c r="N81" s="736"/>
      <c r="O81" s="736"/>
      <c r="P81" s="736"/>
      <c r="Q81" s="806"/>
      <c r="R81" s="736"/>
      <c r="S81" s="736"/>
      <c r="T81" s="736"/>
      <c r="U81" s="736"/>
      <c r="V81" s="736"/>
      <c r="W81" s="736"/>
      <c r="X81" s="736"/>
      <c r="Y81" s="736"/>
      <c r="Z81" s="736"/>
      <c r="AA81" s="736"/>
      <c r="AB81" s="736"/>
      <c r="AC81" s="736"/>
      <c r="AD81" s="736"/>
      <c r="AE81" s="736"/>
      <c r="AF81" s="736"/>
      <c r="AG81" s="736"/>
      <c r="AH81" s="736"/>
      <c r="AI81" s="736"/>
      <c r="AJ81" s="736"/>
      <c r="AK81" s="736"/>
      <c r="AL81" s="736"/>
      <c r="AM81" s="807" t="s">
        <v>4623</v>
      </c>
      <c r="AN81" s="736"/>
      <c r="AO81" s="736"/>
      <c r="AP81" s="736"/>
      <c r="AQ81" s="736"/>
      <c r="AR81" s="736"/>
      <c r="AS81" s="736"/>
      <c r="AT81" s="736"/>
      <c r="AU81" s="806" t="s">
        <v>1997</v>
      </c>
      <c r="AV81" s="736"/>
      <c r="AW81" s="736"/>
      <c r="AX81" s="736"/>
      <c r="AY81" s="736"/>
      <c r="AZ81" s="736"/>
      <c r="BA81" s="736"/>
      <c r="BB81" s="736"/>
      <c r="BC81" s="806" t="s">
        <v>5831</v>
      </c>
      <c r="BD81" s="736"/>
      <c r="BE81" s="806">
        <v>1</v>
      </c>
      <c r="BF81" s="807" t="s">
        <v>4615</v>
      </c>
      <c r="BG81" s="807" t="s">
        <v>4616</v>
      </c>
      <c r="BH81" s="807" t="s">
        <v>4617</v>
      </c>
      <c r="BI81" s="807" t="s">
        <v>4618</v>
      </c>
      <c r="BJ81" s="807" t="s">
        <v>4619</v>
      </c>
      <c r="BK81" s="807" t="s">
        <v>4620</v>
      </c>
      <c r="BL81" s="807" t="s">
        <v>4621</v>
      </c>
      <c r="BM81" s="807"/>
      <c r="BN81" s="807"/>
      <c r="BO81" s="807"/>
      <c r="BP81" s="807"/>
      <c r="BQ81" s="807"/>
      <c r="BR81" s="807"/>
      <c r="BS81" s="807"/>
      <c r="BT81" s="806"/>
      <c r="BU81" s="806"/>
      <c r="BV81" s="905"/>
      <c r="BW81" s="806"/>
      <c r="BX81" s="806"/>
      <c r="BY81" s="806"/>
      <c r="BZ81" s="806"/>
      <c r="CA81" s="905"/>
      <c r="CB81" s="806"/>
      <c r="CC81" s="806"/>
      <c r="CD81" s="806"/>
      <c r="CE81" s="806"/>
      <c r="CF81" s="806"/>
      <c r="CG81" s="806"/>
      <c r="CH81" s="806"/>
      <c r="CI81" s="806"/>
      <c r="CJ81" s="806"/>
      <c r="CK81" s="806"/>
      <c r="CL81" s="806"/>
      <c r="CM81" s="806"/>
      <c r="CN81" s="806"/>
      <c r="CO81" s="806"/>
      <c r="CP81" s="806"/>
      <c r="CQ81" s="806"/>
      <c r="CR81" s="806"/>
      <c r="CS81" s="806"/>
      <c r="CT81" s="806"/>
      <c r="CU81" s="806"/>
      <c r="CV81" s="808" t="s">
        <v>4622</v>
      </c>
      <c r="CW81" s="805" t="s">
        <v>2037</v>
      </c>
      <c r="CX81" s="805"/>
      <c r="CY81" s="694"/>
    </row>
    <row r="82" spans="2:104" ht="15.75" x14ac:dyDescent="0.45">
      <c r="B82" s="809">
        <v>79</v>
      </c>
      <c r="C82" s="809" t="s">
        <v>3068</v>
      </c>
      <c r="D82" s="810" t="s">
        <v>1703</v>
      </c>
      <c r="E82" s="736"/>
      <c r="F82" s="736"/>
      <c r="G82" s="736"/>
      <c r="H82" s="736"/>
      <c r="I82" s="736"/>
      <c r="J82" s="736"/>
      <c r="K82" s="736"/>
      <c r="L82" s="736"/>
      <c r="M82" s="736"/>
      <c r="N82" s="736"/>
      <c r="O82" s="736"/>
      <c r="P82" s="736"/>
      <c r="Q82" s="806"/>
      <c r="R82" s="736"/>
      <c r="S82" s="736"/>
      <c r="T82" s="736"/>
      <c r="U82" s="736"/>
      <c r="V82" s="736"/>
      <c r="W82" s="736"/>
      <c r="X82" s="736"/>
      <c r="Y82" s="736"/>
      <c r="Z82" s="736"/>
      <c r="AA82" s="736"/>
      <c r="AB82" s="736"/>
      <c r="AC82" s="736"/>
      <c r="AD82" s="736"/>
      <c r="AE82" s="736"/>
      <c r="AF82" s="736"/>
      <c r="AG82" s="736"/>
      <c r="AH82" s="736"/>
      <c r="AI82" s="736"/>
      <c r="AJ82" s="736"/>
      <c r="AK82" s="736"/>
      <c r="AL82" s="736"/>
      <c r="AM82" s="806"/>
      <c r="AN82" s="736"/>
      <c r="AO82" s="736"/>
      <c r="AP82" s="736"/>
      <c r="AQ82" s="736"/>
      <c r="AR82" s="806" t="s">
        <v>1704</v>
      </c>
      <c r="AS82" s="736"/>
      <c r="AT82" s="736"/>
      <c r="AU82" s="806"/>
      <c r="AV82" s="736"/>
      <c r="AW82" s="736"/>
      <c r="AX82" s="736"/>
      <c r="AY82" s="736"/>
      <c r="AZ82" s="736"/>
      <c r="BA82" s="736"/>
      <c r="BB82" s="736"/>
      <c r="BC82" s="736"/>
      <c r="BD82" s="806"/>
      <c r="BE82" s="806" t="s">
        <v>1150</v>
      </c>
      <c r="BF82" s="736">
        <v>1</v>
      </c>
      <c r="BG82" s="736"/>
      <c r="BH82" s="736"/>
      <c r="BI82" s="806"/>
      <c r="BJ82" s="736"/>
      <c r="BK82" s="806"/>
      <c r="BL82" s="806"/>
      <c r="BM82" s="736"/>
      <c r="BN82" s="736"/>
      <c r="BO82" s="736"/>
      <c r="BP82" s="806"/>
      <c r="BQ82" s="736"/>
      <c r="BR82" s="806"/>
      <c r="BS82" s="806"/>
      <c r="BT82" s="806"/>
      <c r="BU82" s="806"/>
      <c r="BV82" s="905"/>
      <c r="BW82" s="806"/>
      <c r="BX82" s="806"/>
      <c r="BY82" s="806"/>
      <c r="BZ82" s="806"/>
      <c r="CA82" s="905"/>
      <c r="CB82" s="806"/>
      <c r="CC82" s="806"/>
      <c r="CD82" s="806"/>
      <c r="CE82" s="806"/>
      <c r="CF82" s="806"/>
      <c r="CG82" s="806"/>
      <c r="CH82" s="806"/>
      <c r="CI82" s="806"/>
      <c r="CJ82" s="806"/>
      <c r="CK82" s="806"/>
      <c r="CL82" s="806"/>
      <c r="CM82" s="806"/>
      <c r="CN82" s="806"/>
      <c r="CO82" s="806"/>
      <c r="CP82" s="806"/>
      <c r="CQ82" s="806"/>
      <c r="CR82" s="806"/>
      <c r="CS82" s="806"/>
      <c r="CT82" s="806"/>
      <c r="CU82" s="806"/>
      <c r="CV82" s="808" t="s">
        <v>3460</v>
      </c>
      <c r="CW82" s="805" t="s">
        <v>2037</v>
      </c>
      <c r="CX82" s="805"/>
      <c r="CY82" s="694"/>
    </row>
    <row r="83" spans="2:104" s="70" customFormat="1" ht="15.75" x14ac:dyDescent="0.45">
      <c r="B83" s="2209">
        <v>80</v>
      </c>
      <c r="C83" s="2209" t="s">
        <v>3069</v>
      </c>
      <c r="D83" s="2210" t="s">
        <v>4447</v>
      </c>
      <c r="E83" s="901"/>
      <c r="F83" s="901"/>
      <c r="G83" s="901"/>
      <c r="H83" s="901"/>
      <c r="I83" s="901"/>
      <c r="J83" s="901"/>
      <c r="K83" s="901"/>
      <c r="L83" s="901"/>
      <c r="M83" s="901"/>
      <c r="N83" s="901"/>
      <c r="O83" s="901"/>
      <c r="P83" s="901"/>
      <c r="Q83" s="920"/>
      <c r="R83" s="901"/>
      <c r="S83" s="901"/>
      <c r="T83" s="901"/>
      <c r="U83" s="901"/>
      <c r="V83" s="901"/>
      <c r="W83" s="901"/>
      <c r="X83" s="901"/>
      <c r="Y83" s="734"/>
      <c r="Z83" s="734"/>
      <c r="AA83" s="734"/>
      <c r="AB83" s="901"/>
      <c r="AC83" s="901"/>
      <c r="AD83" s="901"/>
      <c r="AE83" s="901"/>
      <c r="AF83" s="921"/>
      <c r="AG83" s="921"/>
      <c r="AH83" s="901"/>
      <c r="AI83" s="901"/>
      <c r="AJ83" s="901"/>
      <c r="AK83" s="901"/>
      <c r="AL83" s="901"/>
      <c r="AM83" s="921"/>
      <c r="AN83" s="901"/>
      <c r="AO83" s="920"/>
      <c r="AP83" s="901"/>
      <c r="AQ83" s="901"/>
      <c r="AR83" s="920"/>
      <c r="AS83" s="901"/>
      <c r="AT83" s="901"/>
      <c r="AU83" s="901"/>
      <c r="AV83" s="901"/>
      <c r="AW83" s="901"/>
      <c r="AX83" s="901"/>
      <c r="AY83" s="920"/>
      <c r="AZ83" s="901"/>
      <c r="BA83" s="901"/>
      <c r="BB83" s="734"/>
      <c r="BC83" s="734"/>
      <c r="BD83" s="734"/>
      <c r="BE83" s="901"/>
      <c r="BF83" s="920"/>
      <c r="BG83" s="901"/>
      <c r="BH83" s="920"/>
      <c r="BI83" s="920"/>
      <c r="BJ83" s="922"/>
      <c r="BK83" s="922"/>
      <c r="BL83" s="901"/>
      <c r="BM83" s="922" t="s">
        <v>4448</v>
      </c>
      <c r="BN83" s="922" t="s">
        <v>4449</v>
      </c>
      <c r="BO83" s="901"/>
      <c r="BP83" s="922" t="s">
        <v>4450</v>
      </c>
      <c r="BQ83" s="901"/>
      <c r="BR83" s="922" t="s">
        <v>4451</v>
      </c>
      <c r="BS83" s="901"/>
      <c r="BT83" s="920"/>
      <c r="BU83" s="920"/>
      <c r="BV83" s="920"/>
      <c r="BW83" s="920"/>
      <c r="BX83" s="920"/>
      <c r="BY83" s="793"/>
      <c r="BZ83" s="920"/>
      <c r="CA83" s="920"/>
      <c r="CB83" s="920"/>
      <c r="CC83" s="920"/>
      <c r="CD83" s="920"/>
      <c r="CE83" s="920"/>
      <c r="CF83" s="920"/>
      <c r="CG83" s="920"/>
      <c r="CH83" s="920"/>
      <c r="CI83" s="920"/>
      <c r="CJ83" s="793"/>
      <c r="CK83" s="920"/>
      <c r="CL83" s="920"/>
      <c r="CM83" s="920"/>
      <c r="CN83" s="920"/>
      <c r="CO83" s="920"/>
      <c r="CP83" s="920"/>
      <c r="CQ83" s="920"/>
      <c r="CR83" s="920"/>
      <c r="CS83" s="793"/>
      <c r="CT83" s="793"/>
      <c r="CU83" s="793"/>
      <c r="CV83" s="923" t="s">
        <v>4452</v>
      </c>
      <c r="CW83" s="924" t="s">
        <v>2037</v>
      </c>
      <c r="CX83" s="904"/>
      <c r="CY83" s="507"/>
      <c r="CZ83" s="2020"/>
    </row>
    <row r="84" spans="2:104" s="70" customFormat="1" ht="15.75" x14ac:dyDescent="0.45">
      <c r="B84" s="2209">
        <v>81</v>
      </c>
      <c r="C84" s="2209" t="s">
        <v>3070</v>
      </c>
      <c r="D84" s="2210" t="s">
        <v>4453</v>
      </c>
      <c r="E84" s="901"/>
      <c r="F84" s="901"/>
      <c r="G84" s="901"/>
      <c r="H84" s="901"/>
      <c r="I84" s="901"/>
      <c r="J84" s="901"/>
      <c r="K84" s="901"/>
      <c r="L84" s="901"/>
      <c r="M84" s="901"/>
      <c r="N84" s="901"/>
      <c r="O84" s="901"/>
      <c r="P84" s="901"/>
      <c r="Q84" s="920"/>
      <c r="R84" s="901"/>
      <c r="S84" s="901"/>
      <c r="T84" s="901"/>
      <c r="U84" s="901"/>
      <c r="V84" s="901"/>
      <c r="W84" s="901"/>
      <c r="X84" s="901"/>
      <c r="Y84" s="734"/>
      <c r="Z84" s="734"/>
      <c r="AA84" s="734"/>
      <c r="AB84" s="901"/>
      <c r="AC84" s="901"/>
      <c r="AD84" s="901"/>
      <c r="AE84" s="901"/>
      <c r="AF84" s="921"/>
      <c r="AG84" s="921"/>
      <c r="AH84" s="901"/>
      <c r="AI84" s="901"/>
      <c r="AJ84" s="901"/>
      <c r="AK84" s="901"/>
      <c r="AL84" s="901"/>
      <c r="AM84" s="921"/>
      <c r="AN84" s="901"/>
      <c r="AO84" s="920"/>
      <c r="AP84" s="901"/>
      <c r="AQ84" s="901"/>
      <c r="AR84" s="920"/>
      <c r="AS84" s="901"/>
      <c r="AT84" s="901"/>
      <c r="AU84" s="901"/>
      <c r="AV84" s="901"/>
      <c r="AW84" s="901"/>
      <c r="AX84" s="901"/>
      <c r="AY84" s="920"/>
      <c r="AZ84" s="901"/>
      <c r="BA84" s="901"/>
      <c r="BB84" s="734"/>
      <c r="BC84" s="734"/>
      <c r="BD84" s="734"/>
      <c r="BE84" s="901"/>
      <c r="BF84" s="920"/>
      <c r="BG84" s="901"/>
      <c r="BH84" s="920"/>
      <c r="BI84" s="920"/>
      <c r="BJ84" s="901"/>
      <c r="BK84" s="922"/>
      <c r="BL84" s="922"/>
      <c r="BM84" s="901"/>
      <c r="BN84" s="922" t="s">
        <v>4454</v>
      </c>
      <c r="BO84" s="922" t="s">
        <v>4455</v>
      </c>
      <c r="BP84" s="922"/>
      <c r="BQ84" s="922" t="s">
        <v>4456</v>
      </c>
      <c r="BR84" s="922"/>
      <c r="BS84" s="922" t="s">
        <v>4457</v>
      </c>
      <c r="BT84" s="920"/>
      <c r="BU84" s="920"/>
      <c r="BV84" s="920"/>
      <c r="BW84" s="920"/>
      <c r="BX84" s="920"/>
      <c r="BY84" s="793"/>
      <c r="BZ84" s="920"/>
      <c r="CA84" s="920"/>
      <c r="CB84" s="920"/>
      <c r="CC84" s="920"/>
      <c r="CD84" s="920"/>
      <c r="CE84" s="920"/>
      <c r="CF84" s="920"/>
      <c r="CG84" s="920"/>
      <c r="CH84" s="920"/>
      <c r="CI84" s="920"/>
      <c r="CJ84" s="793"/>
      <c r="CK84" s="920"/>
      <c r="CL84" s="920"/>
      <c r="CM84" s="920"/>
      <c r="CN84" s="920"/>
      <c r="CO84" s="920"/>
      <c r="CP84" s="920"/>
      <c r="CQ84" s="920"/>
      <c r="CR84" s="920"/>
      <c r="CS84" s="793"/>
      <c r="CT84" s="793"/>
      <c r="CU84" s="793"/>
      <c r="CV84" s="923" t="s">
        <v>4458</v>
      </c>
      <c r="CW84" s="924" t="s">
        <v>2037</v>
      </c>
      <c r="CX84" s="904"/>
      <c r="CY84" s="507"/>
      <c r="CZ84" s="2020"/>
    </row>
    <row r="85" spans="2:104" s="70" customFormat="1" ht="15.75" x14ac:dyDescent="0.45">
      <c r="B85" s="2209">
        <v>82</v>
      </c>
      <c r="C85" s="2209" t="s">
        <v>3071</v>
      </c>
      <c r="D85" s="2210" t="s">
        <v>4459</v>
      </c>
      <c r="E85" s="901"/>
      <c r="F85" s="901"/>
      <c r="G85" s="901"/>
      <c r="H85" s="901"/>
      <c r="I85" s="901"/>
      <c r="J85" s="901"/>
      <c r="K85" s="901"/>
      <c r="L85" s="901"/>
      <c r="M85" s="901"/>
      <c r="N85" s="901"/>
      <c r="O85" s="901"/>
      <c r="P85" s="901"/>
      <c r="Q85" s="920"/>
      <c r="R85" s="901"/>
      <c r="S85" s="901"/>
      <c r="T85" s="901"/>
      <c r="U85" s="901"/>
      <c r="V85" s="901"/>
      <c r="W85" s="901"/>
      <c r="X85" s="901"/>
      <c r="Y85" s="734"/>
      <c r="Z85" s="734"/>
      <c r="AA85" s="734"/>
      <c r="AB85" s="901"/>
      <c r="AC85" s="901"/>
      <c r="AD85" s="901"/>
      <c r="AE85" s="901"/>
      <c r="AF85" s="921"/>
      <c r="AG85" s="921"/>
      <c r="AH85" s="901"/>
      <c r="AI85" s="901"/>
      <c r="AJ85" s="901"/>
      <c r="AK85" s="901"/>
      <c r="AL85" s="901"/>
      <c r="AM85" s="921">
        <v>-1</v>
      </c>
      <c r="AN85" s="901"/>
      <c r="AO85" s="920"/>
      <c r="AP85" s="901"/>
      <c r="AQ85" s="901"/>
      <c r="AR85" s="920"/>
      <c r="AS85" s="901"/>
      <c r="AT85" s="901"/>
      <c r="AU85" s="901"/>
      <c r="AV85" s="901"/>
      <c r="AW85" s="901"/>
      <c r="AX85" s="901"/>
      <c r="AY85" s="920"/>
      <c r="AZ85" s="901"/>
      <c r="BA85" s="901"/>
      <c r="BB85" s="734"/>
      <c r="BC85" s="734"/>
      <c r="BD85" s="734"/>
      <c r="BE85" s="901"/>
      <c r="BF85" s="920"/>
      <c r="BG85" s="901"/>
      <c r="BH85" s="920"/>
      <c r="BI85" s="920"/>
      <c r="BJ85" s="920"/>
      <c r="BK85" s="901"/>
      <c r="BL85" s="901"/>
      <c r="BM85" s="920" t="s">
        <v>4460</v>
      </c>
      <c r="BN85" s="901"/>
      <c r="BO85" s="901"/>
      <c r="BP85" s="920" t="s">
        <v>4461</v>
      </c>
      <c r="BQ85" s="901"/>
      <c r="BR85" s="920"/>
      <c r="BS85" s="920"/>
      <c r="BT85" s="920"/>
      <c r="BU85" s="920"/>
      <c r="BV85" s="920"/>
      <c r="BW85" s="920"/>
      <c r="BX85" s="920"/>
      <c r="BY85" s="793"/>
      <c r="BZ85" s="920"/>
      <c r="CA85" s="920"/>
      <c r="CB85" s="920"/>
      <c r="CC85" s="920"/>
      <c r="CD85" s="920"/>
      <c r="CE85" s="920"/>
      <c r="CF85" s="920"/>
      <c r="CG85" s="920"/>
      <c r="CH85" s="920"/>
      <c r="CI85" s="920"/>
      <c r="CJ85" s="793"/>
      <c r="CK85" s="920"/>
      <c r="CL85" s="920"/>
      <c r="CM85" s="920"/>
      <c r="CN85" s="920"/>
      <c r="CO85" s="920"/>
      <c r="CP85" s="920"/>
      <c r="CQ85" s="920"/>
      <c r="CR85" s="920"/>
      <c r="CS85" s="793"/>
      <c r="CT85" s="793"/>
      <c r="CU85" s="793"/>
      <c r="CV85" s="923" t="s">
        <v>4462</v>
      </c>
      <c r="CW85" s="924" t="s">
        <v>2037</v>
      </c>
      <c r="CX85" s="904"/>
      <c r="CY85" s="507"/>
      <c r="CZ85" s="2020"/>
    </row>
    <row r="86" spans="2:104" s="70" customFormat="1" ht="15.75" x14ac:dyDescent="0.45">
      <c r="B86" s="2209">
        <v>83</v>
      </c>
      <c r="C86" s="2209" t="s">
        <v>4902</v>
      </c>
      <c r="D86" s="2210" t="s">
        <v>4463</v>
      </c>
      <c r="E86" s="901"/>
      <c r="F86" s="901"/>
      <c r="G86" s="901"/>
      <c r="H86" s="901"/>
      <c r="I86" s="901"/>
      <c r="J86" s="901"/>
      <c r="K86" s="901"/>
      <c r="L86" s="901"/>
      <c r="M86" s="901"/>
      <c r="N86" s="901"/>
      <c r="O86" s="901"/>
      <c r="P86" s="901"/>
      <c r="Q86" s="920"/>
      <c r="R86" s="901"/>
      <c r="S86" s="901"/>
      <c r="T86" s="901"/>
      <c r="U86" s="901"/>
      <c r="V86" s="901"/>
      <c r="W86" s="901"/>
      <c r="X86" s="901"/>
      <c r="Y86" s="734"/>
      <c r="Z86" s="734"/>
      <c r="AA86" s="734"/>
      <c r="AB86" s="901"/>
      <c r="AC86" s="901"/>
      <c r="AD86" s="901"/>
      <c r="AE86" s="901"/>
      <c r="AF86" s="921"/>
      <c r="AG86" s="921"/>
      <c r="AH86" s="901"/>
      <c r="AI86" s="901"/>
      <c r="AJ86" s="901"/>
      <c r="AK86" s="901"/>
      <c r="AL86" s="901"/>
      <c r="AM86" s="921">
        <v>-1</v>
      </c>
      <c r="AN86" s="901"/>
      <c r="AO86" s="920"/>
      <c r="AP86" s="901"/>
      <c r="AQ86" s="901"/>
      <c r="AR86" s="920"/>
      <c r="AS86" s="901"/>
      <c r="AT86" s="901"/>
      <c r="AU86" s="901"/>
      <c r="AV86" s="901"/>
      <c r="AW86" s="901"/>
      <c r="AX86" s="901"/>
      <c r="AY86" s="920"/>
      <c r="AZ86" s="901"/>
      <c r="BA86" s="901"/>
      <c r="BB86" s="734"/>
      <c r="BC86" s="734"/>
      <c r="BD86" s="734"/>
      <c r="BE86" s="901"/>
      <c r="BF86" s="920"/>
      <c r="BG86" s="901"/>
      <c r="BH86" s="920"/>
      <c r="BI86" s="920"/>
      <c r="BJ86" s="901"/>
      <c r="BK86" s="920"/>
      <c r="BL86" s="901"/>
      <c r="BM86" s="901"/>
      <c r="BN86" s="920" t="s">
        <v>4464</v>
      </c>
      <c r="BO86" s="901"/>
      <c r="BP86" s="901"/>
      <c r="BQ86" s="920" t="s">
        <v>4465</v>
      </c>
      <c r="BR86" s="901"/>
      <c r="BS86" s="901"/>
      <c r="BT86" s="920"/>
      <c r="BU86" s="920"/>
      <c r="BV86" s="920"/>
      <c r="BW86" s="920"/>
      <c r="BX86" s="920"/>
      <c r="BY86" s="793"/>
      <c r="BZ86" s="920"/>
      <c r="CA86" s="920"/>
      <c r="CB86" s="920"/>
      <c r="CC86" s="920"/>
      <c r="CD86" s="920"/>
      <c r="CE86" s="920"/>
      <c r="CF86" s="920"/>
      <c r="CG86" s="920"/>
      <c r="CH86" s="920"/>
      <c r="CI86" s="920"/>
      <c r="CJ86" s="793"/>
      <c r="CK86" s="920"/>
      <c r="CL86" s="920"/>
      <c r="CM86" s="920"/>
      <c r="CN86" s="920"/>
      <c r="CO86" s="920"/>
      <c r="CP86" s="920"/>
      <c r="CQ86" s="920"/>
      <c r="CR86" s="920"/>
      <c r="CS86" s="793"/>
      <c r="CT86" s="793"/>
      <c r="CU86" s="793"/>
      <c r="CV86" s="923" t="s">
        <v>4466</v>
      </c>
      <c r="CW86" s="924" t="s">
        <v>2037</v>
      </c>
      <c r="CX86" s="904"/>
      <c r="CY86" s="507"/>
      <c r="CZ86" s="2020"/>
    </row>
    <row r="87" spans="2:104" s="70" customFormat="1" ht="15.75" x14ac:dyDescent="0.45">
      <c r="B87" s="2209">
        <v>84</v>
      </c>
      <c r="C87" s="2209" t="s">
        <v>3072</v>
      </c>
      <c r="D87" s="2210" t="s">
        <v>4467</v>
      </c>
      <c r="E87" s="901"/>
      <c r="F87" s="901"/>
      <c r="G87" s="901"/>
      <c r="H87" s="901"/>
      <c r="I87" s="901"/>
      <c r="J87" s="901"/>
      <c r="K87" s="901"/>
      <c r="L87" s="901"/>
      <c r="M87" s="901"/>
      <c r="N87" s="901"/>
      <c r="O87" s="901"/>
      <c r="P87" s="901"/>
      <c r="Q87" s="920"/>
      <c r="R87" s="901"/>
      <c r="S87" s="901"/>
      <c r="T87" s="901"/>
      <c r="U87" s="901"/>
      <c r="V87" s="901"/>
      <c r="W87" s="901"/>
      <c r="X87" s="901"/>
      <c r="Y87" s="734"/>
      <c r="Z87" s="734"/>
      <c r="AA87" s="734"/>
      <c r="AB87" s="901"/>
      <c r="AC87" s="901"/>
      <c r="AD87" s="901"/>
      <c r="AE87" s="901"/>
      <c r="AF87" s="920"/>
      <c r="AG87" s="920"/>
      <c r="AH87" s="901"/>
      <c r="AI87" s="901"/>
      <c r="AJ87" s="901"/>
      <c r="AK87" s="901"/>
      <c r="AL87" s="901"/>
      <c r="AM87" s="920" t="s">
        <v>4468</v>
      </c>
      <c r="AN87" s="901"/>
      <c r="AO87" s="920"/>
      <c r="AP87" s="901"/>
      <c r="AQ87" s="901"/>
      <c r="AR87" s="920"/>
      <c r="AS87" s="901"/>
      <c r="AT87" s="901"/>
      <c r="AU87" s="901"/>
      <c r="AV87" s="901"/>
      <c r="AW87" s="901"/>
      <c r="AX87" s="901"/>
      <c r="AY87" s="920"/>
      <c r="AZ87" s="901"/>
      <c r="BA87" s="901"/>
      <c r="BB87" s="734"/>
      <c r="BC87" s="734"/>
      <c r="BD87" s="734"/>
      <c r="BE87" s="901"/>
      <c r="BF87" s="920"/>
      <c r="BG87" s="901"/>
      <c r="BH87" s="920"/>
      <c r="BI87" s="920"/>
      <c r="BJ87" s="924"/>
      <c r="BK87" s="924"/>
      <c r="BL87" s="924"/>
      <c r="BM87" s="924">
        <v>1</v>
      </c>
      <c r="BN87" s="924"/>
      <c r="BO87" s="924"/>
      <c r="BP87" s="924">
        <v>-1</v>
      </c>
      <c r="BQ87" s="924"/>
      <c r="BR87" s="924"/>
      <c r="BS87" s="924"/>
      <c r="BT87" s="920"/>
      <c r="BU87" s="920"/>
      <c r="BV87" s="920"/>
      <c r="BW87" s="920"/>
      <c r="BX87" s="920"/>
      <c r="BY87" s="793"/>
      <c r="BZ87" s="920"/>
      <c r="CA87" s="920"/>
      <c r="CB87" s="920"/>
      <c r="CC87" s="920"/>
      <c r="CD87" s="920"/>
      <c r="CE87" s="920"/>
      <c r="CF87" s="920"/>
      <c r="CG87" s="920"/>
      <c r="CH87" s="920"/>
      <c r="CI87" s="920"/>
      <c r="CJ87" s="793"/>
      <c r="CK87" s="920"/>
      <c r="CL87" s="920"/>
      <c r="CM87" s="920"/>
      <c r="CN87" s="920"/>
      <c r="CO87" s="920"/>
      <c r="CP87" s="920"/>
      <c r="CQ87" s="920"/>
      <c r="CR87" s="920"/>
      <c r="CS87" s="793"/>
      <c r="CT87" s="793"/>
      <c r="CU87" s="793"/>
      <c r="CV87" s="923" t="s">
        <v>4469</v>
      </c>
      <c r="CW87" s="924" t="s">
        <v>2037</v>
      </c>
      <c r="CX87" s="904"/>
      <c r="CY87" s="507"/>
      <c r="CZ87" s="2020"/>
    </row>
    <row r="88" spans="2:104" s="70" customFormat="1" ht="15.75" x14ac:dyDescent="0.45">
      <c r="B88" s="2209">
        <v>85</v>
      </c>
      <c r="C88" s="2209" t="s">
        <v>3073</v>
      </c>
      <c r="D88" s="2210" t="s">
        <v>4470</v>
      </c>
      <c r="E88" s="901"/>
      <c r="F88" s="901"/>
      <c r="G88" s="901"/>
      <c r="H88" s="901"/>
      <c r="I88" s="901"/>
      <c r="J88" s="901"/>
      <c r="K88" s="901"/>
      <c r="L88" s="901"/>
      <c r="M88" s="901"/>
      <c r="N88" s="901"/>
      <c r="O88" s="901"/>
      <c r="P88" s="901"/>
      <c r="Q88" s="920"/>
      <c r="R88" s="901"/>
      <c r="S88" s="901"/>
      <c r="T88" s="901"/>
      <c r="U88" s="901"/>
      <c r="V88" s="901"/>
      <c r="W88" s="901"/>
      <c r="X88" s="901"/>
      <c r="Y88" s="734"/>
      <c r="Z88" s="734"/>
      <c r="AA88" s="734"/>
      <c r="AB88" s="901"/>
      <c r="AC88" s="901"/>
      <c r="AD88" s="901"/>
      <c r="AE88" s="901"/>
      <c r="AF88" s="920"/>
      <c r="AG88" s="920"/>
      <c r="AH88" s="901"/>
      <c r="AI88" s="901"/>
      <c r="AJ88" s="901"/>
      <c r="AK88" s="901"/>
      <c r="AL88" s="901"/>
      <c r="AM88" s="920" t="s">
        <v>4471</v>
      </c>
      <c r="AN88" s="901"/>
      <c r="AO88" s="920"/>
      <c r="AP88" s="901"/>
      <c r="AQ88" s="901"/>
      <c r="AR88" s="920"/>
      <c r="AS88" s="901"/>
      <c r="AT88" s="901"/>
      <c r="AU88" s="901"/>
      <c r="AV88" s="901"/>
      <c r="AW88" s="901"/>
      <c r="AX88" s="901"/>
      <c r="AY88" s="920"/>
      <c r="AZ88" s="901"/>
      <c r="BA88" s="901"/>
      <c r="BB88" s="734"/>
      <c r="BC88" s="734"/>
      <c r="BD88" s="734"/>
      <c r="BE88" s="901"/>
      <c r="BF88" s="920"/>
      <c r="BG88" s="901"/>
      <c r="BH88" s="920"/>
      <c r="BI88" s="920"/>
      <c r="BJ88" s="924"/>
      <c r="BK88" s="924"/>
      <c r="BL88" s="924"/>
      <c r="BM88" s="924"/>
      <c r="BN88" s="924">
        <v>1</v>
      </c>
      <c r="BO88" s="924"/>
      <c r="BP88" s="924"/>
      <c r="BQ88" s="924">
        <v>-1</v>
      </c>
      <c r="BR88" s="924"/>
      <c r="BS88" s="924"/>
      <c r="BT88" s="920"/>
      <c r="BU88" s="920"/>
      <c r="BV88" s="920"/>
      <c r="BW88" s="920"/>
      <c r="BX88" s="920"/>
      <c r="BY88" s="793"/>
      <c r="BZ88" s="920"/>
      <c r="CA88" s="920"/>
      <c r="CB88" s="920"/>
      <c r="CC88" s="920"/>
      <c r="CD88" s="920"/>
      <c r="CE88" s="920"/>
      <c r="CF88" s="920"/>
      <c r="CG88" s="920"/>
      <c r="CH88" s="920"/>
      <c r="CI88" s="920"/>
      <c r="CJ88" s="793"/>
      <c r="CK88" s="920"/>
      <c r="CL88" s="920"/>
      <c r="CM88" s="920"/>
      <c r="CN88" s="920"/>
      <c r="CO88" s="920"/>
      <c r="CP88" s="920"/>
      <c r="CQ88" s="920"/>
      <c r="CR88" s="920"/>
      <c r="CS88" s="793"/>
      <c r="CT88" s="793"/>
      <c r="CU88" s="793"/>
      <c r="CV88" s="923" t="s">
        <v>4472</v>
      </c>
      <c r="CW88" s="924" t="s">
        <v>2037</v>
      </c>
      <c r="CX88" s="904"/>
      <c r="CY88" s="507"/>
      <c r="CZ88" s="2020"/>
    </row>
    <row r="89" spans="2:104" s="70" customFormat="1" ht="15.75" x14ac:dyDescent="0.45">
      <c r="B89" s="2209">
        <v>86</v>
      </c>
      <c r="C89" s="2209" t="s">
        <v>3217</v>
      </c>
      <c r="D89" s="2210" t="s">
        <v>4473</v>
      </c>
      <c r="E89" s="901"/>
      <c r="F89" s="901"/>
      <c r="G89" s="901"/>
      <c r="H89" s="901"/>
      <c r="I89" s="901"/>
      <c r="J89" s="901"/>
      <c r="K89" s="901"/>
      <c r="L89" s="901"/>
      <c r="M89" s="901"/>
      <c r="N89" s="901"/>
      <c r="O89" s="901"/>
      <c r="P89" s="901"/>
      <c r="Q89" s="920"/>
      <c r="R89" s="901"/>
      <c r="S89" s="901"/>
      <c r="T89" s="901"/>
      <c r="U89" s="901"/>
      <c r="V89" s="901"/>
      <c r="W89" s="901"/>
      <c r="X89" s="901"/>
      <c r="Y89" s="734"/>
      <c r="Z89" s="734"/>
      <c r="AA89" s="734"/>
      <c r="AB89" s="901"/>
      <c r="AC89" s="901"/>
      <c r="AD89" s="901"/>
      <c r="AE89" s="901"/>
      <c r="AF89" s="920"/>
      <c r="AG89" s="920"/>
      <c r="AH89" s="901"/>
      <c r="AI89" s="901"/>
      <c r="AJ89" s="901"/>
      <c r="AK89" s="901"/>
      <c r="AL89" s="901"/>
      <c r="AM89" s="920" t="s">
        <v>4474</v>
      </c>
      <c r="AN89" s="901"/>
      <c r="AO89" s="920"/>
      <c r="AP89" s="901"/>
      <c r="AQ89" s="901"/>
      <c r="AR89" s="920"/>
      <c r="AS89" s="901"/>
      <c r="AT89" s="901"/>
      <c r="AU89" s="901"/>
      <c r="AV89" s="901"/>
      <c r="AW89" s="901"/>
      <c r="AX89" s="901"/>
      <c r="AY89" s="920"/>
      <c r="AZ89" s="901"/>
      <c r="BA89" s="901"/>
      <c r="BB89" s="734"/>
      <c r="BC89" s="734"/>
      <c r="BD89" s="734"/>
      <c r="BE89" s="901"/>
      <c r="BF89" s="920"/>
      <c r="BG89" s="901"/>
      <c r="BH89" s="920"/>
      <c r="BI89" s="920"/>
      <c r="BJ89" s="924"/>
      <c r="BK89" s="924"/>
      <c r="BL89" s="924"/>
      <c r="BM89" s="924"/>
      <c r="BN89" s="924"/>
      <c r="BO89" s="924">
        <v>1</v>
      </c>
      <c r="BP89" s="924"/>
      <c r="BQ89" s="924"/>
      <c r="BR89" s="922" t="s">
        <v>4475</v>
      </c>
      <c r="BS89" s="922" t="s">
        <v>4476</v>
      </c>
      <c r="BT89" s="920"/>
      <c r="BU89" s="920"/>
      <c r="BV89" s="920"/>
      <c r="BW89" s="920"/>
      <c r="BX89" s="920"/>
      <c r="BY89" s="793"/>
      <c r="BZ89" s="920"/>
      <c r="CA89" s="920"/>
      <c r="CB89" s="920"/>
      <c r="CC89" s="920"/>
      <c r="CD89" s="920"/>
      <c r="CE89" s="920"/>
      <c r="CF89" s="920"/>
      <c r="CG89" s="920"/>
      <c r="CH89" s="920"/>
      <c r="CI89" s="920"/>
      <c r="CJ89" s="793"/>
      <c r="CK89" s="920"/>
      <c r="CL89" s="920"/>
      <c r="CM89" s="920"/>
      <c r="CN89" s="920"/>
      <c r="CO89" s="920"/>
      <c r="CP89" s="920"/>
      <c r="CQ89" s="920"/>
      <c r="CR89" s="920"/>
      <c r="CS89" s="793"/>
      <c r="CT89" s="793"/>
      <c r="CU89" s="793"/>
      <c r="CV89" s="923" t="s">
        <v>4477</v>
      </c>
      <c r="CW89" s="924" t="s">
        <v>2037</v>
      </c>
      <c r="CX89" s="904"/>
      <c r="CY89" s="507"/>
      <c r="CZ89" s="2020"/>
    </row>
    <row r="90" spans="2:104" ht="15.75" x14ac:dyDescent="0.45">
      <c r="B90" s="811">
        <v>87</v>
      </c>
      <c r="C90" s="811" t="s">
        <v>3218</v>
      </c>
      <c r="D90" s="812" t="s">
        <v>1128</v>
      </c>
      <c r="E90" s="737"/>
      <c r="F90" s="737"/>
      <c r="G90" s="737"/>
      <c r="H90" s="737"/>
      <c r="I90" s="737"/>
      <c r="J90" s="737"/>
      <c r="K90" s="737"/>
      <c r="L90" s="737"/>
      <c r="M90" s="737"/>
      <c r="N90" s="737"/>
      <c r="O90" s="737"/>
      <c r="P90" s="737"/>
      <c r="Q90" s="738"/>
      <c r="R90" s="737"/>
      <c r="S90" s="737"/>
      <c r="T90" s="737"/>
      <c r="U90" s="737"/>
      <c r="V90" s="737"/>
      <c r="W90" s="737"/>
      <c r="X90" s="737"/>
      <c r="Y90" s="737"/>
      <c r="Z90" s="737"/>
      <c r="AA90" s="737"/>
      <c r="AB90" s="737"/>
      <c r="AC90" s="737"/>
      <c r="AD90" s="737"/>
      <c r="AE90" s="737"/>
      <c r="AF90" s="737"/>
      <c r="AG90" s="737"/>
      <c r="AH90" s="737"/>
      <c r="AI90" s="737"/>
      <c r="AJ90" s="737"/>
      <c r="AK90" s="737"/>
      <c r="AL90" s="737"/>
      <c r="AM90" s="738"/>
      <c r="AN90" s="737"/>
      <c r="AO90" s="737"/>
      <c r="AP90" s="737"/>
      <c r="AQ90" s="737"/>
      <c r="AR90" s="737"/>
      <c r="AS90" s="737"/>
      <c r="AT90" s="737"/>
      <c r="AU90" s="738" t="s">
        <v>2511</v>
      </c>
      <c r="AV90" s="737"/>
      <c r="AW90" s="737"/>
      <c r="AX90" s="737"/>
      <c r="AY90" s="738" t="s">
        <v>1705</v>
      </c>
      <c r="AZ90" s="737"/>
      <c r="BA90" s="737"/>
      <c r="BB90" s="737"/>
      <c r="BC90" s="737"/>
      <c r="BD90" s="737"/>
      <c r="BE90" s="738"/>
      <c r="BF90" s="737"/>
      <c r="BG90" s="737"/>
      <c r="BH90" s="738"/>
      <c r="BI90" s="738"/>
      <c r="BJ90" s="737"/>
      <c r="BK90" s="738"/>
      <c r="BL90" s="738"/>
      <c r="BM90" s="737"/>
      <c r="BN90" s="737"/>
      <c r="BO90" s="738"/>
      <c r="BP90" s="738"/>
      <c r="BQ90" s="737"/>
      <c r="BR90" s="738"/>
      <c r="BS90" s="738"/>
      <c r="BT90" s="738">
        <v>1</v>
      </c>
      <c r="BU90" s="738"/>
      <c r="BV90" s="906"/>
      <c r="BW90" s="738"/>
      <c r="BX90" s="738"/>
      <c r="BY90" s="738"/>
      <c r="BZ90" s="738"/>
      <c r="CA90" s="906"/>
      <c r="CB90" s="738"/>
      <c r="CC90" s="738"/>
      <c r="CD90" s="738"/>
      <c r="CE90" s="738"/>
      <c r="CF90" s="738"/>
      <c r="CG90" s="738"/>
      <c r="CH90" s="738"/>
      <c r="CI90" s="738"/>
      <c r="CJ90" s="738"/>
      <c r="CK90" s="738"/>
      <c r="CL90" s="738"/>
      <c r="CM90" s="738"/>
      <c r="CN90" s="738"/>
      <c r="CO90" s="738"/>
      <c r="CP90" s="738"/>
      <c r="CQ90" s="738"/>
      <c r="CR90" s="738"/>
      <c r="CS90" s="738"/>
      <c r="CT90" s="738"/>
      <c r="CU90" s="738"/>
      <c r="CV90" s="813" t="s">
        <v>1706</v>
      </c>
      <c r="CW90" s="814" t="s">
        <v>2037</v>
      </c>
      <c r="CX90" s="814" t="s">
        <v>1129</v>
      </c>
      <c r="CY90" s="695"/>
    </row>
    <row r="91" spans="2:104" ht="15.75" x14ac:dyDescent="0.45">
      <c r="B91" s="811">
        <v>88</v>
      </c>
      <c r="C91" s="811" t="s">
        <v>3219</v>
      </c>
      <c r="D91" s="812" t="s">
        <v>1127</v>
      </c>
      <c r="E91" s="737"/>
      <c r="F91" s="737"/>
      <c r="G91" s="737"/>
      <c r="H91" s="737"/>
      <c r="I91" s="737"/>
      <c r="J91" s="737"/>
      <c r="K91" s="737"/>
      <c r="L91" s="737"/>
      <c r="M91" s="737"/>
      <c r="N91" s="737"/>
      <c r="O91" s="737"/>
      <c r="P91" s="737"/>
      <c r="Q91" s="738"/>
      <c r="R91" s="737"/>
      <c r="S91" s="737"/>
      <c r="T91" s="737"/>
      <c r="U91" s="737"/>
      <c r="V91" s="737"/>
      <c r="W91" s="737"/>
      <c r="X91" s="737"/>
      <c r="Y91" s="737"/>
      <c r="Z91" s="737"/>
      <c r="AA91" s="737"/>
      <c r="AB91" s="737"/>
      <c r="AC91" s="737"/>
      <c r="AD91" s="737"/>
      <c r="AE91" s="737"/>
      <c r="AF91" s="737"/>
      <c r="AG91" s="737"/>
      <c r="AH91" s="737"/>
      <c r="AI91" s="737"/>
      <c r="AJ91" s="737"/>
      <c r="AK91" s="737"/>
      <c r="AL91" s="737"/>
      <c r="AM91" s="738" t="s">
        <v>1707</v>
      </c>
      <c r="AN91" s="737"/>
      <c r="AO91" s="737"/>
      <c r="AP91" s="737"/>
      <c r="AQ91" s="737"/>
      <c r="AR91" s="737"/>
      <c r="AS91" s="737"/>
      <c r="AT91" s="737"/>
      <c r="AU91" s="737"/>
      <c r="AV91" s="737"/>
      <c r="AW91" s="737"/>
      <c r="AX91" s="737"/>
      <c r="AY91" s="738" t="s">
        <v>1708</v>
      </c>
      <c r="AZ91" s="737"/>
      <c r="BA91" s="737"/>
      <c r="BB91" s="737"/>
      <c r="BC91" s="737"/>
      <c r="BD91" s="737"/>
      <c r="BE91" s="738"/>
      <c r="BF91" s="737"/>
      <c r="BG91" s="737"/>
      <c r="BH91" s="738"/>
      <c r="BI91" s="738"/>
      <c r="BJ91" s="737"/>
      <c r="BK91" s="738"/>
      <c r="BL91" s="738"/>
      <c r="BM91" s="737"/>
      <c r="BN91" s="737"/>
      <c r="BO91" s="738"/>
      <c r="BP91" s="738"/>
      <c r="BQ91" s="737"/>
      <c r="BR91" s="738"/>
      <c r="BS91" s="738"/>
      <c r="BT91" s="738"/>
      <c r="BU91" s="738">
        <v>1</v>
      </c>
      <c r="BV91" s="906"/>
      <c r="BW91" s="738"/>
      <c r="BX91" s="738"/>
      <c r="BY91" s="738"/>
      <c r="BZ91" s="738"/>
      <c r="CA91" s="906"/>
      <c r="CB91" s="738"/>
      <c r="CC91" s="738"/>
      <c r="CD91" s="738"/>
      <c r="CE91" s="738"/>
      <c r="CF91" s="738"/>
      <c r="CG91" s="738"/>
      <c r="CH91" s="738"/>
      <c r="CI91" s="738"/>
      <c r="CJ91" s="738"/>
      <c r="CK91" s="738"/>
      <c r="CL91" s="738"/>
      <c r="CM91" s="738"/>
      <c r="CN91" s="738"/>
      <c r="CO91" s="738"/>
      <c r="CP91" s="738"/>
      <c r="CQ91" s="738"/>
      <c r="CR91" s="738"/>
      <c r="CS91" s="738"/>
      <c r="CT91" s="738"/>
      <c r="CU91" s="738"/>
      <c r="CV91" s="813" t="s">
        <v>1709</v>
      </c>
      <c r="CW91" s="814" t="s">
        <v>2037</v>
      </c>
      <c r="CX91" s="814" t="s">
        <v>1130</v>
      </c>
      <c r="CY91" s="695"/>
    </row>
    <row r="92" spans="2:104" s="70" customFormat="1" ht="15.75" x14ac:dyDescent="0.45">
      <c r="B92" s="2211">
        <v>89</v>
      </c>
      <c r="C92" s="2211" t="s">
        <v>3220</v>
      </c>
      <c r="D92" s="2212" t="s">
        <v>4478</v>
      </c>
      <c r="E92" s="925"/>
      <c r="F92" s="925"/>
      <c r="G92" s="925"/>
      <c r="H92" s="925"/>
      <c r="I92" s="925"/>
      <c r="J92" s="925"/>
      <c r="K92" s="925"/>
      <c r="L92" s="925"/>
      <c r="M92" s="925"/>
      <c r="N92" s="925"/>
      <c r="O92" s="925"/>
      <c r="P92" s="925"/>
      <c r="Q92" s="906"/>
      <c r="R92" s="925"/>
      <c r="S92" s="925"/>
      <c r="T92" s="925"/>
      <c r="U92" s="925"/>
      <c r="V92" s="925"/>
      <c r="W92" s="925"/>
      <c r="X92" s="925"/>
      <c r="Y92" s="737"/>
      <c r="Z92" s="737"/>
      <c r="AA92" s="737"/>
      <c r="AB92" s="925"/>
      <c r="AC92" s="925"/>
      <c r="AD92" s="925"/>
      <c r="AE92" s="925"/>
      <c r="AF92" s="906"/>
      <c r="AG92" s="906"/>
      <c r="AH92" s="925"/>
      <c r="AI92" s="925"/>
      <c r="AJ92" s="906"/>
      <c r="AK92" s="925"/>
      <c r="AL92" s="925"/>
      <c r="AM92" s="906" t="s">
        <v>4479</v>
      </c>
      <c r="AN92" s="925"/>
      <c r="AO92" s="925"/>
      <c r="AP92" s="925"/>
      <c r="AQ92" s="925"/>
      <c r="AR92" s="925"/>
      <c r="AS92" s="906"/>
      <c r="AT92" s="925"/>
      <c r="AU92" s="925"/>
      <c r="AV92" s="906"/>
      <c r="AW92" s="925"/>
      <c r="AX92" s="925"/>
      <c r="AY92" s="906" t="s">
        <v>4480</v>
      </c>
      <c r="AZ92" s="906"/>
      <c r="BA92" s="925"/>
      <c r="BB92" s="737"/>
      <c r="BC92" s="737"/>
      <c r="BD92" s="737"/>
      <c r="BE92" s="906"/>
      <c r="BF92" s="906"/>
      <c r="BG92" s="925"/>
      <c r="BH92" s="925"/>
      <c r="BI92" s="906"/>
      <c r="BJ92" s="906"/>
      <c r="BK92" s="925"/>
      <c r="BL92" s="906"/>
      <c r="BM92" s="906"/>
      <c r="BN92" s="906"/>
      <c r="BO92" s="906"/>
      <c r="BP92" s="906"/>
      <c r="BQ92" s="906"/>
      <c r="BR92" s="906"/>
      <c r="BS92" s="906"/>
      <c r="BT92" s="906"/>
      <c r="BU92" s="906"/>
      <c r="BV92" s="906">
        <v>1</v>
      </c>
      <c r="BW92" s="906"/>
      <c r="BX92" s="906"/>
      <c r="BY92" s="738"/>
      <c r="BZ92" s="906"/>
      <c r="CA92" s="906"/>
      <c r="CB92" s="906"/>
      <c r="CC92" s="906"/>
      <c r="CD92" s="906"/>
      <c r="CE92" s="906"/>
      <c r="CF92" s="906"/>
      <c r="CG92" s="906"/>
      <c r="CH92" s="906"/>
      <c r="CI92" s="906"/>
      <c r="CJ92" s="738"/>
      <c r="CK92" s="906"/>
      <c r="CL92" s="906"/>
      <c r="CM92" s="906"/>
      <c r="CN92" s="906"/>
      <c r="CO92" s="906"/>
      <c r="CP92" s="906"/>
      <c r="CQ92" s="906"/>
      <c r="CR92" s="906"/>
      <c r="CS92" s="738"/>
      <c r="CT92" s="738"/>
      <c r="CU92" s="738"/>
      <c r="CV92" s="926" t="s">
        <v>4481</v>
      </c>
      <c r="CW92" s="925" t="s">
        <v>2037</v>
      </c>
      <c r="CX92" s="927" t="s">
        <v>4482</v>
      </c>
      <c r="CY92" s="695"/>
      <c r="CZ92" s="2020"/>
    </row>
    <row r="93" spans="2:104" ht="15.75" x14ac:dyDescent="0.45">
      <c r="B93" s="811">
        <v>90</v>
      </c>
      <c r="C93" s="811" t="s">
        <v>3221</v>
      </c>
      <c r="D93" s="812" t="s">
        <v>288</v>
      </c>
      <c r="E93" s="737"/>
      <c r="F93" s="737"/>
      <c r="G93" s="737"/>
      <c r="H93" s="737"/>
      <c r="I93" s="737"/>
      <c r="J93" s="737"/>
      <c r="K93" s="737"/>
      <c r="L93" s="737"/>
      <c r="M93" s="737"/>
      <c r="N93" s="737"/>
      <c r="O93" s="737"/>
      <c r="P93" s="737"/>
      <c r="Q93" s="738"/>
      <c r="R93" s="737"/>
      <c r="S93" s="737"/>
      <c r="T93" s="737"/>
      <c r="U93" s="737"/>
      <c r="V93" s="737"/>
      <c r="W93" s="737"/>
      <c r="X93" s="737"/>
      <c r="Y93" s="737"/>
      <c r="Z93" s="737"/>
      <c r="AA93" s="737"/>
      <c r="AB93" s="738" t="s">
        <v>1710</v>
      </c>
      <c r="AC93" s="738"/>
      <c r="AD93" s="737"/>
      <c r="AE93" s="737"/>
      <c r="AF93" s="737"/>
      <c r="AG93" s="737"/>
      <c r="AH93" s="737"/>
      <c r="AI93" s="737"/>
      <c r="AJ93" s="737"/>
      <c r="AK93" s="737"/>
      <c r="AL93" s="737"/>
      <c r="AM93" s="738" t="s">
        <v>1711</v>
      </c>
      <c r="AN93" s="737"/>
      <c r="AO93" s="737"/>
      <c r="AP93" s="737"/>
      <c r="AQ93" s="737"/>
      <c r="AR93" s="737"/>
      <c r="AS93" s="737"/>
      <c r="AT93" s="737"/>
      <c r="AU93" s="737"/>
      <c r="AV93" s="737"/>
      <c r="AW93" s="737"/>
      <c r="AX93" s="737"/>
      <c r="AY93" s="737"/>
      <c r="AZ93" s="738" t="s">
        <v>1712</v>
      </c>
      <c r="BA93" s="737"/>
      <c r="BB93" s="737"/>
      <c r="BC93" s="737"/>
      <c r="BD93" s="737"/>
      <c r="BE93" s="738"/>
      <c r="BF93" s="737"/>
      <c r="BG93" s="737"/>
      <c r="BH93" s="738"/>
      <c r="BI93" s="738"/>
      <c r="BJ93" s="737"/>
      <c r="BK93" s="738"/>
      <c r="BL93" s="738"/>
      <c r="BM93" s="737"/>
      <c r="BN93" s="737"/>
      <c r="BO93" s="738"/>
      <c r="BP93" s="738"/>
      <c r="BQ93" s="737"/>
      <c r="BR93" s="738"/>
      <c r="BS93" s="738"/>
      <c r="BT93" s="738"/>
      <c r="BU93" s="738"/>
      <c r="BV93" s="906"/>
      <c r="BW93" s="738">
        <v>1</v>
      </c>
      <c r="BX93" s="738"/>
      <c r="BY93" s="738"/>
      <c r="BZ93" s="738"/>
      <c r="CA93" s="906"/>
      <c r="CB93" s="738"/>
      <c r="CC93" s="738"/>
      <c r="CD93" s="738"/>
      <c r="CE93" s="738"/>
      <c r="CF93" s="738"/>
      <c r="CG93" s="738"/>
      <c r="CH93" s="738"/>
      <c r="CI93" s="738"/>
      <c r="CJ93" s="738"/>
      <c r="CK93" s="738"/>
      <c r="CL93" s="738"/>
      <c r="CM93" s="738"/>
      <c r="CN93" s="738"/>
      <c r="CO93" s="738"/>
      <c r="CP93" s="738"/>
      <c r="CQ93" s="738"/>
      <c r="CR93" s="738"/>
      <c r="CS93" s="738"/>
      <c r="CT93" s="738"/>
      <c r="CU93" s="738"/>
      <c r="CV93" s="813" t="s">
        <v>1713</v>
      </c>
      <c r="CW93" s="814" t="s">
        <v>2037</v>
      </c>
      <c r="CX93" s="814" t="s">
        <v>1126</v>
      </c>
      <c r="CY93" s="695"/>
    </row>
    <row r="94" spans="2:104" ht="15.75" x14ac:dyDescent="0.45">
      <c r="B94" s="811">
        <v>91</v>
      </c>
      <c r="C94" s="811" t="s">
        <v>3222</v>
      </c>
      <c r="D94" s="812" t="s">
        <v>1125</v>
      </c>
      <c r="E94" s="737"/>
      <c r="F94" s="737"/>
      <c r="G94" s="737"/>
      <c r="H94" s="737"/>
      <c r="I94" s="737"/>
      <c r="J94" s="737"/>
      <c r="K94" s="737"/>
      <c r="L94" s="737"/>
      <c r="M94" s="737"/>
      <c r="N94" s="737"/>
      <c r="O94" s="737"/>
      <c r="P94" s="737"/>
      <c r="Q94" s="738"/>
      <c r="R94" s="737"/>
      <c r="S94" s="737"/>
      <c r="T94" s="737"/>
      <c r="U94" s="737"/>
      <c r="V94" s="737"/>
      <c r="W94" s="737"/>
      <c r="X94" s="737"/>
      <c r="Y94" s="737"/>
      <c r="Z94" s="737"/>
      <c r="AA94" s="737"/>
      <c r="AB94" s="738"/>
      <c r="AC94" s="738"/>
      <c r="AD94" s="737"/>
      <c r="AE94" s="737"/>
      <c r="AF94" s="737"/>
      <c r="AG94" s="737"/>
      <c r="AH94" s="737"/>
      <c r="AI94" s="737"/>
      <c r="AJ94" s="737"/>
      <c r="AK94" s="737"/>
      <c r="AL94" s="737"/>
      <c r="AM94" s="738" t="s">
        <v>1714</v>
      </c>
      <c r="AN94" s="737"/>
      <c r="AO94" s="737"/>
      <c r="AP94" s="737"/>
      <c r="AQ94" s="737"/>
      <c r="AR94" s="737"/>
      <c r="AS94" s="737"/>
      <c r="AT94" s="737"/>
      <c r="AU94" s="737"/>
      <c r="AV94" s="737"/>
      <c r="AW94" s="737"/>
      <c r="AX94" s="737"/>
      <c r="AY94" s="737"/>
      <c r="AZ94" s="738"/>
      <c r="BA94" s="737"/>
      <c r="BB94" s="737"/>
      <c r="BC94" s="737"/>
      <c r="BD94" s="737"/>
      <c r="BE94" s="738" t="s">
        <v>1715</v>
      </c>
      <c r="BF94" s="737"/>
      <c r="BG94" s="737"/>
      <c r="BH94" s="738"/>
      <c r="BI94" s="738"/>
      <c r="BJ94" s="737"/>
      <c r="BK94" s="738"/>
      <c r="BL94" s="738"/>
      <c r="BM94" s="737"/>
      <c r="BN94" s="737"/>
      <c r="BO94" s="738"/>
      <c r="BP94" s="738"/>
      <c r="BQ94" s="737"/>
      <c r="BR94" s="738"/>
      <c r="BS94" s="738"/>
      <c r="BT94" s="738"/>
      <c r="BU94" s="738"/>
      <c r="BV94" s="906"/>
      <c r="BW94" s="738"/>
      <c r="BX94" s="738">
        <v>1</v>
      </c>
      <c r="BY94" s="738"/>
      <c r="BZ94" s="738"/>
      <c r="CA94" s="906"/>
      <c r="CB94" s="738"/>
      <c r="CC94" s="738"/>
      <c r="CD94" s="738"/>
      <c r="CE94" s="738"/>
      <c r="CF94" s="738"/>
      <c r="CG94" s="738"/>
      <c r="CH94" s="738"/>
      <c r="CI94" s="738"/>
      <c r="CJ94" s="738"/>
      <c r="CK94" s="738"/>
      <c r="CL94" s="738"/>
      <c r="CM94" s="738"/>
      <c r="CN94" s="738"/>
      <c r="CO94" s="738"/>
      <c r="CP94" s="738"/>
      <c r="CQ94" s="738"/>
      <c r="CR94" s="738"/>
      <c r="CS94" s="738"/>
      <c r="CT94" s="738"/>
      <c r="CU94" s="738"/>
      <c r="CV94" s="813" t="s">
        <v>1716</v>
      </c>
      <c r="CW94" s="814" t="s">
        <v>2037</v>
      </c>
      <c r="CX94" s="814" t="s">
        <v>1131</v>
      </c>
      <c r="CY94" s="695"/>
    </row>
    <row r="95" spans="2:104" ht="15.75" x14ac:dyDescent="0.45">
      <c r="B95" s="2213">
        <v>92</v>
      </c>
      <c r="C95" s="2213" t="s">
        <v>3425</v>
      </c>
      <c r="D95" s="2214" t="s">
        <v>4484</v>
      </c>
      <c r="E95" s="928"/>
      <c r="F95" s="928"/>
      <c r="G95" s="928"/>
      <c r="H95" s="928"/>
      <c r="I95" s="928"/>
      <c r="J95" s="928"/>
      <c r="K95" s="928"/>
      <c r="L95" s="928"/>
      <c r="M95" s="928"/>
      <c r="N95" s="928"/>
      <c r="O95" s="928"/>
      <c r="P95" s="928"/>
      <c r="Q95" s="928"/>
      <c r="R95" s="928"/>
      <c r="S95" s="928"/>
      <c r="T95" s="928"/>
      <c r="U95" s="928"/>
      <c r="V95" s="928"/>
      <c r="W95" s="928"/>
      <c r="X95" s="928"/>
      <c r="Y95" s="2548"/>
      <c r="Z95" s="2548"/>
      <c r="AA95" s="2548"/>
      <c r="AB95" s="928"/>
      <c r="AC95" s="928"/>
      <c r="AD95" s="928"/>
      <c r="AE95" s="928"/>
      <c r="AF95" s="928"/>
      <c r="AG95" s="928"/>
      <c r="AH95" s="928"/>
      <c r="AI95" s="928"/>
      <c r="AJ95" s="928"/>
      <c r="AK95" s="928"/>
      <c r="AL95" s="928"/>
      <c r="AM95" s="928"/>
      <c r="AN95" s="928"/>
      <c r="AO95" s="928"/>
      <c r="AP95" s="928"/>
      <c r="AQ95" s="928"/>
      <c r="AR95" s="928"/>
      <c r="AS95" s="928"/>
      <c r="AT95" s="928"/>
      <c r="AU95" s="928"/>
      <c r="AV95" s="928"/>
      <c r="AW95" s="928"/>
      <c r="AX95" s="928"/>
      <c r="AY95" s="928"/>
      <c r="AZ95" s="928"/>
      <c r="BA95" s="928"/>
      <c r="BB95" s="2548"/>
      <c r="BC95" s="2548"/>
      <c r="BD95" s="2548"/>
      <c r="BE95" s="928"/>
      <c r="BF95" s="928"/>
      <c r="BG95" s="928"/>
      <c r="BH95" s="928"/>
      <c r="BI95" s="928"/>
      <c r="BJ95" s="928"/>
      <c r="BK95" s="928"/>
      <c r="BL95" s="928"/>
      <c r="BM95" s="928"/>
      <c r="BN95" s="928"/>
      <c r="BO95" s="928"/>
      <c r="BP95" s="928"/>
      <c r="BQ95" s="928"/>
      <c r="BR95" s="928"/>
      <c r="BS95" s="928"/>
      <c r="BT95" s="928"/>
      <c r="BU95" s="928"/>
      <c r="BV95" s="928"/>
      <c r="BW95" s="929"/>
      <c r="BX95" s="928"/>
      <c r="BY95" s="2548"/>
      <c r="BZ95" s="928"/>
      <c r="CA95" s="928">
        <v>1</v>
      </c>
      <c r="CB95" s="928"/>
      <c r="CC95" s="928"/>
      <c r="CD95" s="928"/>
      <c r="CE95" s="928"/>
      <c r="CF95" s="928"/>
      <c r="CG95" s="928"/>
      <c r="CH95" s="928"/>
      <c r="CI95" s="928"/>
      <c r="CJ95" s="2548"/>
      <c r="CK95" s="928"/>
      <c r="CL95" s="928"/>
      <c r="CM95" s="928"/>
      <c r="CN95" s="928"/>
      <c r="CO95" s="928"/>
      <c r="CP95" s="928"/>
      <c r="CQ95" s="928"/>
      <c r="CR95" s="928"/>
      <c r="CS95" s="2548"/>
      <c r="CT95" s="2548"/>
      <c r="CU95" s="2548"/>
      <c r="CV95" s="930" t="s">
        <v>4485</v>
      </c>
      <c r="CW95" s="931" t="s">
        <v>4486</v>
      </c>
      <c r="CX95" s="932"/>
      <c r="CY95" s="933"/>
    </row>
    <row r="96" spans="2:104" ht="15.75" x14ac:dyDescent="0.45">
      <c r="B96" s="815">
        <v>93</v>
      </c>
      <c r="C96" s="815" t="s">
        <v>3426</v>
      </c>
      <c r="D96" s="816" t="s">
        <v>3211</v>
      </c>
      <c r="E96" s="739"/>
      <c r="F96" s="739"/>
      <c r="G96" s="739"/>
      <c r="H96" s="739"/>
      <c r="I96" s="739"/>
      <c r="J96" s="739"/>
      <c r="K96" s="739"/>
      <c r="L96" s="739"/>
      <c r="M96" s="739"/>
      <c r="N96" s="739"/>
      <c r="O96" s="739"/>
      <c r="P96" s="739"/>
      <c r="Q96" s="817"/>
      <c r="R96" s="739"/>
      <c r="S96" s="739"/>
      <c r="T96" s="739"/>
      <c r="U96" s="739"/>
      <c r="V96" s="739"/>
      <c r="W96" s="739"/>
      <c r="X96" s="739"/>
      <c r="Y96" s="739"/>
      <c r="Z96" s="739"/>
      <c r="AA96" s="739"/>
      <c r="AB96" s="739"/>
      <c r="AC96" s="739"/>
      <c r="AD96" s="739"/>
      <c r="AE96" s="739"/>
      <c r="AF96" s="739"/>
      <c r="AG96" s="739"/>
      <c r="AH96" s="739"/>
      <c r="AI96" s="739"/>
      <c r="AJ96" s="739"/>
      <c r="AK96" s="739"/>
      <c r="AL96" s="739"/>
      <c r="AM96" s="739"/>
      <c r="AN96" s="739"/>
      <c r="AO96" s="739"/>
      <c r="AP96" s="739"/>
      <c r="AQ96" s="739"/>
      <c r="AR96" s="739"/>
      <c r="AS96" s="739"/>
      <c r="AT96" s="739"/>
      <c r="AU96" s="739">
        <v>1</v>
      </c>
      <c r="AV96" s="739"/>
      <c r="AW96" s="739"/>
      <c r="AX96" s="739"/>
      <c r="AY96" s="739"/>
      <c r="AZ96" s="739"/>
      <c r="BA96" s="739"/>
      <c r="BB96" s="739"/>
      <c r="BC96" s="739"/>
      <c r="BD96" s="739"/>
      <c r="BE96" s="817"/>
      <c r="BF96" s="817"/>
      <c r="BG96" s="817"/>
      <c r="BH96" s="817"/>
      <c r="BI96" s="817"/>
      <c r="BJ96" s="817"/>
      <c r="BK96" s="817"/>
      <c r="BL96" s="817"/>
      <c r="BM96" s="817"/>
      <c r="BN96" s="817"/>
      <c r="BO96" s="817"/>
      <c r="BP96" s="817"/>
      <c r="BQ96" s="817"/>
      <c r="BR96" s="817"/>
      <c r="BS96" s="817"/>
      <c r="BT96" s="817"/>
      <c r="BU96" s="817"/>
      <c r="BV96" s="907"/>
      <c r="BW96" s="817"/>
      <c r="BX96" s="817"/>
      <c r="BY96" s="817"/>
      <c r="BZ96" s="817"/>
      <c r="CA96" s="907"/>
      <c r="CB96" s="739">
        <v>-1</v>
      </c>
      <c r="CC96" s="739"/>
      <c r="CD96" s="739"/>
      <c r="CE96" s="739"/>
      <c r="CF96" s="739"/>
      <c r="CG96" s="739"/>
      <c r="CH96" s="739"/>
      <c r="CI96" s="739"/>
      <c r="CJ96" s="739"/>
      <c r="CK96" s="817"/>
      <c r="CL96" s="817"/>
      <c r="CM96" s="817"/>
      <c r="CN96" s="817"/>
      <c r="CO96" s="817"/>
      <c r="CP96" s="739"/>
      <c r="CQ96" s="739"/>
      <c r="CR96" s="817"/>
      <c r="CS96" s="817"/>
      <c r="CT96" s="817"/>
      <c r="CU96" s="817"/>
      <c r="CV96" s="816" t="s">
        <v>3205</v>
      </c>
      <c r="CW96" s="816" t="s">
        <v>2037</v>
      </c>
      <c r="CX96" s="816"/>
      <c r="CY96" s="696"/>
    </row>
    <row r="97" spans="1:104" ht="15.75" x14ac:dyDescent="0.45">
      <c r="B97" s="815">
        <v>94</v>
      </c>
      <c r="C97" s="815" t="s">
        <v>3448</v>
      </c>
      <c r="D97" s="816" t="s">
        <v>3212</v>
      </c>
      <c r="E97" s="739"/>
      <c r="F97" s="739"/>
      <c r="G97" s="739"/>
      <c r="H97" s="739"/>
      <c r="I97" s="739"/>
      <c r="J97" s="739"/>
      <c r="K97" s="739"/>
      <c r="L97" s="739"/>
      <c r="M97" s="739"/>
      <c r="N97" s="739"/>
      <c r="O97" s="739"/>
      <c r="P97" s="739"/>
      <c r="Q97" s="817"/>
      <c r="R97" s="739"/>
      <c r="S97" s="739"/>
      <c r="T97" s="739"/>
      <c r="U97" s="739"/>
      <c r="V97" s="739"/>
      <c r="W97" s="739"/>
      <c r="X97" s="739"/>
      <c r="Y97" s="739"/>
      <c r="Z97" s="739"/>
      <c r="AA97" s="739"/>
      <c r="AB97" s="739"/>
      <c r="AC97" s="739"/>
      <c r="AD97" s="739"/>
      <c r="AE97" s="739"/>
      <c r="AF97" s="739"/>
      <c r="AG97" s="739"/>
      <c r="AH97" s="739"/>
      <c r="AI97" s="739"/>
      <c r="AJ97" s="739"/>
      <c r="AK97" s="739"/>
      <c r="AL97" s="739"/>
      <c r="AM97" s="739"/>
      <c r="AN97" s="739"/>
      <c r="AO97" s="739"/>
      <c r="AP97" s="739"/>
      <c r="AQ97" s="739"/>
      <c r="AR97" s="739"/>
      <c r="AS97" s="739">
        <v>1</v>
      </c>
      <c r="AT97" s="739"/>
      <c r="AU97" s="739"/>
      <c r="AV97" s="739"/>
      <c r="AW97" s="739"/>
      <c r="AX97" s="739"/>
      <c r="AY97" s="739"/>
      <c r="AZ97" s="739"/>
      <c r="BA97" s="739"/>
      <c r="BB97" s="739"/>
      <c r="BC97" s="739"/>
      <c r="BD97" s="739"/>
      <c r="BE97" s="817"/>
      <c r="BF97" s="817"/>
      <c r="BG97" s="817"/>
      <c r="BH97" s="817"/>
      <c r="BI97" s="817"/>
      <c r="BJ97" s="817"/>
      <c r="BK97" s="817"/>
      <c r="BL97" s="817"/>
      <c r="BM97" s="817"/>
      <c r="BN97" s="817"/>
      <c r="BO97" s="817"/>
      <c r="BP97" s="817"/>
      <c r="BQ97" s="817"/>
      <c r="BR97" s="817"/>
      <c r="BS97" s="817"/>
      <c r="BT97" s="817"/>
      <c r="BU97" s="817"/>
      <c r="BV97" s="907"/>
      <c r="BW97" s="817"/>
      <c r="BX97" s="817"/>
      <c r="BY97" s="817"/>
      <c r="BZ97" s="817"/>
      <c r="CA97" s="907"/>
      <c r="CB97" s="739"/>
      <c r="CC97" s="739">
        <v>-1</v>
      </c>
      <c r="CD97" s="739"/>
      <c r="CE97" s="739"/>
      <c r="CF97" s="739"/>
      <c r="CG97" s="739"/>
      <c r="CH97" s="739"/>
      <c r="CI97" s="739"/>
      <c r="CJ97" s="739"/>
      <c r="CK97" s="817"/>
      <c r="CL97" s="817"/>
      <c r="CM97" s="817"/>
      <c r="CN97" s="817"/>
      <c r="CO97" s="817"/>
      <c r="CP97" s="739"/>
      <c r="CQ97" s="739"/>
      <c r="CR97" s="817"/>
      <c r="CS97" s="817"/>
      <c r="CT97" s="817"/>
      <c r="CU97" s="817"/>
      <c r="CV97" s="816" t="s">
        <v>3206</v>
      </c>
      <c r="CW97" s="816" t="s">
        <v>2037</v>
      </c>
      <c r="CX97" s="816"/>
      <c r="CY97" s="696"/>
    </row>
    <row r="98" spans="1:104" ht="15.75" x14ac:dyDescent="0.45">
      <c r="B98" s="815">
        <v>95</v>
      </c>
      <c r="C98" s="815" t="s">
        <v>3767</v>
      </c>
      <c r="D98" s="816" t="s">
        <v>3213</v>
      </c>
      <c r="E98" s="739"/>
      <c r="F98" s="739"/>
      <c r="G98" s="739"/>
      <c r="H98" s="739"/>
      <c r="I98" s="739"/>
      <c r="J98" s="739"/>
      <c r="K98" s="739"/>
      <c r="L98" s="739"/>
      <c r="M98" s="739"/>
      <c r="N98" s="739"/>
      <c r="O98" s="739"/>
      <c r="P98" s="739"/>
      <c r="Q98" s="817"/>
      <c r="R98" s="739"/>
      <c r="S98" s="739"/>
      <c r="T98" s="739"/>
      <c r="U98" s="739"/>
      <c r="V98" s="739"/>
      <c r="W98" s="739"/>
      <c r="X98" s="739"/>
      <c r="Y98" s="739"/>
      <c r="Z98" s="739"/>
      <c r="AA98" s="739"/>
      <c r="AB98" s="739"/>
      <c r="AC98" s="739"/>
      <c r="AD98" s="739"/>
      <c r="AE98" s="739"/>
      <c r="AF98" s="739"/>
      <c r="AG98" s="739"/>
      <c r="AH98" s="739"/>
      <c r="AI98" s="739"/>
      <c r="AJ98" s="739"/>
      <c r="AK98" s="739"/>
      <c r="AL98" s="739"/>
      <c r="AM98" s="739"/>
      <c r="AN98" s="739"/>
      <c r="AO98" s="739"/>
      <c r="AP98" s="739"/>
      <c r="AQ98" s="739"/>
      <c r="AR98" s="739"/>
      <c r="AS98" s="739"/>
      <c r="AT98" s="739">
        <v>1</v>
      </c>
      <c r="AU98" s="739"/>
      <c r="AV98" s="739"/>
      <c r="AW98" s="739"/>
      <c r="AX98" s="739"/>
      <c r="AY98" s="739"/>
      <c r="AZ98" s="739"/>
      <c r="BA98" s="739"/>
      <c r="BB98" s="739"/>
      <c r="BC98" s="739"/>
      <c r="BD98" s="739"/>
      <c r="BE98" s="817"/>
      <c r="BF98" s="817"/>
      <c r="BG98" s="817"/>
      <c r="BH98" s="817"/>
      <c r="BI98" s="817"/>
      <c r="BJ98" s="817"/>
      <c r="BK98" s="817"/>
      <c r="BL98" s="817"/>
      <c r="BM98" s="817"/>
      <c r="BN98" s="817"/>
      <c r="BO98" s="817"/>
      <c r="BP98" s="817"/>
      <c r="BQ98" s="817"/>
      <c r="BR98" s="817"/>
      <c r="BS98" s="817"/>
      <c r="BT98" s="817"/>
      <c r="BU98" s="817"/>
      <c r="BV98" s="907"/>
      <c r="BW98" s="817"/>
      <c r="BX98" s="817"/>
      <c r="BY98" s="817"/>
      <c r="BZ98" s="817"/>
      <c r="CA98" s="907"/>
      <c r="CB98" s="739"/>
      <c r="CC98" s="739"/>
      <c r="CD98" s="739">
        <v>-1</v>
      </c>
      <c r="CE98" s="739"/>
      <c r="CF98" s="739"/>
      <c r="CG98" s="739"/>
      <c r="CH98" s="739"/>
      <c r="CI98" s="739"/>
      <c r="CJ98" s="739"/>
      <c r="CK98" s="817"/>
      <c r="CL98" s="817"/>
      <c r="CM98" s="817"/>
      <c r="CN98" s="817"/>
      <c r="CO98" s="817"/>
      <c r="CP98" s="739"/>
      <c r="CQ98" s="739"/>
      <c r="CR98" s="817"/>
      <c r="CS98" s="817"/>
      <c r="CT98" s="817"/>
      <c r="CU98" s="817"/>
      <c r="CV98" s="816" t="s">
        <v>3207</v>
      </c>
      <c r="CW98" s="816" t="s">
        <v>2037</v>
      </c>
      <c r="CX98" s="816"/>
      <c r="CY98" s="696"/>
    </row>
    <row r="99" spans="1:104" ht="15.75" x14ac:dyDescent="0.45">
      <c r="B99" s="815">
        <v>96</v>
      </c>
      <c r="C99" s="815" t="s">
        <v>3768</v>
      </c>
      <c r="D99" s="816" t="s">
        <v>3214</v>
      </c>
      <c r="E99" s="739"/>
      <c r="F99" s="739"/>
      <c r="G99" s="739"/>
      <c r="H99" s="739"/>
      <c r="I99" s="739"/>
      <c r="J99" s="739"/>
      <c r="K99" s="739"/>
      <c r="L99" s="739"/>
      <c r="M99" s="739"/>
      <c r="N99" s="739"/>
      <c r="O99" s="739"/>
      <c r="P99" s="739"/>
      <c r="Q99" s="817"/>
      <c r="R99" s="739"/>
      <c r="S99" s="739"/>
      <c r="T99" s="739"/>
      <c r="U99" s="739"/>
      <c r="V99" s="739"/>
      <c r="W99" s="739"/>
      <c r="X99" s="739"/>
      <c r="Y99" s="739"/>
      <c r="Z99" s="739"/>
      <c r="AA99" s="739"/>
      <c r="AB99" s="739"/>
      <c r="AC99" s="739"/>
      <c r="AD99" s="739"/>
      <c r="AE99" s="739"/>
      <c r="AF99" s="739"/>
      <c r="AG99" s="739"/>
      <c r="AH99" s="739"/>
      <c r="AI99" s="739"/>
      <c r="AJ99" s="739"/>
      <c r="AK99" s="739"/>
      <c r="AL99" s="739"/>
      <c r="AM99" s="739"/>
      <c r="AN99" s="739"/>
      <c r="AO99" s="739"/>
      <c r="AP99" s="739"/>
      <c r="AQ99" s="739"/>
      <c r="AR99" s="739">
        <v>1</v>
      </c>
      <c r="AS99" s="739"/>
      <c r="AT99" s="739"/>
      <c r="AU99" s="739"/>
      <c r="AV99" s="739"/>
      <c r="AW99" s="739"/>
      <c r="AX99" s="739"/>
      <c r="AY99" s="739"/>
      <c r="AZ99" s="739"/>
      <c r="BA99" s="739"/>
      <c r="BB99" s="739"/>
      <c r="BC99" s="739"/>
      <c r="BD99" s="739"/>
      <c r="BE99" s="817"/>
      <c r="BF99" s="817"/>
      <c r="BG99" s="817"/>
      <c r="BH99" s="817"/>
      <c r="BI99" s="817"/>
      <c r="BJ99" s="817"/>
      <c r="BK99" s="817"/>
      <c r="BL99" s="817"/>
      <c r="BM99" s="817"/>
      <c r="BN99" s="817"/>
      <c r="BO99" s="817"/>
      <c r="BP99" s="817"/>
      <c r="BQ99" s="817"/>
      <c r="BR99" s="817"/>
      <c r="BS99" s="817"/>
      <c r="BT99" s="817"/>
      <c r="BU99" s="817"/>
      <c r="BV99" s="907"/>
      <c r="BW99" s="817"/>
      <c r="BX99" s="817"/>
      <c r="BY99" s="817"/>
      <c r="BZ99" s="817"/>
      <c r="CA99" s="907"/>
      <c r="CB99" s="739"/>
      <c r="CC99" s="739"/>
      <c r="CD99" s="739"/>
      <c r="CE99" s="739">
        <v>-1</v>
      </c>
      <c r="CF99" s="739"/>
      <c r="CG99" s="739"/>
      <c r="CH99" s="739"/>
      <c r="CI99" s="739"/>
      <c r="CJ99" s="739"/>
      <c r="CK99" s="817"/>
      <c r="CL99" s="817"/>
      <c r="CM99" s="817"/>
      <c r="CN99" s="817"/>
      <c r="CO99" s="817"/>
      <c r="CP99" s="739"/>
      <c r="CQ99" s="739"/>
      <c r="CR99" s="817"/>
      <c r="CS99" s="817"/>
      <c r="CT99" s="817"/>
      <c r="CU99" s="817"/>
      <c r="CV99" s="816" t="s">
        <v>3208</v>
      </c>
      <c r="CW99" s="816" t="s">
        <v>2037</v>
      </c>
      <c r="CX99" s="816"/>
      <c r="CY99" s="696"/>
    </row>
    <row r="100" spans="1:104" ht="15.75" x14ac:dyDescent="0.45">
      <c r="B100" s="815">
        <v>97</v>
      </c>
      <c r="C100" s="815" t="s">
        <v>3769</v>
      </c>
      <c r="D100" s="816" t="s">
        <v>3215</v>
      </c>
      <c r="E100" s="739"/>
      <c r="F100" s="739"/>
      <c r="G100" s="739"/>
      <c r="H100" s="739"/>
      <c r="I100" s="739"/>
      <c r="J100" s="739"/>
      <c r="K100" s="739"/>
      <c r="L100" s="739"/>
      <c r="M100" s="739"/>
      <c r="N100" s="739"/>
      <c r="O100" s="739"/>
      <c r="P100" s="739"/>
      <c r="Q100" s="817"/>
      <c r="R100" s="739"/>
      <c r="S100" s="739"/>
      <c r="T100" s="739"/>
      <c r="U100" s="739"/>
      <c r="V100" s="739"/>
      <c r="W100" s="739"/>
      <c r="X100" s="739"/>
      <c r="Y100" s="739"/>
      <c r="Z100" s="739"/>
      <c r="AA100" s="739"/>
      <c r="AB100" s="739">
        <v>1</v>
      </c>
      <c r="AC100" s="739"/>
      <c r="AD100" s="739"/>
      <c r="AE100" s="739"/>
      <c r="AF100" s="739"/>
      <c r="AG100" s="739"/>
      <c r="AH100" s="739"/>
      <c r="AI100" s="739"/>
      <c r="AJ100" s="739"/>
      <c r="AK100" s="739"/>
      <c r="AL100" s="739"/>
      <c r="AM100" s="739"/>
      <c r="AN100" s="739"/>
      <c r="AO100" s="739"/>
      <c r="AP100" s="739"/>
      <c r="AQ100" s="739"/>
      <c r="AR100" s="739"/>
      <c r="AS100" s="739"/>
      <c r="AT100" s="739"/>
      <c r="AU100" s="739"/>
      <c r="AV100" s="739"/>
      <c r="AW100" s="739"/>
      <c r="AX100" s="739"/>
      <c r="AY100" s="739"/>
      <c r="AZ100" s="739"/>
      <c r="BA100" s="739"/>
      <c r="BB100" s="739"/>
      <c r="BC100" s="739"/>
      <c r="BD100" s="739"/>
      <c r="BE100" s="817"/>
      <c r="BF100" s="817"/>
      <c r="BG100" s="817"/>
      <c r="BH100" s="817"/>
      <c r="BI100" s="817"/>
      <c r="BJ100" s="817"/>
      <c r="BK100" s="817"/>
      <c r="BL100" s="817"/>
      <c r="BM100" s="817"/>
      <c r="BN100" s="817"/>
      <c r="BO100" s="817"/>
      <c r="BP100" s="817"/>
      <c r="BQ100" s="817"/>
      <c r="BR100" s="817"/>
      <c r="BS100" s="817"/>
      <c r="BT100" s="817"/>
      <c r="BU100" s="817"/>
      <c r="BV100" s="907"/>
      <c r="BW100" s="817"/>
      <c r="BX100" s="817"/>
      <c r="BY100" s="817"/>
      <c r="BZ100" s="817"/>
      <c r="CA100" s="907"/>
      <c r="CB100" s="739"/>
      <c r="CC100" s="739"/>
      <c r="CD100" s="739"/>
      <c r="CE100" s="739"/>
      <c r="CF100" s="739">
        <v>-1</v>
      </c>
      <c r="CG100" s="739"/>
      <c r="CH100" s="739"/>
      <c r="CI100" s="739"/>
      <c r="CJ100" s="739"/>
      <c r="CK100" s="817"/>
      <c r="CL100" s="817"/>
      <c r="CM100" s="817"/>
      <c r="CN100" s="817"/>
      <c r="CO100" s="817"/>
      <c r="CP100" s="739"/>
      <c r="CQ100" s="739"/>
      <c r="CR100" s="817"/>
      <c r="CS100" s="817"/>
      <c r="CT100" s="817"/>
      <c r="CU100" s="817"/>
      <c r="CV100" s="816" t="s">
        <v>3209</v>
      </c>
      <c r="CW100" s="816" t="s">
        <v>2037</v>
      </c>
      <c r="CX100" s="816"/>
      <c r="CY100" s="696"/>
    </row>
    <row r="101" spans="1:104" ht="15.75" x14ac:dyDescent="0.45">
      <c r="B101" s="815">
        <v>98</v>
      </c>
      <c r="C101" s="815" t="s">
        <v>3770</v>
      </c>
      <c r="D101" s="816" t="s">
        <v>3762</v>
      </c>
      <c r="E101" s="466"/>
      <c r="F101" s="466"/>
      <c r="G101" s="466"/>
      <c r="H101" s="466"/>
      <c r="I101" s="466"/>
      <c r="J101" s="466"/>
      <c r="K101" s="466"/>
      <c r="L101" s="466"/>
      <c r="M101" s="466"/>
      <c r="N101" s="466"/>
      <c r="O101" s="466"/>
      <c r="P101" s="466"/>
      <c r="Q101" s="467"/>
      <c r="R101" s="466"/>
      <c r="S101" s="466"/>
      <c r="T101" s="466"/>
      <c r="U101" s="466"/>
      <c r="V101" s="466"/>
      <c r="W101" s="466"/>
      <c r="X101" s="466"/>
      <c r="Y101" s="2549"/>
      <c r="Z101" s="2549"/>
      <c r="AA101" s="2549"/>
      <c r="AB101" s="466"/>
      <c r="AC101" s="466"/>
      <c r="AD101" s="466"/>
      <c r="AE101" s="466"/>
      <c r="AF101" s="466" t="s">
        <v>5139</v>
      </c>
      <c r="AG101" s="466" t="s">
        <v>5140</v>
      </c>
      <c r="AH101" s="466"/>
      <c r="AI101" s="466"/>
      <c r="AJ101" s="466"/>
      <c r="AK101" s="466"/>
      <c r="AL101" s="466"/>
      <c r="AM101" s="466"/>
      <c r="AN101" s="466"/>
      <c r="AO101" s="466"/>
      <c r="AP101" s="466"/>
      <c r="AQ101" s="466"/>
      <c r="AR101" s="466"/>
      <c r="AS101" s="466"/>
      <c r="AT101" s="466"/>
      <c r="AU101" s="466"/>
      <c r="AV101" s="466"/>
      <c r="AW101" s="466"/>
      <c r="AX101" s="466"/>
      <c r="AY101" s="466"/>
      <c r="AZ101" s="466"/>
      <c r="BA101" s="466"/>
      <c r="BB101" s="2549"/>
      <c r="BC101" s="2549"/>
      <c r="BD101" s="2549"/>
      <c r="BE101" s="467"/>
      <c r="BF101" s="467"/>
      <c r="BG101" s="467"/>
      <c r="BH101" s="467"/>
      <c r="BI101" s="467"/>
      <c r="BJ101" s="467"/>
      <c r="BK101" s="467"/>
      <c r="BL101" s="467"/>
      <c r="BM101" s="467"/>
      <c r="BN101" s="467"/>
      <c r="BO101" s="467"/>
      <c r="BP101" s="467"/>
      <c r="BQ101" s="467"/>
      <c r="BR101" s="467"/>
      <c r="BS101" s="467"/>
      <c r="BT101" s="467"/>
      <c r="BU101" s="467"/>
      <c r="BV101" s="467"/>
      <c r="BW101" s="467"/>
      <c r="BX101" s="467"/>
      <c r="BY101" s="2559"/>
      <c r="BZ101" s="467"/>
      <c r="CA101" s="467"/>
      <c r="CB101" s="466"/>
      <c r="CC101" s="466"/>
      <c r="CD101" s="466"/>
      <c r="CE101" s="466"/>
      <c r="CF101" s="466"/>
      <c r="CG101" s="739">
        <v>-1</v>
      </c>
      <c r="CH101" s="466"/>
      <c r="CI101" s="466"/>
      <c r="CJ101" s="2549"/>
      <c r="CK101" s="467"/>
      <c r="CL101" s="467"/>
      <c r="CM101" s="467"/>
      <c r="CN101" s="467"/>
      <c r="CO101" s="467"/>
      <c r="CP101" s="466"/>
      <c r="CQ101" s="466"/>
      <c r="CR101" s="467"/>
      <c r="CS101" s="2559"/>
      <c r="CT101" s="2559"/>
      <c r="CU101" s="2559"/>
      <c r="CV101" s="816" t="s">
        <v>3839</v>
      </c>
      <c r="CW101" s="816" t="s">
        <v>2037</v>
      </c>
      <c r="CX101" s="465"/>
      <c r="CY101" s="468"/>
    </row>
    <row r="102" spans="1:104" ht="15.75" x14ac:dyDescent="0.45">
      <c r="B102" s="815">
        <v>99</v>
      </c>
      <c r="C102" s="815" t="s">
        <v>3771</v>
      </c>
      <c r="D102" s="816" t="s">
        <v>3763</v>
      </c>
      <c r="E102" s="466"/>
      <c r="F102" s="466"/>
      <c r="G102" s="466"/>
      <c r="H102" s="466"/>
      <c r="I102" s="466"/>
      <c r="J102" s="466"/>
      <c r="K102" s="466"/>
      <c r="L102" s="466"/>
      <c r="M102" s="466"/>
      <c r="N102" s="466"/>
      <c r="O102" s="466"/>
      <c r="P102" s="466"/>
      <c r="Q102" s="467"/>
      <c r="R102" s="466"/>
      <c r="S102" s="466"/>
      <c r="T102" s="466"/>
      <c r="U102" s="466"/>
      <c r="V102" s="466"/>
      <c r="W102" s="466"/>
      <c r="X102" s="466"/>
      <c r="Y102" s="2549"/>
      <c r="Z102" s="2549"/>
      <c r="AA102" s="2549"/>
      <c r="AB102" s="466"/>
      <c r="AC102" s="466"/>
      <c r="AD102" s="466"/>
      <c r="AE102" s="466"/>
      <c r="AF102" s="466"/>
      <c r="AG102" s="466"/>
      <c r="AH102" s="466">
        <v>1</v>
      </c>
      <c r="AI102" s="466"/>
      <c r="AJ102" s="466"/>
      <c r="AK102" s="466"/>
      <c r="AL102" s="466"/>
      <c r="AM102" s="466"/>
      <c r="AN102" s="466"/>
      <c r="AO102" s="466"/>
      <c r="AP102" s="466"/>
      <c r="AQ102" s="466"/>
      <c r="AR102" s="466"/>
      <c r="AS102" s="466"/>
      <c r="AT102" s="466"/>
      <c r="AU102" s="466"/>
      <c r="AV102" s="466"/>
      <c r="AW102" s="466"/>
      <c r="AX102" s="466"/>
      <c r="AY102" s="466"/>
      <c r="AZ102" s="466"/>
      <c r="BA102" s="466"/>
      <c r="BB102" s="2549"/>
      <c r="BC102" s="2549"/>
      <c r="BD102" s="2549"/>
      <c r="BE102" s="467"/>
      <c r="BF102" s="467"/>
      <c r="BG102" s="467"/>
      <c r="BH102" s="467"/>
      <c r="BI102" s="467"/>
      <c r="BJ102" s="467"/>
      <c r="BK102" s="467"/>
      <c r="BL102" s="467"/>
      <c r="BM102" s="467"/>
      <c r="BN102" s="467"/>
      <c r="BO102" s="467"/>
      <c r="BP102" s="467"/>
      <c r="BQ102" s="467"/>
      <c r="BR102" s="467"/>
      <c r="BS102" s="467"/>
      <c r="BT102" s="467"/>
      <c r="BU102" s="467"/>
      <c r="BV102" s="467"/>
      <c r="BW102" s="467"/>
      <c r="BX102" s="467"/>
      <c r="BY102" s="2559"/>
      <c r="BZ102" s="467"/>
      <c r="CA102" s="467"/>
      <c r="CB102" s="466"/>
      <c r="CC102" s="466"/>
      <c r="CD102" s="466"/>
      <c r="CE102" s="466"/>
      <c r="CF102" s="466"/>
      <c r="CG102" s="466"/>
      <c r="CH102" s="739">
        <v>-1</v>
      </c>
      <c r="CI102" s="466"/>
      <c r="CJ102" s="2549"/>
      <c r="CK102" s="467"/>
      <c r="CL102" s="467"/>
      <c r="CM102" s="467"/>
      <c r="CN102" s="467"/>
      <c r="CO102" s="467"/>
      <c r="CP102" s="466"/>
      <c r="CQ102" s="466"/>
      <c r="CR102" s="467"/>
      <c r="CS102" s="2559"/>
      <c r="CT102" s="2559"/>
      <c r="CU102" s="2559"/>
      <c r="CV102" s="816" t="s">
        <v>3840</v>
      </c>
      <c r="CW102" s="816" t="s">
        <v>2037</v>
      </c>
      <c r="CX102" s="465"/>
      <c r="CY102" s="468"/>
    </row>
    <row r="103" spans="1:104" ht="16.149999999999999" thickBot="1" x14ac:dyDescent="0.5">
      <c r="B103" s="2215">
        <v>100</v>
      </c>
      <c r="C103" s="2215" t="s">
        <v>3772</v>
      </c>
      <c r="D103" s="2216" t="s">
        <v>3216</v>
      </c>
      <c r="E103" s="466"/>
      <c r="F103" s="466"/>
      <c r="G103" s="466"/>
      <c r="H103" s="466"/>
      <c r="I103" s="466"/>
      <c r="J103" s="466"/>
      <c r="K103" s="466"/>
      <c r="L103" s="466"/>
      <c r="M103" s="466"/>
      <c r="N103" s="466"/>
      <c r="O103" s="466"/>
      <c r="P103" s="466"/>
      <c r="Q103" s="467"/>
      <c r="R103" s="466"/>
      <c r="S103" s="466"/>
      <c r="T103" s="466"/>
      <c r="U103" s="466"/>
      <c r="V103" s="466"/>
      <c r="W103" s="466"/>
      <c r="X103" s="466"/>
      <c r="Y103" s="2549"/>
      <c r="Z103" s="2549"/>
      <c r="AA103" s="2549"/>
      <c r="AB103" s="466"/>
      <c r="AC103" s="466"/>
      <c r="AD103" s="466"/>
      <c r="AE103" s="466"/>
      <c r="AF103" s="466"/>
      <c r="AG103" s="466"/>
      <c r="AH103" s="466"/>
      <c r="AI103" s="466">
        <v>1</v>
      </c>
      <c r="AJ103" s="466"/>
      <c r="AK103" s="466"/>
      <c r="AL103" s="466"/>
      <c r="AM103" s="466"/>
      <c r="AN103" s="466"/>
      <c r="AO103" s="466"/>
      <c r="AP103" s="466"/>
      <c r="AQ103" s="466"/>
      <c r="AR103" s="466"/>
      <c r="AS103" s="466"/>
      <c r="AT103" s="466"/>
      <c r="AU103" s="466"/>
      <c r="AV103" s="466"/>
      <c r="AW103" s="466"/>
      <c r="AX103" s="466"/>
      <c r="AY103" s="466"/>
      <c r="AZ103" s="466"/>
      <c r="BA103" s="466"/>
      <c r="BB103" s="2549"/>
      <c r="BC103" s="2549"/>
      <c r="BD103" s="2549"/>
      <c r="BE103" s="467"/>
      <c r="BF103" s="467"/>
      <c r="BG103" s="467"/>
      <c r="BH103" s="467"/>
      <c r="BI103" s="467"/>
      <c r="BJ103" s="467"/>
      <c r="BK103" s="467"/>
      <c r="BL103" s="467"/>
      <c r="BM103" s="467"/>
      <c r="BN103" s="467"/>
      <c r="BO103" s="467"/>
      <c r="BP103" s="467"/>
      <c r="BQ103" s="467"/>
      <c r="BR103" s="467"/>
      <c r="BS103" s="467"/>
      <c r="BT103" s="467"/>
      <c r="BU103" s="467"/>
      <c r="BV103" s="467"/>
      <c r="BW103" s="467"/>
      <c r="BX103" s="467"/>
      <c r="BY103" s="2559"/>
      <c r="BZ103" s="467"/>
      <c r="CA103" s="467"/>
      <c r="CB103" s="466"/>
      <c r="CC103" s="466"/>
      <c r="CD103" s="466"/>
      <c r="CE103" s="466"/>
      <c r="CF103" s="466"/>
      <c r="CG103" s="466"/>
      <c r="CH103" s="466"/>
      <c r="CI103" s="466">
        <v>-1</v>
      </c>
      <c r="CJ103" s="2549"/>
      <c r="CK103" s="467"/>
      <c r="CL103" s="467"/>
      <c r="CM103" s="467"/>
      <c r="CN103" s="467"/>
      <c r="CO103" s="467"/>
      <c r="CP103" s="466"/>
      <c r="CQ103" s="466"/>
      <c r="CR103" s="467"/>
      <c r="CS103" s="2559"/>
      <c r="CT103" s="2559"/>
      <c r="CU103" s="2559"/>
      <c r="CV103" s="465" t="s">
        <v>3210</v>
      </c>
      <c r="CW103" s="465" t="s">
        <v>2037</v>
      </c>
      <c r="CX103" s="465"/>
      <c r="CY103" s="468"/>
    </row>
    <row r="104" spans="1:104" s="163" customFormat="1" ht="15.75" x14ac:dyDescent="0.45">
      <c r="A104"/>
      <c r="B104" s="2217">
        <v>101</v>
      </c>
      <c r="C104" s="2217" t="s">
        <v>3773</v>
      </c>
      <c r="D104" s="2218" t="s">
        <v>3192</v>
      </c>
      <c r="E104" s="819"/>
      <c r="F104" s="819"/>
      <c r="G104" s="819"/>
      <c r="H104" s="819"/>
      <c r="I104" s="819"/>
      <c r="J104" s="819"/>
      <c r="K104" s="819"/>
      <c r="L104" s="819"/>
      <c r="M104" s="819"/>
      <c r="N104" s="819"/>
      <c r="O104" s="819"/>
      <c r="P104" s="819"/>
      <c r="Q104" s="819"/>
      <c r="R104" s="819"/>
      <c r="S104" s="819"/>
      <c r="T104" s="819"/>
      <c r="U104" s="819"/>
      <c r="V104" s="819"/>
      <c r="W104" s="819"/>
      <c r="X104" s="819"/>
      <c r="Y104" s="2550"/>
      <c r="Z104" s="2550"/>
      <c r="AA104" s="2550"/>
      <c r="AB104" s="819"/>
      <c r="AC104" s="819"/>
      <c r="AD104" s="819"/>
      <c r="AE104" s="819"/>
      <c r="AF104" s="819"/>
      <c r="AG104" s="819"/>
      <c r="AH104" s="819"/>
      <c r="AI104" s="819"/>
      <c r="AJ104" s="819"/>
      <c r="AK104" s="819"/>
      <c r="AL104" s="819"/>
      <c r="AM104" s="819"/>
      <c r="AN104" s="819"/>
      <c r="AO104" s="819"/>
      <c r="AP104" s="819"/>
      <c r="AQ104" s="819"/>
      <c r="AR104" s="819"/>
      <c r="AS104" s="819"/>
      <c r="AT104" s="819"/>
      <c r="AU104" s="819">
        <v>1</v>
      </c>
      <c r="AV104" s="819"/>
      <c r="AW104" s="819"/>
      <c r="AX104" s="819"/>
      <c r="AY104" s="819"/>
      <c r="AZ104" s="819"/>
      <c r="BA104" s="819"/>
      <c r="BB104" s="2550"/>
      <c r="BC104" s="2550"/>
      <c r="BD104" s="2550"/>
      <c r="BE104" s="819"/>
      <c r="BF104" s="819"/>
      <c r="BG104" s="819"/>
      <c r="BH104" s="819"/>
      <c r="BI104" s="819"/>
      <c r="BJ104" s="819"/>
      <c r="BK104" s="819"/>
      <c r="BL104" s="819"/>
      <c r="BM104" s="819"/>
      <c r="BN104" s="819"/>
      <c r="BO104" s="819"/>
      <c r="BP104" s="819"/>
      <c r="BQ104" s="819"/>
      <c r="BR104" s="819"/>
      <c r="BS104" s="819"/>
      <c r="BT104" s="819"/>
      <c r="BU104" s="819"/>
      <c r="BV104" s="908"/>
      <c r="BW104" s="819"/>
      <c r="BX104" s="819"/>
      <c r="BY104" s="2550"/>
      <c r="BZ104" s="819"/>
      <c r="CA104" s="908"/>
      <c r="CB104" s="819"/>
      <c r="CC104" s="819"/>
      <c r="CD104" s="819"/>
      <c r="CE104" s="819"/>
      <c r="CF104" s="819"/>
      <c r="CG104" s="819"/>
      <c r="CH104" s="819"/>
      <c r="CI104" s="819"/>
      <c r="CJ104" s="2550"/>
      <c r="CK104" s="820" t="s">
        <v>3193</v>
      </c>
      <c r="CL104" s="819"/>
      <c r="CM104" s="819"/>
      <c r="CN104" s="819"/>
      <c r="CO104" s="819"/>
      <c r="CP104" s="819"/>
      <c r="CQ104" s="819"/>
      <c r="CR104" s="819"/>
      <c r="CS104" s="2550"/>
      <c r="CT104" s="2550"/>
      <c r="CU104" s="2550"/>
      <c r="CV104" s="818" t="s">
        <v>3194</v>
      </c>
      <c r="CW104" s="818" t="s">
        <v>2037</v>
      </c>
      <c r="CX104" s="818"/>
      <c r="CY104" s="821"/>
      <c r="CZ104" s="2021"/>
    </row>
    <row r="105" spans="1:104" s="163" customFormat="1" ht="15.75" x14ac:dyDescent="0.45">
      <c r="A105"/>
      <c r="B105" s="822">
        <v>102</v>
      </c>
      <c r="C105" s="822" t="s">
        <v>3774</v>
      </c>
      <c r="D105" s="787" t="s">
        <v>3195</v>
      </c>
      <c r="E105" s="733"/>
      <c r="F105" s="733"/>
      <c r="G105" s="733"/>
      <c r="H105" s="733"/>
      <c r="I105" s="733"/>
      <c r="J105" s="733"/>
      <c r="K105" s="733"/>
      <c r="L105" s="733"/>
      <c r="M105" s="733"/>
      <c r="N105" s="733"/>
      <c r="O105" s="733"/>
      <c r="P105" s="733"/>
      <c r="Q105" s="733"/>
      <c r="R105" s="733"/>
      <c r="S105" s="733"/>
      <c r="T105" s="733"/>
      <c r="U105" s="733"/>
      <c r="V105" s="733"/>
      <c r="W105" s="733"/>
      <c r="X105" s="733"/>
      <c r="Y105" s="733"/>
      <c r="Z105" s="733"/>
      <c r="AA105" s="733"/>
      <c r="AB105" s="733"/>
      <c r="AC105" s="733"/>
      <c r="AD105" s="733"/>
      <c r="AE105" s="733"/>
      <c r="AF105" s="733"/>
      <c r="AG105" s="733"/>
      <c r="AH105" s="733"/>
      <c r="AI105" s="733"/>
      <c r="AJ105" s="733"/>
      <c r="AK105" s="733"/>
      <c r="AL105" s="733"/>
      <c r="AM105" s="733"/>
      <c r="AN105" s="733"/>
      <c r="AO105" s="733"/>
      <c r="AP105" s="733"/>
      <c r="AQ105" s="733"/>
      <c r="AR105" s="733"/>
      <c r="AS105" s="733">
        <v>1</v>
      </c>
      <c r="AT105" s="733"/>
      <c r="AU105" s="733"/>
      <c r="AV105" s="733"/>
      <c r="AW105" s="733"/>
      <c r="AX105" s="733"/>
      <c r="AY105" s="733"/>
      <c r="AZ105" s="733"/>
      <c r="BA105" s="733"/>
      <c r="BB105" s="733"/>
      <c r="BC105" s="733"/>
      <c r="BD105" s="733"/>
      <c r="BE105" s="733"/>
      <c r="BF105" s="733"/>
      <c r="BG105" s="733"/>
      <c r="BH105" s="733"/>
      <c r="BI105" s="733"/>
      <c r="BJ105" s="733"/>
      <c r="BK105" s="733"/>
      <c r="BL105" s="733"/>
      <c r="BM105" s="733"/>
      <c r="BN105" s="733"/>
      <c r="BO105" s="733"/>
      <c r="BP105" s="733"/>
      <c r="BQ105" s="733"/>
      <c r="BR105" s="733"/>
      <c r="BS105" s="733"/>
      <c r="BT105" s="733"/>
      <c r="BU105" s="733"/>
      <c r="BV105" s="900"/>
      <c r="BW105" s="733"/>
      <c r="BX105" s="733"/>
      <c r="BY105" s="733"/>
      <c r="BZ105" s="733"/>
      <c r="CA105" s="900"/>
      <c r="CB105" s="733"/>
      <c r="CC105" s="733"/>
      <c r="CD105" s="733"/>
      <c r="CE105" s="733"/>
      <c r="CF105" s="733"/>
      <c r="CG105" s="733"/>
      <c r="CH105" s="733"/>
      <c r="CI105" s="733"/>
      <c r="CJ105" s="733"/>
      <c r="CK105" s="733"/>
      <c r="CL105" s="785" t="s">
        <v>3193</v>
      </c>
      <c r="CM105" s="733"/>
      <c r="CN105" s="733"/>
      <c r="CO105" s="733"/>
      <c r="CP105" s="733"/>
      <c r="CQ105" s="733"/>
      <c r="CR105" s="733"/>
      <c r="CS105" s="733"/>
      <c r="CT105" s="733"/>
      <c r="CU105" s="733"/>
      <c r="CV105" s="787" t="s">
        <v>3196</v>
      </c>
      <c r="CW105" s="787" t="s">
        <v>2037</v>
      </c>
      <c r="CX105" s="787"/>
      <c r="CY105" s="508"/>
      <c r="CZ105" s="2021"/>
    </row>
    <row r="106" spans="1:104" s="163" customFormat="1" ht="15.75" x14ac:dyDescent="0.45">
      <c r="A106"/>
      <c r="B106" s="822">
        <v>103</v>
      </c>
      <c r="C106" s="822" t="s">
        <v>4012</v>
      </c>
      <c r="D106" s="787" t="s">
        <v>3197</v>
      </c>
      <c r="E106" s="733"/>
      <c r="F106" s="733"/>
      <c r="G106" s="733"/>
      <c r="H106" s="733"/>
      <c r="I106" s="733"/>
      <c r="J106" s="733"/>
      <c r="K106" s="733"/>
      <c r="L106" s="733"/>
      <c r="M106" s="733"/>
      <c r="N106" s="733"/>
      <c r="O106" s="733"/>
      <c r="P106" s="733"/>
      <c r="Q106" s="733"/>
      <c r="R106" s="733"/>
      <c r="S106" s="733"/>
      <c r="T106" s="733"/>
      <c r="U106" s="733"/>
      <c r="V106" s="733"/>
      <c r="W106" s="733"/>
      <c r="X106" s="733"/>
      <c r="Y106" s="733"/>
      <c r="Z106" s="733"/>
      <c r="AA106" s="733"/>
      <c r="AB106" s="733"/>
      <c r="AC106" s="733"/>
      <c r="AD106" s="733"/>
      <c r="AE106" s="733"/>
      <c r="AF106" s="733"/>
      <c r="AG106" s="733"/>
      <c r="AH106" s="733"/>
      <c r="AI106" s="733"/>
      <c r="AJ106" s="733"/>
      <c r="AK106" s="733"/>
      <c r="AL106" s="733"/>
      <c r="AM106" s="733"/>
      <c r="AN106" s="733"/>
      <c r="AO106" s="733"/>
      <c r="AP106" s="733"/>
      <c r="AQ106" s="733"/>
      <c r="AR106" s="733"/>
      <c r="AS106" s="733"/>
      <c r="AT106" s="733">
        <v>1</v>
      </c>
      <c r="AU106" s="733"/>
      <c r="AV106" s="733"/>
      <c r="AW106" s="733"/>
      <c r="AX106" s="733"/>
      <c r="AY106" s="733"/>
      <c r="AZ106" s="733"/>
      <c r="BA106" s="733"/>
      <c r="BB106" s="733"/>
      <c r="BC106" s="733"/>
      <c r="BD106" s="733"/>
      <c r="BE106" s="733"/>
      <c r="BF106" s="733"/>
      <c r="BG106" s="733"/>
      <c r="BH106" s="733"/>
      <c r="BI106" s="733"/>
      <c r="BJ106" s="733"/>
      <c r="BK106" s="733"/>
      <c r="BL106" s="733"/>
      <c r="BM106" s="733"/>
      <c r="BN106" s="733"/>
      <c r="BO106" s="733"/>
      <c r="BP106" s="733"/>
      <c r="BQ106" s="733"/>
      <c r="BR106" s="733"/>
      <c r="BS106" s="733"/>
      <c r="BT106" s="733"/>
      <c r="BU106" s="733"/>
      <c r="BV106" s="900"/>
      <c r="BW106" s="733"/>
      <c r="BX106" s="733"/>
      <c r="BY106" s="733"/>
      <c r="BZ106" s="733"/>
      <c r="CA106" s="900"/>
      <c r="CB106" s="733"/>
      <c r="CC106" s="733"/>
      <c r="CD106" s="733"/>
      <c r="CE106" s="733"/>
      <c r="CF106" s="733"/>
      <c r="CG106" s="733"/>
      <c r="CH106" s="733"/>
      <c r="CI106" s="733"/>
      <c r="CJ106" s="733"/>
      <c r="CK106" s="733"/>
      <c r="CL106" s="733"/>
      <c r="CM106" s="785" t="s">
        <v>3193</v>
      </c>
      <c r="CN106" s="733"/>
      <c r="CO106" s="733"/>
      <c r="CP106" s="733"/>
      <c r="CQ106" s="733"/>
      <c r="CR106" s="733"/>
      <c r="CS106" s="733"/>
      <c r="CT106" s="733"/>
      <c r="CU106" s="733"/>
      <c r="CV106" s="787" t="s">
        <v>3198</v>
      </c>
      <c r="CW106" s="787" t="s">
        <v>2037</v>
      </c>
      <c r="CX106" s="787"/>
      <c r="CY106" s="508"/>
      <c r="CZ106" s="2021"/>
    </row>
    <row r="107" spans="1:104" s="163" customFormat="1" ht="15.75" x14ac:dyDescent="0.45">
      <c r="A107"/>
      <c r="B107" s="822">
        <v>104</v>
      </c>
      <c r="C107" s="822" t="s">
        <v>4013</v>
      </c>
      <c r="D107" s="787" t="s">
        <v>3199</v>
      </c>
      <c r="E107" s="733"/>
      <c r="F107" s="733"/>
      <c r="G107" s="733"/>
      <c r="H107" s="733"/>
      <c r="I107" s="733"/>
      <c r="J107" s="733"/>
      <c r="K107" s="733"/>
      <c r="L107" s="733"/>
      <c r="M107" s="733"/>
      <c r="N107" s="733"/>
      <c r="O107" s="733"/>
      <c r="P107" s="733"/>
      <c r="Q107" s="733"/>
      <c r="R107" s="733"/>
      <c r="S107" s="733"/>
      <c r="T107" s="733"/>
      <c r="U107" s="733"/>
      <c r="V107" s="733"/>
      <c r="W107" s="733"/>
      <c r="X107" s="733"/>
      <c r="Y107" s="733"/>
      <c r="Z107" s="733"/>
      <c r="AA107" s="733"/>
      <c r="AB107" s="733"/>
      <c r="AC107" s="733"/>
      <c r="AD107" s="733"/>
      <c r="AE107" s="733"/>
      <c r="AF107" s="733"/>
      <c r="AG107" s="733"/>
      <c r="AH107" s="733"/>
      <c r="AI107" s="733"/>
      <c r="AJ107" s="733"/>
      <c r="AK107" s="733"/>
      <c r="AL107" s="733"/>
      <c r="AM107" s="733"/>
      <c r="AN107" s="733"/>
      <c r="AO107" s="733"/>
      <c r="AP107" s="733"/>
      <c r="AQ107" s="733"/>
      <c r="AR107" s="733">
        <v>1</v>
      </c>
      <c r="AS107" s="733"/>
      <c r="AT107" s="733"/>
      <c r="AU107" s="733"/>
      <c r="AV107" s="733"/>
      <c r="AW107" s="733"/>
      <c r="AX107" s="733"/>
      <c r="AY107" s="733"/>
      <c r="AZ107" s="733"/>
      <c r="BA107" s="733"/>
      <c r="BB107" s="733"/>
      <c r="BC107" s="733"/>
      <c r="BD107" s="733"/>
      <c r="BE107" s="733"/>
      <c r="BF107" s="733"/>
      <c r="BG107" s="733"/>
      <c r="BH107" s="733"/>
      <c r="BI107" s="733"/>
      <c r="BJ107" s="733"/>
      <c r="BK107" s="733"/>
      <c r="BL107" s="733"/>
      <c r="BM107" s="733"/>
      <c r="BN107" s="733"/>
      <c r="BO107" s="733"/>
      <c r="BP107" s="733"/>
      <c r="BQ107" s="733"/>
      <c r="BR107" s="733"/>
      <c r="BS107" s="733"/>
      <c r="BT107" s="733"/>
      <c r="BU107" s="733"/>
      <c r="BV107" s="900"/>
      <c r="BW107" s="733"/>
      <c r="BX107" s="733"/>
      <c r="BY107" s="733"/>
      <c r="BZ107" s="733"/>
      <c r="CA107" s="900"/>
      <c r="CB107" s="733"/>
      <c r="CC107" s="733"/>
      <c r="CD107" s="733"/>
      <c r="CE107" s="733"/>
      <c r="CF107" s="733"/>
      <c r="CG107" s="733"/>
      <c r="CH107" s="733"/>
      <c r="CI107" s="733"/>
      <c r="CJ107" s="733"/>
      <c r="CK107" s="733"/>
      <c r="CL107" s="733"/>
      <c r="CM107" s="733"/>
      <c r="CN107" s="785" t="s">
        <v>3193</v>
      </c>
      <c r="CO107" s="733"/>
      <c r="CP107" s="733"/>
      <c r="CQ107" s="733"/>
      <c r="CR107" s="733"/>
      <c r="CS107" s="733"/>
      <c r="CT107" s="733"/>
      <c r="CU107" s="733"/>
      <c r="CV107" s="787" t="s">
        <v>3200</v>
      </c>
      <c r="CW107" s="787" t="s">
        <v>2037</v>
      </c>
      <c r="CX107" s="787"/>
      <c r="CY107" s="508"/>
      <c r="CZ107" s="2021"/>
    </row>
    <row r="108" spans="1:104" s="163" customFormat="1" ht="15.75" x14ac:dyDescent="0.45">
      <c r="A108"/>
      <c r="B108" s="822">
        <v>105</v>
      </c>
      <c r="C108" s="822" t="s">
        <v>4014</v>
      </c>
      <c r="D108" s="787" t="s">
        <v>3201</v>
      </c>
      <c r="E108" s="733"/>
      <c r="F108" s="733"/>
      <c r="G108" s="733"/>
      <c r="H108" s="733"/>
      <c r="I108" s="733"/>
      <c r="J108" s="733"/>
      <c r="K108" s="733"/>
      <c r="L108" s="733"/>
      <c r="M108" s="733"/>
      <c r="N108" s="733"/>
      <c r="O108" s="733"/>
      <c r="P108" s="733"/>
      <c r="Q108" s="733"/>
      <c r="R108" s="733"/>
      <c r="S108" s="733"/>
      <c r="T108" s="733"/>
      <c r="U108" s="733"/>
      <c r="V108" s="733"/>
      <c r="W108" s="733"/>
      <c r="X108" s="733"/>
      <c r="Y108" s="733"/>
      <c r="Z108" s="733"/>
      <c r="AA108" s="733"/>
      <c r="AB108" s="733">
        <v>1</v>
      </c>
      <c r="AC108" s="733"/>
      <c r="AD108" s="733"/>
      <c r="AE108" s="733"/>
      <c r="AF108" s="733"/>
      <c r="AG108" s="733"/>
      <c r="AH108" s="733"/>
      <c r="AI108" s="733"/>
      <c r="AJ108" s="733"/>
      <c r="AK108" s="733"/>
      <c r="AL108" s="733"/>
      <c r="AM108" s="733"/>
      <c r="AN108" s="733"/>
      <c r="AO108" s="733"/>
      <c r="AP108" s="733"/>
      <c r="AQ108" s="733"/>
      <c r="AR108" s="733"/>
      <c r="AS108" s="733"/>
      <c r="AT108" s="733"/>
      <c r="AU108" s="733"/>
      <c r="AV108" s="733"/>
      <c r="AW108" s="733"/>
      <c r="AX108" s="733"/>
      <c r="AY108" s="733"/>
      <c r="AZ108" s="733"/>
      <c r="BA108" s="733"/>
      <c r="BB108" s="733"/>
      <c r="BC108" s="733"/>
      <c r="BD108" s="733"/>
      <c r="BE108" s="733"/>
      <c r="BF108" s="733"/>
      <c r="BG108" s="733"/>
      <c r="BH108" s="733"/>
      <c r="BI108" s="733"/>
      <c r="BJ108" s="733"/>
      <c r="BK108" s="733"/>
      <c r="BL108" s="733"/>
      <c r="BM108" s="733"/>
      <c r="BN108" s="733"/>
      <c r="BO108" s="733"/>
      <c r="BP108" s="733"/>
      <c r="BQ108" s="733"/>
      <c r="BR108" s="733"/>
      <c r="BS108" s="733"/>
      <c r="BT108" s="733"/>
      <c r="BU108" s="733"/>
      <c r="BV108" s="900"/>
      <c r="BW108" s="733"/>
      <c r="BX108" s="733"/>
      <c r="BY108" s="733"/>
      <c r="BZ108" s="733"/>
      <c r="CA108" s="900"/>
      <c r="CB108" s="733"/>
      <c r="CC108" s="733"/>
      <c r="CD108" s="733"/>
      <c r="CE108" s="733"/>
      <c r="CF108" s="733"/>
      <c r="CG108" s="733"/>
      <c r="CH108" s="733"/>
      <c r="CI108" s="733"/>
      <c r="CJ108" s="733"/>
      <c r="CK108" s="733"/>
      <c r="CL108" s="733"/>
      <c r="CM108" s="733"/>
      <c r="CN108" s="733"/>
      <c r="CO108" s="785" t="s">
        <v>3193</v>
      </c>
      <c r="CP108" s="733"/>
      <c r="CQ108" s="733"/>
      <c r="CR108" s="733"/>
      <c r="CS108" s="733"/>
      <c r="CT108" s="733"/>
      <c r="CU108" s="733"/>
      <c r="CV108" s="787" t="s">
        <v>3202</v>
      </c>
      <c r="CW108" s="787" t="s">
        <v>2037</v>
      </c>
      <c r="CX108" s="787"/>
      <c r="CY108" s="508"/>
      <c r="CZ108" s="2021"/>
    </row>
    <row r="109" spans="1:104" s="163" customFormat="1" ht="15.75" x14ac:dyDescent="0.45">
      <c r="A109"/>
      <c r="B109" s="2219">
        <v>106</v>
      </c>
      <c r="C109" s="2219" t="s">
        <v>4015</v>
      </c>
      <c r="D109" s="2220" t="s">
        <v>3764</v>
      </c>
      <c r="E109" s="666"/>
      <c r="F109" s="666"/>
      <c r="G109" s="666"/>
      <c r="H109" s="666"/>
      <c r="I109" s="666"/>
      <c r="J109" s="666"/>
      <c r="K109" s="666"/>
      <c r="L109" s="666"/>
      <c r="M109" s="666"/>
      <c r="N109" s="666"/>
      <c r="O109" s="666"/>
      <c r="P109" s="666"/>
      <c r="Q109" s="666"/>
      <c r="R109" s="666"/>
      <c r="S109" s="666"/>
      <c r="T109" s="666"/>
      <c r="U109" s="666"/>
      <c r="V109" s="666"/>
      <c r="W109" s="666"/>
      <c r="X109" s="666"/>
      <c r="Y109" s="2551"/>
      <c r="Z109" s="2551"/>
      <c r="AA109" s="2551"/>
      <c r="AB109" s="666"/>
      <c r="AC109" s="666"/>
      <c r="AD109" s="666"/>
      <c r="AE109" s="666"/>
      <c r="AF109" s="733" t="s">
        <v>5139</v>
      </c>
      <c r="AG109" s="733" t="s">
        <v>5140</v>
      </c>
      <c r="AH109" s="666"/>
      <c r="AI109" s="666"/>
      <c r="AJ109" s="666"/>
      <c r="AK109" s="666"/>
      <c r="AL109" s="666"/>
      <c r="AM109" s="666"/>
      <c r="AN109" s="666"/>
      <c r="AO109" s="666"/>
      <c r="AP109" s="666"/>
      <c r="AQ109" s="666"/>
      <c r="AR109" s="666"/>
      <c r="AS109" s="666"/>
      <c r="AT109" s="666"/>
      <c r="AU109" s="666"/>
      <c r="AV109" s="666"/>
      <c r="AW109" s="666"/>
      <c r="AX109" s="666"/>
      <c r="AY109" s="666"/>
      <c r="AZ109" s="666"/>
      <c r="BA109" s="666"/>
      <c r="BB109" s="2551"/>
      <c r="BC109" s="2551"/>
      <c r="BD109" s="2551"/>
      <c r="BE109" s="666"/>
      <c r="BF109" s="666"/>
      <c r="BG109" s="666"/>
      <c r="BH109" s="666"/>
      <c r="BI109" s="666"/>
      <c r="BJ109" s="666"/>
      <c r="BK109" s="666"/>
      <c r="BL109" s="666"/>
      <c r="BM109" s="666"/>
      <c r="BN109" s="666"/>
      <c r="BO109" s="666"/>
      <c r="BP109" s="666"/>
      <c r="BQ109" s="666"/>
      <c r="BR109" s="666"/>
      <c r="BS109" s="666"/>
      <c r="BT109" s="666"/>
      <c r="BU109" s="666"/>
      <c r="BV109" s="666"/>
      <c r="BW109" s="666"/>
      <c r="BX109" s="666"/>
      <c r="BY109" s="2551"/>
      <c r="BZ109" s="666"/>
      <c r="CA109" s="666"/>
      <c r="CB109" s="666"/>
      <c r="CC109" s="666"/>
      <c r="CD109" s="666"/>
      <c r="CE109" s="666"/>
      <c r="CF109" s="666"/>
      <c r="CG109" s="666"/>
      <c r="CH109" s="666"/>
      <c r="CI109" s="666"/>
      <c r="CJ109" s="2551"/>
      <c r="CK109" s="666"/>
      <c r="CL109" s="666"/>
      <c r="CM109" s="666"/>
      <c r="CN109" s="666"/>
      <c r="CO109" s="667"/>
      <c r="CP109" s="785" t="s">
        <v>3193</v>
      </c>
      <c r="CQ109" s="666"/>
      <c r="CR109" s="666"/>
      <c r="CS109" s="2551"/>
      <c r="CT109" s="2551"/>
      <c r="CU109" s="2551"/>
      <c r="CV109" s="787" t="s">
        <v>3837</v>
      </c>
      <c r="CW109" s="787" t="s">
        <v>2037</v>
      </c>
      <c r="CX109" s="665"/>
      <c r="CY109" s="668"/>
      <c r="CZ109" s="2021"/>
    </row>
    <row r="110" spans="1:104" s="163" customFormat="1" ht="15.75" x14ac:dyDescent="0.45">
      <c r="A110"/>
      <c r="B110" s="2219">
        <v>107</v>
      </c>
      <c r="C110" s="2219" t="s">
        <v>4903</v>
      </c>
      <c r="D110" s="2220" t="s">
        <v>3765</v>
      </c>
      <c r="E110" s="666"/>
      <c r="F110" s="666"/>
      <c r="G110" s="666"/>
      <c r="H110" s="666"/>
      <c r="I110" s="666"/>
      <c r="J110" s="666"/>
      <c r="K110" s="666"/>
      <c r="L110" s="666"/>
      <c r="M110" s="666"/>
      <c r="N110" s="666"/>
      <c r="O110" s="666"/>
      <c r="P110" s="666"/>
      <c r="Q110" s="666"/>
      <c r="R110" s="666"/>
      <c r="S110" s="666"/>
      <c r="T110" s="666"/>
      <c r="U110" s="666"/>
      <c r="V110" s="666"/>
      <c r="W110" s="666"/>
      <c r="X110" s="666"/>
      <c r="Y110" s="2551"/>
      <c r="Z110" s="2551"/>
      <c r="AA110" s="2551"/>
      <c r="AB110" s="666"/>
      <c r="AC110" s="666"/>
      <c r="AD110" s="666"/>
      <c r="AE110" s="666"/>
      <c r="AF110" s="733"/>
      <c r="AG110" s="733"/>
      <c r="AH110" s="666">
        <v>1</v>
      </c>
      <c r="AI110" s="666"/>
      <c r="AJ110" s="666"/>
      <c r="AK110" s="666"/>
      <c r="AL110" s="666"/>
      <c r="AM110" s="666"/>
      <c r="AN110" s="666"/>
      <c r="AO110" s="666"/>
      <c r="AP110" s="666"/>
      <c r="AQ110" s="666"/>
      <c r="AR110" s="666"/>
      <c r="AS110" s="666"/>
      <c r="AT110" s="666"/>
      <c r="AU110" s="666"/>
      <c r="AV110" s="666"/>
      <c r="AW110" s="666"/>
      <c r="AX110" s="666"/>
      <c r="AY110" s="666"/>
      <c r="AZ110" s="666"/>
      <c r="BA110" s="666"/>
      <c r="BB110" s="2551"/>
      <c r="BC110" s="2551"/>
      <c r="BD110" s="2551"/>
      <c r="BE110" s="666"/>
      <c r="BF110" s="666"/>
      <c r="BG110" s="666"/>
      <c r="BH110" s="666"/>
      <c r="BI110" s="666"/>
      <c r="BJ110" s="666"/>
      <c r="BK110" s="666"/>
      <c r="BL110" s="666"/>
      <c r="BM110" s="666"/>
      <c r="BN110" s="666"/>
      <c r="BO110" s="666"/>
      <c r="BP110" s="666"/>
      <c r="BQ110" s="666"/>
      <c r="BR110" s="666"/>
      <c r="BS110" s="666"/>
      <c r="BT110" s="666"/>
      <c r="BU110" s="666"/>
      <c r="BV110" s="666"/>
      <c r="BW110" s="666"/>
      <c r="BX110" s="666"/>
      <c r="BY110" s="2551"/>
      <c r="BZ110" s="666"/>
      <c r="CA110" s="666"/>
      <c r="CB110" s="666"/>
      <c r="CC110" s="666"/>
      <c r="CD110" s="666"/>
      <c r="CE110" s="666"/>
      <c r="CF110" s="666"/>
      <c r="CG110" s="666"/>
      <c r="CH110" s="666"/>
      <c r="CI110" s="666"/>
      <c r="CJ110" s="2551"/>
      <c r="CK110" s="666"/>
      <c r="CL110" s="666"/>
      <c r="CM110" s="666"/>
      <c r="CN110" s="666"/>
      <c r="CO110" s="667"/>
      <c r="CP110" s="666"/>
      <c r="CQ110" s="785" t="s">
        <v>3193</v>
      </c>
      <c r="CR110" s="666"/>
      <c r="CS110" s="2551"/>
      <c r="CT110" s="2551"/>
      <c r="CU110" s="2551"/>
      <c r="CV110" s="787" t="s">
        <v>3838</v>
      </c>
      <c r="CW110" s="787" t="s">
        <v>2037</v>
      </c>
      <c r="CX110" s="665"/>
      <c r="CY110" s="668"/>
      <c r="CZ110" s="2021"/>
    </row>
    <row r="111" spans="1:104" s="163" customFormat="1" ht="16.149999999999999" thickBot="1" x14ac:dyDescent="0.5">
      <c r="A111"/>
      <c r="B111" s="2221">
        <v>108</v>
      </c>
      <c r="C111" s="2221" t="s">
        <v>4904</v>
      </c>
      <c r="D111" s="2222" t="s">
        <v>3203</v>
      </c>
      <c r="E111" s="510"/>
      <c r="F111" s="510"/>
      <c r="G111" s="510"/>
      <c r="H111" s="510"/>
      <c r="I111" s="510"/>
      <c r="J111" s="510"/>
      <c r="K111" s="510"/>
      <c r="L111" s="510"/>
      <c r="M111" s="510"/>
      <c r="N111" s="510"/>
      <c r="O111" s="510"/>
      <c r="P111" s="510"/>
      <c r="Q111" s="510"/>
      <c r="R111" s="510"/>
      <c r="S111" s="510"/>
      <c r="T111" s="510"/>
      <c r="U111" s="510"/>
      <c r="V111" s="510"/>
      <c r="W111" s="510"/>
      <c r="X111" s="510"/>
      <c r="Y111" s="2552"/>
      <c r="Z111" s="2552"/>
      <c r="AA111" s="2552"/>
      <c r="AB111" s="510"/>
      <c r="AC111" s="510"/>
      <c r="AD111" s="510"/>
      <c r="AE111" s="510"/>
      <c r="AF111" s="510"/>
      <c r="AG111" s="510"/>
      <c r="AH111" s="510"/>
      <c r="AI111" s="510">
        <v>1</v>
      </c>
      <c r="AJ111" s="510"/>
      <c r="AK111" s="510"/>
      <c r="AL111" s="510"/>
      <c r="AM111" s="510"/>
      <c r="AN111" s="510"/>
      <c r="AO111" s="510"/>
      <c r="AP111" s="510"/>
      <c r="AQ111" s="510"/>
      <c r="AR111" s="510"/>
      <c r="AS111" s="510"/>
      <c r="AT111" s="510"/>
      <c r="AU111" s="510"/>
      <c r="AV111" s="510"/>
      <c r="AW111" s="510"/>
      <c r="AX111" s="510"/>
      <c r="AY111" s="510"/>
      <c r="AZ111" s="510"/>
      <c r="BA111" s="510"/>
      <c r="BB111" s="2552"/>
      <c r="BC111" s="2552"/>
      <c r="BD111" s="2552"/>
      <c r="BE111" s="510"/>
      <c r="BF111" s="510"/>
      <c r="BG111" s="510"/>
      <c r="BH111" s="510"/>
      <c r="BI111" s="510"/>
      <c r="BJ111" s="510"/>
      <c r="BK111" s="510"/>
      <c r="BL111" s="510"/>
      <c r="BM111" s="510"/>
      <c r="BN111" s="510"/>
      <c r="BO111" s="510"/>
      <c r="BP111" s="510"/>
      <c r="BQ111" s="510"/>
      <c r="BR111" s="510"/>
      <c r="BS111" s="510"/>
      <c r="BT111" s="510"/>
      <c r="BU111" s="510"/>
      <c r="BV111" s="510"/>
      <c r="BW111" s="510"/>
      <c r="BX111" s="510"/>
      <c r="BY111" s="2552"/>
      <c r="BZ111" s="510"/>
      <c r="CA111" s="510"/>
      <c r="CB111" s="510"/>
      <c r="CC111" s="510"/>
      <c r="CD111" s="510"/>
      <c r="CE111" s="510"/>
      <c r="CF111" s="510"/>
      <c r="CG111" s="510"/>
      <c r="CH111" s="510"/>
      <c r="CI111" s="510"/>
      <c r="CJ111" s="2552"/>
      <c r="CK111" s="510"/>
      <c r="CL111" s="510"/>
      <c r="CM111" s="510"/>
      <c r="CN111" s="510"/>
      <c r="CO111" s="510"/>
      <c r="CP111" s="510"/>
      <c r="CQ111" s="510"/>
      <c r="CR111" s="511" t="s">
        <v>3193</v>
      </c>
      <c r="CS111" s="2567"/>
      <c r="CT111" s="2567"/>
      <c r="CU111" s="2827"/>
      <c r="CV111" s="509" t="s">
        <v>3204</v>
      </c>
      <c r="CW111" s="509" t="s">
        <v>2037</v>
      </c>
      <c r="CX111" s="509"/>
      <c r="CY111" s="512"/>
      <c r="CZ111" s="2021"/>
    </row>
    <row r="112" spans="1:104" ht="15.75" x14ac:dyDescent="0.45">
      <c r="A112" s="2597"/>
      <c r="B112" s="2219">
        <v>109</v>
      </c>
      <c r="C112" s="2219" t="s">
        <v>5792</v>
      </c>
      <c r="D112" s="787" t="s">
        <v>5497</v>
      </c>
      <c r="E112" s="733"/>
      <c r="F112" s="733"/>
      <c r="G112" s="733"/>
      <c r="H112" s="733"/>
      <c r="I112" s="733"/>
      <c r="J112" s="733"/>
      <c r="K112" s="733"/>
      <c r="L112" s="733"/>
      <c r="M112" s="733"/>
      <c r="N112" s="733"/>
      <c r="O112" s="733"/>
      <c r="P112" s="733"/>
      <c r="Q112" s="785"/>
      <c r="R112" s="733"/>
      <c r="S112" s="733"/>
      <c r="T112" s="733"/>
      <c r="U112" s="733"/>
      <c r="V112" s="733"/>
      <c r="W112" s="733"/>
      <c r="X112" s="733"/>
      <c r="Y112" s="733"/>
      <c r="Z112" s="733"/>
      <c r="AA112" s="733"/>
      <c r="AB112" s="733"/>
      <c r="AC112" s="733"/>
      <c r="AD112" s="733"/>
      <c r="AE112" s="733"/>
      <c r="AF112" s="733"/>
      <c r="AG112" s="733"/>
      <c r="AH112" s="733"/>
      <c r="AI112" s="733"/>
      <c r="AJ112" s="733"/>
      <c r="AK112" s="733"/>
      <c r="AL112" s="733"/>
      <c r="AM112" s="733"/>
      <c r="AN112" s="733"/>
      <c r="AO112" s="733"/>
      <c r="AP112" s="733"/>
      <c r="AQ112" s="733"/>
      <c r="AR112" s="733"/>
      <c r="AS112" s="733"/>
      <c r="AT112" s="733"/>
      <c r="AU112" s="733"/>
      <c r="AV112" s="733"/>
      <c r="AW112" s="733"/>
      <c r="AX112" s="733"/>
      <c r="AY112" s="733"/>
      <c r="AZ112" s="733"/>
      <c r="BA112" s="733"/>
      <c r="BB112" s="733">
        <v>1</v>
      </c>
      <c r="BC112" s="733"/>
      <c r="BD112" s="733"/>
      <c r="BE112" s="785"/>
      <c r="BF112" s="785"/>
      <c r="BG112" s="785"/>
      <c r="BH112" s="785"/>
      <c r="BI112" s="785"/>
      <c r="BJ112" s="785"/>
      <c r="BK112" s="785"/>
      <c r="BL112" s="785"/>
      <c r="BM112" s="785"/>
      <c r="BN112" s="785"/>
      <c r="BO112" s="785"/>
      <c r="BP112" s="785"/>
      <c r="BQ112" s="785"/>
      <c r="BR112" s="785"/>
      <c r="BS112" s="785"/>
      <c r="BT112" s="785"/>
      <c r="BU112" s="785"/>
      <c r="BV112" s="785"/>
      <c r="BW112" s="785"/>
      <c r="BX112" s="785"/>
      <c r="BY112" s="785"/>
      <c r="BZ112" s="785"/>
      <c r="CA112" s="785"/>
      <c r="CB112" s="785"/>
      <c r="CC112" s="785"/>
      <c r="CD112" s="785"/>
      <c r="CE112" s="785"/>
      <c r="CF112" s="785"/>
      <c r="CG112" s="785"/>
      <c r="CH112" s="785"/>
      <c r="CI112" s="785"/>
      <c r="CJ112" s="785"/>
      <c r="CK112" s="785"/>
      <c r="CL112" s="785"/>
      <c r="CM112" s="785"/>
      <c r="CN112" s="785"/>
      <c r="CO112" s="785"/>
      <c r="CP112" s="785"/>
      <c r="CQ112" s="785"/>
      <c r="CR112" s="785"/>
      <c r="CS112" s="785" t="s">
        <v>3193</v>
      </c>
      <c r="CT112" s="785"/>
      <c r="CU112" s="785"/>
      <c r="CV112" s="786" t="s">
        <v>5498</v>
      </c>
      <c r="CW112" s="785" t="s">
        <v>3790</v>
      </c>
      <c r="CX112" s="786"/>
      <c r="CY112" s="2572"/>
      <c r="CZ112"/>
    </row>
    <row r="113" spans="1:104" ht="16.149999999999999" thickBot="1" x14ac:dyDescent="0.5">
      <c r="A113" s="2597"/>
      <c r="B113" s="2221">
        <v>110</v>
      </c>
      <c r="C113" s="2221" t="s">
        <v>5793</v>
      </c>
      <c r="D113" s="2603" t="s">
        <v>5500</v>
      </c>
      <c r="E113" s="2604"/>
      <c r="F113" s="2604"/>
      <c r="G113" s="2604"/>
      <c r="H113" s="2604"/>
      <c r="I113" s="2604"/>
      <c r="J113" s="2604"/>
      <c r="K113" s="2604"/>
      <c r="L113" s="2604"/>
      <c r="M113" s="2604"/>
      <c r="N113" s="2604"/>
      <c r="O113" s="2604"/>
      <c r="P113" s="2604"/>
      <c r="Q113" s="2605"/>
      <c r="R113" s="2604"/>
      <c r="S113" s="2604"/>
      <c r="T113" s="2604"/>
      <c r="U113" s="2604"/>
      <c r="V113" s="2604"/>
      <c r="W113" s="2604"/>
      <c r="X113" s="2604"/>
      <c r="Y113" s="2604"/>
      <c r="Z113" s="2604"/>
      <c r="AA113" s="2604"/>
      <c r="AB113" s="2604"/>
      <c r="AC113" s="2604"/>
      <c r="AD113" s="2604"/>
      <c r="AE113" s="2604"/>
      <c r="AF113" s="2604"/>
      <c r="AG113" s="2604"/>
      <c r="AH113" s="2604"/>
      <c r="AI113" s="2604"/>
      <c r="AJ113" s="2604"/>
      <c r="AK113" s="2604"/>
      <c r="AL113" s="2604"/>
      <c r="AM113" s="2604"/>
      <c r="AN113" s="2604"/>
      <c r="AO113" s="2604"/>
      <c r="AP113" s="2604"/>
      <c r="AQ113" s="2604"/>
      <c r="AR113" s="2604"/>
      <c r="AS113" s="2604"/>
      <c r="AT113" s="2604"/>
      <c r="AU113" s="2604"/>
      <c r="AV113" s="2604"/>
      <c r="AW113" s="2604"/>
      <c r="AX113" s="2604"/>
      <c r="AY113" s="2604"/>
      <c r="AZ113" s="2604"/>
      <c r="BA113" s="2604"/>
      <c r="BB113" s="2604"/>
      <c r="BC113" s="2604"/>
      <c r="BD113" s="2604"/>
      <c r="BE113" s="2605"/>
      <c r="BF113" s="2605"/>
      <c r="BG113" s="2605"/>
      <c r="BH113" s="2605"/>
      <c r="BI113" s="2605"/>
      <c r="BJ113" s="2605"/>
      <c r="BK113" s="2605"/>
      <c r="BL113" s="2605"/>
      <c r="BM113" s="2605"/>
      <c r="BN113" s="2605"/>
      <c r="BO113" s="2605"/>
      <c r="BP113" s="2605"/>
      <c r="BQ113" s="2605"/>
      <c r="BR113" s="2605"/>
      <c r="BS113" s="2605"/>
      <c r="BT113" s="2605"/>
      <c r="BU113" s="2605"/>
      <c r="BV113" s="2605"/>
      <c r="BW113" s="2605"/>
      <c r="BX113" s="2605"/>
      <c r="BY113" s="2605"/>
      <c r="BZ113" s="2605"/>
      <c r="CA113" s="2605"/>
      <c r="CB113" s="2605"/>
      <c r="CC113" s="2605"/>
      <c r="CD113" s="2605"/>
      <c r="CE113" s="2605"/>
      <c r="CF113" s="2605"/>
      <c r="CG113" s="2605"/>
      <c r="CH113" s="2605"/>
      <c r="CI113" s="2605"/>
      <c r="CJ113" s="2605"/>
      <c r="CK113" s="2605"/>
      <c r="CL113" s="2605"/>
      <c r="CM113" s="2605"/>
      <c r="CN113" s="2605"/>
      <c r="CO113" s="2605"/>
      <c r="CP113" s="2605"/>
      <c r="CQ113" s="2605"/>
      <c r="CR113" s="2605"/>
      <c r="CS113" s="2605"/>
      <c r="CT113" s="2605">
        <v>1</v>
      </c>
      <c r="CU113" s="2605"/>
      <c r="CV113" s="2606" t="s">
        <v>5501</v>
      </c>
      <c r="CW113" s="2605" t="s">
        <v>3790</v>
      </c>
      <c r="CX113" s="2606"/>
      <c r="CY113" s="2607"/>
      <c r="CZ113"/>
    </row>
    <row r="114" spans="1:104" ht="15.75" x14ac:dyDescent="0.45">
      <c r="A114" s="2597"/>
      <c r="B114" s="2219">
        <v>111</v>
      </c>
      <c r="C114" s="2219" t="s">
        <v>5493</v>
      </c>
      <c r="D114" s="2603" t="s">
        <v>5503</v>
      </c>
      <c r="E114" s="2604"/>
      <c r="F114" s="2604"/>
      <c r="G114" s="2604"/>
      <c r="H114" s="2604"/>
      <c r="I114" s="2604"/>
      <c r="J114" s="2604"/>
      <c r="K114" s="2604"/>
      <c r="L114" s="2604"/>
      <c r="M114" s="2604"/>
      <c r="N114" s="2604"/>
      <c r="O114" s="2604"/>
      <c r="P114" s="2604"/>
      <c r="Q114" s="2605"/>
      <c r="R114" s="2604"/>
      <c r="S114" s="2604"/>
      <c r="T114" s="2604"/>
      <c r="U114" s="2604"/>
      <c r="V114" s="2604"/>
      <c r="W114" s="2604"/>
      <c r="X114" s="2604"/>
      <c r="Y114" s="2604"/>
      <c r="Z114" s="2604"/>
      <c r="AA114" s="2604"/>
      <c r="AB114" s="2604"/>
      <c r="AC114" s="2604"/>
      <c r="AD114" s="2604"/>
      <c r="AE114" s="2604"/>
      <c r="AF114" s="2604"/>
      <c r="AG114" s="2604"/>
      <c r="AH114" s="2604"/>
      <c r="AI114" s="2604"/>
      <c r="AJ114" s="2604"/>
      <c r="AK114" s="2604"/>
      <c r="AL114" s="2604"/>
      <c r="AM114" s="2604"/>
      <c r="AN114" s="2604"/>
      <c r="AO114" s="2604"/>
      <c r="AP114" s="2604"/>
      <c r="AQ114" s="2604"/>
      <c r="AR114" s="2604"/>
      <c r="AS114" s="2604"/>
      <c r="AT114" s="2604"/>
      <c r="AU114" s="2604"/>
      <c r="AV114" s="2604"/>
      <c r="AW114" s="2604"/>
      <c r="AX114" s="2604"/>
      <c r="AY114" s="2604"/>
      <c r="AZ114" s="2604"/>
      <c r="BA114" s="2604"/>
      <c r="BB114" s="2604"/>
      <c r="BC114" s="2604"/>
      <c r="BD114" s="2604"/>
      <c r="BE114" s="2605"/>
      <c r="BF114" s="2605"/>
      <c r="BG114" s="2605"/>
      <c r="BH114" s="2605"/>
      <c r="BI114" s="2605"/>
      <c r="BJ114" s="2605"/>
      <c r="BK114" s="2605"/>
      <c r="BL114" s="2605"/>
      <c r="BM114" s="2605"/>
      <c r="BN114" s="2605"/>
      <c r="BO114" s="2605"/>
      <c r="BP114" s="2605"/>
      <c r="BQ114" s="2605"/>
      <c r="BR114" s="2605"/>
      <c r="BS114" s="2605"/>
      <c r="BT114" s="2605"/>
      <c r="BU114" s="2605"/>
      <c r="BV114" s="2605"/>
      <c r="BW114" s="2605"/>
      <c r="BX114" s="2605"/>
      <c r="BY114" s="2605"/>
      <c r="BZ114" s="2605"/>
      <c r="CA114" s="2605"/>
      <c r="CB114" s="2605"/>
      <c r="CC114" s="2605"/>
      <c r="CD114" s="2605"/>
      <c r="CE114" s="2605"/>
      <c r="CF114" s="2605"/>
      <c r="CG114" s="2605"/>
      <c r="CH114" s="2605"/>
      <c r="CI114" s="2605"/>
      <c r="CJ114" s="2605"/>
      <c r="CK114" s="2605"/>
      <c r="CL114" s="2605"/>
      <c r="CM114" s="2605"/>
      <c r="CN114" s="2605"/>
      <c r="CO114" s="2605"/>
      <c r="CP114" s="2605"/>
      <c r="CQ114" s="2605"/>
      <c r="CR114" s="2605"/>
      <c r="CS114" s="2605"/>
      <c r="CT114" s="2605">
        <v>-1</v>
      </c>
      <c r="CU114" s="2605"/>
      <c r="CV114" s="2606" t="s">
        <v>5504</v>
      </c>
      <c r="CW114" s="2605" t="s">
        <v>3790</v>
      </c>
      <c r="CX114" s="2606"/>
      <c r="CY114" s="2607"/>
      <c r="CZ114"/>
    </row>
    <row r="115" spans="1:104" ht="16.149999999999999" thickBot="1" x14ac:dyDescent="0.5">
      <c r="A115" s="2597"/>
      <c r="B115" s="2221">
        <v>112</v>
      </c>
      <c r="C115" s="2221" t="s">
        <v>5794</v>
      </c>
      <c r="D115" s="2608" t="s">
        <v>5506</v>
      </c>
      <c r="E115" s="2609"/>
      <c r="F115" s="2609"/>
      <c r="G115" s="2609"/>
      <c r="H115" s="2609"/>
      <c r="I115" s="2609"/>
      <c r="J115" s="2609"/>
      <c r="K115" s="2609"/>
      <c r="L115" s="2609"/>
      <c r="M115" s="2609"/>
      <c r="N115" s="2609"/>
      <c r="O115" s="2609"/>
      <c r="P115" s="2609"/>
      <c r="Q115" s="2610"/>
      <c r="R115" s="2609"/>
      <c r="S115" s="2609"/>
      <c r="T115" s="2609"/>
      <c r="U115" s="2609"/>
      <c r="V115" s="2609"/>
      <c r="W115" s="2609"/>
      <c r="X115" s="2609"/>
      <c r="Y115" s="2609"/>
      <c r="Z115" s="2609"/>
      <c r="AA115" s="2609"/>
      <c r="AB115" s="2609"/>
      <c r="AC115" s="2609"/>
      <c r="AD115" s="2609"/>
      <c r="AE115" s="2609"/>
      <c r="AF115" s="2609"/>
      <c r="AG115" s="2609"/>
      <c r="AH115" s="2609"/>
      <c r="AI115" s="2609"/>
      <c r="AJ115" s="2609"/>
      <c r="AK115" s="2609"/>
      <c r="AL115" s="2609"/>
      <c r="AM115" s="2609"/>
      <c r="AN115" s="2609"/>
      <c r="AO115" s="2609"/>
      <c r="AP115" s="2609"/>
      <c r="AQ115" s="2609"/>
      <c r="AR115" s="2609"/>
      <c r="AS115" s="2609"/>
      <c r="AT115" s="2609"/>
      <c r="AU115" s="2609"/>
      <c r="AV115" s="2609"/>
      <c r="AW115" s="2609"/>
      <c r="AX115" s="2609"/>
      <c r="AY115" s="2609"/>
      <c r="AZ115" s="2609"/>
      <c r="BA115" s="2609"/>
      <c r="BB115" s="2609"/>
      <c r="BC115" s="2609"/>
      <c r="BD115" s="2609"/>
      <c r="BE115" s="2610"/>
      <c r="BF115" s="2610"/>
      <c r="BG115" s="2610"/>
      <c r="BH115" s="2610"/>
      <c r="BI115" s="2610"/>
      <c r="BJ115" s="2610"/>
      <c r="BK115" s="2610"/>
      <c r="BL115" s="2610"/>
      <c r="BM115" s="2610"/>
      <c r="BN115" s="2610"/>
      <c r="BO115" s="2610"/>
      <c r="BP115" s="2610"/>
      <c r="BQ115" s="2610"/>
      <c r="BR115" s="2610"/>
      <c r="BS115" s="2610"/>
      <c r="BT115" s="2610"/>
      <c r="BU115" s="2610"/>
      <c r="BV115" s="2610"/>
      <c r="BW115" s="2610"/>
      <c r="BX115" s="2610"/>
      <c r="BY115" s="2610"/>
      <c r="BZ115" s="2610"/>
      <c r="CA115" s="2610"/>
      <c r="CB115" s="2610"/>
      <c r="CC115" s="2610"/>
      <c r="CD115" s="2610"/>
      <c r="CE115" s="2610"/>
      <c r="CF115" s="2610"/>
      <c r="CG115" s="2610"/>
      <c r="CH115" s="2610"/>
      <c r="CI115" s="2610"/>
      <c r="CJ115" s="2610"/>
      <c r="CK115" s="2610"/>
      <c r="CL115" s="2610"/>
      <c r="CM115" s="2610"/>
      <c r="CN115" s="2610"/>
      <c r="CO115" s="2610"/>
      <c r="CP115" s="2610"/>
      <c r="CQ115" s="2610"/>
      <c r="CR115" s="2610"/>
      <c r="CS115" s="2610"/>
      <c r="CT115" s="2610">
        <v>-1</v>
      </c>
      <c r="CU115" s="2828"/>
      <c r="CV115" s="2611" t="s">
        <v>5812</v>
      </c>
      <c r="CW115" s="2610" t="s">
        <v>3790</v>
      </c>
      <c r="CX115" s="2611"/>
      <c r="CY115" s="2612"/>
      <c r="CZ115"/>
    </row>
    <row r="116" spans="1:104" ht="15.75" x14ac:dyDescent="0.55000000000000004">
      <c r="A116" s="2597"/>
      <c r="B116" s="2219">
        <v>113</v>
      </c>
      <c r="C116" s="2219" t="s">
        <v>5795</v>
      </c>
      <c r="D116" s="2573" t="s">
        <v>5416</v>
      </c>
      <c r="E116" s="2574" t="s">
        <v>5417</v>
      </c>
      <c r="F116" s="2575"/>
      <c r="G116" s="2575"/>
      <c r="H116" s="2575"/>
      <c r="I116" s="2575"/>
      <c r="J116" s="2575"/>
      <c r="K116" s="2575"/>
      <c r="L116" s="2575"/>
      <c r="M116" s="2575"/>
      <c r="N116" s="2575"/>
      <c r="O116" s="2575"/>
      <c r="P116" s="2575"/>
      <c r="Q116" s="2576"/>
      <c r="R116" s="2575"/>
      <c r="S116" s="2575"/>
      <c r="T116" s="2575"/>
      <c r="U116" s="2575"/>
      <c r="V116" s="2575"/>
      <c r="W116" s="2575"/>
      <c r="X116" s="2575"/>
      <c r="Y116" s="2575">
        <v>1</v>
      </c>
      <c r="Z116" s="2575"/>
      <c r="AA116" s="2575"/>
      <c r="AB116" s="2574" t="s">
        <v>1658</v>
      </c>
      <c r="AC116" s="2574"/>
      <c r="AD116" s="2575"/>
      <c r="AE116" s="2575"/>
      <c r="AF116" s="2575"/>
      <c r="AG116" s="2575"/>
      <c r="AH116" s="2575"/>
      <c r="AI116" s="2575"/>
      <c r="AJ116" s="2575"/>
      <c r="AK116" s="2575"/>
      <c r="AL116" s="2575"/>
      <c r="AM116" s="2574" t="s">
        <v>1659</v>
      </c>
      <c r="AN116" s="2575"/>
      <c r="AO116" s="2575"/>
      <c r="AP116" s="2575"/>
      <c r="AQ116" s="2575"/>
      <c r="AR116" s="2575"/>
      <c r="AS116" s="2575"/>
      <c r="AT116" s="2575"/>
      <c r="AU116" s="2576" t="s">
        <v>5418</v>
      </c>
      <c r="AV116" s="2575" t="s">
        <v>2513</v>
      </c>
      <c r="AW116" s="2575" t="s">
        <v>3681</v>
      </c>
      <c r="AX116" s="2575" t="s">
        <v>3682</v>
      </c>
      <c r="AY116" s="2575" t="s">
        <v>3683</v>
      </c>
      <c r="AZ116" s="2575" t="s">
        <v>3684</v>
      </c>
      <c r="BA116" s="2575"/>
      <c r="BB116" s="2577" t="s">
        <v>5419</v>
      </c>
      <c r="BC116" s="2578" t="s">
        <v>5420</v>
      </c>
      <c r="BD116" s="2579"/>
      <c r="BE116" s="2575"/>
      <c r="BF116" s="2575"/>
      <c r="BG116" s="2575"/>
      <c r="BH116" s="2575"/>
      <c r="BI116" s="2575"/>
      <c r="BJ116" s="2575"/>
      <c r="BK116" s="2575"/>
      <c r="BL116" s="2575"/>
      <c r="BM116" s="2575"/>
      <c r="BN116" s="2575"/>
      <c r="BO116" s="2575"/>
      <c r="BP116" s="2575"/>
      <c r="BQ116" s="2575"/>
      <c r="BR116" s="2575"/>
      <c r="BS116" s="2575"/>
      <c r="BT116" s="2575"/>
      <c r="BU116" s="2575"/>
      <c r="BV116" s="2575"/>
      <c r="BW116" s="2575"/>
      <c r="BX116" s="2575"/>
      <c r="BY116" s="2575"/>
      <c r="BZ116" s="2575"/>
      <c r="CA116" s="2575"/>
      <c r="CB116" s="2575"/>
      <c r="CC116" s="2575"/>
      <c r="CD116" s="2575"/>
      <c r="CE116" s="2575"/>
      <c r="CF116" s="2575"/>
      <c r="CG116" s="2575"/>
      <c r="CH116" s="2575"/>
      <c r="CI116" s="2575"/>
      <c r="CJ116" s="2575"/>
      <c r="CK116" s="2575"/>
      <c r="CL116" s="2575"/>
      <c r="CM116" s="2575"/>
      <c r="CN116" s="2575"/>
      <c r="CO116" s="2575"/>
      <c r="CP116" s="2575"/>
      <c r="CQ116" s="2575"/>
      <c r="CR116" s="2575"/>
      <c r="CS116" s="2575"/>
      <c r="CT116" s="2575"/>
      <c r="CU116" s="2575"/>
      <c r="CV116" s="2573" t="s">
        <v>5421</v>
      </c>
      <c r="CW116" s="2575" t="s">
        <v>2037</v>
      </c>
      <c r="CX116" s="2573"/>
      <c r="CY116" s="2580"/>
      <c r="CZ116"/>
    </row>
    <row r="117" spans="1:104" ht="16.149999999999999" thickBot="1" x14ac:dyDescent="0.6">
      <c r="A117" s="2597"/>
      <c r="B117" s="2221">
        <v>114</v>
      </c>
      <c r="C117" s="2221" t="s">
        <v>5796</v>
      </c>
      <c r="D117" s="2573" t="s">
        <v>5422</v>
      </c>
      <c r="E117" s="2575"/>
      <c r="F117" s="2575"/>
      <c r="G117" s="2575"/>
      <c r="H117" s="2575"/>
      <c r="I117" s="2575" t="s">
        <v>1662</v>
      </c>
      <c r="J117" s="2575"/>
      <c r="K117" s="2575"/>
      <c r="L117" s="2575"/>
      <c r="M117" s="2575"/>
      <c r="N117" s="2575"/>
      <c r="O117" s="2575" t="s">
        <v>1663</v>
      </c>
      <c r="P117" s="2575"/>
      <c r="Q117" s="2576"/>
      <c r="R117" s="2575"/>
      <c r="S117" s="2575"/>
      <c r="T117" s="2575"/>
      <c r="U117" s="2575"/>
      <c r="V117" s="2575"/>
      <c r="W117" s="2575"/>
      <c r="X117" s="2575"/>
      <c r="Y117" s="2576" t="s">
        <v>1150</v>
      </c>
      <c r="Z117" s="2575"/>
      <c r="AA117" s="2575"/>
      <c r="AB117" s="2574" t="s">
        <v>2184</v>
      </c>
      <c r="AC117" s="2574"/>
      <c r="AD117" s="2575"/>
      <c r="AE117" s="2575"/>
      <c r="AF117" s="2575"/>
      <c r="AG117" s="2575"/>
      <c r="AH117" s="2575"/>
      <c r="AI117" s="2575"/>
      <c r="AJ117" s="2575"/>
      <c r="AK117" s="2575" t="s">
        <v>1664</v>
      </c>
      <c r="AL117" s="2575"/>
      <c r="AM117" s="2574"/>
      <c r="AN117" s="2575"/>
      <c r="AO117" s="2575"/>
      <c r="AP117" s="2575" t="s">
        <v>1665</v>
      </c>
      <c r="AQ117" s="2575"/>
      <c r="AR117" s="2575"/>
      <c r="AS117" s="2575"/>
      <c r="AT117" s="2579"/>
      <c r="AU117" s="2575" t="s">
        <v>2007</v>
      </c>
      <c r="AV117" s="2575" t="s">
        <v>2514</v>
      </c>
      <c r="AW117" s="2575" t="s">
        <v>3685</v>
      </c>
      <c r="AX117" s="2575" t="s">
        <v>3686</v>
      </c>
      <c r="AY117" s="2575" t="s">
        <v>3687</v>
      </c>
      <c r="AZ117" s="2575" t="s">
        <v>3688</v>
      </c>
      <c r="BA117" s="2575"/>
      <c r="BB117" s="2577"/>
      <c r="BC117" s="2578" t="s">
        <v>5423</v>
      </c>
      <c r="BD117" s="2579"/>
      <c r="BE117" s="2575"/>
      <c r="BF117" s="2575"/>
      <c r="BG117" s="2575"/>
      <c r="BH117" s="2575"/>
      <c r="BI117" s="2575"/>
      <c r="BJ117" s="2575"/>
      <c r="BK117" s="2575"/>
      <c r="BL117" s="2575"/>
      <c r="BM117" s="2575"/>
      <c r="BN117" s="2575"/>
      <c r="BO117" s="2575"/>
      <c r="BP117" s="2575"/>
      <c r="BQ117" s="2575"/>
      <c r="BR117" s="2575"/>
      <c r="BS117" s="2575"/>
      <c r="BT117" s="2575"/>
      <c r="BU117" s="2575"/>
      <c r="BV117" s="2575"/>
      <c r="BW117" s="2575"/>
      <c r="BX117" s="2575"/>
      <c r="BY117" s="2575"/>
      <c r="BZ117" s="2575"/>
      <c r="CA117" s="2575"/>
      <c r="CB117" s="2575"/>
      <c r="CC117" s="2575"/>
      <c r="CD117" s="2575"/>
      <c r="CE117" s="2575"/>
      <c r="CF117" s="2575"/>
      <c r="CG117" s="2575"/>
      <c r="CH117" s="2575"/>
      <c r="CI117" s="2575"/>
      <c r="CJ117" s="2575"/>
      <c r="CK117" s="2575"/>
      <c r="CL117" s="2575"/>
      <c r="CM117" s="2575"/>
      <c r="CN117" s="2575"/>
      <c r="CO117" s="2575"/>
      <c r="CP117" s="2575"/>
      <c r="CQ117" s="2575"/>
      <c r="CR117" s="2575"/>
      <c r="CS117" s="2575"/>
      <c r="CT117" s="2575"/>
      <c r="CU117" s="2575"/>
      <c r="CV117" s="2573" t="s">
        <v>5424</v>
      </c>
      <c r="CW117" s="2575" t="s">
        <v>2037</v>
      </c>
      <c r="CX117" s="2573"/>
      <c r="CY117" s="2580"/>
      <c r="CZ117"/>
    </row>
    <row r="118" spans="1:104" ht="15.75" x14ac:dyDescent="0.55000000000000004">
      <c r="A118" s="2597"/>
      <c r="B118" s="2219">
        <v>115</v>
      </c>
      <c r="C118" s="2219" t="s">
        <v>5797</v>
      </c>
      <c r="D118" s="2573" t="s">
        <v>5425</v>
      </c>
      <c r="E118" s="2575"/>
      <c r="F118" s="2575"/>
      <c r="G118" s="2575"/>
      <c r="H118" s="2575"/>
      <c r="I118" s="2575" t="s">
        <v>1662</v>
      </c>
      <c r="J118" s="2575"/>
      <c r="K118" s="2575"/>
      <c r="L118" s="2575"/>
      <c r="M118" s="2575"/>
      <c r="N118" s="2575"/>
      <c r="O118" s="2575"/>
      <c r="P118" s="2575" t="s">
        <v>1663</v>
      </c>
      <c r="Q118" s="2576"/>
      <c r="R118" s="2575"/>
      <c r="S118" s="2575"/>
      <c r="T118" s="2575"/>
      <c r="U118" s="2575"/>
      <c r="V118" s="2575"/>
      <c r="W118" s="2575"/>
      <c r="X118" s="2575"/>
      <c r="Y118" s="2576" t="s">
        <v>1150</v>
      </c>
      <c r="Z118" s="2575"/>
      <c r="AA118" s="2575"/>
      <c r="AB118" s="2574" t="s">
        <v>2184</v>
      </c>
      <c r="AC118" s="2574"/>
      <c r="AD118" s="2575"/>
      <c r="AE118" s="2575"/>
      <c r="AF118" s="2575"/>
      <c r="AG118" s="2575"/>
      <c r="AH118" s="2575"/>
      <c r="AI118" s="2575"/>
      <c r="AJ118" s="2575"/>
      <c r="AK118" s="2575" t="s">
        <v>1664</v>
      </c>
      <c r="AL118" s="2575"/>
      <c r="AM118" s="2574"/>
      <c r="AN118" s="2575"/>
      <c r="AO118" s="2575"/>
      <c r="AP118" s="2575" t="s">
        <v>1665</v>
      </c>
      <c r="AQ118" s="2575"/>
      <c r="AR118" s="2575"/>
      <c r="AS118" s="2575"/>
      <c r="AT118" s="2579"/>
      <c r="AU118" s="2575" t="s">
        <v>2007</v>
      </c>
      <c r="AV118" s="2575" t="s">
        <v>2514</v>
      </c>
      <c r="AW118" s="2575" t="s">
        <v>3685</v>
      </c>
      <c r="AX118" s="2575" t="s">
        <v>3686</v>
      </c>
      <c r="AY118" s="2575" t="s">
        <v>3687</v>
      </c>
      <c r="AZ118" s="2575" t="s">
        <v>3688</v>
      </c>
      <c r="BA118" s="2575"/>
      <c r="BB118" s="2577"/>
      <c r="BC118" s="2578" t="s">
        <v>5423</v>
      </c>
      <c r="BD118" s="2579"/>
      <c r="BE118" s="2575"/>
      <c r="BF118" s="2575"/>
      <c r="BG118" s="2575"/>
      <c r="BH118" s="2575"/>
      <c r="BI118" s="2575"/>
      <c r="BJ118" s="2575"/>
      <c r="BK118" s="2575"/>
      <c r="BL118" s="2575"/>
      <c r="BM118" s="2575"/>
      <c r="BN118" s="2575"/>
      <c r="BO118" s="2575"/>
      <c r="BP118" s="2575"/>
      <c r="BQ118" s="2575"/>
      <c r="BR118" s="2575"/>
      <c r="BS118" s="2575"/>
      <c r="BT118" s="2575"/>
      <c r="BU118" s="2575"/>
      <c r="BV118" s="2575"/>
      <c r="BW118" s="2575"/>
      <c r="BX118" s="2575"/>
      <c r="BY118" s="2575"/>
      <c r="BZ118" s="2575"/>
      <c r="CA118" s="2575"/>
      <c r="CB118" s="2575"/>
      <c r="CC118" s="2575"/>
      <c r="CD118" s="2575"/>
      <c r="CE118" s="2575"/>
      <c r="CF118" s="2575"/>
      <c r="CG118" s="2575"/>
      <c r="CH118" s="2575"/>
      <c r="CI118" s="2575"/>
      <c r="CJ118" s="2575"/>
      <c r="CK118" s="2575"/>
      <c r="CL118" s="2575"/>
      <c r="CM118" s="2575"/>
      <c r="CN118" s="2575"/>
      <c r="CO118" s="2575"/>
      <c r="CP118" s="2575"/>
      <c r="CQ118" s="2575"/>
      <c r="CR118" s="2575"/>
      <c r="CS118" s="2575"/>
      <c r="CT118" s="2575"/>
      <c r="CU118" s="2575"/>
      <c r="CV118" s="2573" t="s">
        <v>5426</v>
      </c>
      <c r="CW118" s="2575" t="s">
        <v>2037</v>
      </c>
      <c r="CX118" s="2573"/>
      <c r="CY118" s="2580"/>
      <c r="CZ118"/>
    </row>
    <row r="119" spans="1:104" ht="16.149999999999999" thickBot="1" x14ac:dyDescent="0.6">
      <c r="A119" s="2597"/>
      <c r="B119" s="2221">
        <v>116</v>
      </c>
      <c r="C119" s="2221" t="s">
        <v>5798</v>
      </c>
      <c r="D119" s="2581" t="s">
        <v>5427</v>
      </c>
      <c r="E119" s="2582"/>
      <c r="F119" s="2582"/>
      <c r="G119" s="2582"/>
      <c r="H119" s="2582"/>
      <c r="I119" s="2582"/>
      <c r="J119" s="2582"/>
      <c r="K119" s="2582"/>
      <c r="L119" s="2582"/>
      <c r="M119" s="2582"/>
      <c r="N119" s="2582"/>
      <c r="O119" s="2582"/>
      <c r="P119" s="2582"/>
      <c r="Q119" s="2583"/>
      <c r="R119" s="2582"/>
      <c r="S119" s="2582"/>
      <c r="T119" s="2582"/>
      <c r="U119" s="2582"/>
      <c r="V119" s="2582"/>
      <c r="W119" s="2582"/>
      <c r="X119" s="2582"/>
      <c r="Y119" s="2582"/>
      <c r="Z119" s="2582">
        <v>1</v>
      </c>
      <c r="AA119" s="2582"/>
      <c r="AB119" s="2584" t="s">
        <v>1658</v>
      </c>
      <c r="AC119" s="2584"/>
      <c r="AD119" s="2583"/>
      <c r="AE119" s="2583"/>
      <c r="AF119" s="2583"/>
      <c r="AG119" s="2583"/>
      <c r="AH119" s="2583"/>
      <c r="AI119" s="2582"/>
      <c r="AJ119" s="2582"/>
      <c r="AK119" s="2582"/>
      <c r="AL119" s="2582"/>
      <c r="AM119" s="2584" t="s">
        <v>1659</v>
      </c>
      <c r="AN119" s="2582"/>
      <c r="AO119" s="2582"/>
      <c r="AP119" s="2582"/>
      <c r="AQ119" s="2582"/>
      <c r="AR119" s="2582"/>
      <c r="AS119" s="2582"/>
      <c r="AT119" s="2584" t="s">
        <v>5428</v>
      </c>
      <c r="AU119" s="2583" t="s">
        <v>1679</v>
      </c>
      <c r="AV119" s="2582" t="s">
        <v>2513</v>
      </c>
      <c r="AW119" s="2582" t="s">
        <v>3681</v>
      </c>
      <c r="AX119" s="2582" t="s">
        <v>3682</v>
      </c>
      <c r="AY119" s="2582" t="s">
        <v>3683</v>
      </c>
      <c r="AZ119" s="2582" t="s">
        <v>3684</v>
      </c>
      <c r="BA119" s="2582"/>
      <c r="BB119" s="2585" t="s">
        <v>5429</v>
      </c>
      <c r="BC119" s="2586" t="s">
        <v>5430</v>
      </c>
      <c r="BD119" s="2587"/>
      <c r="BE119" s="2582"/>
      <c r="BF119" s="2582"/>
      <c r="BG119" s="2582"/>
      <c r="BH119" s="2582"/>
      <c r="BI119" s="2582"/>
      <c r="BJ119" s="2582"/>
      <c r="BK119" s="2582"/>
      <c r="BL119" s="2582"/>
      <c r="BM119" s="2582"/>
      <c r="BN119" s="2582"/>
      <c r="BO119" s="2582"/>
      <c r="BP119" s="2582"/>
      <c r="BQ119" s="2582"/>
      <c r="BR119" s="2582"/>
      <c r="BS119" s="2582"/>
      <c r="BT119" s="2582"/>
      <c r="BU119" s="2582"/>
      <c r="BV119" s="2582"/>
      <c r="BW119" s="2582"/>
      <c r="BX119" s="2582"/>
      <c r="BY119" s="2582"/>
      <c r="BZ119" s="2582"/>
      <c r="CA119" s="2582"/>
      <c r="CB119" s="2582"/>
      <c r="CC119" s="2582"/>
      <c r="CD119" s="2582"/>
      <c r="CE119" s="2582"/>
      <c r="CF119" s="2582"/>
      <c r="CG119" s="2582"/>
      <c r="CH119" s="2582"/>
      <c r="CI119" s="2582"/>
      <c r="CJ119" s="2582"/>
      <c r="CK119" s="2582"/>
      <c r="CL119" s="2582"/>
      <c r="CM119" s="2582"/>
      <c r="CN119" s="2582"/>
      <c r="CO119" s="2582"/>
      <c r="CP119" s="2582"/>
      <c r="CQ119" s="2582"/>
      <c r="CR119" s="2582"/>
      <c r="CS119" s="2582"/>
      <c r="CT119" s="2582"/>
      <c r="CU119" s="2582"/>
      <c r="CV119" s="2581" t="s">
        <v>5431</v>
      </c>
      <c r="CW119" s="2582" t="s">
        <v>2037</v>
      </c>
      <c r="CX119" s="2581"/>
      <c r="CY119" s="2588"/>
      <c r="CZ119"/>
    </row>
    <row r="120" spans="1:104" ht="15.75" x14ac:dyDescent="0.55000000000000004">
      <c r="A120" s="2597"/>
      <c r="B120" s="2219">
        <v>117</v>
      </c>
      <c r="C120" s="2219" t="s">
        <v>5799</v>
      </c>
      <c r="D120" s="2581" t="s">
        <v>5432</v>
      </c>
      <c r="E120" s="2582"/>
      <c r="F120" s="2582"/>
      <c r="G120" s="2582"/>
      <c r="H120" s="2582"/>
      <c r="I120" s="2582" t="s">
        <v>1662</v>
      </c>
      <c r="J120" s="2582"/>
      <c r="K120" s="2582"/>
      <c r="L120" s="2582"/>
      <c r="M120" s="2582"/>
      <c r="N120" s="2582"/>
      <c r="O120" s="2582" t="s">
        <v>1663</v>
      </c>
      <c r="P120" s="2582"/>
      <c r="Q120" s="2583"/>
      <c r="R120" s="2582"/>
      <c r="S120" s="2582"/>
      <c r="T120" s="2582"/>
      <c r="U120" s="2582"/>
      <c r="V120" s="2582"/>
      <c r="W120" s="2582"/>
      <c r="X120" s="2582"/>
      <c r="Y120" s="2582"/>
      <c r="Z120" s="2583" t="s">
        <v>1150</v>
      </c>
      <c r="AA120" s="2583"/>
      <c r="AB120" s="2584" t="s">
        <v>2184</v>
      </c>
      <c r="AC120" s="2584"/>
      <c r="AD120" s="2582"/>
      <c r="AE120" s="2582"/>
      <c r="AF120" s="2582"/>
      <c r="AG120" s="2582"/>
      <c r="AH120" s="2582"/>
      <c r="AI120" s="2582"/>
      <c r="AJ120" s="2582"/>
      <c r="AK120" s="2582" t="s">
        <v>1664</v>
      </c>
      <c r="AL120" s="2582"/>
      <c r="AM120" s="2584"/>
      <c r="AN120" s="2582"/>
      <c r="AO120" s="2582"/>
      <c r="AP120" s="2582" t="s">
        <v>1665</v>
      </c>
      <c r="AQ120" s="2582"/>
      <c r="AR120" s="2582"/>
      <c r="AS120" s="2582"/>
      <c r="AT120" s="2587"/>
      <c r="AU120" s="2582" t="s">
        <v>2007</v>
      </c>
      <c r="AV120" s="2582" t="s">
        <v>2514</v>
      </c>
      <c r="AW120" s="2582" t="s">
        <v>3685</v>
      </c>
      <c r="AX120" s="2582" t="s">
        <v>3686</v>
      </c>
      <c r="AY120" s="2582" t="s">
        <v>3687</v>
      </c>
      <c r="AZ120" s="2582" t="s">
        <v>3688</v>
      </c>
      <c r="BA120" s="2582"/>
      <c r="BB120" s="2586"/>
      <c r="BC120" s="2586" t="s">
        <v>5423</v>
      </c>
      <c r="BD120" s="2584"/>
      <c r="BE120" s="2582"/>
      <c r="BF120" s="2582"/>
      <c r="BG120" s="2582"/>
      <c r="BH120" s="2582"/>
      <c r="BI120" s="2582"/>
      <c r="BJ120" s="2582"/>
      <c r="BK120" s="2582"/>
      <c r="BL120" s="2582"/>
      <c r="BM120" s="2582"/>
      <c r="BN120" s="2582"/>
      <c r="BO120" s="2582"/>
      <c r="BP120" s="2582"/>
      <c r="BQ120" s="2582"/>
      <c r="BR120" s="2582"/>
      <c r="BS120" s="2582"/>
      <c r="BT120" s="2582"/>
      <c r="BU120" s="2582"/>
      <c r="BV120" s="2582"/>
      <c r="BW120" s="2582"/>
      <c r="BX120" s="2582"/>
      <c r="BY120" s="2582"/>
      <c r="BZ120" s="2582"/>
      <c r="CA120" s="2582"/>
      <c r="CB120" s="2582"/>
      <c r="CC120" s="2582"/>
      <c r="CD120" s="2582"/>
      <c r="CE120" s="2582"/>
      <c r="CF120" s="2582"/>
      <c r="CG120" s="2582"/>
      <c r="CH120" s="2582"/>
      <c r="CI120" s="2582"/>
      <c r="CJ120" s="2582"/>
      <c r="CK120" s="2582"/>
      <c r="CL120" s="2582"/>
      <c r="CM120" s="2582"/>
      <c r="CN120" s="2582"/>
      <c r="CO120" s="2582"/>
      <c r="CP120" s="2582"/>
      <c r="CQ120" s="2582"/>
      <c r="CR120" s="2582"/>
      <c r="CS120" s="2582"/>
      <c r="CT120" s="2582"/>
      <c r="CU120" s="2582"/>
      <c r="CV120" s="2581" t="s">
        <v>5433</v>
      </c>
      <c r="CW120" s="2582" t="s">
        <v>2037</v>
      </c>
      <c r="CX120" s="2581"/>
      <c r="CY120" s="2588"/>
      <c r="CZ120"/>
    </row>
    <row r="121" spans="1:104" ht="16.149999999999999" thickBot="1" x14ac:dyDescent="0.6">
      <c r="A121" s="2597"/>
      <c r="B121" s="2221">
        <v>118</v>
      </c>
      <c r="C121" s="2221" t="s">
        <v>5496</v>
      </c>
      <c r="D121" s="2581" t="s">
        <v>5434</v>
      </c>
      <c r="E121" s="2582"/>
      <c r="F121" s="2582"/>
      <c r="G121" s="2582"/>
      <c r="H121" s="2582"/>
      <c r="I121" s="2582" t="s">
        <v>1662</v>
      </c>
      <c r="J121" s="2582"/>
      <c r="K121" s="2582"/>
      <c r="L121" s="2582"/>
      <c r="M121" s="2582"/>
      <c r="N121" s="2582"/>
      <c r="O121" s="2582"/>
      <c r="P121" s="2582" t="s">
        <v>1663</v>
      </c>
      <c r="Q121" s="2583"/>
      <c r="R121" s="2582"/>
      <c r="S121" s="2582"/>
      <c r="T121" s="2582"/>
      <c r="U121" s="2582"/>
      <c r="V121" s="2582"/>
      <c r="W121" s="2582"/>
      <c r="X121" s="2582"/>
      <c r="Y121" s="2582"/>
      <c r="Z121" s="2583" t="s">
        <v>1150</v>
      </c>
      <c r="AA121" s="2583"/>
      <c r="AB121" s="2584" t="s">
        <v>2184</v>
      </c>
      <c r="AC121" s="2584"/>
      <c r="AD121" s="2582"/>
      <c r="AE121" s="2582"/>
      <c r="AF121" s="2582"/>
      <c r="AG121" s="2582"/>
      <c r="AH121" s="2582"/>
      <c r="AI121" s="2582"/>
      <c r="AJ121" s="2582"/>
      <c r="AK121" s="2582" t="s">
        <v>1664</v>
      </c>
      <c r="AL121" s="2582"/>
      <c r="AM121" s="2584"/>
      <c r="AN121" s="2582"/>
      <c r="AO121" s="2582"/>
      <c r="AP121" s="2582" t="s">
        <v>1665</v>
      </c>
      <c r="AQ121" s="2582"/>
      <c r="AR121" s="2582"/>
      <c r="AS121" s="2582"/>
      <c r="AT121" s="2587"/>
      <c r="AU121" s="2582" t="s">
        <v>2007</v>
      </c>
      <c r="AV121" s="2582" t="s">
        <v>2514</v>
      </c>
      <c r="AW121" s="2582" t="s">
        <v>3685</v>
      </c>
      <c r="AX121" s="2582" t="s">
        <v>3686</v>
      </c>
      <c r="AY121" s="2582" t="s">
        <v>3687</v>
      </c>
      <c r="AZ121" s="2582" t="s">
        <v>3688</v>
      </c>
      <c r="BA121" s="2582"/>
      <c r="BB121" s="2586"/>
      <c r="BC121" s="2586" t="s">
        <v>5423</v>
      </c>
      <c r="BD121" s="2584"/>
      <c r="BE121" s="2582"/>
      <c r="BF121" s="2582"/>
      <c r="BG121" s="2582"/>
      <c r="BH121" s="2582"/>
      <c r="BI121" s="2582"/>
      <c r="BJ121" s="2582"/>
      <c r="BK121" s="2582"/>
      <c r="BL121" s="2582"/>
      <c r="BM121" s="2582"/>
      <c r="BN121" s="2582"/>
      <c r="BO121" s="2582"/>
      <c r="BP121" s="2582"/>
      <c r="BQ121" s="2582"/>
      <c r="BR121" s="2582"/>
      <c r="BS121" s="2582"/>
      <c r="BT121" s="2582"/>
      <c r="BU121" s="2582"/>
      <c r="BV121" s="2582"/>
      <c r="BW121" s="2582"/>
      <c r="BX121" s="2582"/>
      <c r="BY121" s="2582"/>
      <c r="BZ121" s="2582"/>
      <c r="CA121" s="2582"/>
      <c r="CB121" s="2582"/>
      <c r="CC121" s="2582"/>
      <c r="CD121" s="2582"/>
      <c r="CE121" s="2582"/>
      <c r="CF121" s="2582"/>
      <c r="CG121" s="2582"/>
      <c r="CH121" s="2582"/>
      <c r="CI121" s="2582"/>
      <c r="CJ121" s="2582"/>
      <c r="CK121" s="2582"/>
      <c r="CL121" s="2582"/>
      <c r="CM121" s="2582"/>
      <c r="CN121" s="2582"/>
      <c r="CO121" s="2582"/>
      <c r="CP121" s="2582"/>
      <c r="CQ121" s="2582"/>
      <c r="CR121" s="2582"/>
      <c r="CS121" s="2582"/>
      <c r="CT121" s="2582"/>
      <c r="CU121" s="2582"/>
      <c r="CV121" s="2581" t="s">
        <v>5435</v>
      </c>
      <c r="CW121" s="2582" t="s">
        <v>2037</v>
      </c>
      <c r="CX121" s="2581"/>
      <c r="CY121" s="2588"/>
      <c r="CZ121"/>
    </row>
    <row r="122" spans="1:104" ht="15.75" x14ac:dyDescent="0.55000000000000004">
      <c r="A122" s="2597"/>
      <c r="B122" s="2219">
        <v>119</v>
      </c>
      <c r="C122" s="2219" t="s">
        <v>5499</v>
      </c>
      <c r="D122" s="2589" t="s">
        <v>5436</v>
      </c>
      <c r="E122" s="2590"/>
      <c r="F122" s="2590"/>
      <c r="G122" s="2590"/>
      <c r="H122" s="2590"/>
      <c r="I122" s="2590"/>
      <c r="J122" s="2590"/>
      <c r="K122" s="2590"/>
      <c r="L122" s="2590"/>
      <c r="M122" s="2590"/>
      <c r="N122" s="2590"/>
      <c r="O122" s="2590"/>
      <c r="P122" s="2590"/>
      <c r="Q122" s="2591"/>
      <c r="R122" s="2590"/>
      <c r="S122" s="2590"/>
      <c r="T122" s="2590"/>
      <c r="U122" s="2590"/>
      <c r="V122" s="2590"/>
      <c r="W122" s="2590"/>
      <c r="X122" s="2590"/>
      <c r="Y122" s="2590"/>
      <c r="Z122" s="2591"/>
      <c r="AA122" s="2591">
        <v>1</v>
      </c>
      <c r="AB122" s="2592" t="s">
        <v>1658</v>
      </c>
      <c r="AC122" s="2592"/>
      <c r="AD122" s="2590"/>
      <c r="AE122" s="2590"/>
      <c r="AF122" s="2590"/>
      <c r="AG122" s="2590"/>
      <c r="AH122" s="2590"/>
      <c r="AI122" s="2590"/>
      <c r="AJ122" s="2590"/>
      <c r="AK122" s="2590"/>
      <c r="AL122" s="2590"/>
      <c r="AM122" s="2592" t="s">
        <v>1659</v>
      </c>
      <c r="AN122" s="2590"/>
      <c r="AO122" s="2590"/>
      <c r="AP122" s="2590"/>
      <c r="AQ122" s="2590"/>
      <c r="AR122" s="2591" t="s">
        <v>5437</v>
      </c>
      <c r="AS122" s="2590"/>
      <c r="AT122" s="2593"/>
      <c r="AU122" s="2591" t="s">
        <v>1679</v>
      </c>
      <c r="AV122" s="2590" t="s">
        <v>2513</v>
      </c>
      <c r="AW122" s="2590" t="s">
        <v>3681</v>
      </c>
      <c r="AX122" s="2590" t="s">
        <v>3682</v>
      </c>
      <c r="AY122" s="2590" t="s">
        <v>3683</v>
      </c>
      <c r="AZ122" s="2590" t="s">
        <v>3684</v>
      </c>
      <c r="BA122" s="2590"/>
      <c r="BB122" s="2592" t="s">
        <v>5438</v>
      </c>
      <c r="BC122" s="2592" t="s">
        <v>5439</v>
      </c>
      <c r="BD122" s="2592" t="s">
        <v>5440</v>
      </c>
      <c r="BE122" s="2590"/>
      <c r="BF122" s="2590"/>
      <c r="BG122" s="2590"/>
      <c r="BH122" s="2590"/>
      <c r="BI122" s="2590"/>
      <c r="BJ122" s="2590"/>
      <c r="BK122" s="2590"/>
      <c r="BL122" s="2590"/>
      <c r="BM122" s="2590"/>
      <c r="BN122" s="2590"/>
      <c r="BO122" s="2590"/>
      <c r="BP122" s="2590"/>
      <c r="BQ122" s="2590"/>
      <c r="BR122" s="2590"/>
      <c r="BS122" s="2590"/>
      <c r="BT122" s="2590"/>
      <c r="BU122" s="2590"/>
      <c r="BV122" s="2590"/>
      <c r="BW122" s="2590"/>
      <c r="BX122" s="2590"/>
      <c r="BY122" s="2590"/>
      <c r="BZ122" s="2590"/>
      <c r="CA122" s="2590"/>
      <c r="CB122" s="2590"/>
      <c r="CC122" s="2590"/>
      <c r="CD122" s="2590"/>
      <c r="CE122" s="2590"/>
      <c r="CF122" s="2590"/>
      <c r="CG122" s="2590"/>
      <c r="CH122" s="2590"/>
      <c r="CI122" s="2590"/>
      <c r="CJ122" s="2590"/>
      <c r="CK122" s="2590"/>
      <c r="CL122" s="2590"/>
      <c r="CM122" s="2590"/>
      <c r="CN122" s="2590"/>
      <c r="CO122" s="2590"/>
      <c r="CP122" s="2590"/>
      <c r="CQ122" s="2590"/>
      <c r="CR122" s="2590"/>
      <c r="CS122" s="2590"/>
      <c r="CT122" s="2590"/>
      <c r="CU122" s="2590"/>
      <c r="CV122" s="2589" t="s">
        <v>5441</v>
      </c>
      <c r="CW122" s="2590" t="s">
        <v>2037</v>
      </c>
      <c r="CX122" s="2589"/>
      <c r="CY122" s="2594"/>
      <c r="CZ122"/>
    </row>
    <row r="123" spans="1:104" ht="16.149999999999999" thickBot="1" x14ac:dyDescent="0.6">
      <c r="A123" s="2597"/>
      <c r="B123" s="2221">
        <v>120</v>
      </c>
      <c r="C123" s="2221" t="s">
        <v>5502</v>
      </c>
      <c r="D123" s="2589" t="s">
        <v>5442</v>
      </c>
      <c r="E123" s="2590"/>
      <c r="F123" s="2590"/>
      <c r="G123" s="2590"/>
      <c r="H123" s="2590"/>
      <c r="I123" s="2590"/>
      <c r="J123" s="2590"/>
      <c r="K123" s="2590"/>
      <c r="L123" s="2590"/>
      <c r="M123" s="2590"/>
      <c r="N123" s="2590"/>
      <c r="O123" s="2590"/>
      <c r="P123" s="2590"/>
      <c r="Q123" s="2591"/>
      <c r="R123" s="2590"/>
      <c r="S123" s="2590"/>
      <c r="T123" s="2590"/>
      <c r="U123" s="2590"/>
      <c r="V123" s="2590"/>
      <c r="W123" s="2590"/>
      <c r="X123" s="2590"/>
      <c r="Y123" s="2590"/>
      <c r="Z123" s="2591"/>
      <c r="AA123" s="2591">
        <v>1</v>
      </c>
      <c r="AB123" s="2592" t="s">
        <v>1658</v>
      </c>
      <c r="AC123" s="2592"/>
      <c r="AD123" s="2591"/>
      <c r="AE123" s="2591" t="s">
        <v>5443</v>
      </c>
      <c r="AF123" s="2591"/>
      <c r="AG123" s="2591"/>
      <c r="AH123" s="2591"/>
      <c r="AI123" s="2591" t="s">
        <v>5444</v>
      </c>
      <c r="AJ123" s="2590"/>
      <c r="AK123" s="2590"/>
      <c r="AL123" s="2590"/>
      <c r="AM123" s="2592" t="s">
        <v>1659</v>
      </c>
      <c r="AN123" s="2590"/>
      <c r="AO123" s="2590"/>
      <c r="AP123" s="2590"/>
      <c r="AQ123" s="2590"/>
      <c r="AR123" s="2590"/>
      <c r="AS123" s="2590"/>
      <c r="AT123" s="2593"/>
      <c r="AU123" s="2591" t="s">
        <v>1679</v>
      </c>
      <c r="AV123" s="2590" t="s">
        <v>2513</v>
      </c>
      <c r="AW123" s="2590" t="s">
        <v>3681</v>
      </c>
      <c r="AX123" s="2590" t="s">
        <v>3682</v>
      </c>
      <c r="AY123" s="2590" t="s">
        <v>3683</v>
      </c>
      <c r="AZ123" s="2590" t="s">
        <v>3684</v>
      </c>
      <c r="BA123" s="2590"/>
      <c r="BB123" s="2592" t="s">
        <v>5445</v>
      </c>
      <c r="BC123" s="2592" t="s">
        <v>5439</v>
      </c>
      <c r="BD123" s="2592" t="s">
        <v>5446</v>
      </c>
      <c r="BE123" s="2590"/>
      <c r="BF123" s="2590"/>
      <c r="BG123" s="2590"/>
      <c r="BH123" s="2590"/>
      <c r="BI123" s="2590"/>
      <c r="BJ123" s="2590"/>
      <c r="BK123" s="2590"/>
      <c r="BL123" s="2590"/>
      <c r="BM123" s="2590"/>
      <c r="BN123" s="2590"/>
      <c r="BO123" s="2590"/>
      <c r="BP123" s="2590"/>
      <c r="BQ123" s="2590"/>
      <c r="BR123" s="2590"/>
      <c r="BS123" s="2590"/>
      <c r="BT123" s="2590"/>
      <c r="BU123" s="2590"/>
      <c r="BV123" s="2590"/>
      <c r="BW123" s="2590"/>
      <c r="BX123" s="2590"/>
      <c r="BY123" s="2590"/>
      <c r="BZ123" s="2590"/>
      <c r="CA123" s="2590"/>
      <c r="CB123" s="2590"/>
      <c r="CC123" s="2590"/>
      <c r="CD123" s="2590"/>
      <c r="CE123" s="2590"/>
      <c r="CF123" s="2590"/>
      <c r="CG123" s="2590"/>
      <c r="CH123" s="2590"/>
      <c r="CI123" s="2590"/>
      <c r="CJ123" s="2590"/>
      <c r="CK123" s="2590"/>
      <c r="CL123" s="2590"/>
      <c r="CM123" s="2590"/>
      <c r="CN123" s="2590"/>
      <c r="CO123" s="2590"/>
      <c r="CP123" s="2590"/>
      <c r="CQ123" s="2590"/>
      <c r="CR123" s="2590"/>
      <c r="CS123" s="2590"/>
      <c r="CT123" s="2590"/>
      <c r="CU123" s="2590"/>
      <c r="CV123" s="2589" t="s">
        <v>5447</v>
      </c>
      <c r="CW123" s="2590" t="s">
        <v>2037</v>
      </c>
      <c r="CX123" s="2589"/>
      <c r="CY123" s="2594"/>
      <c r="CZ123"/>
    </row>
    <row r="124" spans="1:104" ht="15.75" x14ac:dyDescent="0.55000000000000004">
      <c r="A124" s="2597"/>
      <c r="B124" s="2219">
        <v>121</v>
      </c>
      <c r="C124" s="2219" t="s">
        <v>5505</v>
      </c>
      <c r="D124" s="2589" t="s">
        <v>5448</v>
      </c>
      <c r="E124" s="2590"/>
      <c r="F124" s="2590"/>
      <c r="G124" s="2590"/>
      <c r="H124" s="2590"/>
      <c r="I124" s="2590"/>
      <c r="J124" s="2590"/>
      <c r="K124" s="2590"/>
      <c r="L124" s="2590"/>
      <c r="M124" s="2590"/>
      <c r="N124" s="2590"/>
      <c r="O124" s="2590"/>
      <c r="P124" s="2590"/>
      <c r="Q124" s="2591"/>
      <c r="R124" s="2590"/>
      <c r="S124" s="2590"/>
      <c r="T124" s="2590"/>
      <c r="U124" s="2590"/>
      <c r="V124" s="2590"/>
      <c r="W124" s="2590"/>
      <c r="X124" s="2590"/>
      <c r="Y124" s="2590"/>
      <c r="Z124" s="2591"/>
      <c r="AA124" s="2591">
        <v>1</v>
      </c>
      <c r="AB124" s="2592" t="s">
        <v>1658</v>
      </c>
      <c r="AC124" s="2592"/>
      <c r="AD124" s="2591" t="s">
        <v>5450</v>
      </c>
      <c r="AE124" s="2591" t="s">
        <v>5449</v>
      </c>
      <c r="AF124" s="2591"/>
      <c r="AG124" s="2591"/>
      <c r="AH124" s="2591"/>
      <c r="AI124" s="2591"/>
      <c r="AJ124" s="2590"/>
      <c r="AK124" s="2590"/>
      <c r="AL124" s="2590"/>
      <c r="AM124" s="2592" t="s">
        <v>1659</v>
      </c>
      <c r="AN124" s="2590"/>
      <c r="AO124" s="2590"/>
      <c r="AP124" s="2590"/>
      <c r="AQ124" s="2590"/>
      <c r="AR124" s="2590"/>
      <c r="AS124" s="2590"/>
      <c r="AT124" s="2593"/>
      <c r="AU124" s="2591" t="s">
        <v>1679</v>
      </c>
      <c r="AV124" s="2590" t="s">
        <v>2513</v>
      </c>
      <c r="AW124" s="2590" t="s">
        <v>3681</v>
      </c>
      <c r="AX124" s="2590" t="s">
        <v>3682</v>
      </c>
      <c r="AY124" s="2590" t="s">
        <v>3683</v>
      </c>
      <c r="AZ124" s="2590" t="s">
        <v>3684</v>
      </c>
      <c r="BA124" s="2590"/>
      <c r="BB124" s="2592" t="s">
        <v>5445</v>
      </c>
      <c r="BC124" s="2592" t="s">
        <v>5439</v>
      </c>
      <c r="BD124" s="2592" t="s">
        <v>5446</v>
      </c>
      <c r="BE124" s="2590"/>
      <c r="BF124" s="2590"/>
      <c r="BG124" s="2590"/>
      <c r="BH124" s="2590"/>
      <c r="BI124" s="2590"/>
      <c r="BJ124" s="2590"/>
      <c r="BK124" s="2590"/>
      <c r="BL124" s="2590"/>
      <c r="BM124" s="2590"/>
      <c r="BN124" s="2590"/>
      <c r="BO124" s="2590"/>
      <c r="BP124" s="2590"/>
      <c r="BQ124" s="2590"/>
      <c r="BR124" s="2590"/>
      <c r="BS124" s="2590"/>
      <c r="BT124" s="2590"/>
      <c r="BU124" s="2590"/>
      <c r="BV124" s="2590"/>
      <c r="BW124" s="2590"/>
      <c r="BX124" s="2590"/>
      <c r="BY124" s="2590"/>
      <c r="BZ124" s="2590"/>
      <c r="CA124" s="2590"/>
      <c r="CB124" s="2590"/>
      <c r="CC124" s="2590"/>
      <c r="CD124" s="2590"/>
      <c r="CE124" s="2590"/>
      <c r="CF124" s="2590"/>
      <c r="CG124" s="2590"/>
      <c r="CH124" s="2590"/>
      <c r="CI124" s="2590"/>
      <c r="CJ124" s="2590"/>
      <c r="CK124" s="2590"/>
      <c r="CL124" s="2590"/>
      <c r="CM124" s="2590"/>
      <c r="CN124" s="2590"/>
      <c r="CO124" s="2590"/>
      <c r="CP124" s="2590"/>
      <c r="CQ124" s="2590"/>
      <c r="CR124" s="2590"/>
      <c r="CS124" s="2590"/>
      <c r="CT124" s="2590"/>
      <c r="CU124" s="2590"/>
      <c r="CV124" s="2589" t="s">
        <v>5451</v>
      </c>
      <c r="CW124" s="2590" t="s">
        <v>2037</v>
      </c>
      <c r="CX124" s="2589"/>
      <c r="CY124" s="2594"/>
      <c r="CZ124"/>
    </row>
    <row r="125" spans="1:104" ht="16.149999999999999" thickBot="1" x14ac:dyDescent="0.6">
      <c r="A125" s="2597"/>
      <c r="B125" s="2221">
        <v>122</v>
      </c>
      <c r="C125" s="2221" t="s">
        <v>5800</v>
      </c>
      <c r="D125" s="2589" t="s">
        <v>5452</v>
      </c>
      <c r="E125" s="2590"/>
      <c r="F125" s="2590"/>
      <c r="G125" s="2590"/>
      <c r="H125" s="2590"/>
      <c r="I125" s="2590"/>
      <c r="J125" s="2590"/>
      <c r="K125" s="2590"/>
      <c r="L125" s="2590"/>
      <c r="M125" s="2590"/>
      <c r="N125" s="2590"/>
      <c r="O125" s="2590"/>
      <c r="P125" s="2590"/>
      <c r="Q125" s="2591"/>
      <c r="R125" s="2590"/>
      <c r="S125" s="2590"/>
      <c r="T125" s="2590"/>
      <c r="U125" s="2590"/>
      <c r="V125" s="2590"/>
      <c r="W125" s="2590"/>
      <c r="X125" s="2590"/>
      <c r="Y125" s="2590"/>
      <c r="Z125" s="2591"/>
      <c r="AA125" s="2591">
        <v>1</v>
      </c>
      <c r="AB125" s="2592" t="s">
        <v>1658</v>
      </c>
      <c r="AC125" s="2592"/>
      <c r="AD125" s="2590"/>
      <c r="AE125" s="2590"/>
      <c r="AF125" s="2590"/>
      <c r="AG125" s="2590"/>
      <c r="AH125" s="2590"/>
      <c r="AI125" s="2590"/>
      <c r="AJ125" s="2590"/>
      <c r="AK125" s="2590"/>
      <c r="AL125" s="2590"/>
      <c r="AM125" s="2592" t="s">
        <v>1659</v>
      </c>
      <c r="AN125" s="2590"/>
      <c r="AO125" s="2590"/>
      <c r="AP125" s="2590"/>
      <c r="AQ125" s="2590"/>
      <c r="AR125" s="2591" t="s">
        <v>5453</v>
      </c>
      <c r="AS125" s="2590"/>
      <c r="AT125" s="2593"/>
      <c r="AU125" s="2591" t="s">
        <v>1679</v>
      </c>
      <c r="AV125" s="2590" t="s">
        <v>2513</v>
      </c>
      <c r="AW125" s="2590" t="s">
        <v>3681</v>
      </c>
      <c r="AX125" s="2590" t="s">
        <v>3682</v>
      </c>
      <c r="AY125" s="2590" t="s">
        <v>3683</v>
      </c>
      <c r="AZ125" s="2590" t="s">
        <v>3684</v>
      </c>
      <c r="BA125" s="2590"/>
      <c r="BB125" s="2595"/>
      <c r="BC125" s="2595" t="s">
        <v>5454</v>
      </c>
      <c r="BD125" s="2592" t="s">
        <v>5455</v>
      </c>
      <c r="BE125" s="2590"/>
      <c r="BF125" s="2590"/>
      <c r="BG125" s="2590"/>
      <c r="BH125" s="2590"/>
      <c r="BI125" s="2590"/>
      <c r="BJ125" s="2590"/>
      <c r="BK125" s="2590"/>
      <c r="BL125" s="2590"/>
      <c r="BM125" s="2590"/>
      <c r="BN125" s="2590"/>
      <c r="BO125" s="2590"/>
      <c r="BP125" s="2590"/>
      <c r="BQ125" s="2590"/>
      <c r="BR125" s="2590"/>
      <c r="BS125" s="2590"/>
      <c r="BT125" s="2590"/>
      <c r="BU125" s="2590"/>
      <c r="BV125" s="2590"/>
      <c r="BW125" s="2590"/>
      <c r="BX125" s="2590"/>
      <c r="BY125" s="2590"/>
      <c r="BZ125" s="2590"/>
      <c r="CA125" s="2590"/>
      <c r="CB125" s="2590"/>
      <c r="CC125" s="2590"/>
      <c r="CD125" s="2590"/>
      <c r="CE125" s="2590"/>
      <c r="CF125" s="2590"/>
      <c r="CG125" s="2590"/>
      <c r="CH125" s="2590"/>
      <c r="CI125" s="2590"/>
      <c r="CJ125" s="2590"/>
      <c r="CK125" s="2590"/>
      <c r="CL125" s="2590"/>
      <c r="CM125" s="2590"/>
      <c r="CN125" s="2590"/>
      <c r="CO125" s="2590"/>
      <c r="CP125" s="2590"/>
      <c r="CQ125" s="2590"/>
      <c r="CR125" s="2590"/>
      <c r="CS125" s="2590"/>
      <c r="CT125" s="2590"/>
      <c r="CU125" s="2590"/>
      <c r="CV125" s="2589" t="s">
        <v>5456</v>
      </c>
      <c r="CW125" s="2590" t="s">
        <v>2037</v>
      </c>
      <c r="CX125" s="2589"/>
      <c r="CY125" s="2594"/>
      <c r="CZ125"/>
    </row>
    <row r="126" spans="1:104" ht="15.75" x14ac:dyDescent="0.55000000000000004">
      <c r="A126" s="2597"/>
      <c r="B126" s="2219">
        <v>123</v>
      </c>
      <c r="C126" s="2219" t="s">
        <v>5801</v>
      </c>
      <c r="D126" s="2589" t="s">
        <v>5457</v>
      </c>
      <c r="E126" s="2590"/>
      <c r="F126" s="2590"/>
      <c r="G126" s="2590"/>
      <c r="H126" s="2590"/>
      <c r="I126" s="2590"/>
      <c r="J126" s="2590"/>
      <c r="K126" s="2590"/>
      <c r="L126" s="2590"/>
      <c r="M126" s="2590"/>
      <c r="N126" s="2590"/>
      <c r="O126" s="2590"/>
      <c r="P126" s="2590"/>
      <c r="Q126" s="2591"/>
      <c r="R126" s="2590"/>
      <c r="S126" s="2590"/>
      <c r="T126" s="2590"/>
      <c r="U126" s="2590"/>
      <c r="V126" s="2590"/>
      <c r="W126" s="2590"/>
      <c r="X126" s="2590"/>
      <c r="Y126" s="2590"/>
      <c r="Z126" s="2591"/>
      <c r="AA126" s="2591">
        <v>1</v>
      </c>
      <c r="AB126" s="2592" t="s">
        <v>1658</v>
      </c>
      <c r="AC126" s="2592"/>
      <c r="AD126" s="2591"/>
      <c r="AE126" s="2591" t="s">
        <v>5458</v>
      </c>
      <c r="AF126" s="2591"/>
      <c r="AG126" s="2591"/>
      <c r="AH126" s="2591"/>
      <c r="AI126" s="2591" t="s">
        <v>5459</v>
      </c>
      <c r="AJ126" s="2590"/>
      <c r="AK126" s="2590"/>
      <c r="AL126" s="2590"/>
      <c r="AM126" s="2592" t="s">
        <v>1659</v>
      </c>
      <c r="AN126" s="2590"/>
      <c r="AO126" s="2590"/>
      <c r="AP126" s="2590"/>
      <c r="AQ126" s="2590"/>
      <c r="AR126" s="2591"/>
      <c r="AS126" s="2590"/>
      <c r="AT126" s="2593"/>
      <c r="AU126" s="2591" t="s">
        <v>1679</v>
      </c>
      <c r="AV126" s="2590" t="s">
        <v>2513</v>
      </c>
      <c r="AW126" s="2590" t="s">
        <v>3681</v>
      </c>
      <c r="AX126" s="2590" t="s">
        <v>3682</v>
      </c>
      <c r="AY126" s="2590" t="s">
        <v>3683</v>
      </c>
      <c r="AZ126" s="2590" t="s">
        <v>3684</v>
      </c>
      <c r="BA126" s="2590"/>
      <c r="BB126" s="2595"/>
      <c r="BC126" s="2595" t="s">
        <v>5460</v>
      </c>
      <c r="BD126" s="2592" t="s">
        <v>5461</v>
      </c>
      <c r="BE126" s="2590"/>
      <c r="BF126" s="2590"/>
      <c r="BG126" s="2590"/>
      <c r="BH126" s="2590"/>
      <c r="BI126" s="2590"/>
      <c r="BJ126" s="2590"/>
      <c r="BK126" s="2590"/>
      <c r="BL126" s="2590"/>
      <c r="BM126" s="2590"/>
      <c r="BN126" s="2590"/>
      <c r="BO126" s="2590"/>
      <c r="BP126" s="2590"/>
      <c r="BQ126" s="2590"/>
      <c r="BR126" s="2590"/>
      <c r="BS126" s="2590"/>
      <c r="BT126" s="2590"/>
      <c r="BU126" s="2590"/>
      <c r="BV126" s="2590"/>
      <c r="BW126" s="2590"/>
      <c r="BX126" s="2590"/>
      <c r="BY126" s="2590"/>
      <c r="BZ126" s="2590"/>
      <c r="CA126" s="2590"/>
      <c r="CB126" s="2590"/>
      <c r="CC126" s="2590"/>
      <c r="CD126" s="2590"/>
      <c r="CE126" s="2590"/>
      <c r="CF126" s="2590"/>
      <c r="CG126" s="2590"/>
      <c r="CH126" s="2590"/>
      <c r="CI126" s="2590"/>
      <c r="CJ126" s="2590"/>
      <c r="CK126" s="2590"/>
      <c r="CL126" s="2590"/>
      <c r="CM126" s="2590"/>
      <c r="CN126" s="2590"/>
      <c r="CO126" s="2590"/>
      <c r="CP126" s="2590"/>
      <c r="CQ126" s="2590"/>
      <c r="CR126" s="2590"/>
      <c r="CS126" s="2590"/>
      <c r="CT126" s="2590"/>
      <c r="CU126" s="2590"/>
      <c r="CV126" s="2589" t="s">
        <v>5462</v>
      </c>
      <c r="CW126" s="2590" t="s">
        <v>2037</v>
      </c>
      <c r="CX126" s="2589"/>
      <c r="CY126" s="2594"/>
      <c r="CZ126"/>
    </row>
    <row r="127" spans="1:104" ht="16.149999999999999" thickBot="1" x14ac:dyDescent="0.6">
      <c r="A127" s="2597"/>
      <c r="B127" s="2221">
        <v>124</v>
      </c>
      <c r="C127" s="2221" t="s">
        <v>5802</v>
      </c>
      <c r="D127" s="2589" t="s">
        <v>5463</v>
      </c>
      <c r="E127" s="2590"/>
      <c r="F127" s="2590"/>
      <c r="G127" s="2590"/>
      <c r="H127" s="2590"/>
      <c r="I127" s="2590"/>
      <c r="J127" s="2590"/>
      <c r="K127" s="2590"/>
      <c r="L127" s="2590"/>
      <c r="M127" s="2590"/>
      <c r="N127" s="2590"/>
      <c r="O127" s="2590"/>
      <c r="P127" s="2590"/>
      <c r="Q127" s="2591"/>
      <c r="R127" s="2590"/>
      <c r="S127" s="2590"/>
      <c r="T127" s="2590"/>
      <c r="U127" s="2590"/>
      <c r="V127" s="2590"/>
      <c r="W127" s="2590"/>
      <c r="X127" s="2590"/>
      <c r="Y127" s="2590"/>
      <c r="Z127" s="2591"/>
      <c r="AA127" s="2591">
        <v>1</v>
      </c>
      <c r="AB127" s="2592" t="s">
        <v>1658</v>
      </c>
      <c r="AC127" s="2592"/>
      <c r="AD127" s="2591" t="s">
        <v>5465</v>
      </c>
      <c r="AE127" s="2591" t="s">
        <v>5464</v>
      </c>
      <c r="AF127" s="2591"/>
      <c r="AG127" s="2591"/>
      <c r="AH127" s="2591"/>
      <c r="AI127" s="2591"/>
      <c r="AJ127" s="2590"/>
      <c r="AK127" s="2590"/>
      <c r="AL127" s="2590"/>
      <c r="AM127" s="2592" t="s">
        <v>1659</v>
      </c>
      <c r="AN127" s="2590"/>
      <c r="AO127" s="2590"/>
      <c r="AP127" s="2590"/>
      <c r="AQ127" s="2590"/>
      <c r="AR127" s="2591"/>
      <c r="AS127" s="2590"/>
      <c r="AT127" s="2593"/>
      <c r="AU127" s="2591" t="s">
        <v>1679</v>
      </c>
      <c r="AV127" s="2590" t="s">
        <v>2513</v>
      </c>
      <c r="AW127" s="2590" t="s">
        <v>3681</v>
      </c>
      <c r="AX127" s="2590" t="s">
        <v>3682</v>
      </c>
      <c r="AY127" s="2590" t="s">
        <v>3683</v>
      </c>
      <c r="AZ127" s="2590" t="s">
        <v>3684</v>
      </c>
      <c r="BA127" s="2590"/>
      <c r="BB127" s="2595"/>
      <c r="BC127" s="2595" t="s">
        <v>5460</v>
      </c>
      <c r="BD127" s="2592" t="s">
        <v>5461</v>
      </c>
      <c r="BE127" s="2590"/>
      <c r="BF127" s="2590"/>
      <c r="BG127" s="2590"/>
      <c r="BH127" s="2590"/>
      <c r="BI127" s="2590"/>
      <c r="BJ127" s="2590"/>
      <c r="BK127" s="2590"/>
      <c r="BL127" s="2590"/>
      <c r="BM127" s="2590"/>
      <c r="BN127" s="2590"/>
      <c r="BO127" s="2590"/>
      <c r="BP127" s="2590"/>
      <c r="BQ127" s="2590"/>
      <c r="BR127" s="2590"/>
      <c r="BS127" s="2590"/>
      <c r="BT127" s="2590"/>
      <c r="BU127" s="2590"/>
      <c r="BV127" s="2590"/>
      <c r="BW127" s="2590"/>
      <c r="BX127" s="2590"/>
      <c r="BY127" s="2590"/>
      <c r="BZ127" s="2590"/>
      <c r="CA127" s="2590"/>
      <c r="CB127" s="2590"/>
      <c r="CC127" s="2590"/>
      <c r="CD127" s="2590"/>
      <c r="CE127" s="2590"/>
      <c r="CF127" s="2590"/>
      <c r="CG127" s="2590"/>
      <c r="CH127" s="2590"/>
      <c r="CI127" s="2590"/>
      <c r="CJ127" s="2590"/>
      <c r="CK127" s="2590"/>
      <c r="CL127" s="2590"/>
      <c r="CM127" s="2590"/>
      <c r="CN127" s="2590"/>
      <c r="CO127" s="2590"/>
      <c r="CP127" s="2590"/>
      <c r="CQ127" s="2590"/>
      <c r="CR127" s="2590"/>
      <c r="CS127" s="2590"/>
      <c r="CT127" s="2590"/>
      <c r="CU127" s="2590"/>
      <c r="CV127" s="2589" t="s">
        <v>5466</v>
      </c>
      <c r="CW127" s="2590" t="s">
        <v>2037</v>
      </c>
      <c r="CX127" s="2589"/>
      <c r="CY127" s="2594"/>
    </row>
    <row r="128" spans="1:104" ht="15.75" x14ac:dyDescent="0.55000000000000004">
      <c r="A128" s="2597"/>
      <c r="B128" s="2219">
        <v>125</v>
      </c>
      <c r="C128" s="2219" t="s">
        <v>5803</v>
      </c>
      <c r="D128" s="2589" t="s">
        <v>5467</v>
      </c>
      <c r="E128" s="2590"/>
      <c r="F128" s="2590"/>
      <c r="G128" s="2590"/>
      <c r="H128" s="2590"/>
      <c r="I128" s="2590" t="s">
        <v>1662</v>
      </c>
      <c r="J128" s="2590"/>
      <c r="K128" s="2590"/>
      <c r="L128" s="2590"/>
      <c r="M128" s="2590"/>
      <c r="N128" s="2590"/>
      <c r="O128" s="2590" t="s">
        <v>1663</v>
      </c>
      <c r="P128" s="2590"/>
      <c r="Q128" s="2591"/>
      <c r="R128" s="2590"/>
      <c r="S128" s="2590"/>
      <c r="T128" s="2590"/>
      <c r="U128" s="2590"/>
      <c r="V128" s="2590"/>
      <c r="W128" s="2590"/>
      <c r="X128" s="2590"/>
      <c r="Y128" s="2590"/>
      <c r="Z128" s="2591"/>
      <c r="AA128" s="2591" t="s">
        <v>1150</v>
      </c>
      <c r="AB128" s="2592" t="s">
        <v>2184</v>
      </c>
      <c r="AC128" s="2592"/>
      <c r="AD128" s="2590"/>
      <c r="AE128" s="2590"/>
      <c r="AF128" s="2590"/>
      <c r="AG128" s="2590"/>
      <c r="AH128" s="2590"/>
      <c r="AI128" s="2590"/>
      <c r="AJ128" s="2590"/>
      <c r="AK128" s="2590" t="s">
        <v>1664</v>
      </c>
      <c r="AL128" s="2590"/>
      <c r="AM128" s="2593"/>
      <c r="AN128" s="2590"/>
      <c r="AO128" s="2590"/>
      <c r="AP128" s="2590" t="s">
        <v>1665</v>
      </c>
      <c r="AQ128" s="2590"/>
      <c r="AR128" s="2590"/>
      <c r="AS128" s="2590"/>
      <c r="AT128" s="2593"/>
      <c r="AU128" s="2590" t="s">
        <v>2007</v>
      </c>
      <c r="AV128" s="2590" t="s">
        <v>2514</v>
      </c>
      <c r="AW128" s="2590" t="s">
        <v>3685</v>
      </c>
      <c r="AX128" s="2590" t="s">
        <v>3686</v>
      </c>
      <c r="AY128" s="2590" t="s">
        <v>3687</v>
      </c>
      <c r="AZ128" s="2590" t="s">
        <v>3688</v>
      </c>
      <c r="BA128" s="2590"/>
      <c r="BB128" s="2596"/>
      <c r="BC128" s="2595" t="s">
        <v>5423</v>
      </c>
      <c r="BD128" s="2593"/>
      <c r="BE128" s="2590"/>
      <c r="BF128" s="2590"/>
      <c r="BG128" s="2590"/>
      <c r="BH128" s="2590"/>
      <c r="BI128" s="2590"/>
      <c r="BJ128" s="2590"/>
      <c r="BK128" s="2590"/>
      <c r="BL128" s="2590"/>
      <c r="BM128" s="2590"/>
      <c r="BN128" s="2590"/>
      <c r="BO128" s="2590"/>
      <c r="BP128" s="2590"/>
      <c r="BQ128" s="2590"/>
      <c r="BR128" s="2590"/>
      <c r="BS128" s="2590"/>
      <c r="BT128" s="2590"/>
      <c r="BU128" s="2590"/>
      <c r="BV128" s="2590"/>
      <c r="BW128" s="2590"/>
      <c r="BX128" s="2590"/>
      <c r="BY128" s="2590"/>
      <c r="BZ128" s="2590"/>
      <c r="CA128" s="2590"/>
      <c r="CB128" s="2590"/>
      <c r="CC128" s="2590"/>
      <c r="CD128" s="2590"/>
      <c r="CE128" s="2590"/>
      <c r="CF128" s="2590"/>
      <c r="CG128" s="2590"/>
      <c r="CH128" s="2590"/>
      <c r="CI128" s="2590"/>
      <c r="CJ128" s="2590"/>
      <c r="CK128" s="2590"/>
      <c r="CL128" s="2590"/>
      <c r="CM128" s="2590"/>
      <c r="CN128" s="2590"/>
      <c r="CO128" s="2590"/>
      <c r="CP128" s="2590"/>
      <c r="CQ128" s="2590"/>
      <c r="CR128" s="2590"/>
      <c r="CS128" s="2590"/>
      <c r="CT128" s="2590"/>
      <c r="CU128" s="2590"/>
      <c r="CV128" s="2589" t="s">
        <v>5468</v>
      </c>
      <c r="CW128" s="2590" t="s">
        <v>2037</v>
      </c>
      <c r="CX128" s="2589"/>
      <c r="CY128" s="2594"/>
    </row>
    <row r="129" spans="1:104" ht="16.149999999999999" thickBot="1" x14ac:dyDescent="0.6">
      <c r="A129" s="2597"/>
      <c r="B129" s="2221">
        <v>126</v>
      </c>
      <c r="C129" s="2221" t="s">
        <v>5804</v>
      </c>
      <c r="D129" s="2589" t="s">
        <v>5469</v>
      </c>
      <c r="E129" s="2590"/>
      <c r="F129" s="2590"/>
      <c r="G129" s="2590"/>
      <c r="H129" s="2590"/>
      <c r="I129" s="2590" t="s">
        <v>1662</v>
      </c>
      <c r="J129" s="2590"/>
      <c r="K129" s="2590"/>
      <c r="L129" s="2590"/>
      <c r="M129" s="2590"/>
      <c r="N129" s="2590"/>
      <c r="O129" s="2590"/>
      <c r="P129" s="2590" t="s">
        <v>1663</v>
      </c>
      <c r="Q129" s="2591"/>
      <c r="R129" s="2590"/>
      <c r="S129" s="2590"/>
      <c r="T129" s="2590"/>
      <c r="U129" s="2590"/>
      <c r="V129" s="2590"/>
      <c r="W129" s="2590"/>
      <c r="X129" s="2590"/>
      <c r="Y129" s="2590"/>
      <c r="Z129" s="2591"/>
      <c r="AA129" s="2591" t="s">
        <v>1150</v>
      </c>
      <c r="AB129" s="2592" t="s">
        <v>2184</v>
      </c>
      <c r="AC129" s="2592"/>
      <c r="AD129" s="2590"/>
      <c r="AE129" s="2590"/>
      <c r="AF129" s="2590"/>
      <c r="AG129" s="2590"/>
      <c r="AH129" s="2590"/>
      <c r="AI129" s="2590"/>
      <c r="AJ129" s="2590"/>
      <c r="AK129" s="2590" t="s">
        <v>1664</v>
      </c>
      <c r="AL129" s="2590"/>
      <c r="AM129" s="2593"/>
      <c r="AN129" s="2590"/>
      <c r="AO129" s="2590"/>
      <c r="AP129" s="2590" t="s">
        <v>1665</v>
      </c>
      <c r="AQ129" s="2590"/>
      <c r="AR129" s="2590"/>
      <c r="AS129" s="2590"/>
      <c r="AT129" s="2593"/>
      <c r="AU129" s="2590" t="s">
        <v>2007</v>
      </c>
      <c r="AV129" s="2590" t="s">
        <v>2514</v>
      </c>
      <c r="AW129" s="2590" t="s">
        <v>3685</v>
      </c>
      <c r="AX129" s="2590" t="s">
        <v>3686</v>
      </c>
      <c r="AY129" s="2590" t="s">
        <v>3687</v>
      </c>
      <c r="AZ129" s="2590" t="s">
        <v>3688</v>
      </c>
      <c r="BA129" s="2590"/>
      <c r="BB129" s="2596"/>
      <c r="BC129" s="2595" t="s">
        <v>5423</v>
      </c>
      <c r="BD129" s="2593"/>
      <c r="BE129" s="2590"/>
      <c r="BF129" s="2590"/>
      <c r="BG129" s="2590"/>
      <c r="BH129" s="2590"/>
      <c r="BI129" s="2590"/>
      <c r="BJ129" s="2590"/>
      <c r="BK129" s="2590"/>
      <c r="BL129" s="2590"/>
      <c r="BM129" s="2590"/>
      <c r="BN129" s="2590"/>
      <c r="BO129" s="2590"/>
      <c r="BP129" s="2590"/>
      <c r="BQ129" s="2590"/>
      <c r="BR129" s="2590"/>
      <c r="BS129" s="2590"/>
      <c r="BT129" s="2590"/>
      <c r="BU129" s="2590"/>
      <c r="BV129" s="2590"/>
      <c r="BW129" s="2590"/>
      <c r="BX129" s="2590"/>
      <c r="BY129" s="2590"/>
      <c r="BZ129" s="2590"/>
      <c r="CA129" s="2590"/>
      <c r="CB129" s="2590"/>
      <c r="CC129" s="2590"/>
      <c r="CD129" s="2590"/>
      <c r="CE129" s="2590"/>
      <c r="CF129" s="2590"/>
      <c r="CG129" s="2590"/>
      <c r="CH129" s="2590"/>
      <c r="CI129" s="2590"/>
      <c r="CJ129" s="2590"/>
      <c r="CK129" s="2590"/>
      <c r="CL129" s="2590"/>
      <c r="CM129" s="2590"/>
      <c r="CN129" s="2590"/>
      <c r="CO129" s="2590"/>
      <c r="CP129" s="2590"/>
      <c r="CQ129" s="2590"/>
      <c r="CR129" s="2590"/>
      <c r="CS129" s="2590"/>
      <c r="CT129" s="2590"/>
      <c r="CU129" s="2590"/>
      <c r="CV129" s="2589" t="s">
        <v>5470</v>
      </c>
      <c r="CW129" s="2590" t="s">
        <v>2037</v>
      </c>
      <c r="CX129" s="2589"/>
      <c r="CY129" s="2594"/>
    </row>
    <row r="130" spans="1:104" ht="15.75" x14ac:dyDescent="0.45">
      <c r="A130" s="2597"/>
      <c r="B130" s="2219">
        <v>127</v>
      </c>
      <c r="C130" s="2219" t="s">
        <v>5805</v>
      </c>
      <c r="D130" s="2573" t="s">
        <v>5471</v>
      </c>
      <c r="E130" s="2575"/>
      <c r="F130" s="2575"/>
      <c r="G130" s="2575"/>
      <c r="H130" s="2575"/>
      <c r="I130" s="2575"/>
      <c r="J130" s="2575"/>
      <c r="K130" s="2575"/>
      <c r="L130" s="2575"/>
      <c r="M130" s="2575"/>
      <c r="N130" s="2575"/>
      <c r="O130" s="2575"/>
      <c r="P130" s="2575"/>
      <c r="Q130" s="2576"/>
      <c r="R130" s="2575"/>
      <c r="S130" s="2575"/>
      <c r="T130" s="2575"/>
      <c r="U130" s="2575"/>
      <c r="V130" s="2575"/>
      <c r="W130" s="2575"/>
      <c r="X130" s="2575"/>
      <c r="Y130" s="2575"/>
      <c r="Z130" s="2575"/>
      <c r="AA130" s="2575"/>
      <c r="AB130" s="2575"/>
      <c r="AC130" s="2575"/>
      <c r="AD130" s="2575"/>
      <c r="AE130" s="2575"/>
      <c r="AF130" s="2575"/>
      <c r="AG130" s="2575"/>
      <c r="AH130" s="2575"/>
      <c r="AI130" s="2575"/>
      <c r="AJ130" s="2575"/>
      <c r="AK130" s="2575"/>
      <c r="AL130" s="2575"/>
      <c r="AM130" s="2575"/>
      <c r="AN130" s="2575"/>
      <c r="AO130" s="2575"/>
      <c r="AP130" s="2575"/>
      <c r="AQ130" s="2575"/>
      <c r="AR130" s="2576" t="s">
        <v>5472</v>
      </c>
      <c r="AS130" s="2575"/>
      <c r="AT130" s="2575"/>
      <c r="AU130" s="2575"/>
      <c r="AV130" s="2575"/>
      <c r="AW130" s="2575"/>
      <c r="AX130" s="2575"/>
      <c r="AY130" s="2575"/>
      <c r="AZ130" s="2575"/>
      <c r="BA130" s="2575"/>
      <c r="BB130" s="2575">
        <v>-1</v>
      </c>
      <c r="BC130" s="2575"/>
      <c r="BD130" s="2575">
        <v>1</v>
      </c>
      <c r="BE130" s="2575"/>
      <c r="BF130" s="2575"/>
      <c r="BG130" s="2575"/>
      <c r="BH130" s="2575"/>
      <c r="BI130" s="2575"/>
      <c r="BJ130" s="2575"/>
      <c r="BK130" s="2575"/>
      <c r="BL130" s="2575"/>
      <c r="BM130" s="2575"/>
      <c r="BN130" s="2575"/>
      <c r="BO130" s="2575"/>
      <c r="BP130" s="2575"/>
      <c r="BQ130" s="2575"/>
      <c r="BR130" s="2575"/>
      <c r="BS130" s="2575"/>
      <c r="BT130" s="2575"/>
      <c r="BU130" s="2575"/>
      <c r="BV130" s="2575"/>
      <c r="BW130" s="2575"/>
      <c r="BX130" s="2575"/>
      <c r="BY130" s="2575"/>
      <c r="BZ130" s="2575"/>
      <c r="CA130" s="2575"/>
      <c r="CB130" s="2575"/>
      <c r="CC130" s="2575"/>
      <c r="CD130" s="2575"/>
      <c r="CE130" s="2575"/>
      <c r="CF130" s="2575"/>
      <c r="CG130" s="2575"/>
      <c r="CH130" s="2575"/>
      <c r="CI130" s="2575"/>
      <c r="CJ130" s="2575"/>
      <c r="CK130" s="2575"/>
      <c r="CL130" s="2575"/>
      <c r="CM130" s="2575"/>
      <c r="CN130" s="2575"/>
      <c r="CO130" s="2575"/>
      <c r="CP130" s="2575"/>
      <c r="CQ130" s="2575"/>
      <c r="CR130" s="2575"/>
      <c r="CS130" s="2575"/>
      <c r="CT130" s="2575"/>
      <c r="CU130" s="2575"/>
      <c r="CV130" s="2573" t="s">
        <v>5473</v>
      </c>
      <c r="CW130" s="2575" t="s">
        <v>3790</v>
      </c>
      <c r="CX130" s="2573"/>
      <c r="CY130" s="2580"/>
    </row>
    <row r="131" spans="1:104" ht="16.149999999999999" thickBot="1" x14ac:dyDescent="0.5">
      <c r="A131" s="2597"/>
      <c r="B131" s="2221">
        <v>128</v>
      </c>
      <c r="C131" s="2221" t="s">
        <v>5806</v>
      </c>
      <c r="D131" s="2573" t="s">
        <v>5474</v>
      </c>
      <c r="E131" s="2575"/>
      <c r="F131" s="2575"/>
      <c r="G131" s="2575"/>
      <c r="H131" s="2575"/>
      <c r="I131" s="2575"/>
      <c r="J131" s="2575"/>
      <c r="K131" s="2575"/>
      <c r="L131" s="2575"/>
      <c r="M131" s="2575"/>
      <c r="N131" s="2575"/>
      <c r="O131" s="2575"/>
      <c r="P131" s="2575"/>
      <c r="Q131" s="2576"/>
      <c r="R131" s="2575"/>
      <c r="S131" s="2575"/>
      <c r="T131" s="2575"/>
      <c r="U131" s="2575"/>
      <c r="V131" s="2575"/>
      <c r="W131" s="2575"/>
      <c r="X131" s="2575"/>
      <c r="Y131" s="2575"/>
      <c r="Z131" s="2575"/>
      <c r="AA131" s="2575"/>
      <c r="AB131" s="2575"/>
      <c r="AC131" s="2575"/>
      <c r="AD131" s="2575"/>
      <c r="AE131" s="2575"/>
      <c r="AF131" s="2575"/>
      <c r="AG131" s="2575"/>
      <c r="AH131" s="2575"/>
      <c r="AI131" s="2575"/>
      <c r="AJ131" s="2575"/>
      <c r="AK131" s="2575"/>
      <c r="AL131" s="2575"/>
      <c r="AM131" s="2575"/>
      <c r="AN131" s="2575"/>
      <c r="AO131" s="2575"/>
      <c r="AP131" s="2575"/>
      <c r="AQ131" s="2575"/>
      <c r="AR131" s="2576" t="s">
        <v>5475</v>
      </c>
      <c r="AS131" s="2575"/>
      <c r="AT131" s="2575"/>
      <c r="AU131" s="2575"/>
      <c r="AV131" s="2575"/>
      <c r="AW131" s="2575"/>
      <c r="AX131" s="2575"/>
      <c r="AY131" s="2575"/>
      <c r="AZ131" s="2575"/>
      <c r="BA131" s="2575"/>
      <c r="BB131" s="2575"/>
      <c r="BC131" s="2575">
        <v>1</v>
      </c>
      <c r="BD131" s="2576">
        <v>-1</v>
      </c>
      <c r="BE131" s="2575"/>
      <c r="BF131" s="2575"/>
      <c r="BG131" s="2575"/>
      <c r="BH131" s="2575"/>
      <c r="BI131" s="2575"/>
      <c r="BJ131" s="2575"/>
      <c r="BK131" s="2575"/>
      <c r="BL131" s="2575"/>
      <c r="BM131" s="2575"/>
      <c r="BN131" s="2575"/>
      <c r="BO131" s="2575"/>
      <c r="BP131" s="2575"/>
      <c r="BQ131" s="2575"/>
      <c r="BR131" s="2575"/>
      <c r="BS131" s="2575"/>
      <c r="BT131" s="2575"/>
      <c r="BU131" s="2575"/>
      <c r="BV131" s="2575"/>
      <c r="BW131" s="2575"/>
      <c r="BX131" s="2575"/>
      <c r="BY131" s="2575"/>
      <c r="BZ131" s="2575"/>
      <c r="CA131" s="2575"/>
      <c r="CB131" s="2575"/>
      <c r="CC131" s="2575"/>
      <c r="CD131" s="2575"/>
      <c r="CE131" s="2575"/>
      <c r="CF131" s="2575"/>
      <c r="CG131" s="2575"/>
      <c r="CH131" s="2575"/>
      <c r="CI131" s="2575"/>
      <c r="CJ131" s="2575"/>
      <c r="CK131" s="2575"/>
      <c r="CL131" s="2575"/>
      <c r="CM131" s="2575"/>
      <c r="CN131" s="2575"/>
      <c r="CO131" s="2575"/>
      <c r="CP131" s="2575"/>
      <c r="CQ131" s="2575"/>
      <c r="CR131" s="2575"/>
      <c r="CS131" s="2575"/>
      <c r="CT131" s="2575"/>
      <c r="CU131" s="2575"/>
      <c r="CV131" s="2573" t="s">
        <v>5476</v>
      </c>
      <c r="CW131" s="2575" t="s">
        <v>3790</v>
      </c>
      <c r="CX131" s="2573"/>
      <c r="CY131" s="2580"/>
      <c r="CZ131"/>
    </row>
    <row r="132" spans="1:104" ht="18" customHeight="1" x14ac:dyDescent="0.45">
      <c r="A132" s="2597"/>
      <c r="B132" s="2219">
        <v>129</v>
      </c>
      <c r="C132" s="2219" t="s">
        <v>5807</v>
      </c>
      <c r="D132" s="2573" t="s">
        <v>5477</v>
      </c>
      <c r="E132" s="2575"/>
      <c r="F132" s="2575"/>
      <c r="G132" s="2575"/>
      <c r="H132" s="2575"/>
      <c r="I132" s="2575"/>
      <c r="J132" s="2575"/>
      <c r="K132" s="2575"/>
      <c r="L132" s="2575"/>
      <c r="M132" s="2575"/>
      <c r="N132" s="2575"/>
      <c r="O132" s="2575"/>
      <c r="P132" s="2575"/>
      <c r="Q132" s="2575"/>
      <c r="R132" s="2575"/>
      <c r="S132" s="2575"/>
      <c r="T132" s="2575"/>
      <c r="U132" s="2575"/>
      <c r="V132" s="2575"/>
      <c r="W132" s="2575"/>
      <c r="X132" s="2575"/>
      <c r="Y132" s="2575"/>
      <c r="Z132" s="2575"/>
      <c r="AA132" s="2575"/>
      <c r="AB132" s="2575"/>
      <c r="AC132" s="2575"/>
      <c r="AD132" s="2575"/>
      <c r="AE132" s="2575"/>
      <c r="AF132" s="2575"/>
      <c r="AG132" s="2575"/>
      <c r="AH132" s="2575"/>
      <c r="AI132" s="2575"/>
      <c r="AJ132" s="2575"/>
      <c r="AK132" s="2575"/>
      <c r="AL132" s="2575"/>
      <c r="AM132" s="2575"/>
      <c r="AN132" s="2575"/>
      <c r="AO132" s="2575"/>
      <c r="AP132" s="2575"/>
      <c r="AQ132" s="2575"/>
      <c r="AR132" s="2575"/>
      <c r="AS132" s="2576"/>
      <c r="AT132" s="2576" t="s">
        <v>5478</v>
      </c>
      <c r="AU132" s="2576"/>
      <c r="AV132" s="2575"/>
      <c r="AW132" s="2575"/>
      <c r="AX132" s="2575"/>
      <c r="AY132" s="2575"/>
      <c r="AZ132" s="2575"/>
      <c r="BA132" s="2575"/>
      <c r="BB132" s="2576" t="s">
        <v>1150</v>
      </c>
      <c r="BC132" s="2575">
        <v>1</v>
      </c>
      <c r="BD132" s="2575"/>
      <c r="BE132" s="2575"/>
      <c r="BF132" s="2575"/>
      <c r="BG132" s="2575"/>
      <c r="BH132" s="2575"/>
      <c r="BI132" s="2575"/>
      <c r="BJ132" s="2575"/>
      <c r="BK132" s="2575"/>
      <c r="BL132" s="2575"/>
      <c r="BM132" s="2575"/>
      <c r="BN132" s="2575"/>
      <c r="BO132" s="2575"/>
      <c r="BP132" s="2575"/>
      <c r="BQ132" s="2575"/>
      <c r="BR132" s="2575"/>
      <c r="BS132" s="2575"/>
      <c r="BT132" s="2575"/>
      <c r="BU132" s="2575"/>
      <c r="BV132" s="2575"/>
      <c r="BW132" s="2575"/>
      <c r="BX132" s="2575"/>
      <c r="BY132" s="2575"/>
      <c r="BZ132" s="2575"/>
      <c r="CA132" s="2575"/>
      <c r="CB132" s="2575"/>
      <c r="CC132" s="2575"/>
      <c r="CD132" s="2575"/>
      <c r="CE132" s="2575"/>
      <c r="CF132" s="2575"/>
      <c r="CG132" s="2575"/>
      <c r="CH132" s="2575"/>
      <c r="CI132" s="2575"/>
      <c r="CJ132" s="2575"/>
      <c r="CK132" s="2575"/>
      <c r="CL132" s="2575"/>
      <c r="CM132" s="2575"/>
      <c r="CN132" s="2575"/>
      <c r="CO132" s="2575"/>
      <c r="CP132" s="2575"/>
      <c r="CQ132" s="2575"/>
      <c r="CR132" s="2575"/>
      <c r="CS132" s="2575"/>
      <c r="CT132" s="2575"/>
      <c r="CU132" s="2575"/>
      <c r="CV132" s="2573" t="s">
        <v>5479</v>
      </c>
      <c r="CW132" s="2575" t="s">
        <v>3790</v>
      </c>
      <c r="CX132" s="2573"/>
      <c r="CY132" s="2580"/>
      <c r="CZ132"/>
    </row>
    <row r="133" spans="1:104" ht="18.75" customHeight="1" thickBot="1" x14ac:dyDescent="0.5">
      <c r="A133" s="2597"/>
      <c r="B133" s="2221">
        <v>130</v>
      </c>
      <c r="C133" s="2221" t="s">
        <v>5808</v>
      </c>
      <c r="D133" s="805" t="s">
        <v>5480</v>
      </c>
      <c r="E133" s="736"/>
      <c r="F133" s="736"/>
      <c r="G133" s="736"/>
      <c r="H133" s="736"/>
      <c r="I133" s="736"/>
      <c r="J133" s="736"/>
      <c r="K133" s="736"/>
      <c r="L133" s="736"/>
      <c r="M133" s="736"/>
      <c r="N133" s="736"/>
      <c r="O133" s="736"/>
      <c r="P133" s="736"/>
      <c r="Q133" s="806"/>
      <c r="R133" s="736"/>
      <c r="S133" s="736"/>
      <c r="T133" s="736"/>
      <c r="U133" s="736"/>
      <c r="V133" s="736"/>
      <c r="W133" s="736"/>
      <c r="X133" s="736"/>
      <c r="Y133" s="736"/>
      <c r="Z133" s="736"/>
      <c r="AA133" s="736"/>
      <c r="AB133" s="736"/>
      <c r="AC133" s="736"/>
      <c r="AD133" s="736"/>
      <c r="AE133" s="736"/>
      <c r="AF133" s="736"/>
      <c r="AG133" s="736"/>
      <c r="AH133" s="736"/>
      <c r="AI133" s="736"/>
      <c r="AJ133" s="736"/>
      <c r="AK133" s="736"/>
      <c r="AL133" s="736"/>
      <c r="AM133" s="2599" t="s">
        <v>4623</v>
      </c>
      <c r="AN133" s="736"/>
      <c r="AO133" s="736"/>
      <c r="AP133" s="736"/>
      <c r="AQ133" s="736"/>
      <c r="AR133" s="736"/>
      <c r="AS133" s="736"/>
      <c r="AT133" s="736"/>
      <c r="AU133" s="806"/>
      <c r="AV133" s="736"/>
      <c r="AW133" s="736"/>
      <c r="AX133" s="736"/>
      <c r="AY133" s="736"/>
      <c r="AZ133" s="736"/>
      <c r="BA133" s="736"/>
      <c r="BB133" s="806" t="s">
        <v>5481</v>
      </c>
      <c r="BC133" s="736"/>
      <c r="BD133" s="806" t="s">
        <v>5482</v>
      </c>
      <c r="BE133" s="806">
        <v>1</v>
      </c>
      <c r="BF133" s="2599" t="s">
        <v>4615</v>
      </c>
      <c r="BG133" s="2599" t="s">
        <v>4616</v>
      </c>
      <c r="BH133" s="2599" t="s">
        <v>4617</v>
      </c>
      <c r="BI133" s="2599" t="s">
        <v>4618</v>
      </c>
      <c r="BJ133" s="2599" t="s">
        <v>4619</v>
      </c>
      <c r="BK133" s="2599" t="s">
        <v>4620</v>
      </c>
      <c r="BL133" s="2599" t="s">
        <v>4621</v>
      </c>
      <c r="BM133" s="2599"/>
      <c r="BN133" s="2599"/>
      <c r="BO133" s="2599"/>
      <c r="BP133" s="2599"/>
      <c r="BQ133" s="2599"/>
      <c r="BR133" s="2599"/>
      <c r="BS133" s="2599"/>
      <c r="BT133" s="806"/>
      <c r="BU133" s="806"/>
      <c r="BV133" s="806"/>
      <c r="BW133" s="806"/>
      <c r="BX133" s="806"/>
      <c r="BY133" s="806"/>
      <c r="BZ133" s="806"/>
      <c r="CA133" s="806"/>
      <c r="CB133" s="806"/>
      <c r="CC133" s="806"/>
      <c r="CD133" s="806"/>
      <c r="CE133" s="806"/>
      <c r="CF133" s="806"/>
      <c r="CG133" s="806"/>
      <c r="CH133" s="806"/>
      <c r="CI133" s="806"/>
      <c r="CJ133" s="806"/>
      <c r="CK133" s="806"/>
      <c r="CL133" s="806"/>
      <c r="CM133" s="806"/>
      <c r="CN133" s="806"/>
      <c r="CO133" s="806"/>
      <c r="CP133" s="806"/>
      <c r="CQ133" s="806"/>
      <c r="CR133" s="806"/>
      <c r="CS133" s="806"/>
      <c r="CT133" s="806"/>
      <c r="CU133" s="806"/>
      <c r="CV133" s="808" t="s">
        <v>5483</v>
      </c>
      <c r="CW133" s="806" t="s">
        <v>3790</v>
      </c>
      <c r="CX133" s="808"/>
      <c r="CY133" s="2598"/>
      <c r="CZ133"/>
    </row>
    <row r="134" spans="1:104" ht="15.75" x14ac:dyDescent="0.45">
      <c r="A134" s="2597"/>
      <c r="B134" s="2219">
        <v>131</v>
      </c>
      <c r="C134" s="2219" t="s">
        <v>5809</v>
      </c>
      <c r="D134" s="2600" t="s">
        <v>5484</v>
      </c>
      <c r="E134" s="736"/>
      <c r="F134" s="736"/>
      <c r="G134" s="736"/>
      <c r="H134" s="736"/>
      <c r="I134" s="736"/>
      <c r="J134" s="736"/>
      <c r="K134" s="736"/>
      <c r="L134" s="736"/>
      <c r="M134" s="736"/>
      <c r="N134" s="736"/>
      <c r="O134" s="736"/>
      <c r="P134" s="736"/>
      <c r="Q134" s="806"/>
      <c r="R134" s="736"/>
      <c r="S134" s="736"/>
      <c r="T134" s="736"/>
      <c r="U134" s="736"/>
      <c r="V134" s="736"/>
      <c r="W134" s="736"/>
      <c r="X134" s="736"/>
      <c r="Y134" s="736"/>
      <c r="Z134" s="736"/>
      <c r="AA134" s="736"/>
      <c r="AB134" s="736"/>
      <c r="AC134" s="736"/>
      <c r="AD134" s="736"/>
      <c r="AE134" s="736"/>
      <c r="AF134" s="736"/>
      <c r="AG134" s="736"/>
      <c r="AH134" s="736"/>
      <c r="AI134" s="736"/>
      <c r="AJ134" s="736"/>
      <c r="AK134" s="736"/>
      <c r="AL134" s="736"/>
      <c r="AM134" s="806"/>
      <c r="AN134" s="736"/>
      <c r="AO134" s="736"/>
      <c r="AP134" s="736"/>
      <c r="AQ134" s="736"/>
      <c r="AR134" s="806" t="s">
        <v>5485</v>
      </c>
      <c r="AS134" s="736"/>
      <c r="AT134" s="736"/>
      <c r="AU134" s="806"/>
      <c r="AV134" s="736"/>
      <c r="AW134" s="736"/>
      <c r="AX134" s="736"/>
      <c r="AY134" s="736"/>
      <c r="AZ134" s="736"/>
      <c r="BA134" s="736"/>
      <c r="BB134" s="806" t="s">
        <v>5486</v>
      </c>
      <c r="BC134" s="736"/>
      <c r="BD134" s="736"/>
      <c r="BE134" s="806"/>
      <c r="BF134" s="736" t="s">
        <v>5487</v>
      </c>
      <c r="BG134" s="736"/>
      <c r="BH134" s="736"/>
      <c r="BI134" s="806"/>
      <c r="BJ134" s="736"/>
      <c r="BK134" s="806"/>
      <c r="BL134" s="806"/>
      <c r="BM134" s="736"/>
      <c r="BN134" s="736"/>
      <c r="BO134" s="736"/>
      <c r="BP134" s="806"/>
      <c r="BQ134" s="736"/>
      <c r="BR134" s="806"/>
      <c r="BS134" s="806"/>
      <c r="BT134" s="806"/>
      <c r="BU134" s="806"/>
      <c r="BV134" s="806"/>
      <c r="BW134" s="806"/>
      <c r="BX134" s="806"/>
      <c r="BY134" s="806">
        <v>-1</v>
      </c>
      <c r="BZ134" s="806"/>
      <c r="CA134" s="806"/>
      <c r="CB134" s="806"/>
      <c r="CC134" s="806"/>
      <c r="CD134" s="806"/>
      <c r="CE134" s="806"/>
      <c r="CF134" s="806"/>
      <c r="CG134" s="806"/>
      <c r="CH134" s="806"/>
      <c r="CI134" s="806"/>
      <c r="CJ134" s="806"/>
      <c r="CK134" s="806"/>
      <c r="CL134" s="806"/>
      <c r="CM134" s="806"/>
      <c r="CN134" s="806"/>
      <c r="CO134" s="806"/>
      <c r="CP134" s="806"/>
      <c r="CQ134" s="806"/>
      <c r="CR134" s="806"/>
      <c r="CS134" s="806"/>
      <c r="CT134" s="806"/>
      <c r="CU134" s="806"/>
      <c r="CV134" s="808" t="s">
        <v>5488</v>
      </c>
      <c r="CW134" s="806" t="s">
        <v>3790</v>
      </c>
      <c r="CX134" s="808"/>
      <c r="CY134" s="2598"/>
      <c r="CZ134"/>
    </row>
    <row r="135" spans="1:104" ht="16.149999999999999" thickBot="1" x14ac:dyDescent="0.5">
      <c r="A135" s="2597"/>
      <c r="B135" s="2221">
        <v>132</v>
      </c>
      <c r="C135" s="2221" t="s">
        <v>5810</v>
      </c>
      <c r="D135" s="2212" t="s">
        <v>5489</v>
      </c>
      <c r="E135" s="737"/>
      <c r="F135" s="737"/>
      <c r="G135" s="737"/>
      <c r="H135" s="737"/>
      <c r="I135" s="737"/>
      <c r="J135" s="737"/>
      <c r="K135" s="737"/>
      <c r="L135" s="737"/>
      <c r="M135" s="737"/>
      <c r="N135" s="737"/>
      <c r="O135" s="737"/>
      <c r="P135" s="737"/>
      <c r="Q135" s="738"/>
      <c r="R135" s="737"/>
      <c r="S135" s="737"/>
      <c r="T135" s="737"/>
      <c r="U135" s="737"/>
      <c r="V135" s="737"/>
      <c r="W135" s="737"/>
      <c r="X135" s="737"/>
      <c r="Y135" s="737"/>
      <c r="Z135" s="737"/>
      <c r="AA135" s="737"/>
      <c r="AB135" s="738"/>
      <c r="AC135" s="738"/>
      <c r="AD135" s="737"/>
      <c r="AE135" s="737"/>
      <c r="AF135" s="737"/>
      <c r="AG135" s="737"/>
      <c r="AH135" s="737"/>
      <c r="AI135" s="737"/>
      <c r="AJ135" s="737"/>
      <c r="AK135" s="737"/>
      <c r="AL135" s="737"/>
      <c r="AM135" s="738"/>
      <c r="AN135" s="737"/>
      <c r="AO135" s="737"/>
      <c r="AP135" s="737"/>
      <c r="AQ135" s="737"/>
      <c r="AR135" s="737"/>
      <c r="AS135" s="737"/>
      <c r="AT135" s="737"/>
      <c r="AU135" s="737"/>
      <c r="AV135" s="737"/>
      <c r="AW135" s="737"/>
      <c r="AX135" s="737"/>
      <c r="AY135" s="737"/>
      <c r="AZ135" s="738"/>
      <c r="BA135" s="737"/>
      <c r="BB135" s="738" t="s">
        <v>5490</v>
      </c>
      <c r="BC135" s="737"/>
      <c r="BD135" s="737"/>
      <c r="BE135" s="738" t="s">
        <v>5491</v>
      </c>
      <c r="BF135" s="737"/>
      <c r="BG135" s="737"/>
      <c r="BH135" s="738"/>
      <c r="BI135" s="738"/>
      <c r="BJ135" s="737"/>
      <c r="BK135" s="738"/>
      <c r="BL135" s="738"/>
      <c r="BM135" s="737"/>
      <c r="BN135" s="737"/>
      <c r="BO135" s="738"/>
      <c r="BP135" s="738"/>
      <c r="BQ135" s="737"/>
      <c r="BR135" s="738"/>
      <c r="BS135" s="738"/>
      <c r="BT135" s="738"/>
      <c r="BU135" s="738"/>
      <c r="BV135" s="738"/>
      <c r="BW135" s="738"/>
      <c r="BX135" s="738"/>
      <c r="BY135" s="738">
        <v>1</v>
      </c>
      <c r="BZ135" s="738"/>
      <c r="CA135" s="738"/>
      <c r="CB135" s="738"/>
      <c r="CC135" s="738"/>
      <c r="CD135" s="738"/>
      <c r="CE135" s="738"/>
      <c r="CF135" s="738"/>
      <c r="CG135" s="738"/>
      <c r="CH135" s="738"/>
      <c r="CI135" s="738"/>
      <c r="CJ135" s="738"/>
      <c r="CK135" s="738"/>
      <c r="CL135" s="738"/>
      <c r="CM135" s="738"/>
      <c r="CN135" s="738"/>
      <c r="CO135" s="738"/>
      <c r="CP135" s="738"/>
      <c r="CQ135" s="738"/>
      <c r="CR135" s="738"/>
      <c r="CS135" s="738"/>
      <c r="CT135" s="738"/>
      <c r="CU135" s="738"/>
      <c r="CV135" s="813" t="s">
        <v>5492</v>
      </c>
      <c r="CW135" s="738" t="s">
        <v>3790</v>
      </c>
      <c r="CX135" s="813"/>
      <c r="CY135" s="2601"/>
      <c r="CZ135"/>
    </row>
    <row r="136" spans="1:104" ht="15.75" x14ac:dyDescent="0.45">
      <c r="A136" s="2597"/>
      <c r="B136" s="2219">
        <v>133</v>
      </c>
      <c r="C136" s="2219" t="s">
        <v>5811</v>
      </c>
      <c r="D136" s="816" t="s">
        <v>5494</v>
      </c>
      <c r="E136" s="739"/>
      <c r="F136" s="739"/>
      <c r="G136" s="739"/>
      <c r="H136" s="739"/>
      <c r="I136" s="739"/>
      <c r="J136" s="739"/>
      <c r="K136" s="739"/>
      <c r="L136" s="739"/>
      <c r="M136" s="739"/>
      <c r="N136" s="739"/>
      <c r="O136" s="739"/>
      <c r="P136" s="739"/>
      <c r="Q136" s="817"/>
      <c r="R136" s="739"/>
      <c r="S136" s="739"/>
      <c r="T136" s="739"/>
      <c r="U136" s="739"/>
      <c r="V136" s="739"/>
      <c r="W136" s="739"/>
      <c r="X136" s="739"/>
      <c r="Y136" s="739"/>
      <c r="Z136" s="739"/>
      <c r="AA136" s="739"/>
      <c r="AB136" s="739"/>
      <c r="AC136" s="739"/>
      <c r="AD136" s="739"/>
      <c r="AE136" s="739"/>
      <c r="AF136" s="739"/>
      <c r="AG136" s="739"/>
      <c r="AH136" s="739"/>
      <c r="AI136" s="739"/>
      <c r="AJ136" s="739"/>
      <c r="AK136" s="739"/>
      <c r="AL136" s="739"/>
      <c r="AM136" s="739"/>
      <c r="AN136" s="739"/>
      <c r="AO136" s="739"/>
      <c r="AP136" s="739"/>
      <c r="AQ136" s="739"/>
      <c r="AR136" s="739"/>
      <c r="AS136" s="739"/>
      <c r="AT136" s="739"/>
      <c r="AU136" s="739"/>
      <c r="AV136" s="739"/>
      <c r="AW136" s="739"/>
      <c r="AX136" s="739"/>
      <c r="AY136" s="739"/>
      <c r="AZ136" s="739"/>
      <c r="BA136" s="739"/>
      <c r="BB136" s="739">
        <v>1</v>
      </c>
      <c r="BC136" s="739"/>
      <c r="BD136" s="739"/>
      <c r="BE136" s="817"/>
      <c r="BF136" s="817"/>
      <c r="BG136" s="817"/>
      <c r="BH136" s="817"/>
      <c r="BI136" s="817"/>
      <c r="BJ136" s="817"/>
      <c r="BK136" s="817"/>
      <c r="BL136" s="817"/>
      <c r="BM136" s="817"/>
      <c r="BN136" s="817"/>
      <c r="BO136" s="817"/>
      <c r="BP136" s="817"/>
      <c r="BQ136" s="817"/>
      <c r="BR136" s="817"/>
      <c r="BS136" s="817"/>
      <c r="BT136" s="817"/>
      <c r="BU136" s="817"/>
      <c r="BV136" s="817"/>
      <c r="BW136" s="817"/>
      <c r="BX136" s="817"/>
      <c r="BY136" s="817"/>
      <c r="BZ136" s="817"/>
      <c r="CA136" s="817"/>
      <c r="CB136" s="817"/>
      <c r="CC136" s="817"/>
      <c r="CD136" s="817"/>
      <c r="CE136" s="817"/>
      <c r="CF136" s="817"/>
      <c r="CG136" s="817"/>
      <c r="CH136" s="817"/>
      <c r="CI136" s="817"/>
      <c r="CJ136" s="817">
        <v>-1</v>
      </c>
      <c r="CK136" s="817"/>
      <c r="CL136" s="817"/>
      <c r="CM136" s="817"/>
      <c r="CN136" s="817"/>
      <c r="CO136" s="817"/>
      <c r="CP136" s="817"/>
      <c r="CQ136" s="817"/>
      <c r="CR136" s="817"/>
      <c r="CS136" s="817"/>
      <c r="CT136" s="817"/>
      <c r="CU136" s="817"/>
      <c r="CV136" s="816" t="s">
        <v>5495</v>
      </c>
      <c r="CW136" s="739" t="s">
        <v>3790</v>
      </c>
      <c r="CX136" s="816"/>
      <c r="CY136" s="2602"/>
      <c r="CZ136"/>
    </row>
    <row r="137" spans="1:104" s="2829" customFormat="1" ht="15.75" x14ac:dyDescent="0.45">
      <c r="B137" s="2830">
        <v>134</v>
      </c>
      <c r="C137" s="2830" t="s">
        <v>5851</v>
      </c>
      <c r="D137" s="2831" t="s">
        <v>5852</v>
      </c>
      <c r="E137" s="2832"/>
      <c r="F137" s="2832"/>
      <c r="G137" s="2832"/>
      <c r="H137" s="2832"/>
      <c r="I137" s="2832"/>
      <c r="J137" s="2832"/>
      <c r="K137" s="2832"/>
      <c r="L137" s="2832"/>
      <c r="M137" s="2832"/>
      <c r="N137" s="2832"/>
      <c r="O137" s="2832"/>
      <c r="P137" s="2832"/>
      <c r="Q137" s="2833"/>
      <c r="R137" s="2832"/>
      <c r="S137" s="2832"/>
      <c r="T137" s="2832"/>
      <c r="U137" s="2832"/>
      <c r="V137" s="2832"/>
      <c r="W137" s="2832"/>
      <c r="X137" s="2832"/>
      <c r="Y137" s="2832"/>
      <c r="Z137" s="2832"/>
      <c r="AA137" s="2832"/>
      <c r="AB137" s="2833" t="s">
        <v>1658</v>
      </c>
      <c r="AC137" s="2832"/>
      <c r="AD137" s="2832"/>
      <c r="AE137" s="2832"/>
      <c r="AF137" s="2832"/>
      <c r="AG137" s="2832"/>
      <c r="AH137" s="2832"/>
      <c r="AI137" s="2832"/>
      <c r="AJ137" s="2832"/>
      <c r="AK137" s="2832"/>
      <c r="AL137" s="2832"/>
      <c r="AM137" s="2832" t="s">
        <v>1659</v>
      </c>
      <c r="AN137" s="2832"/>
      <c r="AO137" s="2832"/>
      <c r="AP137" s="2832"/>
      <c r="AQ137" s="2832"/>
      <c r="AR137" s="2833" t="s">
        <v>5874</v>
      </c>
      <c r="AS137" s="2833" t="s">
        <v>5875</v>
      </c>
      <c r="AT137" s="2832"/>
      <c r="AU137" s="2832" t="s">
        <v>5887</v>
      </c>
      <c r="AV137" s="2832" t="s">
        <v>2513</v>
      </c>
      <c r="AW137" s="2832" t="s">
        <v>3681</v>
      </c>
      <c r="AX137" s="2832" t="s">
        <v>3682</v>
      </c>
      <c r="AY137" s="2832" t="s">
        <v>3683</v>
      </c>
      <c r="AZ137" s="2832" t="s">
        <v>3684</v>
      </c>
      <c r="BA137" s="2832"/>
      <c r="BB137" s="2832"/>
      <c r="BC137" s="2832" t="s">
        <v>5439</v>
      </c>
      <c r="BD137" s="2832"/>
      <c r="BE137" s="2833"/>
      <c r="BF137" s="2833"/>
      <c r="BG137" s="2833"/>
      <c r="BH137" s="2833"/>
      <c r="BI137" s="2833"/>
      <c r="BJ137" s="2833"/>
      <c r="BK137" s="2833"/>
      <c r="BL137" s="2833"/>
      <c r="BM137" s="2833"/>
      <c r="BN137" s="2833"/>
      <c r="BO137" s="2833"/>
      <c r="BP137" s="2833"/>
      <c r="BQ137" s="2833"/>
      <c r="BR137" s="2833"/>
      <c r="BS137" s="2833"/>
      <c r="BT137" s="2833"/>
      <c r="BU137" s="2833"/>
      <c r="BV137" s="2833"/>
      <c r="BW137" s="2833"/>
      <c r="BX137" s="2833"/>
      <c r="BY137" s="2833"/>
      <c r="BZ137" s="2833"/>
      <c r="CA137" s="2833"/>
      <c r="CB137" s="2833"/>
      <c r="CC137" s="2833"/>
      <c r="CD137" s="2833"/>
      <c r="CE137" s="2833"/>
      <c r="CF137" s="2833"/>
      <c r="CG137" s="2833"/>
      <c r="CH137" s="2833"/>
      <c r="CI137" s="2833"/>
      <c r="CJ137" s="2833"/>
      <c r="CK137" s="2833"/>
      <c r="CL137" s="2833"/>
      <c r="CM137" s="2833"/>
      <c r="CN137" s="2833"/>
      <c r="CO137" s="2833"/>
      <c r="CP137" s="2833"/>
      <c r="CQ137" s="2833"/>
      <c r="CR137" s="2833"/>
      <c r="CS137" s="2833"/>
      <c r="CT137" s="2833"/>
      <c r="CU137" s="2833">
        <v>1</v>
      </c>
      <c r="CV137" s="2854" t="s">
        <v>5885</v>
      </c>
      <c r="CW137" s="2832"/>
      <c r="CX137" s="2831"/>
      <c r="CY137" s="2831"/>
    </row>
    <row r="138" spans="1:104" s="2829" customFormat="1" ht="15.75" x14ac:dyDescent="0.45">
      <c r="B138" s="2219">
        <v>135</v>
      </c>
      <c r="C138" s="2219" t="s">
        <v>5853</v>
      </c>
      <c r="D138" s="2831" t="s">
        <v>5854</v>
      </c>
      <c r="E138" s="2832"/>
      <c r="F138" s="2832"/>
      <c r="G138" s="2832"/>
      <c r="H138" s="2832"/>
      <c r="I138" s="2832" t="s">
        <v>1662</v>
      </c>
      <c r="J138" s="2832"/>
      <c r="K138" s="2832"/>
      <c r="L138" s="2832"/>
      <c r="M138" s="2832"/>
      <c r="N138" s="2832"/>
      <c r="O138" s="2832" t="s">
        <v>1663</v>
      </c>
      <c r="P138" s="2832"/>
      <c r="Q138" s="2833"/>
      <c r="R138" s="2832"/>
      <c r="S138" s="2832"/>
      <c r="T138" s="2832"/>
      <c r="U138" s="2832"/>
      <c r="V138" s="2832"/>
      <c r="W138" s="2832"/>
      <c r="X138" s="2832"/>
      <c r="Y138" s="2832"/>
      <c r="Z138" s="2832"/>
      <c r="AA138" s="2832"/>
      <c r="AB138" s="2833" t="s">
        <v>2184</v>
      </c>
      <c r="AC138" s="2832"/>
      <c r="AD138" s="2832"/>
      <c r="AE138" s="2832"/>
      <c r="AF138" s="2832"/>
      <c r="AG138" s="2832"/>
      <c r="AH138" s="2832"/>
      <c r="AI138" s="2832"/>
      <c r="AJ138" s="2832"/>
      <c r="AK138" s="2832" t="s">
        <v>1664</v>
      </c>
      <c r="AL138" s="2832"/>
      <c r="AM138" s="2832"/>
      <c r="AN138" s="2832"/>
      <c r="AO138" s="2832"/>
      <c r="AP138" s="2832" t="s">
        <v>1665</v>
      </c>
      <c r="AQ138" s="2832"/>
      <c r="AR138" s="2832"/>
      <c r="AS138" s="2832"/>
      <c r="AT138" s="2832"/>
      <c r="AU138" s="2832" t="s">
        <v>2007</v>
      </c>
      <c r="AV138" s="2832" t="s">
        <v>2514</v>
      </c>
      <c r="AW138" s="2832" t="s">
        <v>3685</v>
      </c>
      <c r="AX138" s="2832" t="s">
        <v>3686</v>
      </c>
      <c r="AY138" s="2832" t="s">
        <v>3687</v>
      </c>
      <c r="AZ138" s="2832" t="s">
        <v>3688</v>
      </c>
      <c r="BA138" s="2832"/>
      <c r="BB138" s="2832"/>
      <c r="BC138" s="2832" t="s">
        <v>5423</v>
      </c>
      <c r="BD138" s="2832"/>
      <c r="BE138" s="2833"/>
      <c r="BF138" s="2833"/>
      <c r="BG138" s="2833"/>
      <c r="BH138" s="2833"/>
      <c r="BI138" s="2833"/>
      <c r="BJ138" s="2833"/>
      <c r="BK138" s="2833"/>
      <c r="BL138" s="2833"/>
      <c r="BM138" s="2833"/>
      <c r="BN138" s="2833"/>
      <c r="BO138" s="2833"/>
      <c r="BP138" s="2833"/>
      <c r="BQ138" s="2833"/>
      <c r="BR138" s="2833"/>
      <c r="BS138" s="2833"/>
      <c r="BT138" s="2833"/>
      <c r="BU138" s="2833"/>
      <c r="BV138" s="2833"/>
      <c r="BW138" s="2833"/>
      <c r="BX138" s="2833"/>
      <c r="BY138" s="2833"/>
      <c r="BZ138" s="2833"/>
      <c r="CA138" s="2833"/>
      <c r="CB138" s="2833"/>
      <c r="CC138" s="2833"/>
      <c r="CD138" s="2833"/>
      <c r="CE138" s="2833"/>
      <c r="CF138" s="2833"/>
      <c r="CG138" s="2833"/>
      <c r="CH138" s="2833"/>
      <c r="CI138" s="2833"/>
      <c r="CJ138" s="2833"/>
      <c r="CK138" s="2833"/>
      <c r="CL138" s="2833"/>
      <c r="CM138" s="2833"/>
      <c r="CN138" s="2833"/>
      <c r="CO138" s="2833"/>
      <c r="CP138" s="2833"/>
      <c r="CQ138" s="2833"/>
      <c r="CR138" s="2833"/>
      <c r="CS138" s="2833"/>
      <c r="CT138" s="2833"/>
      <c r="CU138" s="2833">
        <v>-1</v>
      </c>
      <c r="CV138" s="2854" t="s">
        <v>5866</v>
      </c>
      <c r="CW138" s="2832"/>
      <c r="CX138" s="2831"/>
      <c r="CY138" s="2831"/>
    </row>
    <row r="139" spans="1:104" s="2883" customFormat="1" ht="15.75" x14ac:dyDescent="0.45">
      <c r="B139" s="2219">
        <v>136</v>
      </c>
      <c r="C139" s="2219" t="s">
        <v>5888</v>
      </c>
      <c r="D139" s="2831" t="s">
        <v>5889</v>
      </c>
      <c r="E139" s="2832"/>
      <c r="F139" s="2832"/>
      <c r="G139" s="2832"/>
      <c r="H139" s="2832"/>
      <c r="I139" s="2832" t="s">
        <v>1662</v>
      </c>
      <c r="J139" s="2832"/>
      <c r="K139" s="2832"/>
      <c r="L139" s="2832"/>
      <c r="M139" s="2832"/>
      <c r="N139" s="2832"/>
      <c r="O139" s="2832"/>
      <c r="P139" s="2832" t="s">
        <v>1663</v>
      </c>
      <c r="Q139" s="2833"/>
      <c r="R139" s="2832"/>
      <c r="S139" s="2832"/>
      <c r="T139" s="2832"/>
      <c r="U139" s="2832"/>
      <c r="V139" s="2832"/>
      <c r="W139" s="2832"/>
      <c r="X139" s="2832"/>
      <c r="Y139" s="2832"/>
      <c r="Z139" s="2832"/>
      <c r="AA139" s="2832"/>
      <c r="AB139" s="2833" t="s">
        <v>2184</v>
      </c>
      <c r="AC139" s="2832"/>
      <c r="AD139" s="2832"/>
      <c r="AE139" s="2832"/>
      <c r="AF139" s="2832"/>
      <c r="AG139" s="2832"/>
      <c r="AH139" s="2832"/>
      <c r="AI139" s="2832"/>
      <c r="AJ139" s="2832"/>
      <c r="AK139" s="2832" t="s">
        <v>1664</v>
      </c>
      <c r="AL139" s="2832"/>
      <c r="AM139" s="2832"/>
      <c r="AN139" s="2832"/>
      <c r="AO139" s="2832"/>
      <c r="AP139" s="2832" t="s">
        <v>1665</v>
      </c>
      <c r="AQ139" s="2832"/>
      <c r="AR139" s="2832"/>
      <c r="AS139" s="2832"/>
      <c r="AT139" s="2832"/>
      <c r="AU139" s="2832" t="s">
        <v>2007</v>
      </c>
      <c r="AV139" s="2832" t="s">
        <v>2514</v>
      </c>
      <c r="AW139" s="2832" t="s">
        <v>3685</v>
      </c>
      <c r="AX139" s="2832" t="s">
        <v>3686</v>
      </c>
      <c r="AY139" s="2832" t="s">
        <v>3687</v>
      </c>
      <c r="AZ139" s="2832" t="s">
        <v>3688</v>
      </c>
      <c r="BA139" s="2832"/>
      <c r="BB139" s="2832"/>
      <c r="BC139" s="2832" t="s">
        <v>5423</v>
      </c>
      <c r="BD139" s="2832"/>
      <c r="BE139" s="2833"/>
      <c r="BF139" s="2833"/>
      <c r="BG139" s="2833"/>
      <c r="BH139" s="2833"/>
      <c r="BI139" s="2833"/>
      <c r="BJ139" s="2833"/>
      <c r="BK139" s="2833"/>
      <c r="BL139" s="2833"/>
      <c r="BM139" s="2833"/>
      <c r="BN139" s="2833"/>
      <c r="BO139" s="2833"/>
      <c r="BP139" s="2833"/>
      <c r="BQ139" s="2833"/>
      <c r="BR139" s="2833"/>
      <c r="BS139" s="2833"/>
      <c r="BT139" s="2833"/>
      <c r="BU139" s="2833"/>
      <c r="BV139" s="2833"/>
      <c r="BW139" s="2833"/>
      <c r="BX139" s="2833"/>
      <c r="BY139" s="2833"/>
      <c r="BZ139" s="2833"/>
      <c r="CA139" s="2833"/>
      <c r="CB139" s="2833"/>
      <c r="CC139" s="2833"/>
      <c r="CD139" s="2833"/>
      <c r="CE139" s="2833"/>
      <c r="CF139" s="2833"/>
      <c r="CG139" s="2833"/>
      <c r="CH139" s="2833"/>
      <c r="CI139" s="2833"/>
      <c r="CJ139" s="2833"/>
      <c r="CK139" s="2833"/>
      <c r="CL139" s="2833"/>
      <c r="CM139" s="2833"/>
      <c r="CN139" s="2833"/>
      <c r="CO139" s="2833"/>
      <c r="CP139" s="2833"/>
      <c r="CQ139" s="2833"/>
      <c r="CR139" s="2833"/>
      <c r="CS139" s="2833"/>
      <c r="CT139" s="2833"/>
      <c r="CU139" s="2833">
        <v>-1</v>
      </c>
      <c r="CV139" s="2854">
        <v>0</v>
      </c>
      <c r="CW139" s="2885"/>
      <c r="CX139" s="2884"/>
      <c r="CY139" s="2884"/>
    </row>
    <row r="140" spans="1:104" s="2799" customFormat="1" ht="14.65" thickBot="1" x14ac:dyDescent="0.5">
      <c r="B140" s="285"/>
      <c r="C140" s="285"/>
      <c r="D140" s="2800"/>
      <c r="E140" s="2801"/>
      <c r="F140" s="2801"/>
      <c r="G140" s="2801"/>
      <c r="H140" s="2801"/>
      <c r="I140" s="2801"/>
      <c r="J140" s="2801"/>
      <c r="K140" s="2801"/>
      <c r="L140" s="2801"/>
      <c r="M140" s="2801"/>
      <c r="N140" s="2801"/>
      <c r="O140" s="2801"/>
      <c r="P140" s="2801"/>
      <c r="Q140" s="2802"/>
      <c r="R140" s="2801"/>
      <c r="S140" s="2801"/>
      <c r="T140" s="2801"/>
      <c r="U140" s="2801"/>
      <c r="V140" s="2801"/>
      <c r="W140" s="2801"/>
      <c r="X140" s="2801"/>
      <c r="Y140" s="2801"/>
      <c r="Z140" s="2801"/>
      <c r="AA140" s="2801"/>
      <c r="AB140" s="2801"/>
      <c r="AC140" s="2801"/>
      <c r="AD140" s="2801"/>
      <c r="AE140" s="2801"/>
      <c r="AF140" s="2801"/>
      <c r="AG140" s="2801"/>
      <c r="AH140" s="2801"/>
      <c r="AI140" s="2801"/>
      <c r="AJ140" s="2801"/>
      <c r="AK140" s="2801"/>
      <c r="AL140" s="2801"/>
      <c r="AM140" s="2801"/>
      <c r="AN140" s="2801"/>
      <c r="AO140" s="2801"/>
      <c r="AP140" s="2801"/>
      <c r="AQ140" s="2801"/>
      <c r="AR140" s="2801"/>
      <c r="AS140" s="2801"/>
      <c r="AT140" s="2801"/>
      <c r="AU140" s="2801"/>
      <c r="AV140" s="2801"/>
      <c r="AW140" s="2801"/>
      <c r="AX140" s="2801"/>
      <c r="AY140" s="2801"/>
      <c r="AZ140" s="2801"/>
      <c r="BA140" s="2801"/>
      <c r="BB140" s="2801"/>
      <c r="BC140" s="2801"/>
      <c r="BD140" s="2801"/>
      <c r="BE140" s="2802"/>
      <c r="BF140" s="2802"/>
      <c r="BG140" s="2802"/>
      <c r="BH140" s="2802"/>
      <c r="BI140" s="2802"/>
      <c r="BJ140" s="2802"/>
      <c r="BK140" s="2802"/>
      <c r="BL140" s="2802"/>
      <c r="BM140" s="2802"/>
      <c r="BN140" s="2802"/>
      <c r="BO140" s="2802"/>
      <c r="BP140" s="2802"/>
      <c r="BQ140" s="2802"/>
      <c r="BR140" s="2802"/>
      <c r="BS140" s="2802"/>
      <c r="BT140" s="2802"/>
      <c r="BU140" s="2802"/>
      <c r="BV140" s="2802"/>
      <c r="BW140" s="2802"/>
      <c r="BX140" s="2802"/>
      <c r="BY140" s="2802"/>
      <c r="BZ140" s="2802"/>
      <c r="CA140" s="2802"/>
      <c r="CB140" s="2802"/>
      <c r="CC140" s="2802"/>
      <c r="CD140" s="2802"/>
      <c r="CE140" s="2802"/>
      <c r="CF140" s="2802"/>
      <c r="CG140" s="2802"/>
      <c r="CH140" s="2802"/>
      <c r="CI140" s="2802"/>
      <c r="CJ140" s="2802"/>
      <c r="CK140" s="2802"/>
      <c r="CL140" s="2802"/>
      <c r="CM140" s="2802"/>
      <c r="CN140" s="2802"/>
      <c r="CO140" s="2802"/>
      <c r="CP140" s="2802"/>
      <c r="CQ140" s="2802"/>
      <c r="CR140" s="2802"/>
      <c r="CS140" s="2802"/>
      <c r="CT140" s="2802"/>
      <c r="CU140" s="2802"/>
      <c r="CV140" s="2800"/>
      <c r="CW140" s="2801"/>
      <c r="CX140" s="2800"/>
      <c r="CY140" s="2800"/>
    </row>
    <row r="141" spans="1:104" ht="14.65" thickBot="1" x14ac:dyDescent="0.5">
      <c r="D141" s="55" t="s">
        <v>6</v>
      </c>
      <c r="E141" s="72"/>
      <c r="F141" s="72"/>
      <c r="G141" s="72"/>
      <c r="H141" s="72"/>
      <c r="I141" s="72"/>
      <c r="J141" s="72"/>
      <c r="K141" s="72"/>
      <c r="L141" s="72"/>
      <c r="M141" s="72"/>
      <c r="N141" s="72"/>
      <c r="O141" s="72"/>
      <c r="P141" s="72"/>
      <c r="Q141" s="72"/>
      <c r="R141" s="72"/>
      <c r="S141" s="72"/>
      <c r="T141" s="72"/>
      <c r="U141" s="72"/>
      <c r="V141" s="72"/>
      <c r="W141" s="72"/>
      <c r="X141" s="72"/>
      <c r="Y141" s="72"/>
      <c r="Z141" s="72"/>
      <c r="AA141" s="72"/>
      <c r="AB141" s="72"/>
      <c r="AC141" s="72"/>
      <c r="AD141" s="72"/>
      <c r="AE141" s="72"/>
      <c r="AF141" s="72"/>
      <c r="AG141" s="72"/>
      <c r="AH141" s="72"/>
      <c r="AI141" s="72"/>
      <c r="AJ141" s="72"/>
      <c r="AK141" s="72"/>
      <c r="AL141" s="72"/>
      <c r="AM141" s="72"/>
      <c r="AN141" s="72"/>
      <c r="AO141" s="72"/>
      <c r="AP141" s="72"/>
      <c r="AQ141" s="72"/>
      <c r="AR141" s="72"/>
      <c r="AS141" s="72"/>
      <c r="AT141" s="72"/>
      <c r="AU141" s="72"/>
      <c r="AV141" s="72"/>
      <c r="AW141" s="72"/>
      <c r="AX141" s="72"/>
      <c r="AY141" s="72"/>
      <c r="AZ141" s="72"/>
      <c r="BA141" s="72"/>
      <c r="BB141" s="72"/>
      <c r="BC141" s="72"/>
      <c r="BD141" s="72"/>
      <c r="BE141" s="72"/>
      <c r="BF141" s="72"/>
      <c r="BG141" s="72"/>
      <c r="BH141" s="72"/>
      <c r="BI141" s="72"/>
      <c r="BJ141" s="72"/>
      <c r="BK141" s="72"/>
      <c r="BL141" s="72"/>
      <c r="BM141" s="72"/>
      <c r="BN141" s="72"/>
      <c r="BO141" s="72"/>
      <c r="BP141" s="72"/>
      <c r="BQ141" s="72"/>
      <c r="BR141" s="72"/>
      <c r="BS141" s="72"/>
      <c r="BT141" s="72"/>
      <c r="BU141" s="72"/>
      <c r="BV141" s="72"/>
      <c r="BW141" s="72"/>
      <c r="BX141" s="72"/>
      <c r="BY141" s="72"/>
      <c r="BZ141" s="72"/>
      <c r="CA141" s="72"/>
      <c r="CB141" s="72"/>
      <c r="CC141" s="72"/>
      <c r="CD141" s="72"/>
      <c r="CE141" s="72"/>
      <c r="CF141" s="72"/>
      <c r="CG141" s="72"/>
      <c r="CH141" s="72"/>
      <c r="CI141" s="72"/>
      <c r="CJ141" s="72"/>
      <c r="CK141" s="72"/>
      <c r="CL141" s="72"/>
      <c r="CM141" s="72"/>
      <c r="CN141" s="72"/>
      <c r="CO141" s="72"/>
      <c r="CP141" s="72"/>
      <c r="CQ141" s="72"/>
      <c r="CR141" s="72"/>
      <c r="CS141" s="72"/>
      <c r="CT141" s="72"/>
      <c r="CU141" s="72"/>
      <c r="CV141" s="2015"/>
    </row>
    <row r="142" spans="1:104" ht="18.75" x14ac:dyDescent="0.45">
      <c r="D142" s="278" t="s">
        <v>148</v>
      </c>
      <c r="E142" s="279">
        <v>1</v>
      </c>
      <c r="F142" s="279">
        <v>1</v>
      </c>
      <c r="G142" s="279">
        <v>1</v>
      </c>
      <c r="H142" s="279">
        <v>1</v>
      </c>
      <c r="I142" s="279">
        <v>1</v>
      </c>
      <c r="J142" s="279">
        <v>1</v>
      </c>
      <c r="K142" s="279">
        <v>1</v>
      </c>
      <c r="L142" s="279">
        <v>1</v>
      </c>
      <c r="M142" s="279">
        <v>1</v>
      </c>
      <c r="N142" s="279">
        <v>1</v>
      </c>
      <c r="O142" s="279">
        <v>1</v>
      </c>
      <c r="P142" s="279">
        <v>1</v>
      </c>
      <c r="Q142" s="279">
        <v>1</v>
      </c>
      <c r="R142" s="279">
        <v>1</v>
      </c>
      <c r="S142" s="279">
        <v>1</v>
      </c>
      <c r="T142" s="279">
        <v>1</v>
      </c>
      <c r="U142" s="279">
        <v>1</v>
      </c>
      <c r="V142" s="279">
        <v>1</v>
      </c>
      <c r="W142" s="279">
        <v>1</v>
      </c>
      <c r="X142" s="279">
        <v>1</v>
      </c>
      <c r="Y142" s="2553">
        <v>1</v>
      </c>
      <c r="Z142" s="2553">
        <v>1</v>
      </c>
      <c r="AA142" s="2553">
        <v>1</v>
      </c>
      <c r="AB142" s="279"/>
      <c r="AC142" s="280" t="s">
        <v>4026</v>
      </c>
      <c r="AD142" s="280" t="s">
        <v>1628</v>
      </c>
      <c r="AE142" s="280" t="s">
        <v>2483</v>
      </c>
      <c r="AF142" s="663" t="s">
        <v>3755</v>
      </c>
      <c r="AG142" s="663" t="s">
        <v>3755</v>
      </c>
      <c r="AH142" s="663" t="s">
        <v>3756</v>
      </c>
      <c r="AI142" s="280" t="s">
        <v>1629</v>
      </c>
      <c r="AJ142" s="279"/>
      <c r="AK142" s="279"/>
      <c r="AL142" s="279"/>
      <c r="AM142" s="279"/>
      <c r="AN142" s="279"/>
      <c r="AO142" s="279"/>
      <c r="AP142" s="279"/>
      <c r="AQ142" s="279"/>
      <c r="AR142" s="279">
        <v>-1</v>
      </c>
      <c r="AS142" s="279">
        <v>1</v>
      </c>
      <c r="AT142" s="279">
        <v>1</v>
      </c>
      <c r="AU142" s="279"/>
      <c r="AV142" s="279"/>
      <c r="AW142" s="279"/>
      <c r="AX142" s="279"/>
      <c r="AY142" s="279"/>
      <c r="AZ142" s="279"/>
      <c r="BA142" s="279"/>
      <c r="BB142" s="2571" t="s">
        <v>1149</v>
      </c>
      <c r="BC142" s="2553"/>
      <c r="BD142" s="2571" t="s">
        <v>1334</v>
      </c>
      <c r="BE142" s="279" t="s">
        <v>1351</v>
      </c>
      <c r="BF142" s="279"/>
      <c r="BG142" s="279"/>
      <c r="BH142" s="279"/>
      <c r="BI142" s="279"/>
      <c r="BJ142" s="279"/>
      <c r="BK142" s="279"/>
      <c r="BL142" s="279"/>
      <c r="BM142" s="279"/>
      <c r="BN142" s="279"/>
      <c r="BO142" s="279"/>
      <c r="BP142" s="279"/>
      <c r="BQ142" s="279"/>
      <c r="BR142" s="279"/>
      <c r="BS142" s="279"/>
      <c r="BT142" s="279"/>
      <c r="BU142" s="279"/>
      <c r="BV142" s="909"/>
      <c r="BW142" s="279"/>
      <c r="BX142" s="281" t="s">
        <v>1630</v>
      </c>
      <c r="BY142" s="2560" t="s">
        <v>5507</v>
      </c>
      <c r="BZ142" s="281"/>
      <c r="CA142" s="914"/>
      <c r="CB142" s="490"/>
      <c r="CC142" s="491" t="s">
        <v>3401</v>
      </c>
      <c r="CD142" s="491" t="s">
        <v>3401</v>
      </c>
      <c r="CE142" s="491" t="s">
        <v>1150</v>
      </c>
      <c r="CF142" s="490"/>
      <c r="CG142" s="491" t="s">
        <v>3757</v>
      </c>
      <c r="CH142" s="491" t="s">
        <v>3758</v>
      </c>
      <c r="CI142" s="491" t="s">
        <v>3402</v>
      </c>
      <c r="CJ142" s="2553" t="s">
        <v>1149</v>
      </c>
      <c r="CK142" s="469"/>
      <c r="CL142" s="469" t="s">
        <v>3223</v>
      </c>
      <c r="CM142" s="469" t="s">
        <v>3223</v>
      </c>
      <c r="CN142" s="469" t="s">
        <v>3224</v>
      </c>
      <c r="CO142" s="469"/>
      <c r="CP142" s="491" t="s">
        <v>3761</v>
      </c>
      <c r="CQ142" s="491" t="s">
        <v>3759</v>
      </c>
      <c r="CR142" s="491" t="s">
        <v>3225</v>
      </c>
      <c r="CS142" s="2571" t="s">
        <v>5508</v>
      </c>
      <c r="CT142" s="2568"/>
      <c r="CU142" s="279">
        <v>1</v>
      </c>
      <c r="CV142" s="335"/>
    </row>
    <row r="143" spans="1:104" ht="18.75" x14ac:dyDescent="0.45">
      <c r="D143" s="254" t="s">
        <v>259</v>
      </c>
      <c r="E143" s="227" t="s">
        <v>1982</v>
      </c>
      <c r="F143" s="227" t="s">
        <v>1983</v>
      </c>
      <c r="G143" s="227" t="s">
        <v>1984</v>
      </c>
      <c r="H143" s="227" t="s">
        <v>1983</v>
      </c>
      <c r="I143" s="227" t="s">
        <v>1983</v>
      </c>
      <c r="J143" s="227" t="s">
        <v>1983</v>
      </c>
      <c r="K143" s="227" t="s">
        <v>1983</v>
      </c>
      <c r="L143" s="227" t="s">
        <v>1983</v>
      </c>
      <c r="M143" s="227" t="s">
        <v>1987</v>
      </c>
      <c r="N143" s="227" t="s">
        <v>2157</v>
      </c>
      <c r="O143" s="227" t="s">
        <v>1627</v>
      </c>
      <c r="P143" s="227" t="s">
        <v>1627</v>
      </c>
      <c r="Q143" s="227" t="s">
        <v>1627</v>
      </c>
      <c r="R143" s="227" t="s">
        <v>1627</v>
      </c>
      <c r="S143" s="227" t="s">
        <v>1627</v>
      </c>
      <c r="T143" s="227" t="s">
        <v>1627</v>
      </c>
      <c r="U143" s="227" t="s">
        <v>1627</v>
      </c>
      <c r="V143" s="227" t="s">
        <v>1627</v>
      </c>
      <c r="W143" s="227" t="s">
        <v>1627</v>
      </c>
      <c r="X143" s="227" t="s">
        <v>1627</v>
      </c>
      <c r="Y143" s="740" t="s">
        <v>1627</v>
      </c>
      <c r="Z143" s="740" t="s">
        <v>1627</v>
      </c>
      <c r="AA143" s="740" t="s">
        <v>1627</v>
      </c>
      <c r="AB143" s="227"/>
      <c r="AC143" s="740"/>
      <c r="AD143" s="277"/>
      <c r="AE143" s="277"/>
      <c r="AF143" s="660"/>
      <c r="AG143" s="660"/>
      <c r="AH143" s="660"/>
      <c r="AI143" s="277"/>
      <c r="AJ143" s="227"/>
      <c r="AK143" s="227"/>
      <c r="AL143" s="227"/>
      <c r="AM143" s="227"/>
      <c r="AN143" s="227"/>
      <c r="AO143" s="227"/>
      <c r="AP143" s="227"/>
      <c r="AQ143" s="227"/>
      <c r="AR143" s="227"/>
      <c r="AS143" s="227" t="s">
        <v>1981</v>
      </c>
      <c r="AT143" s="227"/>
      <c r="AU143" s="227">
        <v>1</v>
      </c>
      <c r="AV143" s="227"/>
      <c r="AW143" s="227"/>
      <c r="AX143" s="227"/>
      <c r="AY143" s="227"/>
      <c r="AZ143" s="227"/>
      <c r="BA143" s="227"/>
      <c r="BB143" s="740"/>
      <c r="BC143" s="740"/>
      <c r="BD143" s="740"/>
      <c r="BE143" s="227"/>
      <c r="BF143" s="227"/>
      <c r="BG143" s="227"/>
      <c r="BH143" s="227"/>
      <c r="BI143" s="227"/>
      <c r="BJ143" s="227"/>
      <c r="BK143" s="227"/>
      <c r="BL143" s="227"/>
      <c r="BM143" s="227"/>
      <c r="BN143" s="227"/>
      <c r="BO143" s="227"/>
      <c r="BP143" s="227"/>
      <c r="BQ143" s="227"/>
      <c r="BR143" s="227"/>
      <c r="BS143" s="227"/>
      <c r="BT143" s="227" t="s">
        <v>2512</v>
      </c>
      <c r="BU143" s="227"/>
      <c r="BV143" s="658"/>
      <c r="BW143" s="227"/>
      <c r="BX143" s="228"/>
      <c r="BY143" s="2561"/>
      <c r="BZ143" s="228"/>
      <c r="CA143" s="910"/>
      <c r="CB143" s="492" t="s">
        <v>3401</v>
      </c>
      <c r="CC143" s="493" t="s">
        <v>1981</v>
      </c>
      <c r="CD143" s="493"/>
      <c r="CE143" s="492"/>
      <c r="CF143" s="493"/>
      <c r="CG143" s="658"/>
      <c r="CH143" s="658"/>
      <c r="CI143" s="492"/>
      <c r="CJ143" s="2563"/>
      <c r="CK143" s="470" t="s">
        <v>3223</v>
      </c>
      <c r="CL143" s="470" t="s">
        <v>3226</v>
      </c>
      <c r="CM143" s="470"/>
      <c r="CN143" s="470"/>
      <c r="CO143" s="470"/>
      <c r="CP143" s="658"/>
      <c r="CQ143" s="658"/>
      <c r="CR143" s="658"/>
      <c r="CS143" s="661"/>
      <c r="CT143" s="661"/>
      <c r="CU143" s="227" t="s">
        <v>1627</v>
      </c>
      <c r="CV143" s="336"/>
    </row>
    <row r="144" spans="1:104" ht="18.75" x14ac:dyDescent="0.45">
      <c r="D144" s="254" t="s">
        <v>255</v>
      </c>
      <c r="E144" s="227"/>
      <c r="F144" s="227"/>
      <c r="G144" s="227"/>
      <c r="H144" s="227" t="s">
        <v>1123</v>
      </c>
      <c r="I144" s="227"/>
      <c r="J144" s="227" t="s">
        <v>1124</v>
      </c>
      <c r="K144" s="227" t="s">
        <v>1058</v>
      </c>
      <c r="L144" s="227"/>
      <c r="M144" s="227"/>
      <c r="N144" s="227"/>
      <c r="O144" s="227" t="s">
        <v>2183</v>
      </c>
      <c r="P144" s="227" t="s">
        <v>2183</v>
      </c>
      <c r="Q144" s="227" t="s">
        <v>1631</v>
      </c>
      <c r="R144" s="227" t="s">
        <v>1631</v>
      </c>
      <c r="S144" s="227" t="s">
        <v>1631</v>
      </c>
      <c r="T144" s="227" t="s">
        <v>1631</v>
      </c>
      <c r="U144" s="227" t="s">
        <v>1631</v>
      </c>
      <c r="V144" s="227" t="s">
        <v>1631</v>
      </c>
      <c r="W144" s="227" t="s">
        <v>1631</v>
      </c>
      <c r="X144" s="227" t="s">
        <v>1631</v>
      </c>
      <c r="Y144" s="740" t="s">
        <v>1631</v>
      </c>
      <c r="Z144" s="740" t="s">
        <v>1631</v>
      </c>
      <c r="AA144" s="740" t="s">
        <v>1631</v>
      </c>
      <c r="AB144" s="227">
        <v>1</v>
      </c>
      <c r="AC144" s="740">
        <v>1</v>
      </c>
      <c r="AD144" s="227">
        <v>1</v>
      </c>
      <c r="AE144" s="227">
        <v>1</v>
      </c>
      <c r="AF144" s="664">
        <v>1</v>
      </c>
      <c r="AG144" s="664">
        <v>1</v>
      </c>
      <c r="AH144" s="664">
        <v>1</v>
      </c>
      <c r="AI144" s="227">
        <v>1</v>
      </c>
      <c r="AJ144" s="227">
        <v>1</v>
      </c>
      <c r="AK144" s="227">
        <v>1</v>
      </c>
      <c r="AL144" s="227">
        <v>1</v>
      </c>
      <c r="AM144" s="227"/>
      <c r="AN144" s="227"/>
      <c r="AO144" s="227"/>
      <c r="AP144" s="227"/>
      <c r="AQ144" s="227"/>
      <c r="AR144" s="227"/>
      <c r="AS144" s="227"/>
      <c r="AT144" s="227"/>
      <c r="AU144" s="227"/>
      <c r="AV144" s="227"/>
      <c r="AW144" s="227"/>
      <c r="AX144" s="227"/>
      <c r="AY144" s="227"/>
      <c r="AZ144" s="227"/>
      <c r="BA144" s="227"/>
      <c r="BB144" s="740"/>
      <c r="BC144" s="740"/>
      <c r="BD144" s="740"/>
      <c r="BE144" s="227"/>
      <c r="BF144" s="227"/>
      <c r="BG144" s="227"/>
      <c r="BH144" s="227"/>
      <c r="BI144" s="227"/>
      <c r="BJ144" s="227"/>
      <c r="BK144" s="227"/>
      <c r="BL144" s="227"/>
      <c r="BM144" s="227"/>
      <c r="BN144" s="227"/>
      <c r="BO144" s="227"/>
      <c r="BP144" s="227"/>
      <c r="BQ144" s="227"/>
      <c r="BR144" s="227"/>
      <c r="BS144" s="227"/>
      <c r="BT144" s="227"/>
      <c r="BU144" s="227"/>
      <c r="BV144" s="658"/>
      <c r="BW144" s="227" t="s">
        <v>1632</v>
      </c>
      <c r="BX144" s="227"/>
      <c r="BY144" s="740"/>
      <c r="BZ144" s="227"/>
      <c r="CA144" s="658"/>
      <c r="CB144" s="493"/>
      <c r="CC144" s="493"/>
      <c r="CD144" s="493"/>
      <c r="CE144" s="493"/>
      <c r="CF144" s="492" t="s">
        <v>3401</v>
      </c>
      <c r="CG144" s="660">
        <v>1</v>
      </c>
      <c r="CH144" s="660">
        <v>1</v>
      </c>
      <c r="CI144" s="492" t="s">
        <v>3401</v>
      </c>
      <c r="CJ144" s="2563"/>
      <c r="CK144" s="471"/>
      <c r="CL144" s="471"/>
      <c r="CM144" s="471"/>
      <c r="CN144" s="471"/>
      <c r="CO144" s="471" t="s">
        <v>3223</v>
      </c>
      <c r="CP144" s="660" t="s">
        <v>3760</v>
      </c>
      <c r="CQ144" s="660" t="s">
        <v>3760</v>
      </c>
      <c r="CR144" s="660" t="s">
        <v>3223</v>
      </c>
      <c r="CS144" s="2569"/>
      <c r="CT144" s="2569"/>
      <c r="CU144" s="227" t="s">
        <v>1631</v>
      </c>
      <c r="CV144" s="337"/>
    </row>
    <row r="145" spans="2:113" ht="15.75" x14ac:dyDescent="0.45">
      <c r="D145" s="254" t="s">
        <v>256</v>
      </c>
      <c r="E145" s="227"/>
      <c r="F145" s="227"/>
      <c r="G145" s="227"/>
      <c r="H145" s="227" t="s">
        <v>1059</v>
      </c>
      <c r="I145" s="227"/>
      <c r="J145" s="227" t="s">
        <v>1061</v>
      </c>
      <c r="K145" s="227" t="s">
        <v>1060</v>
      </c>
      <c r="L145" s="227"/>
      <c r="M145" s="227"/>
      <c r="N145" s="227"/>
      <c r="O145" s="227" t="s">
        <v>1633</v>
      </c>
      <c r="P145" s="227" t="s">
        <v>1633</v>
      </c>
      <c r="Q145" s="227" t="s">
        <v>1633</v>
      </c>
      <c r="R145" s="227" t="s">
        <v>1633</v>
      </c>
      <c r="S145" s="227" t="s">
        <v>1633</v>
      </c>
      <c r="T145" s="227" t="s">
        <v>1633</v>
      </c>
      <c r="U145" s="227" t="s">
        <v>1633</v>
      </c>
      <c r="V145" s="227" t="s">
        <v>1633</v>
      </c>
      <c r="W145" s="227" t="s">
        <v>1633</v>
      </c>
      <c r="X145" s="227" t="s">
        <v>1633</v>
      </c>
      <c r="Y145" s="740" t="s">
        <v>1633</v>
      </c>
      <c r="Z145" s="740" t="s">
        <v>1633</v>
      </c>
      <c r="AA145" s="740" t="s">
        <v>1633</v>
      </c>
      <c r="AB145" s="227"/>
      <c r="AC145" s="740"/>
      <c r="AD145" s="227"/>
      <c r="AE145" s="227"/>
      <c r="AF145" s="658"/>
      <c r="AG145" s="658"/>
      <c r="AH145" s="658"/>
      <c r="AI145" s="227"/>
      <c r="AJ145" s="227"/>
      <c r="AK145" s="227"/>
      <c r="AL145" s="227"/>
      <c r="AM145" s="227">
        <v>1</v>
      </c>
      <c r="AN145" s="227">
        <v>1</v>
      </c>
      <c r="AO145" s="227">
        <v>1</v>
      </c>
      <c r="AP145" s="227">
        <v>1</v>
      </c>
      <c r="AQ145" s="227">
        <v>1</v>
      </c>
      <c r="AR145" s="227"/>
      <c r="AS145" s="227"/>
      <c r="AT145" s="227"/>
      <c r="AU145" s="227"/>
      <c r="AV145" s="227"/>
      <c r="AW145" s="227"/>
      <c r="AX145" s="227"/>
      <c r="AY145" s="227"/>
      <c r="AZ145" s="227"/>
      <c r="BA145" s="227"/>
      <c r="BB145" s="740"/>
      <c r="BC145" s="740"/>
      <c r="BD145" s="740"/>
      <c r="BE145" s="228"/>
      <c r="BF145" s="227"/>
      <c r="BG145" s="227"/>
      <c r="BH145" s="228"/>
      <c r="BI145" s="658" t="s">
        <v>4489</v>
      </c>
      <c r="BJ145" s="658" t="s">
        <v>4490</v>
      </c>
      <c r="BK145" s="658" t="s">
        <v>4489</v>
      </c>
      <c r="BL145" s="658" t="s">
        <v>4490</v>
      </c>
      <c r="BM145" s="658"/>
      <c r="BN145" s="658"/>
      <c r="BO145" s="910"/>
      <c r="BP145" s="658" t="s">
        <v>4491</v>
      </c>
      <c r="BQ145" s="658" t="s">
        <v>4492</v>
      </c>
      <c r="BR145" s="658" t="s">
        <v>4491</v>
      </c>
      <c r="BS145" s="658" t="s">
        <v>4492</v>
      </c>
      <c r="BT145" s="228"/>
      <c r="BU145" s="227" t="s">
        <v>1634</v>
      </c>
      <c r="BV145" s="658" t="s">
        <v>4487</v>
      </c>
      <c r="BW145" s="227" t="s">
        <v>1635</v>
      </c>
      <c r="BX145" s="228" t="s">
        <v>1636</v>
      </c>
      <c r="BY145" s="2561"/>
      <c r="BZ145" s="228"/>
      <c r="CA145" s="910"/>
      <c r="CB145" s="493"/>
      <c r="CC145" s="493"/>
      <c r="CD145" s="493"/>
      <c r="CE145" s="493"/>
      <c r="CF145" s="493"/>
      <c r="CG145" s="658"/>
      <c r="CH145" s="658"/>
      <c r="CI145" s="493"/>
      <c r="CJ145" s="2564"/>
      <c r="CK145" s="471"/>
      <c r="CL145" s="471"/>
      <c r="CM145" s="471"/>
      <c r="CN145" s="471"/>
      <c r="CO145" s="471"/>
      <c r="CP145" s="658"/>
      <c r="CQ145" s="658"/>
      <c r="CR145" s="658"/>
      <c r="CS145" s="661"/>
      <c r="CT145" s="661"/>
      <c r="CU145" s="227" t="s">
        <v>1633</v>
      </c>
      <c r="CV145" s="337"/>
    </row>
    <row r="146" spans="2:113" ht="18.75" x14ac:dyDescent="0.45">
      <c r="D146" s="2613" t="s">
        <v>258</v>
      </c>
      <c r="E146" s="740"/>
      <c r="F146" s="740" t="s">
        <v>5509</v>
      </c>
      <c r="G146" s="740"/>
      <c r="H146" s="740" t="s">
        <v>5510</v>
      </c>
      <c r="I146" s="740" t="s">
        <v>5511</v>
      </c>
      <c r="J146" s="740" t="s">
        <v>5512</v>
      </c>
      <c r="K146" s="740" t="s">
        <v>5513</v>
      </c>
      <c r="L146" s="740" t="s">
        <v>5514</v>
      </c>
      <c r="M146" s="740"/>
      <c r="N146" s="740"/>
      <c r="O146" s="740" t="s">
        <v>5515</v>
      </c>
      <c r="P146" s="740" t="s">
        <v>5515</v>
      </c>
      <c r="Q146" s="740" t="s">
        <v>5515</v>
      </c>
      <c r="R146" s="740" t="s">
        <v>5515</v>
      </c>
      <c r="S146" s="740" t="s">
        <v>5515</v>
      </c>
      <c r="T146" s="740" t="s">
        <v>5515</v>
      </c>
      <c r="U146" s="740" t="s">
        <v>5515</v>
      </c>
      <c r="V146" s="740" t="s">
        <v>5515</v>
      </c>
      <c r="W146" s="740" t="s">
        <v>5515</v>
      </c>
      <c r="X146" s="740" t="s">
        <v>5515</v>
      </c>
      <c r="Y146" s="740" t="s">
        <v>5515</v>
      </c>
      <c r="Z146" s="740" t="s">
        <v>5515</v>
      </c>
      <c r="AA146" s="740" t="s">
        <v>5515</v>
      </c>
      <c r="AB146" s="740"/>
      <c r="AC146" s="740"/>
      <c r="AD146" s="740"/>
      <c r="AE146" s="740"/>
      <c r="AF146" s="740"/>
      <c r="AG146" s="740"/>
      <c r="AH146" s="740"/>
      <c r="AI146" s="740"/>
      <c r="AJ146" s="740"/>
      <c r="AK146" s="740"/>
      <c r="AL146" s="740"/>
      <c r="AM146" s="740"/>
      <c r="AN146" s="740"/>
      <c r="AO146" s="740"/>
      <c r="AP146" s="740"/>
      <c r="AQ146" s="740"/>
      <c r="AR146" s="740"/>
      <c r="AS146" s="740"/>
      <c r="AT146" s="740"/>
      <c r="AU146" s="740"/>
      <c r="AV146" s="740"/>
      <c r="AW146" s="740"/>
      <c r="AX146" s="740"/>
      <c r="AY146" s="740"/>
      <c r="AZ146" s="740"/>
      <c r="BA146" s="740"/>
      <c r="BB146" s="740">
        <v>1</v>
      </c>
      <c r="BC146" s="740">
        <v>1</v>
      </c>
      <c r="BD146" s="740">
        <v>1</v>
      </c>
      <c r="BE146" s="740"/>
      <c r="BF146" s="2561"/>
      <c r="BG146" s="740"/>
      <c r="BH146" s="740"/>
      <c r="BI146" s="2561"/>
      <c r="BJ146" s="740"/>
      <c r="BK146" s="740"/>
      <c r="BL146" s="740"/>
      <c r="BM146" s="2561"/>
      <c r="BN146" s="740"/>
      <c r="BO146" s="740"/>
      <c r="BP146" s="2561"/>
      <c r="BQ146" s="740"/>
      <c r="BR146" s="740"/>
      <c r="BS146" s="740"/>
      <c r="BT146" s="2614"/>
      <c r="BU146" s="2561"/>
      <c r="BV146" s="2615"/>
      <c r="BW146" s="740"/>
      <c r="BX146" s="740"/>
      <c r="BY146" s="2561" t="s">
        <v>5486</v>
      </c>
      <c r="BZ146" s="2561"/>
      <c r="CA146" s="2561"/>
      <c r="CB146" s="2561"/>
      <c r="CC146" s="740"/>
      <c r="CD146" s="740"/>
      <c r="CE146" s="740"/>
      <c r="CF146" s="740"/>
      <c r="CG146" s="740"/>
      <c r="CH146" s="740"/>
      <c r="CI146" s="740"/>
      <c r="CJ146" s="740">
        <v>1</v>
      </c>
      <c r="CK146" s="2561"/>
      <c r="CL146" s="740"/>
      <c r="CM146" s="740"/>
      <c r="CN146" s="740"/>
      <c r="CO146" s="740"/>
      <c r="CP146" s="740"/>
      <c r="CQ146" s="740"/>
      <c r="CR146" s="740"/>
      <c r="CS146" s="740" t="s">
        <v>3223</v>
      </c>
      <c r="CT146" s="740"/>
      <c r="CU146" s="740" t="s">
        <v>5515</v>
      </c>
      <c r="CV146" s="337"/>
      <c r="CW146" s="2616"/>
      <c r="CZ146"/>
      <c r="DA146" s="81"/>
    </row>
    <row r="147" spans="2:113" ht="15.75" x14ac:dyDescent="0.45">
      <c r="D147" s="254" t="s">
        <v>1114</v>
      </c>
      <c r="E147" s="227"/>
      <c r="F147" s="227"/>
      <c r="G147" s="227"/>
      <c r="H147" s="227"/>
      <c r="I147" s="227"/>
      <c r="J147" s="227"/>
      <c r="K147" s="227"/>
      <c r="L147" s="227"/>
      <c r="M147" s="227"/>
      <c r="N147" s="227"/>
      <c r="O147" s="227"/>
      <c r="P147" s="227"/>
      <c r="Q147" s="227"/>
      <c r="R147" s="227"/>
      <c r="S147" s="227"/>
      <c r="T147" s="227"/>
      <c r="U147" s="227"/>
      <c r="V147" s="227"/>
      <c r="W147" s="227"/>
      <c r="X147" s="227"/>
      <c r="Y147" s="740"/>
      <c r="Z147" s="740"/>
      <c r="AA147" s="740"/>
      <c r="AB147" s="227"/>
      <c r="AC147" s="740"/>
      <c r="AD147" s="227"/>
      <c r="AE147" s="227"/>
      <c r="AF147" s="658"/>
      <c r="AG147" s="658"/>
      <c r="AH147" s="658"/>
      <c r="AI147" s="227"/>
      <c r="AJ147" s="227"/>
      <c r="AK147" s="227"/>
      <c r="AL147" s="227"/>
      <c r="AM147" s="227"/>
      <c r="AN147" s="227"/>
      <c r="AO147" s="227"/>
      <c r="AP147" s="227"/>
      <c r="AQ147" s="227"/>
      <c r="AR147" s="227"/>
      <c r="AS147" s="227"/>
      <c r="AT147" s="227"/>
      <c r="AU147" s="227"/>
      <c r="AV147" s="621" t="s">
        <v>3691</v>
      </c>
      <c r="AW147" s="227">
        <v>1</v>
      </c>
      <c r="AX147" s="227"/>
      <c r="AY147" s="227"/>
      <c r="AZ147" s="227"/>
      <c r="BA147" s="227"/>
      <c r="BB147" s="740"/>
      <c r="BC147" s="740"/>
      <c r="BD147" s="740"/>
      <c r="BE147" s="228"/>
      <c r="BF147" s="227"/>
      <c r="BG147" s="227"/>
      <c r="BH147" s="228"/>
      <c r="BI147" s="228"/>
      <c r="BJ147" s="227"/>
      <c r="BK147" s="228"/>
      <c r="BL147" s="228"/>
      <c r="BM147" s="227"/>
      <c r="BN147" s="227"/>
      <c r="BO147" s="228"/>
      <c r="BP147" s="228"/>
      <c r="BQ147" s="227"/>
      <c r="BR147" s="228"/>
      <c r="BS147" s="228"/>
      <c r="BT147" s="228"/>
      <c r="BU147" s="228"/>
      <c r="BV147" s="910"/>
      <c r="BW147" s="227"/>
      <c r="BX147" s="228"/>
      <c r="BY147" s="2561"/>
      <c r="BZ147" s="228"/>
      <c r="CA147" s="910"/>
      <c r="CB147" s="493"/>
      <c r="CC147" s="493"/>
      <c r="CD147" s="493"/>
      <c r="CE147" s="493"/>
      <c r="CF147" s="493"/>
      <c r="CG147" s="658"/>
      <c r="CH147" s="658"/>
      <c r="CI147" s="493"/>
      <c r="CJ147" s="2564"/>
      <c r="CK147" s="472"/>
      <c r="CL147" s="472"/>
      <c r="CM147" s="472"/>
      <c r="CN147" s="472"/>
      <c r="CO147" s="472"/>
      <c r="CP147" s="658"/>
      <c r="CQ147" s="658"/>
      <c r="CR147" s="658"/>
      <c r="CS147" s="661"/>
      <c r="CT147" s="661"/>
      <c r="CU147" s="661"/>
      <c r="CV147" s="337"/>
    </row>
    <row r="148" spans="2:113" ht="15.75" x14ac:dyDescent="0.45">
      <c r="D148" s="254" t="s">
        <v>475</v>
      </c>
      <c r="E148" s="227"/>
      <c r="F148" s="227"/>
      <c r="G148" s="227"/>
      <c r="H148" s="227"/>
      <c r="I148" s="227"/>
      <c r="J148" s="227"/>
      <c r="K148" s="227"/>
      <c r="L148" s="227"/>
      <c r="M148" s="227"/>
      <c r="N148" s="227"/>
      <c r="O148" s="227"/>
      <c r="P148" s="227"/>
      <c r="Q148" s="227"/>
      <c r="R148" s="227"/>
      <c r="S148" s="227"/>
      <c r="T148" s="227"/>
      <c r="U148" s="227"/>
      <c r="V148" s="227"/>
      <c r="W148" s="227"/>
      <c r="X148" s="227"/>
      <c r="Y148" s="740"/>
      <c r="Z148" s="740"/>
      <c r="AA148" s="740"/>
      <c r="AB148" s="227"/>
      <c r="AC148" s="740"/>
      <c r="AD148" s="227"/>
      <c r="AE148" s="227"/>
      <c r="AF148" s="658"/>
      <c r="AG148" s="658"/>
      <c r="AH148" s="658"/>
      <c r="AI148" s="227"/>
      <c r="AJ148" s="227"/>
      <c r="AK148" s="227"/>
      <c r="AL148" s="227"/>
      <c r="AM148" s="227"/>
      <c r="AN148" s="227" t="s">
        <v>1637</v>
      </c>
      <c r="AO148" s="227"/>
      <c r="AP148" s="227"/>
      <c r="AQ148" s="227"/>
      <c r="AR148" s="227"/>
      <c r="AS148" s="227"/>
      <c r="AT148" s="227"/>
      <c r="AU148" s="227"/>
      <c r="AV148" s="621"/>
      <c r="AW148" s="227"/>
      <c r="AX148" s="227"/>
      <c r="AY148" s="227"/>
      <c r="AZ148" s="227"/>
      <c r="BA148" s="227">
        <v>1</v>
      </c>
      <c r="BB148" s="740"/>
      <c r="BC148" s="740"/>
      <c r="BD148" s="740"/>
      <c r="BE148" s="227"/>
      <c r="BF148" s="227"/>
      <c r="BG148" s="227"/>
      <c r="BH148" s="227"/>
      <c r="BI148" s="227"/>
      <c r="BJ148" s="227"/>
      <c r="BK148" s="227"/>
      <c r="BL148" s="227"/>
      <c r="BM148" s="227"/>
      <c r="BN148" s="227"/>
      <c r="BO148" s="227"/>
      <c r="BP148" s="227"/>
      <c r="BQ148" s="227"/>
      <c r="BR148" s="227"/>
      <c r="BS148" s="227"/>
      <c r="BT148" s="227"/>
      <c r="BU148" s="227"/>
      <c r="BV148" s="658"/>
      <c r="BW148" s="227"/>
      <c r="BX148" s="227"/>
      <c r="BY148" s="740"/>
      <c r="BZ148" s="227"/>
      <c r="CA148" s="658"/>
      <c r="CB148" s="227"/>
      <c r="CC148" s="227"/>
      <c r="CD148" s="227"/>
      <c r="CE148" s="227"/>
      <c r="CF148" s="227"/>
      <c r="CG148" s="661"/>
      <c r="CH148" s="661"/>
      <c r="CI148" s="282"/>
      <c r="CJ148" s="2565"/>
      <c r="CK148" s="472"/>
      <c r="CL148" s="472"/>
      <c r="CM148" s="472"/>
      <c r="CN148" s="472"/>
      <c r="CO148" s="472"/>
      <c r="CP148" s="661"/>
      <c r="CQ148" s="661"/>
      <c r="CR148" s="661"/>
      <c r="CS148" s="661"/>
      <c r="CT148" s="661"/>
      <c r="CU148" s="661"/>
      <c r="CV148" s="337"/>
    </row>
    <row r="149" spans="2:113" ht="15.75" x14ac:dyDescent="0.45">
      <c r="D149" s="254" t="s">
        <v>987</v>
      </c>
      <c r="E149" s="227"/>
      <c r="F149" s="227"/>
      <c r="G149" s="227"/>
      <c r="H149" s="227"/>
      <c r="I149" s="227"/>
      <c r="J149" s="227"/>
      <c r="K149" s="227"/>
      <c r="L149" s="227"/>
      <c r="M149" s="227"/>
      <c r="N149" s="227"/>
      <c r="O149" s="227"/>
      <c r="P149" s="227"/>
      <c r="Q149" s="227"/>
      <c r="R149" s="227"/>
      <c r="S149" s="227"/>
      <c r="T149" s="227"/>
      <c r="U149" s="227"/>
      <c r="V149" s="227"/>
      <c r="W149" s="227"/>
      <c r="X149" s="227"/>
      <c r="Y149" s="740"/>
      <c r="Z149" s="740"/>
      <c r="AA149" s="740"/>
      <c r="AB149" s="227"/>
      <c r="AC149" s="740"/>
      <c r="AD149" s="227"/>
      <c r="AE149" s="227"/>
      <c r="AF149" s="658"/>
      <c r="AG149" s="658"/>
      <c r="AH149" s="658"/>
      <c r="AI149" s="227"/>
      <c r="AJ149" s="227"/>
      <c r="AK149" s="227"/>
      <c r="AL149" s="227"/>
      <c r="AM149" s="227"/>
      <c r="AN149" s="227" t="s">
        <v>1638</v>
      </c>
      <c r="AO149" s="227"/>
      <c r="AP149" s="227"/>
      <c r="AQ149" s="227"/>
      <c r="AR149" s="227"/>
      <c r="AS149" s="227"/>
      <c r="AT149" s="227"/>
      <c r="AU149" s="227"/>
      <c r="AV149" s="621" t="s">
        <v>3673</v>
      </c>
      <c r="AW149" s="227"/>
      <c r="AX149" s="227"/>
      <c r="AY149" s="227">
        <v>1</v>
      </c>
      <c r="AZ149" s="227"/>
      <c r="BA149" s="227"/>
      <c r="BB149" s="740"/>
      <c r="BC149" s="740"/>
      <c r="BD149" s="740"/>
      <c r="BE149" s="227"/>
      <c r="BF149" s="227"/>
      <c r="BG149" s="227"/>
      <c r="BH149" s="227"/>
      <c r="BI149" s="227"/>
      <c r="BJ149" s="227"/>
      <c r="BK149" s="227"/>
      <c r="BL149" s="227"/>
      <c r="BM149" s="227"/>
      <c r="BN149" s="227"/>
      <c r="BO149" s="227"/>
      <c r="BP149" s="227"/>
      <c r="BQ149" s="227"/>
      <c r="BR149" s="227"/>
      <c r="BS149" s="227"/>
      <c r="BT149" s="227" t="s">
        <v>1639</v>
      </c>
      <c r="BU149" s="227" t="s">
        <v>1640</v>
      </c>
      <c r="BV149" s="658" t="s">
        <v>4488</v>
      </c>
      <c r="BW149" s="227"/>
      <c r="BX149" s="227"/>
      <c r="BY149" s="740"/>
      <c r="BZ149" s="227"/>
      <c r="CA149" s="658"/>
      <c r="CB149" s="227"/>
      <c r="CC149" s="227"/>
      <c r="CD149" s="227"/>
      <c r="CE149" s="227"/>
      <c r="CF149" s="227"/>
      <c r="CG149" s="661"/>
      <c r="CH149" s="661"/>
      <c r="CI149" s="282"/>
      <c r="CJ149" s="2565"/>
      <c r="CK149" s="472"/>
      <c r="CL149" s="472"/>
      <c r="CM149" s="472"/>
      <c r="CN149" s="472"/>
      <c r="CO149" s="472"/>
      <c r="CP149" s="661"/>
      <c r="CQ149" s="661"/>
      <c r="CR149" s="661"/>
      <c r="CS149" s="661"/>
      <c r="CT149" s="661"/>
      <c r="CU149" s="661"/>
      <c r="CV149" s="337"/>
    </row>
    <row r="150" spans="2:113" ht="15.75" x14ac:dyDescent="0.45">
      <c r="D150" s="254" t="s">
        <v>988</v>
      </c>
      <c r="E150" s="227"/>
      <c r="F150" s="227"/>
      <c r="G150" s="227"/>
      <c r="H150" s="227"/>
      <c r="I150" s="227"/>
      <c r="J150" s="227"/>
      <c r="K150" s="227"/>
      <c r="L150" s="227"/>
      <c r="M150" s="227"/>
      <c r="N150" s="227"/>
      <c r="O150" s="227"/>
      <c r="P150" s="227"/>
      <c r="Q150" s="227"/>
      <c r="R150" s="227"/>
      <c r="S150" s="227"/>
      <c r="T150" s="227"/>
      <c r="U150" s="227"/>
      <c r="V150" s="227"/>
      <c r="W150" s="227"/>
      <c r="X150" s="227"/>
      <c r="Y150" s="740"/>
      <c r="Z150" s="740"/>
      <c r="AA150" s="740"/>
      <c r="AB150" s="227"/>
      <c r="AC150" s="740"/>
      <c r="AD150" s="227"/>
      <c r="AE150" s="227"/>
      <c r="AF150" s="658"/>
      <c r="AG150" s="658"/>
      <c r="AH150" s="658"/>
      <c r="AI150" s="227"/>
      <c r="AJ150" s="227"/>
      <c r="AK150" s="227"/>
      <c r="AL150" s="227"/>
      <c r="AM150" s="227"/>
      <c r="AN150" s="227" t="s">
        <v>1641</v>
      </c>
      <c r="AO150" s="227"/>
      <c r="AP150" s="227"/>
      <c r="AQ150" s="227"/>
      <c r="AR150" s="227"/>
      <c r="AS150" s="227"/>
      <c r="AT150" s="227"/>
      <c r="AU150" s="227"/>
      <c r="AV150" s="621" t="s">
        <v>3676</v>
      </c>
      <c r="AW150" s="227"/>
      <c r="AX150" s="227"/>
      <c r="AY150" s="227"/>
      <c r="AZ150" s="227">
        <v>1</v>
      </c>
      <c r="BA150" s="227"/>
      <c r="BB150" s="740"/>
      <c r="BC150" s="740"/>
      <c r="BD150" s="740"/>
      <c r="BE150" s="227"/>
      <c r="BF150" s="227"/>
      <c r="BG150" s="227"/>
      <c r="BH150" s="227"/>
      <c r="BI150" s="227"/>
      <c r="BJ150" s="227"/>
      <c r="BK150" s="227"/>
      <c r="BL150" s="227"/>
      <c r="BM150" s="227"/>
      <c r="BN150" s="227"/>
      <c r="BO150" s="227"/>
      <c r="BP150" s="227"/>
      <c r="BQ150" s="227"/>
      <c r="BR150" s="227"/>
      <c r="BS150" s="227"/>
      <c r="BT150" s="227"/>
      <c r="BU150" s="227"/>
      <c r="BV150" s="658"/>
      <c r="BW150" s="227" t="s">
        <v>1642</v>
      </c>
      <c r="BX150" s="227"/>
      <c r="BY150" s="740"/>
      <c r="BZ150" s="227"/>
      <c r="CA150" s="658"/>
      <c r="CB150" s="227"/>
      <c r="CC150" s="227"/>
      <c r="CD150" s="227"/>
      <c r="CE150" s="227"/>
      <c r="CF150" s="227"/>
      <c r="CG150" s="661"/>
      <c r="CH150" s="661"/>
      <c r="CI150" s="282"/>
      <c r="CJ150" s="2565"/>
      <c r="CK150" s="472"/>
      <c r="CL150" s="472"/>
      <c r="CM150" s="472"/>
      <c r="CN150" s="472"/>
      <c r="CO150" s="472"/>
      <c r="CP150" s="661"/>
      <c r="CQ150" s="661"/>
      <c r="CR150" s="661"/>
      <c r="CS150" s="661"/>
      <c r="CT150" s="661"/>
      <c r="CU150" s="661"/>
      <c r="CV150" s="337"/>
    </row>
    <row r="151" spans="2:113" ht="15.75" x14ac:dyDescent="0.45">
      <c r="D151" s="254" t="s">
        <v>142</v>
      </c>
      <c r="E151" s="227"/>
      <c r="F151" s="227"/>
      <c r="G151" s="227"/>
      <c r="H151" s="227"/>
      <c r="I151" s="227"/>
      <c r="J151" s="227"/>
      <c r="K151" s="227"/>
      <c r="L151" s="227"/>
      <c r="M151" s="227"/>
      <c r="N151" s="227"/>
      <c r="O151" s="227"/>
      <c r="P151" s="227"/>
      <c r="Q151" s="227"/>
      <c r="R151" s="227"/>
      <c r="S151" s="227"/>
      <c r="T151" s="227"/>
      <c r="U151" s="227"/>
      <c r="V151" s="227"/>
      <c r="W151" s="227"/>
      <c r="X151" s="227"/>
      <c r="Y151" s="740"/>
      <c r="Z151" s="740"/>
      <c r="AA151" s="740"/>
      <c r="AB151" s="227"/>
      <c r="AC151" s="740"/>
      <c r="AD151" s="227"/>
      <c r="AE151" s="227"/>
      <c r="AF151" s="658"/>
      <c r="AG151" s="658"/>
      <c r="AH151" s="658"/>
      <c r="AI151" s="227"/>
      <c r="AJ151" s="227"/>
      <c r="AK151" s="227"/>
      <c r="AL151" s="227"/>
      <c r="AM151" s="227"/>
      <c r="AN151" s="227"/>
      <c r="AO151" s="227"/>
      <c r="AP151" s="227"/>
      <c r="AQ151" s="227"/>
      <c r="AR151" s="227"/>
      <c r="AS151" s="227"/>
      <c r="AT151" s="227"/>
      <c r="AU151" s="227"/>
      <c r="AV151" s="621" t="s">
        <v>3692</v>
      </c>
      <c r="AW151" s="227"/>
      <c r="AX151" s="227">
        <v>1</v>
      </c>
      <c r="AY151" s="227"/>
      <c r="AZ151" s="227"/>
      <c r="BA151" s="227"/>
      <c r="BB151" s="740"/>
      <c r="BC151" s="740"/>
      <c r="BD151" s="740"/>
      <c r="BE151" s="227"/>
      <c r="BF151" s="227"/>
      <c r="BG151" s="227"/>
      <c r="BH151" s="227"/>
      <c r="BI151" s="227"/>
      <c r="BJ151" s="227"/>
      <c r="BK151" s="227"/>
      <c r="BL151" s="227"/>
      <c r="BM151" s="227"/>
      <c r="BN151" s="227"/>
      <c r="BO151" s="227"/>
      <c r="BP151" s="227"/>
      <c r="BQ151" s="227"/>
      <c r="BR151" s="227"/>
      <c r="BS151" s="227"/>
      <c r="BT151" s="227"/>
      <c r="BU151" s="227"/>
      <c r="BV151" s="658"/>
      <c r="BW151" s="227"/>
      <c r="BX151" s="227"/>
      <c r="BY151" s="740"/>
      <c r="BZ151" s="227"/>
      <c r="CA151" s="658"/>
      <c r="CB151" s="227"/>
      <c r="CC151" s="227"/>
      <c r="CD151" s="227"/>
      <c r="CE151" s="227"/>
      <c r="CF151" s="227"/>
      <c r="CG151" s="661"/>
      <c r="CH151" s="661"/>
      <c r="CI151" s="282"/>
      <c r="CJ151" s="2565"/>
      <c r="CK151" s="472"/>
      <c r="CL151" s="472"/>
      <c r="CM151" s="472"/>
      <c r="CN151" s="472"/>
      <c r="CO151" s="472"/>
      <c r="CP151" s="661"/>
      <c r="CQ151" s="661"/>
      <c r="CR151" s="661"/>
      <c r="CS151" s="661"/>
      <c r="CT151" s="661"/>
      <c r="CU151" s="661"/>
      <c r="CV151" s="337"/>
    </row>
    <row r="152" spans="2:113" ht="15.75" x14ac:dyDescent="0.45">
      <c r="D152" s="254" t="s">
        <v>3054</v>
      </c>
      <c r="E152" s="227"/>
      <c r="F152" s="227"/>
      <c r="G152" s="227"/>
      <c r="H152" s="227"/>
      <c r="I152" s="227"/>
      <c r="J152" s="227"/>
      <c r="K152" s="227"/>
      <c r="L152" s="227"/>
      <c r="M152" s="227"/>
      <c r="N152" s="227"/>
      <c r="O152" s="227"/>
      <c r="P152" s="227"/>
      <c r="Q152" s="227"/>
      <c r="R152" s="227"/>
      <c r="S152" s="227"/>
      <c r="T152" s="227"/>
      <c r="U152" s="227"/>
      <c r="V152" s="227"/>
      <c r="W152" s="227"/>
      <c r="X152" s="227"/>
      <c r="Y152" s="740"/>
      <c r="Z152" s="740"/>
      <c r="AA152" s="740"/>
      <c r="AB152" s="227"/>
      <c r="AC152" s="740"/>
      <c r="AD152" s="227"/>
      <c r="AE152" s="227"/>
      <c r="AF152" s="658"/>
      <c r="AG152" s="658"/>
      <c r="AH152" s="658"/>
      <c r="AI152" s="227"/>
      <c r="AJ152" s="227"/>
      <c r="AK152" s="227"/>
      <c r="AL152" s="227"/>
      <c r="AM152" s="227"/>
      <c r="AN152" s="227"/>
      <c r="AO152" s="227"/>
      <c r="AP152" s="227"/>
      <c r="AQ152" s="227"/>
      <c r="AR152" s="227"/>
      <c r="AS152" s="227"/>
      <c r="AT152" s="227"/>
      <c r="AU152" s="227"/>
      <c r="AV152" s="227"/>
      <c r="AW152" s="227"/>
      <c r="AX152" s="227"/>
      <c r="AY152" s="227"/>
      <c r="AZ152" s="227"/>
      <c r="BA152" s="227"/>
      <c r="BB152" s="740"/>
      <c r="BC152" s="740"/>
      <c r="BD152" s="740"/>
      <c r="BE152" s="227">
        <v>1</v>
      </c>
      <c r="BF152" s="227">
        <v>1</v>
      </c>
      <c r="BG152" s="227">
        <v>1</v>
      </c>
      <c r="BH152" s="227">
        <v>1</v>
      </c>
      <c r="BI152" s="227">
        <v>1</v>
      </c>
      <c r="BJ152" s="227">
        <v>1</v>
      </c>
      <c r="BK152" s="227">
        <v>1</v>
      </c>
      <c r="BL152" s="227">
        <v>1</v>
      </c>
      <c r="BM152" s="740">
        <v>1</v>
      </c>
      <c r="BN152" s="740">
        <v>1</v>
      </c>
      <c r="BO152" s="740">
        <v>1</v>
      </c>
      <c r="BP152" s="740">
        <v>1</v>
      </c>
      <c r="BQ152" s="740">
        <v>1</v>
      </c>
      <c r="BR152" s="740">
        <v>1</v>
      </c>
      <c r="BS152" s="740">
        <v>1</v>
      </c>
      <c r="BT152" s="227"/>
      <c r="BU152" s="227"/>
      <c r="BV152" s="658"/>
      <c r="BW152" s="227"/>
      <c r="BX152" s="227" t="s">
        <v>1643</v>
      </c>
      <c r="BY152" s="740" t="s">
        <v>5487</v>
      </c>
      <c r="BZ152" s="227"/>
      <c r="CA152" s="658"/>
      <c r="CB152" s="227"/>
      <c r="CC152" s="227"/>
      <c r="CD152" s="227"/>
      <c r="CE152" s="227"/>
      <c r="CF152" s="227"/>
      <c r="CG152" s="661"/>
      <c r="CH152" s="661"/>
      <c r="CI152" s="282"/>
      <c r="CJ152" s="2565"/>
      <c r="CK152" s="472"/>
      <c r="CL152" s="472"/>
      <c r="CM152" s="472"/>
      <c r="CN152" s="472"/>
      <c r="CO152" s="472"/>
      <c r="CP152" s="661"/>
      <c r="CQ152" s="661"/>
      <c r="CR152" s="661"/>
      <c r="CS152" s="661"/>
      <c r="CT152" s="661"/>
      <c r="CU152" s="661"/>
      <c r="CV152" s="337"/>
    </row>
    <row r="153" spans="2:113" ht="14.65" thickBot="1" x14ac:dyDescent="0.5">
      <c r="D153" s="255" t="s">
        <v>3055</v>
      </c>
      <c r="E153" s="256"/>
      <c r="F153" s="256"/>
      <c r="G153" s="256"/>
      <c r="H153" s="256"/>
      <c r="I153" s="256"/>
      <c r="J153" s="256"/>
      <c r="K153" s="256"/>
      <c r="L153" s="256"/>
      <c r="M153" s="256"/>
      <c r="N153" s="256"/>
      <c r="O153" s="256"/>
      <c r="P153" s="256"/>
      <c r="Q153" s="256"/>
      <c r="R153" s="256"/>
      <c r="S153" s="256"/>
      <c r="T153" s="256"/>
      <c r="U153" s="256"/>
      <c r="V153" s="256"/>
      <c r="W153" s="256"/>
      <c r="X153" s="256"/>
      <c r="Y153" s="2554"/>
      <c r="Z153" s="2554"/>
      <c r="AA153" s="2554"/>
      <c r="AB153" s="256"/>
      <c r="AC153" s="659"/>
      <c r="AD153" s="256"/>
      <c r="AE153" s="256"/>
      <c r="AF153" s="659"/>
      <c r="AG153" s="659"/>
      <c r="AH153" s="659"/>
      <c r="AI153" s="256"/>
      <c r="AJ153" s="256"/>
      <c r="AK153" s="256"/>
      <c r="AL153" s="256"/>
      <c r="AM153" s="256"/>
      <c r="AN153" s="256"/>
      <c r="AO153" s="256"/>
      <c r="AP153" s="256"/>
      <c r="AQ153" s="256"/>
      <c r="AR153" s="256"/>
      <c r="AS153" s="256"/>
      <c r="AT153" s="256"/>
      <c r="AU153" s="256"/>
      <c r="AV153" s="256"/>
      <c r="AW153" s="256"/>
      <c r="AX153" s="256"/>
      <c r="AY153" s="256"/>
      <c r="AZ153" s="256"/>
      <c r="BA153" s="256"/>
      <c r="BB153" s="2554"/>
      <c r="BC153" s="2554"/>
      <c r="BD153" s="2554"/>
      <c r="BE153" s="257"/>
      <c r="BF153" s="256"/>
      <c r="BG153" s="256"/>
      <c r="BH153" s="257"/>
      <c r="BI153" s="257"/>
      <c r="BJ153" s="256"/>
      <c r="BK153" s="257"/>
      <c r="BL153" s="257"/>
      <c r="BM153" s="256">
        <v>1</v>
      </c>
      <c r="BN153" s="256">
        <v>1</v>
      </c>
      <c r="BO153" s="257">
        <v>1</v>
      </c>
      <c r="BP153" s="257">
        <v>1</v>
      </c>
      <c r="BQ153" s="256">
        <v>1</v>
      </c>
      <c r="BR153" s="257">
        <v>1</v>
      </c>
      <c r="BS153" s="257">
        <v>1</v>
      </c>
      <c r="BT153" s="257"/>
      <c r="BU153" s="257"/>
      <c r="BV153" s="911"/>
      <c r="BW153" s="256"/>
      <c r="BX153" s="257"/>
      <c r="BY153" s="2562"/>
      <c r="BZ153" s="257"/>
      <c r="CA153" s="911"/>
      <c r="CB153" s="256"/>
      <c r="CC153" s="256"/>
      <c r="CD153" s="256"/>
      <c r="CE153" s="256"/>
      <c r="CF153" s="256"/>
      <c r="CG153" s="662"/>
      <c r="CH153" s="662"/>
      <c r="CI153" s="283"/>
      <c r="CJ153" s="2566"/>
      <c r="CK153" s="473"/>
      <c r="CL153" s="473"/>
      <c r="CM153" s="473"/>
      <c r="CN153" s="473"/>
      <c r="CO153" s="473"/>
      <c r="CP153" s="662"/>
      <c r="CQ153" s="662"/>
      <c r="CR153" s="662"/>
      <c r="CS153" s="2570"/>
      <c r="CT153" s="2570"/>
      <c r="CU153" s="662"/>
      <c r="CV153" s="338"/>
    </row>
    <row r="156" spans="2:113" x14ac:dyDescent="0.45">
      <c r="CV156"/>
    </row>
    <row r="158" spans="2:113" ht="14.65" thickBot="1" x14ac:dyDescent="0.5">
      <c r="CX158" s="4" t="s">
        <v>5886</v>
      </c>
    </row>
    <row r="159" spans="2:113" ht="18.399999999999999" thickBot="1" x14ac:dyDescent="0.5">
      <c r="B159" s="676" t="s">
        <v>93</v>
      </c>
      <c r="C159" s="677"/>
      <c r="D159" s="677" t="s">
        <v>1</v>
      </c>
      <c r="E159" s="678" t="s">
        <v>804</v>
      </c>
      <c r="F159" s="678" t="s">
        <v>805</v>
      </c>
      <c r="G159" s="678" t="s">
        <v>806</v>
      </c>
      <c r="H159" s="678" t="s">
        <v>807</v>
      </c>
      <c r="I159" s="678" t="s">
        <v>808</v>
      </c>
      <c r="J159" s="678" t="s">
        <v>809</v>
      </c>
      <c r="K159" s="678" t="s">
        <v>810</v>
      </c>
      <c r="L159" s="678" t="s">
        <v>811</v>
      </c>
      <c r="M159" s="678" t="s">
        <v>812</v>
      </c>
      <c r="N159" s="678" t="s">
        <v>2139</v>
      </c>
      <c r="O159" s="678" t="s">
        <v>813</v>
      </c>
      <c r="P159" s="678" t="s">
        <v>1743</v>
      </c>
      <c r="Q159" s="678" t="s">
        <v>814</v>
      </c>
      <c r="R159" s="885" t="s">
        <v>4446</v>
      </c>
      <c r="S159" s="678" t="s">
        <v>815</v>
      </c>
      <c r="T159" s="678" t="s">
        <v>2258</v>
      </c>
      <c r="U159" s="678" t="s">
        <v>2257</v>
      </c>
      <c r="V159" s="678" t="s">
        <v>2274</v>
      </c>
      <c r="W159" s="678" t="s">
        <v>816</v>
      </c>
      <c r="X159" s="678" t="s">
        <v>817</v>
      </c>
      <c r="Y159" s="2555" t="s">
        <v>5366</v>
      </c>
      <c r="Z159" s="2555" t="s">
        <v>5368</v>
      </c>
      <c r="AA159" s="2555" t="s">
        <v>5370</v>
      </c>
      <c r="AB159" s="678" t="s">
        <v>818</v>
      </c>
      <c r="AC159" s="678" t="s">
        <v>4025</v>
      </c>
      <c r="AD159" s="678" t="s">
        <v>2256</v>
      </c>
      <c r="AE159" s="678" t="s">
        <v>2255</v>
      </c>
      <c r="AF159" s="678" t="s">
        <v>5120</v>
      </c>
      <c r="AG159" s="678" t="s">
        <v>5121</v>
      </c>
      <c r="AH159" s="678" t="s">
        <v>3748</v>
      </c>
      <c r="AI159" s="678" t="s">
        <v>819</v>
      </c>
      <c r="AJ159" s="678" t="s">
        <v>820</v>
      </c>
      <c r="AK159" s="678" t="s">
        <v>822</v>
      </c>
      <c r="AL159" s="678" t="s">
        <v>823</v>
      </c>
      <c r="AM159" s="678" t="s">
        <v>824</v>
      </c>
      <c r="AN159" s="678" t="s">
        <v>2138</v>
      </c>
      <c r="AO159" s="678" t="s">
        <v>825</v>
      </c>
      <c r="AP159" s="678" t="s">
        <v>826</v>
      </c>
      <c r="AQ159" s="678" t="s">
        <v>827</v>
      </c>
      <c r="AR159" s="678" t="s">
        <v>828</v>
      </c>
      <c r="AS159" s="678" t="s">
        <v>830</v>
      </c>
      <c r="AT159" s="678" t="s">
        <v>831</v>
      </c>
      <c r="AU159" s="678" t="s">
        <v>832</v>
      </c>
      <c r="AV159" s="678" t="s">
        <v>833</v>
      </c>
      <c r="AW159" s="678" t="s">
        <v>1160</v>
      </c>
      <c r="AX159" s="678" t="s">
        <v>1161</v>
      </c>
      <c r="AY159" s="678" t="s">
        <v>999</v>
      </c>
      <c r="AZ159" s="678" t="s">
        <v>1644</v>
      </c>
      <c r="BA159" s="678" t="s">
        <v>1045</v>
      </c>
      <c r="BB159" s="2555" t="s">
        <v>5372</v>
      </c>
      <c r="BC159" s="2555" t="s">
        <v>5375</v>
      </c>
      <c r="BD159" s="2555" t="s">
        <v>5377</v>
      </c>
      <c r="BE159" s="678" t="s">
        <v>1604</v>
      </c>
      <c r="BF159" s="678" t="s">
        <v>1645</v>
      </c>
      <c r="BG159" s="678" t="s">
        <v>1646</v>
      </c>
      <c r="BH159" s="678" t="s">
        <v>1647</v>
      </c>
      <c r="BI159" s="678" t="s">
        <v>1648</v>
      </c>
      <c r="BJ159" s="678" t="s">
        <v>1649</v>
      </c>
      <c r="BK159" s="678" t="s">
        <v>1650</v>
      </c>
      <c r="BL159" s="678" t="s">
        <v>1651</v>
      </c>
      <c r="BM159" s="678" t="s">
        <v>4483</v>
      </c>
      <c r="BN159" s="678" t="s">
        <v>4340</v>
      </c>
      <c r="BO159" s="678" t="s">
        <v>4341</v>
      </c>
      <c r="BP159" s="678" t="s">
        <v>4342</v>
      </c>
      <c r="BQ159" s="678" t="s">
        <v>4343</v>
      </c>
      <c r="BR159" s="678" t="s">
        <v>4344</v>
      </c>
      <c r="BS159" s="678" t="s">
        <v>4345</v>
      </c>
      <c r="BT159" s="679" t="s">
        <v>1001</v>
      </c>
      <c r="BU159" s="679" t="s">
        <v>1133</v>
      </c>
      <c r="BV159" s="679" t="s">
        <v>4350</v>
      </c>
      <c r="BW159" s="679" t="s">
        <v>355</v>
      </c>
      <c r="BX159" s="678" t="s">
        <v>1115</v>
      </c>
      <c r="BY159" s="2555" t="s">
        <v>5379</v>
      </c>
      <c r="BZ159" s="678" t="s">
        <v>135</v>
      </c>
      <c r="CA159" s="885" t="s">
        <v>4351</v>
      </c>
      <c r="CB159" s="677" t="s">
        <v>1652</v>
      </c>
      <c r="CC159" s="677" t="s">
        <v>1653</v>
      </c>
      <c r="CD159" s="677" t="s">
        <v>1654</v>
      </c>
      <c r="CE159" s="677" t="s">
        <v>1655</v>
      </c>
      <c r="CF159" s="677" t="s">
        <v>1052</v>
      </c>
      <c r="CG159" s="677" t="s">
        <v>3749</v>
      </c>
      <c r="CH159" s="677" t="s">
        <v>3750</v>
      </c>
      <c r="CI159" s="677" t="s">
        <v>1656</v>
      </c>
      <c r="CJ159" s="2544" t="s">
        <v>5386</v>
      </c>
      <c r="CK159" s="677" t="s">
        <v>3186</v>
      </c>
      <c r="CL159" s="677" t="s">
        <v>3187</v>
      </c>
      <c r="CM159" s="677" t="s">
        <v>3188</v>
      </c>
      <c r="CN159" s="677" t="s">
        <v>3189</v>
      </c>
      <c r="CO159" s="677" t="s">
        <v>3190</v>
      </c>
      <c r="CP159" s="677" t="s">
        <v>3753</v>
      </c>
      <c r="CQ159" s="677" t="s">
        <v>3754</v>
      </c>
      <c r="CR159" s="677" t="s">
        <v>3191</v>
      </c>
      <c r="CS159" s="2544" t="s">
        <v>5381</v>
      </c>
      <c r="CT159" s="2544" t="s">
        <v>5383</v>
      </c>
      <c r="CU159" s="2544" t="s">
        <v>5850</v>
      </c>
      <c r="CV159" s="680" t="s">
        <v>1222</v>
      </c>
      <c r="CX159" s="2879" t="s">
        <v>148</v>
      </c>
      <c r="CY159" s="2879" t="s">
        <v>259</v>
      </c>
      <c r="CZ159" s="2879" t="s">
        <v>255</v>
      </c>
      <c r="DA159" s="2879" t="s">
        <v>256</v>
      </c>
      <c r="DB159" s="2879" t="s">
        <v>258</v>
      </c>
      <c r="DC159" s="2879" t="s">
        <v>1114</v>
      </c>
      <c r="DD159" s="2879" t="s">
        <v>475</v>
      </c>
      <c r="DE159" s="2879" t="s">
        <v>987</v>
      </c>
      <c r="DF159" s="2879" t="s">
        <v>988</v>
      </c>
      <c r="DG159" s="2879" t="s">
        <v>142</v>
      </c>
      <c r="DH159" s="2879" t="s">
        <v>3054</v>
      </c>
      <c r="DI159" s="2879" t="s">
        <v>3055</v>
      </c>
    </row>
    <row r="160" spans="2:113" ht="15.75" x14ac:dyDescent="0.55000000000000004">
      <c r="B160" s="751">
        <v>1</v>
      </c>
      <c r="C160" s="752" t="s">
        <v>224</v>
      </c>
      <c r="D160" s="753" t="s">
        <v>1657</v>
      </c>
      <c r="E160" s="754">
        <f>-1/Y_OHO_VFA_ox</f>
        <v>-1.6666666666666667</v>
      </c>
      <c r="F160" s="755">
        <f>0</f>
        <v>0</v>
      </c>
      <c r="G160" s="755">
        <f>0</f>
        <v>0</v>
      </c>
      <c r="H160" s="755">
        <f>0</f>
        <v>0</v>
      </c>
      <c r="I160" s="755">
        <f>0</f>
        <v>0</v>
      </c>
      <c r="J160" s="755">
        <f>0</f>
        <v>0</v>
      </c>
      <c r="K160" s="755">
        <f>0</f>
        <v>0</v>
      </c>
      <c r="L160" s="755">
        <f>0</f>
        <v>0</v>
      </c>
      <c r="M160" s="755">
        <f>0</f>
        <v>0</v>
      </c>
      <c r="N160" s="755">
        <f>0</f>
        <v>0</v>
      </c>
      <c r="O160" s="755">
        <f>0</f>
        <v>0</v>
      </c>
      <c r="P160" s="755">
        <f>0</f>
        <v>0</v>
      </c>
      <c r="Q160" s="755">
        <f>1</f>
        <v>1</v>
      </c>
      <c r="R160" s="755">
        <f>0</f>
        <v>0</v>
      </c>
      <c r="S160" s="755">
        <f>0</f>
        <v>0</v>
      </c>
      <c r="T160" s="755">
        <f>0</f>
        <v>0</v>
      </c>
      <c r="U160" s="755">
        <f>0</f>
        <v>0</v>
      </c>
      <c r="V160" s="755">
        <f>0</f>
        <v>0</v>
      </c>
      <c r="W160" s="755">
        <f>0</f>
        <v>0</v>
      </c>
      <c r="X160" s="755">
        <f>0</f>
        <v>0</v>
      </c>
      <c r="Y160" s="2545">
        <f>0</f>
        <v>0</v>
      </c>
      <c r="Z160" s="2545">
        <f>0</f>
        <v>0</v>
      </c>
      <c r="AA160" s="2545">
        <f>0</f>
        <v>0</v>
      </c>
      <c r="AB160" s="754">
        <f t="shared" ref="AB160:AB172" si="0">-i_N_BIO</f>
        <v>-7.0000000000000007E-2</v>
      </c>
      <c r="AC160" s="754">
        <f>0</f>
        <v>0</v>
      </c>
      <c r="AD160" s="755">
        <f>0</f>
        <v>0</v>
      </c>
      <c r="AE160" s="755">
        <f>0</f>
        <v>0</v>
      </c>
      <c r="AF160" s="755">
        <f>0</f>
        <v>0</v>
      </c>
      <c r="AG160" s="755">
        <f>0</f>
        <v>0</v>
      </c>
      <c r="AH160" s="755">
        <f>0</f>
        <v>0</v>
      </c>
      <c r="AI160" s="755">
        <f>0</f>
        <v>0</v>
      </c>
      <c r="AJ160" s="755">
        <f>0</f>
        <v>0</v>
      </c>
      <c r="AK160" s="755">
        <f>0</f>
        <v>0</v>
      </c>
      <c r="AL160" s="755">
        <f>0</f>
        <v>0</v>
      </c>
      <c r="AM160" s="754">
        <f t="shared" ref="AM160:AM172" si="1">-i_P_BIO</f>
        <v>-0.02</v>
      </c>
      <c r="AN160" s="755">
        <f>0</f>
        <v>0</v>
      </c>
      <c r="AO160" s="755">
        <f>0</f>
        <v>0</v>
      </c>
      <c r="AP160" s="755">
        <f>0</f>
        <v>0</v>
      </c>
      <c r="AQ160" s="755">
        <f>0</f>
        <v>0</v>
      </c>
      <c r="AR160" s="754">
        <f>-(1-Y_OHO_VFA_ox)/Y_OHO_VFA_ox</f>
        <v>-0.66666666666666674</v>
      </c>
      <c r="AS160" s="754">
        <f>0</f>
        <v>0</v>
      </c>
      <c r="AT160" s="754">
        <f>0</f>
        <v>0</v>
      </c>
      <c r="AU160" s="754">
        <f>i_CIT_VFA/Y_OHO_VFA_ox-i_CIT_BIO</f>
        <v>0.27300000000000002</v>
      </c>
      <c r="AV160" s="754">
        <f t="shared" ref="AV160:AV172" si="2">i_INORG</f>
        <v>0.11</v>
      </c>
      <c r="AW160" s="754">
        <f t="shared" ref="AW160:AW172" si="3">-i_INORG*(1-i_Ca_INORG*(A_MCa+2*A_MCl)/A_MCa-i_Mg_INORG*(A_MMg+2*A_MCl)/A_MMg)*f_Na</f>
        <v>-2.8804303582798466E-2</v>
      </c>
      <c r="AX160" s="754">
        <f t="shared" ref="AX160:AX172" si="4">-i_INORG*(i_Ca_INORG*(2*A_MCl)/A_MCa+i_Mg_INORG*(2*A_MCl)/A_MMg)-i_INORG*(1-i_Ca_INORG*(A_MCa+2*A_MCl)/A_MCa-i_Mg_INORG*(A_MMg+2*A_MCl)/A_MMg)*(1-f_Na)</f>
        <v>-7.0195696417201539E-2</v>
      </c>
      <c r="AY160" s="754">
        <f t="shared" ref="AY160:AY172" si="5">-i_INORG*i_Ca_INORG</f>
        <v>-5.5000000000000005E-3</v>
      </c>
      <c r="AZ160" s="754">
        <f t="shared" ref="AZ160:AZ172" si="6">-i_INORG*i_Mg_INORG</f>
        <v>-5.5000000000000005E-3</v>
      </c>
      <c r="BA160" s="754">
        <f>0</f>
        <v>0</v>
      </c>
      <c r="BB160" s="2556">
        <f>0</f>
        <v>0</v>
      </c>
      <c r="BC160" s="2850">
        <f>-i_S_BIO</f>
        <v>-0.01</v>
      </c>
      <c r="BD160" s="2556">
        <f>0</f>
        <v>0</v>
      </c>
      <c r="BE160" s="754">
        <f>0</f>
        <v>0</v>
      </c>
      <c r="BF160" s="754">
        <f>0</f>
        <v>0</v>
      </c>
      <c r="BG160" s="754">
        <f>0</f>
        <v>0</v>
      </c>
      <c r="BH160" s="754">
        <f>0</f>
        <v>0</v>
      </c>
      <c r="BI160" s="754">
        <f>0</f>
        <v>0</v>
      </c>
      <c r="BJ160" s="754">
        <f>0</f>
        <v>0</v>
      </c>
      <c r="BK160" s="754">
        <f>0</f>
        <v>0</v>
      </c>
      <c r="BL160" s="754">
        <f>0</f>
        <v>0</v>
      </c>
      <c r="BM160" s="754">
        <f>0</f>
        <v>0</v>
      </c>
      <c r="BN160" s="754">
        <f>0</f>
        <v>0</v>
      </c>
      <c r="BO160" s="754">
        <f>0</f>
        <v>0</v>
      </c>
      <c r="BP160" s="754">
        <f>0</f>
        <v>0</v>
      </c>
      <c r="BQ160" s="754">
        <f>0</f>
        <v>0</v>
      </c>
      <c r="BR160" s="754">
        <f>0</f>
        <v>0</v>
      </c>
      <c r="BS160" s="754">
        <f>0</f>
        <v>0</v>
      </c>
      <c r="BT160" s="754">
        <f>0</f>
        <v>0</v>
      </c>
      <c r="BU160" s="754">
        <f>0</f>
        <v>0</v>
      </c>
      <c r="BV160" s="886">
        <f>0</f>
        <v>0</v>
      </c>
      <c r="BW160" s="754">
        <f>0</f>
        <v>0</v>
      </c>
      <c r="BX160" s="754">
        <f>0</f>
        <v>0</v>
      </c>
      <c r="BY160" s="2556">
        <f>0</f>
        <v>0</v>
      </c>
      <c r="BZ160" s="754">
        <f>0</f>
        <v>0</v>
      </c>
      <c r="CA160" s="886">
        <f>0</f>
        <v>0</v>
      </c>
      <c r="CB160" s="754">
        <f>0</f>
        <v>0</v>
      </c>
      <c r="CC160" s="754">
        <f>0</f>
        <v>0</v>
      </c>
      <c r="CD160" s="754">
        <f>0</f>
        <v>0</v>
      </c>
      <c r="CE160" s="754">
        <f>0</f>
        <v>0</v>
      </c>
      <c r="CF160" s="754">
        <f>0</f>
        <v>0</v>
      </c>
      <c r="CG160" s="754">
        <f>0</f>
        <v>0</v>
      </c>
      <c r="CH160" s="754">
        <f>0</f>
        <v>0</v>
      </c>
      <c r="CI160" s="754">
        <f>0</f>
        <v>0</v>
      </c>
      <c r="CJ160" s="2556">
        <f>0</f>
        <v>0</v>
      </c>
      <c r="CK160" s="754">
        <f>0</f>
        <v>0</v>
      </c>
      <c r="CL160" s="754">
        <f>0</f>
        <v>0</v>
      </c>
      <c r="CM160" s="754">
        <f>0</f>
        <v>0</v>
      </c>
      <c r="CN160" s="754">
        <f>0</f>
        <v>0</v>
      </c>
      <c r="CO160" s="754">
        <f>0</f>
        <v>0</v>
      </c>
      <c r="CP160" s="754">
        <f>0</f>
        <v>0</v>
      </c>
      <c r="CQ160" s="754">
        <f>0</f>
        <v>0</v>
      </c>
      <c r="CR160" s="754">
        <f>0</f>
        <v>0</v>
      </c>
      <c r="CS160" s="2556">
        <f>0</f>
        <v>0</v>
      </c>
      <c r="CT160" s="2556">
        <f>0</f>
        <v>0</v>
      </c>
      <c r="CU160" s="2556">
        <f>0</f>
        <v>0</v>
      </c>
      <c r="CV160" s="2855">
        <f>µ_OHO_T*X_OHO*M_satSVFA_KVFA*M_satSO2_KO2_OHO*M_satSNHx_KNHx_BIO*M_satSPO4_KPO4_BIO*M_satSCAT_KCAT*M_satSAN_KAN*M_satSCa_KCa*M_satSMg_KMg*B_ellinhpH</f>
        <v>36.025541576211332</v>
      </c>
      <c r="CX160" s="2880">
        <f>E299*E160+F299*F160+G299*G160+H299*H160+I299*I160+J299*J160+K299*K160+L299*L160+M299*M160+N299*N160+O299*O160+P299*P160+Q299*Q160+R299*R160+S299*S160+T299*T160+U299*U160+V299*V160+W299*W160+X299*X160+Y299*Y160+Z299*Z160+AA299*AA160+AB299*AB160+AC299*AC160+AD299*AD160+AE299*AE160+AF299*AF160+AG299*AG160+AH299*AH160+AI299*AI160+AJ299*AJ160+AK299*AK160+AL299*AL160+AM299*AM160+AN299*AN160+AO299*AO160+AP299*AP160+AQ299*AQ160+AR299*AR160+AS299*AS160+AT299*AT160+AU299*AU160+AV299*AV160+AW299*AW160+AX299*AX160+AY299*AY160+AZ299*AZ160+BA299*BA160+BB299*BB160+BC299*BC160+BD299*BD160+BE299*BE160+BF299*BF160+BG299*BG160+BH299*BH160+BI299*BI160+BJ299*BJ160+BK299*BK160+BL299*BL160+BM299*BM160+BN299*BN160+BO299*BO160+BP299*BP160+BQ299*BQ160+BR299*BR160+BS299*BS160+BT299*BT160+BU299*BU160+BV299*BV160+BW299*BW160+BX299*BX160+BY299*BY160+BZ299*BZ160+CA299*CA160+CB299*CB160+CC299*CC160+CD299*CD160+CE299*CE160+CF299*CF160+CG299*CG160+CH299*CH160+CI299*CI160+CJ299*CJ160+CK299*CK160+CL299*CL160+CM299*CM160+CN299*CN160+CO299*CO160+CP299*CP160+CQ299*CQ160+CR299*CR160+CS299*CS160+CT299*CT160+CU299*CU160</f>
        <v>0</v>
      </c>
      <c r="CY160" s="2880">
        <f>E300*E160+F300*F160+G300*G160+H300*H160+I300*I160+J300*J160+K300*K160+L300*L160+M300*M160+N300*N160+O300*O160+P300*P160+Q300*Q160+R300*R160+S300*S160+T300*T160+U300*U160+V300*V160+W300*W160+X300*X160+Y300*Y160+Z300*Z160+AA300*AA160+AB300*AB160+AC300*AC160+AD300*AD160+AE300*AE160+AF300*AF160+AG300*AG160+AH300*AH160+AI300*AI160+AJ300*AJ160+AK300*AK160+AL300*AL160+AM300*AM160+AN300*AN160+AO300*AO160+AP300*AP160+AQ300*AQ160+AR300*AR160+AS300*AS160+AT300*AT160+AU300*AU160+AV300*AV160+AW300*AW160+AX300*AX160+AY300*AY160+AZ300*AZ160+BA300*BA160+BB300*BB160+BC300*BC160+BD300*BD160+BE300*BE160+BF300*BF160+BG300*BG160+BH300*BH160+BI300*BI160+BJ300*BJ160+BK300*BK160+BL300*BL160+BM300*BM160+BN300*BN160+BO300*BO160+BP300*BP160+BQ300*BQ160+BR300*BR160+BS300*BS160+BT300*BT160+BU300*BU160+BV300*BV160+BW300*BW160+BX300*BX160+BY300*BY160+BZ300*BZ160+CA300*CA160+CB300*CB160+CC300*CC160+CD300*CD160+CE300*CE160+CF300*CF160+CG300*CG160+CH300*CH160+CI300*CI160+CJ300*CJ160+CK300*CK160+CL300*CL160+CM300*CM160+CN300*CN160+CO300*CO160+CP300*CP160+CQ300*CQ160+CR300*CR160+CS300*CS160+CT300*CT160+CU300*CU160</f>
        <v>0</v>
      </c>
      <c r="CZ160" s="2881">
        <f>E301*E160+F301*F160+G301*G160+H301*H160+I301*I160+J301*J160+K301*K160+L301*L160+M301*M160+N301*N160+O301*O160+P301*P160+Q301*Q160+R301*R160+S301*S160+T301*T160+U301*U160+V301*V160+W301*W160+X301*X160+Y301*Y160+Z301*Z160+AA301*AA160+AB301*AB160+AC301*AC160+AD301*AD160+AE301*AE160+AF301*AF160+AG301*AG160+AH301*AH160+AI301*AI160+AJ301*AJ160+AK301*AK160+AL301*AL160+AM301*AM160+AN301*AN160+AO301*AO160+AP301*AP160+AQ301*AQ160+AR301*AR160+AS301*AS160+AT301*AT160+AU301*AU160+AV301*AV160+AW301*AW160+AX301*AX160+AY301*AY160+AZ301*AZ160+BA301*BA160+BB301*BB160+BC301*BC160+BD301*BD160+BE301*BE160+BF301*BF160+BG301*BG160+BH301*BH160+BI301*BI160+BJ301*BJ160+BK301*BK160+BL301*BL160+BM301*BM160+BN301*BN160+BO301*BO160+BP301*BP160+BQ301*BQ160+BR301*BR160+BS301*BS160+BT301*BT160+BU301*BU160+BV301*BV160+BW301*BW160+BX301*BX160+BY301*BY160+BZ301*BZ160+CA301*CA160+CB301*CB160+CC301*CC160+CD301*CD160+CE301*CE160+CF301*CF160+CG301*CG160+CH301*CH160+CI301*CI160+CJ301*CJ160+CK301*CK160+CL301*CL160+CM301*CM160+CN301*CN160+CO301*CO160+CP301*CP160+CQ301*CQ160+CR301*CR160+CS301*CS160+CT301*CT160+CU301*CU160</f>
        <v>0</v>
      </c>
      <c r="DA160" s="2882">
        <f>E302*E160+F302*F160+G302*G160+H302*H160+I302*I160+J302*J160+K302*K160+L302*L160+M302*M160+N302*N160+O302*O160+P302*P160+Q302*Q160+R302*R160+S302*S160+T302*T160+U302*U160+V302*V160+W302*W160+X302*X160+Y302*Y160+Z302*Z160+AA302*AA160+AB302*AB160+AC302*AC160+AD302*AD160+AE302*AE160+AF302*AF160+AG302*AG160+AH302*AH160+AI302*AI160+AJ302*AJ160+AK302*AK160+AL302*AL160+AM302*AM160+AN302*AN160+AO302*AO160+AP302*AP160+AQ302*AQ160+AR302*AR160+AS302*AS160+AT302*AT160+AU302*AU160+AV302*AV160+AW302*AW160+AX302*AX160+AY302*AY160+AZ302*AZ160+BA302*BA160+BB302*BB160+BC302*BC160+BD302*BD160+BE302*BE160+BF302*BF160+BG302*BG160+BH302*BH160+BI302*BI160+BJ302*BJ160+BK302*BK160+BL302*BL160+BM302*BM160+BN302*BN160+BO302*BO160+BP302*BP160+BQ302*BQ160+BR302*BR160+BS302*BS160+BT302*BT160+BU302*BU160+BV302*BV160+BW302*BW160+BX302*BX160+BY302*BY160+BZ302*BZ160+CA302*CA160+CB302*CB160+CC302*CC160+CD302*CD160+CE302*CE160+CF302*CF160+CG302*CG160+CH302*CH160+CI302*CI160+CJ302*CJ160+CK302*CK160+CL302*CL160+CM302*CM160+CN302*CN160+CO302*CO160+CP302*CP160+CQ302*CQ160+CR302*CR160+CS302*CS160+CT302*CT160+CU302*CU160</f>
        <v>0</v>
      </c>
      <c r="DB160" s="2882">
        <f>E303*E160+F303*F160+G303*G160+H303*H160+I303*I160+J303*J160+K303*K160+L303*L160+M303*M160+N303*N160+O303*O160+P303*P160+Q303*Q160+R303*R160+S303*S160+T303*T160+U303*U160+V303*V160+W303*W160+X303*X160+Y303*Y160+Z303*Z160+AA303*AA160+AB303*AB160+AC303*AC160+AD303*AD160+AE303*AE160+AF303*AF160+AG303*AG160+AH303*AH160+AI303*AI160+AJ303*AJ160+AK303*AK160+AL303*AL160+AM303*AM160+AN303*AN160+AO303*AO160+AP303*AP160+AQ303*AQ160+AR303*AR160+AS303*AS160+AT303*AT160+AU303*AU160+AV303*AV160+AW303*AW160+AX303*AX160+AY303*AY160+AZ303*AZ160+BA303*BA160+BB303*BB160+BC303*BC160+BD303*BD160+BE303*BE160+BF303*BF160+BG303*BG160+BH303*BH160+BI303*BI160+BJ303*BJ160+BK303*BK160+BL303*BL160+BM303*BM160+BN303*BN160+BO303*BO160+BP303*BP160+BQ303*BQ160+BR303*BR160+BS303*BS160+BT303*BT160+BU303*BU160+BV303*BV160+BW303*BW160+BX303*BX160+BY303*BY160+BZ303*BZ160+CA303*CA160+CB303*CB160+CC303*CC160+CD303*CD160+CE303*CE160+CF303*CF160+CG303*CG160+CH303*CH160+CI303*CI160+CJ303*CJ160+CK303*CK160+CL303*CL160+CM303*CM160+CN303*CN160+CO303*CO160+CP303*CP160+CQ303*CQ160+CR303*CR160+CS303*CS160+CT303*CT160+CU303*CU160</f>
        <v>0</v>
      </c>
      <c r="DC160" s="2882">
        <f>E304*E160+F304*F160+G304*G160+H304*H160+I304*I160+J304*J160+K304*K160+L304*L160+M304*M160+N304*N160+O304*O160+P304*P160+Q304*Q160+R304*R160+S304*S160+T304*T160+U304*U160+V304*V160+W304*W160+X304*X160+Y304*Y160+Z304*Z160+AA304*AA160+AB304*AB160+AC304*AC160+AD304*AD160+AE304*AE160+AF304*AF160+AG304*AG160+AH304*AH160+AI304*AI160+AJ304*AJ160+AK304*AK160+AL304*AL160+AM304*AM160+AN304*AN160+AO304*AO160+AP304*AP160+AQ304*AQ160+AR304*AR160+AS304*AS160+AT304*AT160+AU304*AU160+AV304*AV160+AW304*AW160+AX304*AX160+AY304*AY160+AZ304*AZ160+BA304*BA160+BB304*BB160+BC304*BC160+BD304*BD160+BE304*BE160+BF304*BF160+BG304*BG160+BH304*BH160+BI304*BI160+BJ304*BJ160+BK304*BK160+BL304*BL160+BM304*BM160+BN304*BN160+BO304*BO160+BP304*BP160+BQ304*BQ160+BR304*BR160+BS304*BS160+BT304*BT160+BU304*BU160+BV304*BV160+BW304*BW160+BX304*BX160+BY304*BY160+BZ304*BZ160+CA304*CA160+CB304*CB160+CC304*CC160+CD304*CD160+CE304*CE160+CF304*CF160+CG304*CG160+CH304*CH160+CI304*CI160+CJ304*CJ160+CK304*CK160+CL304*CL160+CM304*CM160+CN304*CN160+CO304*CO160+CP304*CP160+CQ304*CQ160+CR304*CR160+CS304*CS160+CT304*CT160+CU304*CU160</f>
        <v>0</v>
      </c>
      <c r="DD160" s="2882">
        <f>E305*E160+F305*F160+G305*G160+H305*H160+I305*I160+J305*J160+K305*K160+L305*L160+M305*M160+N305*N160+O305*O160+P305*P160+Q305*Q160+R305*R160+S305*S160+T305*T160+U305*U160+V305*V160+W305*W160+X305*X160+Y305*Y160+Z305*Z160+AA305*AA160+AB305*AB160+AC305*AC160+AD305*AD160+AE305*AE160+AF305*AF160+AG305*AG160+AH305*AH160+AI305*AI160+AJ305*AJ160+AK305*AK160+AL305*AL160+AM305*AM160+AN305*AN160+AO305*AO160+AP305*AP160+AQ305*AQ160+AR305*AR160+AS305*AS160+AT305*AT160+AU305*AU160+AV305*AV160+AW305*AW160+AX305*AX160+AY305*AY160+AZ305*AZ160+BA305*BA160+BB305*BB160+BC305*BC160+BD305*BD160+BE305*BE160+BF305*BF160+BG305*BG160+BH305*BH160+BI305*BI160+BJ305*BJ160+BK305*BK160+BL305*BL160+BM305*BM160+BN305*BN160+BO305*BO160+BP305*BP160+BQ305*BQ160+BR305*BR160+BS305*BS160+BT305*BT160+BU305*BU160+BV305*BV160+BW305*BW160+BX305*BX160+BY305*BY160+BZ305*BZ160+CA305*CA160+CB305*CB160+CC305*CC160+CD305*CD160+CE305*CE160+CF305*CF160+CG305*CG160+CH305*CH160+CI305*CI160+CJ305*CJ160+CK305*CK160+CL305*CL160+CM305*CM160+CN305*CN160+CO305*CO160+CP305*CP160+CQ305*CQ160+CR305*CR160+CS305*CS160+CT305*CT160+CU305*CU160</f>
        <v>0</v>
      </c>
      <c r="DE160" s="2882">
        <f>E306*E160+F306*F160+G306*G160+H306*H160+I306*I160+J306*J160+K306*K160+L306*L160+M306*M160+N306*N160+O306*O160+P306*P160+Q306*Q160+R306*R160+S306*S160+T306*T160+U306*U160+V306*V160+W306*W160+X306*X160+Y306*Y160+Z306*Z160+AA306*AA160+AB306*AB160+AC306*AC160+AD306*AD160+AE306*AE160+AF306*AF160+AG306*AG160+AH306*AH160+AI306*AI160+AJ306*AJ160+AK306*AK160+AL306*AL160+AM306*AM160+AN306*AN160+AO306*AO160+AP306*AP160+AQ306*AQ160+AR306*AR160+AS306*AS160+AT306*AT160+AU306*AU160+AV306*AV160+AW306*AW160+AX306*AX160+AY306*AY160+AZ306*AZ160+BA306*BA160+BB306*BB160+BC306*BC160+BD306*BD160+BE306*BE160+BF306*BF160+BG306*BG160+BH306*BH160+BI306*BI160+BJ306*BJ160+BK306*BK160+BL306*BL160+BM306*BM160+BN306*BN160+BO306*BO160+BP306*BP160+BQ306*BQ160+BR306*BR160+BS306*BS160+BT306*BT160+BU306*BU160+BV306*BV160+BW306*BW160+BX306*BX160+BY306*BY160+BZ306*BZ160+CA306*CA160+CB306*CB160+CC306*CC160+CD306*CD160+CE306*CE160+CF306*CF160+CG306*CG160+CH306*CH160+CI306*CI160+CJ306*CJ160+CK306*CK160+CL306*CL160+CM306*CM160+CN306*CN160+CO306*CO160+CP306*CP160+CQ306*CQ160+CR306*CR160+CS306*CS160+CT306*CT160+CU306*CU160</f>
        <v>0</v>
      </c>
      <c r="DF160" s="2882">
        <f>E307*E160+F307*F160+G307*G160+H307*H160+I307*I160+J307*J160+K307*K160+L307*L160+M307*M160+N307*N160+O307*O160+P307*P160+Q307*Q160+R307*R160+S307*S160+T307*T160+U307*U160+V307*V160+W307*W160+X307*X160+Y307*Y160+Z307*Z160+AA307*AA160+AB307*AB160+AC307*AC160+AD307*AD160+AE307*AE160+AF307*AF160+AG307*AG160+AH307*AH160+AI307*AI160+AJ307*AJ160+AK307*AK160+AL307*AL160+AM307*AM160+AN307*AN160+AO307*AO160+AP307*AP160+AQ307*AQ160+AR307*AR160+AS307*AS160+AT307*AT160+AU307*AU160+AV307*AV160+AW307*AW160+AX307*AX160+AY307*AY160+AZ307*AZ160+BA307*BA160+BB307*BB160+BC307*BC160+BD307*BD160+BE307*BE160+BF307*BF160+BG307*BG160+BH307*BH160+BI307*BI160+BJ307*BJ160+BK307*BK160+BL307*BL160+BM307*BM160+BN307*BN160+BO307*BO160+BP307*BP160+BQ307*BQ160+BR307*BR160+BS307*BS160+BT307*BT160+BU307*BU160+BV307*BV160+BW307*BW160+BX307*BX160+BY307*BY160+BZ307*BZ160+CA307*CA160+CB307*CB160+CC307*CC160+CD307*CD160+CE307*CE160+CF307*CF160+CG307*CG160+CH307*CH160+CI307*CI160+CJ307*CJ160+CK307*CK160+CL307*CL160+CM307*CM160+CN307*CN160+CO307*CO160+CP307*CP160+CQ307*CQ160+CR307*CR160+CS307*CS160+CT307*CT160+CU307*CU160</f>
        <v>0</v>
      </c>
      <c r="DG160" s="2882">
        <f>E308*E160+F308*F160+G308*G160+H308*H160+I308*I160+J308*J160+K308*K160+L308*L160+M308*M160+N308*N160+O308*O160+P308*P160+Q308*Q160+R308*R160+S308*S160+T308*T160+U308*U160+V308*V160+W308*W160+X308*X160+Y308*Y160+Z308*Z160+AA308*AA160+AB308*AB160+AC308*AC160+AD308*AD160+AE308*AE160+AF308*AF160+AG308*AG160+AH308*AH160+AI308*AI160+AJ308*AJ160+AK308*AK160+AL308*AL160+AM308*AM160+AN308*AN160+AO308*AO160+AP308*AP160+AQ308*AQ160+AR308*AR160+AS308*AS160+AT308*AT160+AU308*AU160+AV308*AV160+AW308*AW160+AX308*AX160+AY308*AY160+AZ308*AZ160+BA308*BA160+BB308*BB160+BC308*BC160+BD308*BD160+BE308*BE160+BF308*BF160+BG308*BG160+BH308*BH160+BI308*BI160+BJ308*BJ160+BK308*BK160+BL308*BL160+BM308*BM160+BN308*BN160+BO308*BO160+BP308*BP160+BQ308*BQ160+BR308*BR160+BS308*BS160+BT308*BT160+BU308*BU160+BV308*BV160+BW308*BW160+BX308*BX160+BY308*BY160+BZ308*BZ160+CA308*CA160+CB308*CB160+CC308*CC160+CD308*CD160+CE308*CE160+CF308*CF160+CG308*CG160+CH308*CH160+CI308*CI160+CJ308*CJ160+CK308*CK160+CL308*CL160+CM308*CM160+CN308*CN160+CO308*CO160+CP308*CP160+CQ308*CQ160+CR308*CR160+CS308*CS160+CT308*CT160+CU308*CU160</f>
        <v>0</v>
      </c>
      <c r="DH160" s="2882">
        <f>E309*E160+F309*F160+G309*G160+H309*H160+I309*I160+J309*J160+K309*K160+L309*L160+M309*M160+N309*N160+O309*O160+P309*P160+Q309*Q160+R309*R160+S309*S160+T309*T160+U309*U160+V309*V160+W309*W160+X309*X160+Y309*Y160+Z309*Z160+AA309*AA160+AB309*AB160+AC309*AC160+AD309*AD160+AE309*AE160+AF309*AF160+AG309*AG160+AH309*AH160+AI309*AI160+AJ309*AJ160+AK309*AK160+AL309*AL160+AM309*AM160+AN309*AN160+AO309*AO160+AP309*AP160+AQ309*AQ160+AR309*AR160+AS309*AS160+AT309*AT160+AU309*AU160+AV309*AV160+AW309*AW160+AX309*AX160+AY309*AY160+AZ309*AZ160+BA309*BA160+BB309*BB160+BC309*BC160+BD309*BD160+BE309*BE160+BF309*BF160+BG309*BG160+BH309*BH160+BI309*BI160+BJ309*BJ160+BK309*BK160+BL309*BL160+BM309*BM160+BN309*BN160+BO309*BO160+BP309*BP160+BQ309*BQ160+BR309*BR160+BS309*BS160+BT309*BT160+BU309*BU160+BV309*BV160+BW309*BW160+BX309*BX160+BY309*BY160+BZ309*BZ160+CA309*CA160+CB309*CB160+CC309*CC160+CD309*CD160+CE309*CE160+CF309*CF160+CG309*CG160+CH309*CH160+CI309*CI160+CJ309*CJ160+CK309*CK160+CL309*CL160+CM309*CM160+CN309*CN160+CO309*CO160+CP309*CP160+CQ309*CQ160+CR309*CR160+CS309*CS160+CT309*CT160+CU309*CU160</f>
        <v>0</v>
      </c>
      <c r="DI160" s="2882">
        <f>E310*E160+F310*F160+G310*G160+H310*H160+I310*I160+J310*J160+K310*K160+L310*L160+M310*M160+N310*N160+O310*O160+P310*P160+Q310*Q160+R310*R160+S310*S160+T310*T160+U310*U160+V310*V160+W310*W160+X310*X160+Y310*Y160+Z310*Z160+AA310*AA160+AB310*AB160+AC310*AC160+AD310*AD160+AE310*AE160+AF310*AF160+AG310*AG160+AH310*AH160+AI310*AI160+AJ310*AJ160+AK310*AK160+AL310*AL160+AM310*AM160+AN310*AN160+AO310*AO160+AP310*AP160+AQ310*AQ160+AR310*AR160+AS310*AS160+AT310*AT160+AU310*AU160+AV310*AV160+AW310*AW160+AX310*AX160+AY310*AY160+AZ310*AZ160+BA310*BA160+BB310*BB160+BC310*BC160+BD310*BD160+BE310*BE160+BF310*BF160+BG310*BG160+BH310*BH160+BI310*BI160+BJ310*BJ160+BK310*BK160+BL310*BL160+BM310*BM160+BN310*BN160+BO310*BO160+BP310*BP160+BQ310*BQ160+BR310*BR160+BS310*BS160+BT310*BT160+BU310*BU160+BV310*BV160+BW310*BW160+BX310*BX160+BY310*BY160+BZ310*BZ160+CA310*CA160+CB310*CB160+CC310*CC160+CD310*CD160+CE310*CE160+CF310*CF160+CG310*CG160+CH310*CH160+CI310*CI160+CJ310*CJ160+CK310*CK160+CL310*CL160+CM310*CM160+CN310*CN160+CO310*CO160+CP310*CP160+CQ310*CQ160+CR310*CR160+CS310*CS160+CT310*CT160+CU310*CU160</f>
        <v>0</v>
      </c>
    </row>
    <row r="161" spans="2:113" ht="15.75" x14ac:dyDescent="0.55000000000000004">
      <c r="B161" s="433">
        <v>2</v>
      </c>
      <c r="C161" s="434" t="s">
        <v>225</v>
      </c>
      <c r="D161" s="759" t="s">
        <v>3775</v>
      </c>
      <c r="E161" s="724">
        <f>-1/Y_OHO_VFA_anox</f>
        <v>-2.2222222222222223</v>
      </c>
      <c r="F161" s="725">
        <f>0</f>
        <v>0</v>
      </c>
      <c r="G161" s="725">
        <f>0</f>
        <v>0</v>
      </c>
      <c r="H161" s="725">
        <f>0</f>
        <v>0</v>
      </c>
      <c r="I161" s="725">
        <f>0</f>
        <v>0</v>
      </c>
      <c r="J161" s="725">
        <f>0</f>
        <v>0</v>
      </c>
      <c r="K161" s="725">
        <f>0</f>
        <v>0</v>
      </c>
      <c r="L161" s="725">
        <f>0</f>
        <v>0</v>
      </c>
      <c r="M161" s="725">
        <f>0</f>
        <v>0</v>
      </c>
      <c r="N161" s="725">
        <f>0</f>
        <v>0</v>
      </c>
      <c r="O161" s="725">
        <f>0</f>
        <v>0</v>
      </c>
      <c r="P161" s="725">
        <f>0</f>
        <v>0</v>
      </c>
      <c r="Q161" s="725">
        <f>1</f>
        <v>1</v>
      </c>
      <c r="R161" s="725">
        <f>0</f>
        <v>0</v>
      </c>
      <c r="S161" s="725">
        <f>0</f>
        <v>0</v>
      </c>
      <c r="T161" s="725">
        <f>0</f>
        <v>0</v>
      </c>
      <c r="U161" s="725">
        <f>0</f>
        <v>0</v>
      </c>
      <c r="V161" s="725">
        <f>0</f>
        <v>0</v>
      </c>
      <c r="W161" s="725">
        <f>0</f>
        <v>0</v>
      </c>
      <c r="X161" s="725">
        <f>0</f>
        <v>0</v>
      </c>
      <c r="Y161" s="725">
        <f>0</f>
        <v>0</v>
      </c>
      <c r="Z161" s="725">
        <f>0</f>
        <v>0</v>
      </c>
      <c r="AA161" s="725">
        <f>0</f>
        <v>0</v>
      </c>
      <c r="AB161" s="724">
        <f t="shared" si="0"/>
        <v>-7.0000000000000007E-2</v>
      </c>
      <c r="AC161" s="724">
        <f>0</f>
        <v>0</v>
      </c>
      <c r="AD161" s="724">
        <f>-(1-Y_OHO_VFA_anox)/(E_EQNO2_NO3*Y_OHO_VFA_anox)</f>
        <v>-1.0699963748640577</v>
      </c>
      <c r="AE161" s="724">
        <f>(1-Y_OHO_VFA_anox)/(E_EQNO2_NO3*Y_OHO_VFA_anox)</f>
        <v>1.0699963748640577</v>
      </c>
      <c r="AF161" s="724">
        <f>0</f>
        <v>0</v>
      </c>
      <c r="AG161" s="724">
        <f>0</f>
        <v>0</v>
      </c>
      <c r="AH161" s="724">
        <f>0</f>
        <v>0</v>
      </c>
      <c r="AI161" s="724">
        <f>0</f>
        <v>0</v>
      </c>
      <c r="AJ161" s="725">
        <f>0</f>
        <v>0</v>
      </c>
      <c r="AK161" s="725">
        <f>0</f>
        <v>0</v>
      </c>
      <c r="AL161" s="725">
        <f>0</f>
        <v>0</v>
      </c>
      <c r="AM161" s="724">
        <f t="shared" si="1"/>
        <v>-0.02</v>
      </c>
      <c r="AN161" s="725">
        <f>0</f>
        <v>0</v>
      </c>
      <c r="AO161" s="725">
        <f>0</f>
        <v>0</v>
      </c>
      <c r="AP161" s="725">
        <f>0</f>
        <v>0</v>
      </c>
      <c r="AQ161" s="725">
        <f>0</f>
        <v>0</v>
      </c>
      <c r="AR161" s="724">
        <f>0</f>
        <v>0</v>
      </c>
      <c r="AS161" s="724">
        <f>0</f>
        <v>0</v>
      </c>
      <c r="AT161" s="724">
        <f>0</f>
        <v>0</v>
      </c>
      <c r="AU161" s="724">
        <f>i_CIT_VFA/Y_OHO_VFA_anox-i_CIT_BIO</f>
        <v>0.48133333333333328</v>
      </c>
      <c r="AV161" s="724">
        <f t="shared" si="2"/>
        <v>0.11</v>
      </c>
      <c r="AW161" s="724">
        <f t="shared" si="3"/>
        <v>-2.8804303582798466E-2</v>
      </c>
      <c r="AX161" s="724">
        <f t="shared" si="4"/>
        <v>-7.0195696417201539E-2</v>
      </c>
      <c r="AY161" s="724">
        <f t="shared" si="5"/>
        <v>-5.5000000000000005E-3</v>
      </c>
      <c r="AZ161" s="724">
        <f t="shared" si="6"/>
        <v>-5.5000000000000005E-3</v>
      </c>
      <c r="BA161" s="724">
        <f>0</f>
        <v>0</v>
      </c>
      <c r="BB161" s="724">
        <f>0</f>
        <v>0</v>
      </c>
      <c r="BC161" s="2850">
        <f>-i_S_BIO</f>
        <v>-0.01</v>
      </c>
      <c r="BD161" s="724">
        <f>0</f>
        <v>0</v>
      </c>
      <c r="BE161" s="724">
        <f>0</f>
        <v>0</v>
      </c>
      <c r="BF161" s="724">
        <f>0</f>
        <v>0</v>
      </c>
      <c r="BG161" s="724">
        <f>0</f>
        <v>0</v>
      </c>
      <c r="BH161" s="724">
        <f>0</f>
        <v>0</v>
      </c>
      <c r="BI161" s="724">
        <f>0</f>
        <v>0</v>
      </c>
      <c r="BJ161" s="724">
        <f>0</f>
        <v>0</v>
      </c>
      <c r="BK161" s="724">
        <f>0</f>
        <v>0</v>
      </c>
      <c r="BL161" s="724">
        <f>0</f>
        <v>0</v>
      </c>
      <c r="BM161" s="724">
        <f>0</f>
        <v>0</v>
      </c>
      <c r="BN161" s="724">
        <f>0</f>
        <v>0</v>
      </c>
      <c r="BO161" s="724">
        <f>0</f>
        <v>0</v>
      </c>
      <c r="BP161" s="724">
        <f>0</f>
        <v>0</v>
      </c>
      <c r="BQ161" s="724">
        <f>0</f>
        <v>0</v>
      </c>
      <c r="BR161" s="724">
        <f>0</f>
        <v>0</v>
      </c>
      <c r="BS161" s="724">
        <f>0</f>
        <v>0</v>
      </c>
      <c r="BT161" s="724">
        <f>0</f>
        <v>0</v>
      </c>
      <c r="BU161" s="724">
        <f>0</f>
        <v>0</v>
      </c>
      <c r="BV161" s="887">
        <f>0</f>
        <v>0</v>
      </c>
      <c r="BW161" s="724">
        <f>0</f>
        <v>0</v>
      </c>
      <c r="BX161" s="724">
        <f>0</f>
        <v>0</v>
      </c>
      <c r="BY161" s="724">
        <f>0</f>
        <v>0</v>
      </c>
      <c r="BZ161" s="724">
        <f>0</f>
        <v>0</v>
      </c>
      <c r="CA161" s="887">
        <f>0</f>
        <v>0</v>
      </c>
      <c r="CB161" s="724">
        <f>0</f>
        <v>0</v>
      </c>
      <c r="CC161" s="724">
        <f>0</f>
        <v>0</v>
      </c>
      <c r="CD161" s="724">
        <f>0</f>
        <v>0</v>
      </c>
      <c r="CE161" s="724">
        <f>0</f>
        <v>0</v>
      </c>
      <c r="CF161" s="724">
        <f>0</f>
        <v>0</v>
      </c>
      <c r="CG161" s="724">
        <f>0</f>
        <v>0</v>
      </c>
      <c r="CH161" s="724">
        <f>0</f>
        <v>0</v>
      </c>
      <c r="CI161" s="724">
        <f>0</f>
        <v>0</v>
      </c>
      <c r="CJ161" s="724">
        <f>0</f>
        <v>0</v>
      </c>
      <c r="CK161" s="724">
        <f>0</f>
        <v>0</v>
      </c>
      <c r="CL161" s="724">
        <f>0</f>
        <v>0</v>
      </c>
      <c r="CM161" s="724">
        <f>0</f>
        <v>0</v>
      </c>
      <c r="CN161" s="724">
        <f>0</f>
        <v>0</v>
      </c>
      <c r="CO161" s="724">
        <f>0</f>
        <v>0</v>
      </c>
      <c r="CP161" s="724">
        <f>0</f>
        <v>0</v>
      </c>
      <c r="CQ161" s="724">
        <f>0</f>
        <v>0</v>
      </c>
      <c r="CR161" s="724">
        <f>0</f>
        <v>0</v>
      </c>
      <c r="CS161" s="724">
        <f>0</f>
        <v>0</v>
      </c>
      <c r="CT161" s="724">
        <f>0</f>
        <v>0</v>
      </c>
      <c r="CU161" s="724">
        <f>0</f>
        <v>0</v>
      </c>
      <c r="CV161" s="2856">
        <f>µ_OHO_T*X_OHO*η_OHO_NO3*M_satSVFA_KVFA_NO3*M_satSNO3_KNO3_OHO*M_inhSO2_KO2_OHO_NO3*M_satSNHx_KNHx_BIO*M_satSPO4_KPO4_BIO*M_satSCAT_KCAT*M_satSAN_KAN*M_satSCa_KCa*M_satSMg_KMg*B_ellinhpH</f>
        <v>0.72743882028888263</v>
      </c>
      <c r="CX161" s="2880">
        <f>E299*E161+F299*F161+G299*G161+H299*H161+I299*I161+J299*J161+K299*K161+L299*L161+M299*M161+N299*N161+O299*O161+P299*P161+Q299*Q161+R299*R161+S299*S161+T299*T161+U299*U161+V299*V161+W299*W161+X299*X161+Y299*Y161+Z299*Z161+AA299*AA161+AB299*AB161+AC299*AC161+AD299*AD161+AE299*AE161+AF299*AF161+AG299*AG161+AH299*AH161+AI299*AI161+AJ299*AJ161+AK299*AK161+AL299*AL161+AM299*AM161+AN299*AN161+AO299*AO161+AP299*AP161+AQ299*AQ161+AR299*AR161+AS299*AS161+AT299*AT161+AU299*AU161+AV299*AV161+AW299*AW161+AX299*AX161+AY299*AY161+AZ299*AZ161+BA299*BA161+BB299*BB161+BC299*BC161+BD299*BD161+BE299*BE161+BF299*BF161+BG299*BG161+BH299*BH161+BI299*BI161+BJ299*BJ161+BK299*BK161+BL299*BL161+BM299*BM161+BN299*BN161+BO299*BO161+BP299*BP161+BQ299*BQ161+BR299*BR161+BS299*BS161+BT299*BT161+BU299*BU161+BV299*BV161+BW299*BW161+BX299*BX161+BY299*BY161+BZ299*BZ161+CA299*CA161+CB299*CB161+CC299*CC161+CD299*CD161+CE299*CE161+CF299*CF161+CG299*CG161+CH299*CH161+CI299*CI161+CJ299*CJ161+CK299*CK161+CL299*CL161+CM299*CM161+CN299*CN161+CO299*CO161+CP299*CP161+CQ299*CQ161+CR299*CR161+CS299*CS161+CT299*CT161+CU299*CU161</f>
        <v>4.4408920985006262E-16</v>
      </c>
      <c r="CY161" s="2880">
        <f>E300*E161+F300*F161+G300*G161+H300*H161+I300*I161+J300*J161+K300*K161+L300*L161+M300*M161+N300*N161+O300*O161+P300*P161+Q300*Q161+R300*R161+S300*S161+T300*T161+U300*U161+V300*V161+W300*W161+X300*X161+Y300*Y161+Z300*Z161+AA300*AA161+AB300*AB161+AC300*AC161+AD300*AD161+AE300*AE161+AF300*AF161+AG300*AG161+AH300*AH161+AI300*AI161+AJ300*AJ161+AK300*AK161+AL300*AL161+AM300*AM161+AN300*AN161+AO300*AO161+AP300*AP161+AQ300*AQ161+AR300*AR161+AS300*AS161+AT300*AT161+AU300*AU161+AV300*AV161+AW300*AW161+AX300*AX161+AY300*AY161+AZ300*AZ161+BA300*BA161+BB300*BB161+BC300*BC161+BD300*BD161+BE300*BE161+BF300*BF161+BG300*BG161+BH300*BH161+BI300*BI161+BJ300*BJ161+BK300*BK161+BL300*BL161+BM300*BM161+BN300*BN161+BO300*BO161+BP300*BP161+BQ300*BQ161+BR300*BR161+BS300*BS161+BT300*BT161+BU300*BU161+BV300*BV161+BW300*BW161+BX300*BX161+BY300*BY161+BZ300*BZ161+CA300*CA161+CB300*CB161+CC300*CC161+CD300*CD161+CE300*CE161+CF300*CF161+CG300*CG161+CH300*CH161+CI300*CI161+CJ300*CJ161+CK300*CK161+CL300*CL161+CM300*CM161+CN300*CN161+CO300*CO161+CP300*CP161+CQ300*CQ161+CR300*CR161+CS300*CS161+CT300*CT161+CU300*CU161</f>
        <v>-1.1102230246251565E-16</v>
      </c>
      <c r="CZ161" s="2881">
        <f>E301*E161+F301*F161+G301*G161+H301*H161+I301*I161+J301*J161+K301*K161+L301*L161+M301*M161+N301*N161+O301*O161+P301*P161+Q301*Q161+R301*R161+S301*S161+T301*T161+U301*U161+V301*V161+W301*W161+X301*X161+Y301*Y161+Z301*Z161+AA301*AA161+AB301*AB161+AC301*AC161+AD301*AD161+AE301*AE161+AF301*AF161+AG301*AG161+AH301*AH161+AI301*AI161+AJ301*AJ161+AK301*AK161+AL301*AL161+AM301*AM161+AN301*AN161+AO301*AO161+AP301*AP161+AQ301*AQ161+AR301*AR161+AS301*AS161+AT301*AT161+AU301*AU161+AV301*AV161+AW301*AW161+AX301*AX161+AY301*AY161+AZ301*AZ161+BA301*BA161+BB301*BB161+BC301*BC161+BD301*BD161+BE301*BE161+BF301*BF161+BG301*BG161+BH301*BH161+BI301*BI161+BJ301*BJ161+BK301*BK161+BL301*BL161+BM301*BM161+BN301*BN161+BO301*BO161+BP301*BP161+BQ301*BQ161+BR301*BR161+BS301*BS161+BT301*BT161+BU301*BU161+BV301*BV161+BW301*BW161+BX301*BX161+BY301*BY161+BZ301*BZ161+CA301*CA161+CB301*CB161+CC301*CC161+CD301*CD161+CE301*CE161+CF301*CF161+CG301*CG161+CH301*CH161+CI301*CI161+CJ301*CJ161+CK301*CK161+CL301*CL161+CM301*CM161+CN301*CN161+CO301*CO161+CP301*CP161+CQ301*CQ161+CR301*CR161+CS301*CS161+CT301*CT161+CU301*CU161</f>
        <v>0</v>
      </c>
      <c r="DA161" s="2882">
        <f>E302*E161+F302*F161+G302*G161+H302*H161+I302*I161+J302*J161+K302*K161+L302*L161+M302*M161+N302*N161+O302*O161+P302*P161+Q302*Q161+R302*R161+S302*S161+T302*T161+U302*U161+V302*V161+W302*W161+X302*X161+Y302*Y161+Z302*Z161+AA302*AA161+AB302*AB161+AC302*AC161+AD302*AD161+AE302*AE161+AF302*AF161+AG302*AG161+AH302*AH161+AI302*AI161+AJ302*AJ161+AK302*AK161+AL302*AL161+AM302*AM161+AN302*AN161+AO302*AO161+AP302*AP161+AQ302*AQ161+AR302*AR161+AS302*AS161+AT302*AT161+AU302*AU161+AV302*AV161+AW302*AW161+AX302*AX161+AY302*AY161+AZ302*AZ161+BA302*BA161+BB302*BB161+BC302*BC161+BD302*BD161+BE302*BE161+BF302*BF161+BG302*BG161+BH302*BH161+BI302*BI161+BJ302*BJ161+BK302*BK161+BL302*BL161+BM302*BM161+BN302*BN161+BO302*BO161+BP302*BP161+BQ302*BQ161+BR302*BR161+BS302*BS161+BT302*BT161+BU302*BU161+BV302*BV161+BW302*BW161+BX302*BX161+BY302*BY161+BZ302*BZ161+CA302*CA161+CB302*CB161+CC302*CC161+CD302*CD161+CE302*CE161+CF302*CF161+CG302*CG161+CH302*CH161+CI302*CI161+CJ302*CJ161+CK302*CK161+CL302*CL161+CM302*CM161+CN302*CN161+CO302*CO161+CP302*CP161+CQ302*CQ161+CR302*CR161+CS302*CS161+CT302*CT161+CU302*CU161</f>
        <v>0</v>
      </c>
      <c r="DB161" s="2882">
        <f>E303*E161+F303*F161+G303*G161+H303*H161+I303*I161+J303*J161+K303*K161+L303*L161+M303*M161+N303*N161+O303*O161+P303*P161+Q303*Q161+R303*R161+S303*S161+T303*T161+U303*U161+V303*V161+W303*W161+X303*X161+Y303*Y161+Z303*Z161+AA303*AA161+AB303*AB161+AC303*AC161+AD303*AD161+AE303*AE161+AF303*AF161+AG303*AG161+AH303*AH161+AI303*AI161+AJ303*AJ161+AK303*AK161+AL303*AL161+AM303*AM161+AN303*AN161+AO303*AO161+AP303*AP161+AQ303*AQ161+AR303*AR161+AS303*AS161+AT303*AT161+AU303*AU161+AV303*AV161+AW303*AW161+AX303*AX161+AY303*AY161+AZ303*AZ161+BA303*BA161+BB303*BB161+BC303*BC161+BD303*BD161+BE303*BE161+BF303*BF161+BG303*BG161+BH303*BH161+BI303*BI161+BJ303*BJ161+BK303*BK161+BL303*BL161+BM303*BM161+BN303*BN161+BO303*BO161+BP303*BP161+BQ303*BQ161+BR303*BR161+BS303*BS161+BT303*BT161+BU303*BU161+BV303*BV161+BW303*BW161+BX303*BX161+BY303*BY161+BZ303*BZ161+CA303*CA161+CB303*CB161+CC303*CC161+CD303*CD161+CE303*CE161+CF303*CF161+CG303*CG161+CH303*CH161+CI303*CI161+CJ303*CJ161+CK303*CK161+CL303*CL161+CM303*CM161+CN303*CN161+CO303*CO161+CP303*CP161+CQ303*CQ161+CR303*CR161+CS303*CS161+CT303*CT161+CU303*CU161</f>
        <v>0</v>
      </c>
      <c r="DC161" s="2882">
        <f>E304*E161+F304*F161+G304*G161+H304*H161+I304*I161+J304*J161+K304*K161+L304*L161+M304*M161+N304*N161+O304*O161+P304*P161+Q304*Q161+R304*R161+S304*S161+T304*T161+U304*U161+V304*V161+W304*W161+X304*X161+Y304*Y161+Z304*Z161+AA304*AA161+AB304*AB161+AC304*AC161+AD304*AD161+AE304*AE161+AF304*AF161+AG304*AG161+AH304*AH161+AI304*AI161+AJ304*AJ161+AK304*AK161+AL304*AL161+AM304*AM161+AN304*AN161+AO304*AO161+AP304*AP161+AQ304*AQ161+AR304*AR161+AS304*AS161+AT304*AT161+AU304*AU161+AV304*AV161+AW304*AW161+AX304*AX161+AY304*AY161+AZ304*AZ161+BA304*BA161+BB304*BB161+BC304*BC161+BD304*BD161+BE304*BE161+BF304*BF161+BG304*BG161+BH304*BH161+BI304*BI161+BJ304*BJ161+BK304*BK161+BL304*BL161+BM304*BM161+BN304*BN161+BO304*BO161+BP304*BP161+BQ304*BQ161+BR304*BR161+BS304*BS161+BT304*BT161+BU304*BU161+BV304*BV161+BW304*BW161+BX304*BX161+BY304*BY161+BZ304*BZ161+CA304*CA161+CB304*CB161+CC304*CC161+CD304*CD161+CE304*CE161+CF304*CF161+CG304*CG161+CH304*CH161+CI304*CI161+CJ304*CJ161+CK304*CK161+CL304*CL161+CM304*CM161+CN304*CN161+CO304*CO161+CP304*CP161+CQ304*CQ161+CR304*CR161+CS304*CS161+CT304*CT161+CU304*CU161</f>
        <v>0</v>
      </c>
      <c r="DD161" s="2882">
        <f>E305*E161+F305*F161+G305*G161+H305*H161+I305*I161+J305*J161+K305*K161+L305*L161+M305*M161+N305*N161+O305*O161+P305*P161+Q305*Q161+R305*R161+S305*S161+T305*T161+U305*U161+V305*V161+W305*W161+X305*X161+Y305*Y161+Z305*Z161+AA305*AA161+AB305*AB161+AC305*AC161+AD305*AD161+AE305*AE161+AF305*AF161+AG305*AG161+AH305*AH161+AI305*AI161+AJ305*AJ161+AK305*AK161+AL305*AL161+AM305*AM161+AN305*AN161+AO305*AO161+AP305*AP161+AQ305*AQ161+AR305*AR161+AS305*AS161+AT305*AT161+AU305*AU161+AV305*AV161+AW305*AW161+AX305*AX161+AY305*AY161+AZ305*AZ161+BA305*BA161+BB305*BB161+BC305*BC161+BD305*BD161+BE305*BE161+BF305*BF161+BG305*BG161+BH305*BH161+BI305*BI161+BJ305*BJ161+BK305*BK161+BL305*BL161+BM305*BM161+BN305*BN161+BO305*BO161+BP305*BP161+BQ305*BQ161+BR305*BR161+BS305*BS161+BT305*BT161+BU305*BU161+BV305*BV161+BW305*BW161+BX305*BX161+BY305*BY161+BZ305*BZ161+CA305*CA161+CB305*CB161+CC305*CC161+CD305*CD161+CE305*CE161+CF305*CF161+CG305*CG161+CH305*CH161+CI305*CI161+CJ305*CJ161+CK305*CK161+CL305*CL161+CM305*CM161+CN305*CN161+CO305*CO161+CP305*CP161+CQ305*CQ161+CR305*CR161+CS305*CS161+CT305*CT161+CU305*CU161</f>
        <v>0</v>
      </c>
      <c r="DE161" s="2882">
        <f>E306*E161+F306*F161+G306*G161+H306*H161+I306*I161+J306*J161+K306*K161+L306*L161+M306*M161+N306*N161+O306*O161+P306*P161+Q306*Q161+R306*R161+S306*S161+T306*T161+U306*U161+V306*V161+W306*W161+X306*X161+Y306*Y161+Z306*Z161+AA306*AA161+AB306*AB161+AC306*AC161+AD306*AD161+AE306*AE161+AF306*AF161+AG306*AG161+AH306*AH161+AI306*AI161+AJ306*AJ161+AK306*AK161+AL306*AL161+AM306*AM161+AN306*AN161+AO306*AO161+AP306*AP161+AQ306*AQ161+AR306*AR161+AS306*AS161+AT306*AT161+AU306*AU161+AV306*AV161+AW306*AW161+AX306*AX161+AY306*AY161+AZ306*AZ161+BA306*BA161+BB306*BB161+BC306*BC161+BD306*BD161+BE306*BE161+BF306*BF161+BG306*BG161+BH306*BH161+BI306*BI161+BJ306*BJ161+BK306*BK161+BL306*BL161+BM306*BM161+BN306*BN161+BO306*BO161+BP306*BP161+BQ306*BQ161+BR306*BR161+BS306*BS161+BT306*BT161+BU306*BU161+BV306*BV161+BW306*BW161+BX306*BX161+BY306*BY161+BZ306*BZ161+CA306*CA161+CB306*CB161+CC306*CC161+CD306*CD161+CE306*CE161+CF306*CF161+CG306*CG161+CH306*CH161+CI306*CI161+CJ306*CJ161+CK306*CK161+CL306*CL161+CM306*CM161+CN306*CN161+CO306*CO161+CP306*CP161+CQ306*CQ161+CR306*CR161+CS306*CS161+CT306*CT161+CU306*CU161</f>
        <v>0</v>
      </c>
      <c r="DF161" s="2882">
        <f>E307*E161+F307*F161+G307*G161+H307*H161+I307*I161+J307*J161+K307*K161+L307*L161+M307*M161+N307*N161+O307*O161+P307*P161+Q307*Q161+R307*R161+S307*S161+T307*T161+U307*U161+V307*V161+W307*W161+X307*X161+Y307*Y161+Z307*Z161+AA307*AA161+AB307*AB161+AC307*AC161+AD307*AD161+AE307*AE161+AF307*AF161+AG307*AG161+AH307*AH161+AI307*AI161+AJ307*AJ161+AK307*AK161+AL307*AL161+AM307*AM161+AN307*AN161+AO307*AO161+AP307*AP161+AQ307*AQ161+AR307*AR161+AS307*AS161+AT307*AT161+AU307*AU161+AV307*AV161+AW307*AW161+AX307*AX161+AY307*AY161+AZ307*AZ161+BA307*BA161+BB307*BB161+BC307*BC161+BD307*BD161+BE307*BE161+BF307*BF161+BG307*BG161+BH307*BH161+BI307*BI161+BJ307*BJ161+BK307*BK161+BL307*BL161+BM307*BM161+BN307*BN161+BO307*BO161+BP307*BP161+BQ307*BQ161+BR307*BR161+BS307*BS161+BT307*BT161+BU307*BU161+BV307*BV161+BW307*BW161+BX307*BX161+BY307*BY161+BZ307*BZ161+CA307*CA161+CB307*CB161+CC307*CC161+CD307*CD161+CE307*CE161+CF307*CF161+CG307*CG161+CH307*CH161+CI307*CI161+CJ307*CJ161+CK307*CK161+CL307*CL161+CM307*CM161+CN307*CN161+CO307*CO161+CP307*CP161+CQ307*CQ161+CR307*CR161+CS307*CS161+CT307*CT161+CU307*CU161</f>
        <v>0</v>
      </c>
      <c r="DG161" s="2882">
        <f>E308*E161+F308*F161+G308*G161+H308*H161+I308*I161+J308*J161+K308*K161+L308*L161+M308*M161+N308*N161+O308*O161+P308*P161+Q308*Q161+R308*R161+S308*S161+T308*T161+U308*U161+V308*V161+W308*W161+X308*X161+Y308*Y161+Z308*Z161+AA308*AA161+AB308*AB161+AC308*AC161+AD308*AD161+AE308*AE161+AF308*AF161+AG308*AG161+AH308*AH161+AI308*AI161+AJ308*AJ161+AK308*AK161+AL308*AL161+AM308*AM161+AN308*AN161+AO308*AO161+AP308*AP161+AQ308*AQ161+AR308*AR161+AS308*AS161+AT308*AT161+AU308*AU161+AV308*AV161+AW308*AW161+AX308*AX161+AY308*AY161+AZ308*AZ161+BA308*BA161+BB308*BB161+BC308*BC161+BD308*BD161+BE308*BE161+BF308*BF161+BG308*BG161+BH308*BH161+BI308*BI161+BJ308*BJ161+BK308*BK161+BL308*BL161+BM308*BM161+BN308*BN161+BO308*BO161+BP308*BP161+BQ308*BQ161+BR308*BR161+BS308*BS161+BT308*BT161+BU308*BU161+BV308*BV161+BW308*BW161+BX308*BX161+BY308*BY161+BZ308*BZ161+CA308*CA161+CB308*CB161+CC308*CC161+CD308*CD161+CE308*CE161+CF308*CF161+CG308*CG161+CH308*CH161+CI308*CI161+CJ308*CJ161+CK308*CK161+CL308*CL161+CM308*CM161+CN308*CN161+CO308*CO161+CP308*CP161+CQ308*CQ161+CR308*CR161+CS308*CS161+CT308*CT161+CU308*CU161</f>
        <v>0</v>
      </c>
      <c r="DH161" s="2882">
        <f>E309*E161+F309*F161+G309*G161+H309*H161+I309*I161+J309*J161+K309*K161+L309*L161+M309*M161+N309*N161+O309*O161+P309*P161+Q309*Q161+R309*R161+S309*S161+T309*T161+U309*U161+V309*V161+W309*W161+X309*X161+Y309*Y161+Z309*Z161+AA309*AA161+AB309*AB161+AC309*AC161+AD309*AD161+AE309*AE161+AF309*AF161+AG309*AG161+AH309*AH161+AI309*AI161+AJ309*AJ161+AK309*AK161+AL309*AL161+AM309*AM161+AN309*AN161+AO309*AO161+AP309*AP161+AQ309*AQ161+AR309*AR161+AS309*AS161+AT309*AT161+AU309*AU161+AV309*AV161+AW309*AW161+AX309*AX161+AY309*AY161+AZ309*AZ161+BA309*BA161+BB309*BB161+BC309*BC161+BD309*BD161+BE309*BE161+BF309*BF161+BG309*BG161+BH309*BH161+BI309*BI161+BJ309*BJ161+BK309*BK161+BL309*BL161+BM309*BM161+BN309*BN161+BO309*BO161+BP309*BP161+BQ309*BQ161+BR309*BR161+BS309*BS161+BT309*BT161+BU309*BU161+BV309*BV161+BW309*BW161+BX309*BX161+BY309*BY161+BZ309*BZ161+CA309*CA161+CB309*CB161+CC309*CC161+CD309*CD161+CE309*CE161+CF309*CF161+CG309*CG161+CH309*CH161+CI309*CI161+CJ309*CJ161+CK309*CK161+CL309*CL161+CM309*CM161+CN309*CN161+CO309*CO161+CP309*CP161+CQ309*CQ161+CR309*CR161+CS309*CS161+CT309*CT161+CU309*CU161</f>
        <v>0</v>
      </c>
      <c r="DI161" s="2882">
        <f>E310*E161+F310*F161+G310*G161+H310*H161+I310*I161+J310*J161+K310*K161+L310*L161+M310*M161+N310*N161+O310*O161+P310*P161+Q310*Q161+R310*R161+S310*S161+T310*T161+U310*U161+V310*V161+W310*W161+X310*X161+Y310*Y161+Z310*Z161+AA310*AA161+AB310*AB161+AC310*AC161+AD310*AD161+AE310*AE161+AF310*AF161+AG310*AG161+AH310*AH161+AI310*AI161+AJ310*AJ161+AK310*AK161+AL310*AL161+AM310*AM161+AN310*AN161+AO310*AO161+AP310*AP161+AQ310*AQ161+AR310*AR161+AS310*AS161+AT310*AT161+AU310*AU161+AV310*AV161+AW310*AW161+AX310*AX161+AY310*AY161+AZ310*AZ161+BA310*BA161+BB310*BB161+BC310*BC161+BD310*BD161+BE310*BE161+BF310*BF161+BG310*BG161+BH310*BH161+BI310*BI161+BJ310*BJ161+BK310*BK161+BL310*BL161+BM310*BM161+BN310*BN161+BO310*BO161+BP310*BP161+BQ310*BQ161+BR310*BR161+BS310*BS161+BT310*BT161+BU310*BU161+BV310*BV161+BW310*BW161+BX310*BX161+BY310*BY161+BZ310*BZ161+CA310*CA161+CB310*CB161+CC310*CC161+CD310*CD161+CE310*CE161+CF310*CF161+CG310*CG161+CH310*CH161+CI310*CI161+CJ310*CJ161+CK310*CK161+CL310*CL161+CM310*CM161+CN310*CN161+CO310*CO161+CP310*CP161+CQ310*CQ161+CR310*CR161+CS310*CS161+CT310*CT161+CU310*CU161</f>
        <v>0</v>
      </c>
    </row>
    <row r="162" spans="2:113" ht="15.75" x14ac:dyDescent="0.55000000000000004">
      <c r="B162" s="433">
        <v>3</v>
      </c>
      <c r="C162" s="434" t="s">
        <v>226</v>
      </c>
      <c r="D162" s="759" t="s">
        <v>3889</v>
      </c>
      <c r="E162" s="724">
        <f>-1/Y_OHO_VFA_anox</f>
        <v>-2.2222222222222223</v>
      </c>
      <c r="F162" s="724">
        <f>0</f>
        <v>0</v>
      </c>
      <c r="G162" s="725">
        <f>0</f>
        <v>0</v>
      </c>
      <c r="H162" s="725">
        <f>0</f>
        <v>0</v>
      </c>
      <c r="I162" s="725">
        <f>0</f>
        <v>0</v>
      </c>
      <c r="J162" s="725">
        <f>0</f>
        <v>0</v>
      </c>
      <c r="K162" s="725">
        <f>0</f>
        <v>0</v>
      </c>
      <c r="L162" s="725">
        <f>0</f>
        <v>0</v>
      </c>
      <c r="M162" s="725">
        <f>0</f>
        <v>0</v>
      </c>
      <c r="N162" s="725">
        <f>0</f>
        <v>0</v>
      </c>
      <c r="O162" s="725">
        <f>0</f>
        <v>0</v>
      </c>
      <c r="P162" s="725">
        <f>0</f>
        <v>0</v>
      </c>
      <c r="Q162" s="725">
        <f>1</f>
        <v>1</v>
      </c>
      <c r="R162" s="725">
        <f>0</f>
        <v>0</v>
      </c>
      <c r="S162" s="725">
        <f>0</f>
        <v>0</v>
      </c>
      <c r="T162" s="725">
        <f>0</f>
        <v>0</v>
      </c>
      <c r="U162" s="725">
        <f>0</f>
        <v>0</v>
      </c>
      <c r="V162" s="725">
        <f>0</f>
        <v>0</v>
      </c>
      <c r="W162" s="725">
        <f>0</f>
        <v>0</v>
      </c>
      <c r="X162" s="725">
        <f>0</f>
        <v>0</v>
      </c>
      <c r="Y162" s="725">
        <f>0</f>
        <v>0</v>
      </c>
      <c r="Z162" s="725">
        <f>0</f>
        <v>0</v>
      </c>
      <c r="AA162" s="725">
        <f>0</f>
        <v>0</v>
      </c>
      <c r="AB162" s="724">
        <f t="shared" si="0"/>
        <v>-7.0000000000000007E-2</v>
      </c>
      <c r="AC162" s="724">
        <f>0</f>
        <v>0</v>
      </c>
      <c r="AD162" s="724">
        <f>0</f>
        <v>0</v>
      </c>
      <c r="AE162" s="724">
        <f>-(1-Y_OHO_VFA_anox)/(E_EQNO_NO2*Y_OHO_VFA_anox)</f>
        <v>-2.1399927497281155</v>
      </c>
      <c r="AF162" s="724">
        <f>0</f>
        <v>0</v>
      </c>
      <c r="AG162" s="724">
        <f>(1-Y_OHO_VFA_anox)/(E_EQNO_NO2*Y_OHO_VFA_anox)</f>
        <v>2.1399927497281155</v>
      </c>
      <c r="AH162" s="724">
        <f>0</f>
        <v>0</v>
      </c>
      <c r="AI162" s="724">
        <f>0</f>
        <v>0</v>
      </c>
      <c r="AJ162" s="725">
        <f>0</f>
        <v>0</v>
      </c>
      <c r="AK162" s="725">
        <f>0</f>
        <v>0</v>
      </c>
      <c r="AL162" s="725">
        <f>0</f>
        <v>0</v>
      </c>
      <c r="AM162" s="724">
        <f t="shared" si="1"/>
        <v>-0.02</v>
      </c>
      <c r="AN162" s="725">
        <f>0</f>
        <v>0</v>
      </c>
      <c r="AO162" s="725">
        <f>0</f>
        <v>0</v>
      </c>
      <c r="AP162" s="725">
        <f>0</f>
        <v>0</v>
      </c>
      <c r="AQ162" s="725">
        <f>0</f>
        <v>0</v>
      </c>
      <c r="AR162" s="724">
        <f>0</f>
        <v>0</v>
      </c>
      <c r="AS162" s="724">
        <f>0</f>
        <v>0</v>
      </c>
      <c r="AT162" s="724">
        <f>0</f>
        <v>0</v>
      </c>
      <c r="AU162" s="724">
        <f>i_CIT_VFA/Y_OHO_VFA_anox-i_CIT_BIO</f>
        <v>0.48133333333333328</v>
      </c>
      <c r="AV162" s="724">
        <f t="shared" si="2"/>
        <v>0.11</v>
      </c>
      <c r="AW162" s="724">
        <f t="shared" si="3"/>
        <v>-2.8804303582798466E-2</v>
      </c>
      <c r="AX162" s="724">
        <f t="shared" si="4"/>
        <v>-7.0195696417201539E-2</v>
      </c>
      <c r="AY162" s="724">
        <f t="shared" si="5"/>
        <v>-5.5000000000000005E-3</v>
      </c>
      <c r="AZ162" s="724">
        <f t="shared" si="6"/>
        <v>-5.5000000000000005E-3</v>
      </c>
      <c r="BA162" s="724">
        <f>0</f>
        <v>0</v>
      </c>
      <c r="BB162" s="724">
        <f>0</f>
        <v>0</v>
      </c>
      <c r="BC162" s="2850">
        <f>-i_S_BIO</f>
        <v>-0.01</v>
      </c>
      <c r="BD162" s="724">
        <f>0</f>
        <v>0</v>
      </c>
      <c r="BE162" s="724">
        <f>0</f>
        <v>0</v>
      </c>
      <c r="BF162" s="724">
        <f>0</f>
        <v>0</v>
      </c>
      <c r="BG162" s="724">
        <f>0</f>
        <v>0</v>
      </c>
      <c r="BH162" s="724">
        <f>0</f>
        <v>0</v>
      </c>
      <c r="BI162" s="724">
        <f>0</f>
        <v>0</v>
      </c>
      <c r="BJ162" s="724">
        <f>0</f>
        <v>0</v>
      </c>
      <c r="BK162" s="724">
        <f>0</f>
        <v>0</v>
      </c>
      <c r="BL162" s="724">
        <f>0</f>
        <v>0</v>
      </c>
      <c r="BM162" s="724">
        <f>0</f>
        <v>0</v>
      </c>
      <c r="BN162" s="724">
        <f>0</f>
        <v>0</v>
      </c>
      <c r="BO162" s="724">
        <f>0</f>
        <v>0</v>
      </c>
      <c r="BP162" s="724">
        <f>0</f>
        <v>0</v>
      </c>
      <c r="BQ162" s="724">
        <f>0</f>
        <v>0</v>
      </c>
      <c r="BR162" s="724">
        <f>0</f>
        <v>0</v>
      </c>
      <c r="BS162" s="724">
        <f>0</f>
        <v>0</v>
      </c>
      <c r="BT162" s="724">
        <f>0</f>
        <v>0</v>
      </c>
      <c r="BU162" s="724">
        <f>0</f>
        <v>0</v>
      </c>
      <c r="BV162" s="887">
        <f>0</f>
        <v>0</v>
      </c>
      <c r="BW162" s="724">
        <f>0</f>
        <v>0</v>
      </c>
      <c r="BX162" s="724">
        <f>0</f>
        <v>0</v>
      </c>
      <c r="BY162" s="724">
        <f>0</f>
        <v>0</v>
      </c>
      <c r="BZ162" s="724">
        <f>0</f>
        <v>0</v>
      </c>
      <c r="CA162" s="887">
        <f>0</f>
        <v>0</v>
      </c>
      <c r="CB162" s="724">
        <f>0</f>
        <v>0</v>
      </c>
      <c r="CC162" s="724">
        <f>0</f>
        <v>0</v>
      </c>
      <c r="CD162" s="724">
        <f>0</f>
        <v>0</v>
      </c>
      <c r="CE162" s="724">
        <f>0</f>
        <v>0</v>
      </c>
      <c r="CF162" s="724">
        <f>0</f>
        <v>0</v>
      </c>
      <c r="CG162" s="724">
        <f>0</f>
        <v>0</v>
      </c>
      <c r="CH162" s="724">
        <f>0</f>
        <v>0</v>
      </c>
      <c r="CI162" s="724">
        <f>0</f>
        <v>0</v>
      </c>
      <c r="CJ162" s="724">
        <f>0</f>
        <v>0</v>
      </c>
      <c r="CK162" s="724">
        <f>0</f>
        <v>0</v>
      </c>
      <c r="CL162" s="724">
        <f>0</f>
        <v>0</v>
      </c>
      <c r="CM162" s="724">
        <f>0</f>
        <v>0</v>
      </c>
      <c r="CN162" s="724">
        <f>0</f>
        <v>0</v>
      </c>
      <c r="CO162" s="724">
        <f>0</f>
        <v>0</v>
      </c>
      <c r="CP162" s="724">
        <f>0</f>
        <v>0</v>
      </c>
      <c r="CQ162" s="724">
        <f>0</f>
        <v>0</v>
      </c>
      <c r="CR162" s="724">
        <f>0</f>
        <v>0</v>
      </c>
      <c r="CS162" s="724">
        <f>0</f>
        <v>0</v>
      </c>
      <c r="CT162" s="724">
        <f>0</f>
        <v>0</v>
      </c>
      <c r="CU162" s="724">
        <f>0</f>
        <v>0</v>
      </c>
      <c r="CV162" s="2856">
        <f>µ_OHO_T*X_OHO*η_OHO_NO2*M_satSVFA_KVFA_NO2*M_satSNO2_KNO2_OHO*M_inhSO2_KO2_OHO_NO2*M_inhSNO_KiNO_OHO_NO2*M_satSNHx_KNHx_BIO*M_satSPO4_KPO4_BIO*M_satSCAT_KCAT*M_satSAN_KAN*M_satSCa_KCa*M_satSMg_KMg*B_ellinhpH</f>
        <v>0.13855977529312047</v>
      </c>
      <c r="CX162" s="2880">
        <f>E299*E162+F299*F162+G299*G162+H299*H162+I299*I162+J299*J162+K299*K162+L299*L162+M299*M162+N299*N162+O299*O162+P299*P162+Q299*Q162+R299*R162+S299*S162+T299*T162+U299*U162+V299*V162+W299*W162+X299*X162+Y299*Y162+Z299*Z162+AA299*AA162+AB299*AB162+AC299*AC162+AD299*AD162+AE299*AE162+AF299*AF162+AG299*AG162+AH299*AH162+AI299*AI162+AJ299*AJ162+AK299*AK162+AL299*AL162+AM299*AM162+AN299*AN162+AO299*AO162+AP299*AP162+AQ299*AQ162+AR299*AR162+AS299*AS162+AT299*AT162+AU299*AU162+AV299*AV162+AW299*AW162+AX299*AX162+AY299*AY162+AZ299*AZ162+BA299*BA162+BB299*BB162+BC299*BC162+BD299*BD162+BE299*BE162+BF299*BF162+BG299*BG162+BH299*BH162+BI299*BI162+BJ299*BJ162+BK299*BK162+BL299*BL162+BM299*BM162+BN299*BN162+BO299*BO162+BP299*BP162+BQ299*BQ162+BR299*BR162+BS299*BS162+BT299*BT162+BU299*BU162+BV299*BV162+BW299*BW162+BX299*BX162+BY299*BY162+BZ299*BZ162+CA299*CA162+CB299*CB162+CC299*CC162+CD299*CD162+CE299*CE162+CF299*CF162+CG299*CG162+CH299*CH162+CI299*CI162+CJ299*CJ162+CK299*CK162+CL299*CL162+CM299*CM162+CN299*CN162+CO299*CO162+CP299*CP162+CQ299*CQ162+CR299*CR162+CS299*CS162+CT299*CT162+CU299*CU162</f>
        <v>-8.8817841970012523E-16</v>
      </c>
      <c r="CY162" s="2880">
        <f>E300*E162+F300*F162+G300*G162+H300*H162+I300*I162+J300*J162+K300*K162+L300*L162+M300*M162+N300*N162+O300*O162+P300*P162+Q300*Q162+R300*R162+S300*S162+T300*T162+U300*U162+V300*V162+W300*W162+X300*X162+Y300*Y162+Z300*Z162+AA300*AA162+AB300*AB162+AC300*AC162+AD300*AD162+AE300*AE162+AF300*AF162+AG300*AG162+AH300*AH162+AI300*AI162+AJ300*AJ162+AK300*AK162+AL300*AL162+AM300*AM162+AN300*AN162+AO300*AO162+AP300*AP162+AQ300*AQ162+AR300*AR162+AS300*AS162+AT300*AT162+AU300*AU162+AV300*AV162+AW300*AW162+AX300*AX162+AY300*AY162+AZ300*AZ162+BA300*BA162+BB300*BB162+BC300*BC162+BD300*BD162+BE300*BE162+BF300*BF162+BG300*BG162+BH300*BH162+BI300*BI162+BJ300*BJ162+BK300*BK162+BL300*BL162+BM300*BM162+BN300*BN162+BO300*BO162+BP300*BP162+BQ300*BQ162+BR300*BR162+BS300*BS162+BT300*BT162+BU300*BU162+BV300*BV162+BW300*BW162+BX300*BX162+BY300*BY162+BZ300*BZ162+CA300*CA162+CB300*CB162+CC300*CC162+CD300*CD162+CE300*CE162+CF300*CF162+CG300*CG162+CH300*CH162+CI300*CI162+CJ300*CJ162+CK300*CK162+CL300*CL162+CM300*CM162+CN300*CN162+CO300*CO162+CP300*CP162+CQ300*CQ162+CR300*CR162+CS300*CS162+CT300*CT162+CU300*CU162</f>
        <v>-1.1102230246251565E-16</v>
      </c>
      <c r="CZ162" s="2881">
        <f>E301*E162+F301*F162+G301*G162+H301*H162+I301*I162+J301*J162+K301*K162+L301*L162+M301*M162+N301*N162+O301*O162+P301*P162+Q301*Q162+R301*R162+S301*S162+T301*T162+U301*U162+V301*V162+W301*W162+X301*X162+Y301*Y162+Z301*Z162+AA301*AA162+AB301*AB162+AC301*AC162+AD301*AD162+AE301*AE162+AF301*AF162+AG301*AG162+AH301*AH162+AI301*AI162+AJ301*AJ162+AK301*AK162+AL301*AL162+AM301*AM162+AN301*AN162+AO301*AO162+AP301*AP162+AQ301*AQ162+AR301*AR162+AS301*AS162+AT301*AT162+AU301*AU162+AV301*AV162+AW301*AW162+AX301*AX162+AY301*AY162+AZ301*AZ162+BA301*BA162+BB301*BB162+BC301*BC162+BD301*BD162+BE301*BE162+BF301*BF162+BG301*BG162+BH301*BH162+BI301*BI162+BJ301*BJ162+BK301*BK162+BL301*BL162+BM301*BM162+BN301*BN162+BO301*BO162+BP301*BP162+BQ301*BQ162+BR301*BR162+BS301*BS162+BT301*BT162+BU301*BU162+BV301*BV162+BW301*BW162+BX301*BX162+BY301*BY162+BZ301*BZ162+CA301*CA162+CB301*CB162+CC301*CC162+CD301*CD162+CE301*CE162+CF301*CF162+CG301*CG162+CH301*CH162+CI301*CI162+CJ301*CJ162+CK301*CK162+CL301*CL162+CM301*CM162+CN301*CN162+CO301*CO162+CP301*CP162+CQ301*CQ162+CR301*CR162+CS301*CS162+CT301*CT162+CU301*CU162</f>
        <v>0</v>
      </c>
      <c r="DA162" s="2882">
        <f>E302*E162+F302*F162+G302*G162+H302*H162+I302*I162+J302*J162+K302*K162+L302*L162+M302*M162+N302*N162+O302*O162+P302*P162+Q302*Q162+R302*R162+S302*S162+T302*T162+U302*U162+V302*V162+W302*W162+X302*X162+Y302*Y162+Z302*Z162+AA302*AA162+AB302*AB162+AC302*AC162+AD302*AD162+AE302*AE162+AF302*AF162+AG302*AG162+AH302*AH162+AI302*AI162+AJ302*AJ162+AK302*AK162+AL302*AL162+AM302*AM162+AN302*AN162+AO302*AO162+AP302*AP162+AQ302*AQ162+AR302*AR162+AS302*AS162+AT302*AT162+AU302*AU162+AV302*AV162+AW302*AW162+AX302*AX162+AY302*AY162+AZ302*AZ162+BA302*BA162+BB302*BB162+BC302*BC162+BD302*BD162+BE302*BE162+BF302*BF162+BG302*BG162+BH302*BH162+BI302*BI162+BJ302*BJ162+BK302*BK162+BL302*BL162+BM302*BM162+BN302*BN162+BO302*BO162+BP302*BP162+BQ302*BQ162+BR302*BR162+BS302*BS162+BT302*BT162+BU302*BU162+BV302*BV162+BW302*BW162+BX302*BX162+BY302*BY162+BZ302*BZ162+CA302*CA162+CB302*CB162+CC302*CC162+CD302*CD162+CE302*CE162+CF302*CF162+CG302*CG162+CH302*CH162+CI302*CI162+CJ302*CJ162+CK302*CK162+CL302*CL162+CM302*CM162+CN302*CN162+CO302*CO162+CP302*CP162+CQ302*CQ162+CR302*CR162+CS302*CS162+CT302*CT162+CU302*CU162</f>
        <v>0</v>
      </c>
      <c r="DB162" s="2882">
        <f>E303*E162+F303*F162+G303*G162+H303*H162+I303*I162+J303*J162+K303*K162+L303*L162+M303*M162+N303*N162+O303*O162+P303*P162+Q303*Q162+R303*R162+S303*S162+T303*T162+U303*U162+V303*V162+W303*W162+X303*X162+Y303*Y162+Z303*Z162+AA303*AA162+AB303*AB162+AC303*AC162+AD303*AD162+AE303*AE162+AF303*AF162+AG303*AG162+AH303*AH162+AI303*AI162+AJ303*AJ162+AK303*AK162+AL303*AL162+AM303*AM162+AN303*AN162+AO303*AO162+AP303*AP162+AQ303*AQ162+AR303*AR162+AS303*AS162+AT303*AT162+AU303*AU162+AV303*AV162+AW303*AW162+AX303*AX162+AY303*AY162+AZ303*AZ162+BA303*BA162+BB303*BB162+BC303*BC162+BD303*BD162+BE303*BE162+BF303*BF162+BG303*BG162+BH303*BH162+BI303*BI162+BJ303*BJ162+BK303*BK162+BL303*BL162+BM303*BM162+BN303*BN162+BO303*BO162+BP303*BP162+BQ303*BQ162+BR303*BR162+BS303*BS162+BT303*BT162+BU303*BU162+BV303*BV162+BW303*BW162+BX303*BX162+BY303*BY162+BZ303*BZ162+CA303*CA162+CB303*CB162+CC303*CC162+CD303*CD162+CE303*CE162+CF303*CF162+CG303*CG162+CH303*CH162+CI303*CI162+CJ303*CJ162+CK303*CK162+CL303*CL162+CM303*CM162+CN303*CN162+CO303*CO162+CP303*CP162+CQ303*CQ162+CR303*CR162+CS303*CS162+CT303*CT162+CU303*CU162</f>
        <v>0</v>
      </c>
      <c r="DC162" s="2882">
        <f>E304*E162+F304*F162+G304*G162+H304*H162+I304*I162+J304*J162+K304*K162+L304*L162+M304*M162+N304*N162+O304*O162+P304*P162+Q304*Q162+R304*R162+S304*S162+T304*T162+U304*U162+V304*V162+W304*W162+X304*X162+Y304*Y162+Z304*Z162+AA304*AA162+AB304*AB162+AC304*AC162+AD304*AD162+AE304*AE162+AF304*AF162+AG304*AG162+AH304*AH162+AI304*AI162+AJ304*AJ162+AK304*AK162+AL304*AL162+AM304*AM162+AN304*AN162+AO304*AO162+AP304*AP162+AQ304*AQ162+AR304*AR162+AS304*AS162+AT304*AT162+AU304*AU162+AV304*AV162+AW304*AW162+AX304*AX162+AY304*AY162+AZ304*AZ162+BA304*BA162+BB304*BB162+BC304*BC162+BD304*BD162+BE304*BE162+BF304*BF162+BG304*BG162+BH304*BH162+BI304*BI162+BJ304*BJ162+BK304*BK162+BL304*BL162+BM304*BM162+BN304*BN162+BO304*BO162+BP304*BP162+BQ304*BQ162+BR304*BR162+BS304*BS162+BT304*BT162+BU304*BU162+BV304*BV162+BW304*BW162+BX304*BX162+BY304*BY162+BZ304*BZ162+CA304*CA162+CB304*CB162+CC304*CC162+CD304*CD162+CE304*CE162+CF304*CF162+CG304*CG162+CH304*CH162+CI304*CI162+CJ304*CJ162+CK304*CK162+CL304*CL162+CM304*CM162+CN304*CN162+CO304*CO162+CP304*CP162+CQ304*CQ162+CR304*CR162+CS304*CS162+CT304*CT162+CU304*CU162</f>
        <v>0</v>
      </c>
      <c r="DD162" s="2882">
        <f>E305*E162+F305*F162+G305*G162+H305*H162+I305*I162+J305*J162+K305*K162+L305*L162+M305*M162+N305*N162+O305*O162+P305*P162+Q305*Q162+R305*R162+S305*S162+T305*T162+U305*U162+V305*V162+W305*W162+X305*X162+Y305*Y162+Z305*Z162+AA305*AA162+AB305*AB162+AC305*AC162+AD305*AD162+AE305*AE162+AF305*AF162+AG305*AG162+AH305*AH162+AI305*AI162+AJ305*AJ162+AK305*AK162+AL305*AL162+AM305*AM162+AN305*AN162+AO305*AO162+AP305*AP162+AQ305*AQ162+AR305*AR162+AS305*AS162+AT305*AT162+AU305*AU162+AV305*AV162+AW305*AW162+AX305*AX162+AY305*AY162+AZ305*AZ162+BA305*BA162+BB305*BB162+BC305*BC162+BD305*BD162+BE305*BE162+BF305*BF162+BG305*BG162+BH305*BH162+BI305*BI162+BJ305*BJ162+BK305*BK162+BL305*BL162+BM305*BM162+BN305*BN162+BO305*BO162+BP305*BP162+BQ305*BQ162+BR305*BR162+BS305*BS162+BT305*BT162+BU305*BU162+BV305*BV162+BW305*BW162+BX305*BX162+BY305*BY162+BZ305*BZ162+CA305*CA162+CB305*CB162+CC305*CC162+CD305*CD162+CE305*CE162+CF305*CF162+CG305*CG162+CH305*CH162+CI305*CI162+CJ305*CJ162+CK305*CK162+CL305*CL162+CM305*CM162+CN305*CN162+CO305*CO162+CP305*CP162+CQ305*CQ162+CR305*CR162+CS305*CS162+CT305*CT162+CU305*CU162</f>
        <v>0</v>
      </c>
      <c r="DE162" s="2882">
        <f>E306*E162+F306*F162+G306*G162+H306*H162+I306*I162+J306*J162+K306*K162+L306*L162+M306*M162+N306*N162+O306*O162+P306*P162+Q306*Q162+R306*R162+S306*S162+T306*T162+U306*U162+V306*V162+W306*W162+X306*X162+Y306*Y162+Z306*Z162+AA306*AA162+AB306*AB162+AC306*AC162+AD306*AD162+AE306*AE162+AF306*AF162+AG306*AG162+AH306*AH162+AI306*AI162+AJ306*AJ162+AK306*AK162+AL306*AL162+AM306*AM162+AN306*AN162+AO306*AO162+AP306*AP162+AQ306*AQ162+AR306*AR162+AS306*AS162+AT306*AT162+AU306*AU162+AV306*AV162+AW306*AW162+AX306*AX162+AY306*AY162+AZ306*AZ162+BA306*BA162+BB306*BB162+BC306*BC162+BD306*BD162+BE306*BE162+BF306*BF162+BG306*BG162+BH306*BH162+BI306*BI162+BJ306*BJ162+BK306*BK162+BL306*BL162+BM306*BM162+BN306*BN162+BO306*BO162+BP306*BP162+BQ306*BQ162+BR306*BR162+BS306*BS162+BT306*BT162+BU306*BU162+BV306*BV162+BW306*BW162+BX306*BX162+BY306*BY162+BZ306*BZ162+CA306*CA162+CB306*CB162+CC306*CC162+CD306*CD162+CE306*CE162+CF306*CF162+CG306*CG162+CH306*CH162+CI306*CI162+CJ306*CJ162+CK306*CK162+CL306*CL162+CM306*CM162+CN306*CN162+CO306*CO162+CP306*CP162+CQ306*CQ162+CR306*CR162+CS306*CS162+CT306*CT162+CU306*CU162</f>
        <v>0</v>
      </c>
      <c r="DF162" s="2882">
        <f>E307*E162+F307*F162+G307*G162+H307*H162+I307*I162+J307*J162+K307*K162+L307*L162+M307*M162+N307*N162+O307*O162+P307*P162+Q307*Q162+R307*R162+S307*S162+T307*T162+U307*U162+V307*V162+W307*W162+X307*X162+Y307*Y162+Z307*Z162+AA307*AA162+AB307*AB162+AC307*AC162+AD307*AD162+AE307*AE162+AF307*AF162+AG307*AG162+AH307*AH162+AI307*AI162+AJ307*AJ162+AK307*AK162+AL307*AL162+AM307*AM162+AN307*AN162+AO307*AO162+AP307*AP162+AQ307*AQ162+AR307*AR162+AS307*AS162+AT307*AT162+AU307*AU162+AV307*AV162+AW307*AW162+AX307*AX162+AY307*AY162+AZ307*AZ162+BA307*BA162+BB307*BB162+BC307*BC162+BD307*BD162+BE307*BE162+BF307*BF162+BG307*BG162+BH307*BH162+BI307*BI162+BJ307*BJ162+BK307*BK162+BL307*BL162+BM307*BM162+BN307*BN162+BO307*BO162+BP307*BP162+BQ307*BQ162+BR307*BR162+BS307*BS162+BT307*BT162+BU307*BU162+BV307*BV162+BW307*BW162+BX307*BX162+BY307*BY162+BZ307*BZ162+CA307*CA162+CB307*CB162+CC307*CC162+CD307*CD162+CE307*CE162+CF307*CF162+CG307*CG162+CH307*CH162+CI307*CI162+CJ307*CJ162+CK307*CK162+CL307*CL162+CM307*CM162+CN307*CN162+CO307*CO162+CP307*CP162+CQ307*CQ162+CR307*CR162+CS307*CS162+CT307*CT162+CU307*CU162</f>
        <v>0</v>
      </c>
      <c r="DG162" s="2882">
        <f>E308*E162+F308*F162+G308*G162+H308*H162+I308*I162+J308*J162+K308*K162+L308*L162+M308*M162+N308*N162+O308*O162+P308*P162+Q308*Q162+R308*R162+S308*S162+T308*T162+U308*U162+V308*V162+W308*W162+X308*X162+Y308*Y162+Z308*Z162+AA308*AA162+AB308*AB162+AC308*AC162+AD308*AD162+AE308*AE162+AF308*AF162+AG308*AG162+AH308*AH162+AI308*AI162+AJ308*AJ162+AK308*AK162+AL308*AL162+AM308*AM162+AN308*AN162+AO308*AO162+AP308*AP162+AQ308*AQ162+AR308*AR162+AS308*AS162+AT308*AT162+AU308*AU162+AV308*AV162+AW308*AW162+AX308*AX162+AY308*AY162+AZ308*AZ162+BA308*BA162+BB308*BB162+BC308*BC162+BD308*BD162+BE308*BE162+BF308*BF162+BG308*BG162+BH308*BH162+BI308*BI162+BJ308*BJ162+BK308*BK162+BL308*BL162+BM308*BM162+BN308*BN162+BO308*BO162+BP308*BP162+BQ308*BQ162+BR308*BR162+BS308*BS162+BT308*BT162+BU308*BU162+BV308*BV162+BW308*BW162+BX308*BX162+BY308*BY162+BZ308*BZ162+CA308*CA162+CB308*CB162+CC308*CC162+CD308*CD162+CE308*CE162+CF308*CF162+CG308*CG162+CH308*CH162+CI308*CI162+CJ308*CJ162+CK308*CK162+CL308*CL162+CM308*CM162+CN308*CN162+CO308*CO162+CP308*CP162+CQ308*CQ162+CR308*CR162+CS308*CS162+CT308*CT162+CU308*CU162</f>
        <v>0</v>
      </c>
      <c r="DH162" s="2882">
        <f>E309*E162+F309*F162+G309*G162+H309*H162+I309*I162+J309*J162+K309*K162+L309*L162+M309*M162+N309*N162+O309*O162+P309*P162+Q309*Q162+R309*R162+S309*S162+T309*T162+U309*U162+V309*V162+W309*W162+X309*X162+Y309*Y162+Z309*Z162+AA309*AA162+AB309*AB162+AC309*AC162+AD309*AD162+AE309*AE162+AF309*AF162+AG309*AG162+AH309*AH162+AI309*AI162+AJ309*AJ162+AK309*AK162+AL309*AL162+AM309*AM162+AN309*AN162+AO309*AO162+AP309*AP162+AQ309*AQ162+AR309*AR162+AS309*AS162+AT309*AT162+AU309*AU162+AV309*AV162+AW309*AW162+AX309*AX162+AY309*AY162+AZ309*AZ162+BA309*BA162+BB309*BB162+BC309*BC162+BD309*BD162+BE309*BE162+BF309*BF162+BG309*BG162+BH309*BH162+BI309*BI162+BJ309*BJ162+BK309*BK162+BL309*BL162+BM309*BM162+BN309*BN162+BO309*BO162+BP309*BP162+BQ309*BQ162+BR309*BR162+BS309*BS162+BT309*BT162+BU309*BU162+BV309*BV162+BW309*BW162+BX309*BX162+BY309*BY162+BZ309*BZ162+CA309*CA162+CB309*CB162+CC309*CC162+CD309*CD162+CE309*CE162+CF309*CF162+CG309*CG162+CH309*CH162+CI309*CI162+CJ309*CJ162+CK309*CK162+CL309*CL162+CM309*CM162+CN309*CN162+CO309*CO162+CP309*CP162+CQ309*CQ162+CR309*CR162+CS309*CS162+CT309*CT162+CU309*CU162</f>
        <v>0</v>
      </c>
      <c r="DI162" s="2882">
        <f>E310*E162+F310*F162+G310*G162+H310*H162+I310*I162+J310*J162+K310*K162+L310*L162+M310*M162+N310*N162+O310*O162+P310*P162+Q310*Q162+R310*R162+S310*S162+T310*T162+U310*U162+V310*V162+W310*W162+X310*X162+Y310*Y162+Z310*Z162+AA310*AA162+AB310*AB162+AC310*AC162+AD310*AD162+AE310*AE162+AF310*AF162+AG310*AG162+AH310*AH162+AI310*AI162+AJ310*AJ162+AK310*AK162+AL310*AL162+AM310*AM162+AN310*AN162+AO310*AO162+AP310*AP162+AQ310*AQ162+AR310*AR162+AS310*AS162+AT310*AT162+AU310*AU162+AV310*AV162+AW310*AW162+AX310*AX162+AY310*AY162+AZ310*AZ162+BA310*BA162+BB310*BB162+BC310*BC162+BD310*BD162+BE310*BE162+BF310*BF162+BG310*BG162+BH310*BH162+BI310*BI162+BJ310*BJ162+BK310*BK162+BL310*BL162+BM310*BM162+BN310*BN162+BO310*BO162+BP310*BP162+BQ310*BQ162+BR310*BR162+BS310*BS162+BT310*BT162+BU310*BU162+BV310*BV162+BW310*BW162+BX310*BX162+BY310*BY162+BZ310*BZ162+CA310*CA162+CB310*CB162+CC310*CC162+CD310*CD162+CE310*CE162+CF310*CF162+CG310*CG162+CH310*CH162+CI310*CI162+CJ310*CJ162+CK310*CK162+CL310*CL162+CM310*CM162+CN310*CN162+CO310*CO162+CP310*CP162+CQ310*CQ162+CR310*CR162+CS310*CS162+CT310*CT162+CU310*CU162</f>
        <v>0</v>
      </c>
    </row>
    <row r="163" spans="2:113" x14ac:dyDescent="0.45">
      <c r="B163" s="433">
        <v>4</v>
      </c>
      <c r="C163" s="434" t="s">
        <v>227</v>
      </c>
      <c r="D163" s="759" t="s">
        <v>3890</v>
      </c>
      <c r="E163" s="724">
        <f>-1/Y_OHO_VFA_anox</f>
        <v>-2.2222222222222223</v>
      </c>
      <c r="F163" s="724">
        <f>0</f>
        <v>0</v>
      </c>
      <c r="G163" s="725">
        <f>0</f>
        <v>0</v>
      </c>
      <c r="H163" s="725">
        <f>0</f>
        <v>0</v>
      </c>
      <c r="I163" s="725">
        <f>0</f>
        <v>0</v>
      </c>
      <c r="J163" s="725">
        <f>0</f>
        <v>0</v>
      </c>
      <c r="K163" s="725">
        <f>0</f>
        <v>0</v>
      </c>
      <c r="L163" s="725">
        <f>0</f>
        <v>0</v>
      </c>
      <c r="M163" s="725">
        <f>0</f>
        <v>0</v>
      </c>
      <c r="N163" s="725">
        <f>0</f>
        <v>0</v>
      </c>
      <c r="O163" s="725">
        <f>0</f>
        <v>0</v>
      </c>
      <c r="P163" s="725">
        <f>0</f>
        <v>0</v>
      </c>
      <c r="Q163" s="725">
        <f>1</f>
        <v>1</v>
      </c>
      <c r="R163" s="725">
        <f>0</f>
        <v>0</v>
      </c>
      <c r="S163" s="725">
        <f>0</f>
        <v>0</v>
      </c>
      <c r="T163" s="725">
        <f>0</f>
        <v>0</v>
      </c>
      <c r="U163" s="725">
        <f>0</f>
        <v>0</v>
      </c>
      <c r="V163" s="725">
        <f>0</f>
        <v>0</v>
      </c>
      <c r="W163" s="725">
        <f>0</f>
        <v>0</v>
      </c>
      <c r="X163" s="725">
        <f>0</f>
        <v>0</v>
      </c>
      <c r="Y163" s="725">
        <f>0</f>
        <v>0</v>
      </c>
      <c r="Z163" s="725">
        <f>0</f>
        <v>0</v>
      </c>
      <c r="AA163" s="725">
        <f>0</f>
        <v>0</v>
      </c>
      <c r="AB163" s="724">
        <f t="shared" si="0"/>
        <v>-7.0000000000000007E-2</v>
      </c>
      <c r="AC163" s="724">
        <f>0</f>
        <v>0</v>
      </c>
      <c r="AD163" s="724">
        <f>0</f>
        <v>0</v>
      </c>
      <c r="AE163" s="724">
        <f>0</f>
        <v>0</v>
      </c>
      <c r="AF163" s="724">
        <f>0</f>
        <v>0</v>
      </c>
      <c r="AG163" s="724">
        <f>-(1-Y_OHO_VFA_anox)/(E_EQN2O_NO*Y_OHO_VFA_anox)</f>
        <v>-2.1399927497281155</v>
      </c>
      <c r="AH163" s="724">
        <f>(1-Y_OHO_VFA_anox)/(E_EQN2O_NO*Y_OHO_VFA_anox)</f>
        <v>2.1399927497281155</v>
      </c>
      <c r="AI163" s="724">
        <f>0</f>
        <v>0</v>
      </c>
      <c r="AJ163" s="725">
        <f>0</f>
        <v>0</v>
      </c>
      <c r="AK163" s="725">
        <f>0</f>
        <v>0</v>
      </c>
      <c r="AL163" s="725">
        <f>0</f>
        <v>0</v>
      </c>
      <c r="AM163" s="724">
        <f t="shared" si="1"/>
        <v>-0.02</v>
      </c>
      <c r="AN163" s="725">
        <f>0</f>
        <v>0</v>
      </c>
      <c r="AO163" s="725">
        <f>0</f>
        <v>0</v>
      </c>
      <c r="AP163" s="725">
        <f>0</f>
        <v>0</v>
      </c>
      <c r="AQ163" s="725">
        <f>0</f>
        <v>0</v>
      </c>
      <c r="AR163" s="724">
        <f>0</f>
        <v>0</v>
      </c>
      <c r="AS163" s="724">
        <f>0</f>
        <v>0</v>
      </c>
      <c r="AT163" s="724">
        <f>0</f>
        <v>0</v>
      </c>
      <c r="AU163" s="724">
        <f>i_CIT_VFA/Y_OHO_VFA_anox-i_CIT_BIO</f>
        <v>0.48133333333333328</v>
      </c>
      <c r="AV163" s="724">
        <f t="shared" si="2"/>
        <v>0.11</v>
      </c>
      <c r="AW163" s="724">
        <f t="shared" si="3"/>
        <v>-2.8804303582798466E-2</v>
      </c>
      <c r="AX163" s="724">
        <f t="shared" si="4"/>
        <v>-7.0195696417201539E-2</v>
      </c>
      <c r="AY163" s="724">
        <f t="shared" si="5"/>
        <v>-5.5000000000000005E-3</v>
      </c>
      <c r="AZ163" s="724">
        <f t="shared" si="6"/>
        <v>-5.5000000000000005E-3</v>
      </c>
      <c r="BA163" s="724">
        <f>0</f>
        <v>0</v>
      </c>
      <c r="BB163" s="724">
        <f>0</f>
        <v>0</v>
      </c>
      <c r="BC163" s="2850">
        <f>-i_S_BIO</f>
        <v>-0.01</v>
      </c>
      <c r="BD163" s="724">
        <f>0</f>
        <v>0</v>
      </c>
      <c r="BE163" s="724">
        <f>0</f>
        <v>0</v>
      </c>
      <c r="BF163" s="724">
        <f>0</f>
        <v>0</v>
      </c>
      <c r="BG163" s="724">
        <f>0</f>
        <v>0</v>
      </c>
      <c r="BH163" s="724">
        <f>0</f>
        <v>0</v>
      </c>
      <c r="BI163" s="724">
        <f>0</f>
        <v>0</v>
      </c>
      <c r="BJ163" s="724">
        <f>0</f>
        <v>0</v>
      </c>
      <c r="BK163" s="724">
        <f>0</f>
        <v>0</v>
      </c>
      <c r="BL163" s="724">
        <f>0</f>
        <v>0</v>
      </c>
      <c r="BM163" s="724">
        <f>0</f>
        <v>0</v>
      </c>
      <c r="BN163" s="724">
        <f>0</f>
        <v>0</v>
      </c>
      <c r="BO163" s="724">
        <f>0</f>
        <v>0</v>
      </c>
      <c r="BP163" s="724">
        <f>0</f>
        <v>0</v>
      </c>
      <c r="BQ163" s="724">
        <f>0</f>
        <v>0</v>
      </c>
      <c r="BR163" s="724">
        <f>0</f>
        <v>0</v>
      </c>
      <c r="BS163" s="724">
        <f>0</f>
        <v>0</v>
      </c>
      <c r="BT163" s="724">
        <f>0</f>
        <v>0</v>
      </c>
      <c r="BU163" s="724">
        <f>0</f>
        <v>0</v>
      </c>
      <c r="BV163" s="887">
        <f>0</f>
        <v>0</v>
      </c>
      <c r="BW163" s="724">
        <f>0</f>
        <v>0</v>
      </c>
      <c r="BX163" s="724">
        <f>0</f>
        <v>0</v>
      </c>
      <c r="BY163" s="724">
        <f>0</f>
        <v>0</v>
      </c>
      <c r="BZ163" s="724">
        <f>0</f>
        <v>0</v>
      </c>
      <c r="CA163" s="887">
        <f>0</f>
        <v>0</v>
      </c>
      <c r="CB163" s="724">
        <f>0</f>
        <v>0</v>
      </c>
      <c r="CC163" s="724">
        <f>0</f>
        <v>0</v>
      </c>
      <c r="CD163" s="724">
        <f>0</f>
        <v>0</v>
      </c>
      <c r="CE163" s="724">
        <f>0</f>
        <v>0</v>
      </c>
      <c r="CF163" s="724">
        <f>0</f>
        <v>0</v>
      </c>
      <c r="CG163" s="724">
        <f>0</f>
        <v>0</v>
      </c>
      <c r="CH163" s="724">
        <f>0</f>
        <v>0</v>
      </c>
      <c r="CI163" s="724">
        <f>0</f>
        <v>0</v>
      </c>
      <c r="CJ163" s="724">
        <f>0</f>
        <v>0</v>
      </c>
      <c r="CK163" s="724">
        <f>0</f>
        <v>0</v>
      </c>
      <c r="CL163" s="724">
        <f>0</f>
        <v>0</v>
      </c>
      <c r="CM163" s="724">
        <f>0</f>
        <v>0</v>
      </c>
      <c r="CN163" s="724">
        <f>0</f>
        <v>0</v>
      </c>
      <c r="CO163" s="724">
        <f>0</f>
        <v>0</v>
      </c>
      <c r="CP163" s="724">
        <f>0</f>
        <v>0</v>
      </c>
      <c r="CQ163" s="724">
        <f>0</f>
        <v>0</v>
      </c>
      <c r="CR163" s="724">
        <f>0</f>
        <v>0</v>
      </c>
      <c r="CS163" s="724">
        <f>0</f>
        <v>0</v>
      </c>
      <c r="CT163" s="724">
        <f>0</f>
        <v>0</v>
      </c>
      <c r="CU163" s="724">
        <f>0</f>
        <v>0</v>
      </c>
      <c r="CV163" s="2856">
        <f>µ_OHO_T*X_OHO*η_OHO_NO*M_satSVFA_KVFA_NO*H_satSNO_KNO_OHO*M_inhSO2_KO2_OHO_NO*M_satSNHx_KNHx_BIO*M_satSPO4_KPO4_BIO*M_satSCAT_KCAT*M_satSAN_KAN*M_satSCa_KCa*M_satSMg_KMg*B_ellinhpH</f>
        <v>0.26514125225482638</v>
      </c>
      <c r="CX163" s="2880">
        <f>E299*E163+F299*F163+G299*G163+H299*H163+I299*I163+J299*J163+K299*K163+L299*L163+M299*M163+N299*N163+O299*O163+P299*P163+Q299*Q163+R299*R163+S299*S163+T299*T163+U299*U163+V299*V163+W299*W163+X299*X163+Y299*Y163+Z299*Z163+AA299*AA163+AB299*AB163+AC299*AC163+AD299*AD163+AE299*AE163+AF299*AF163+AG299*AG163+AH299*AH163+AI299*AI163+AJ299*AJ163+AK299*AK163+AL299*AL163+AM299*AM163+AN299*AN163+AO299*AO163+AP299*AP163+AQ299*AQ163+AR299*AR163+AS299*AS163+AT299*AT163+AU299*AU163+AV299*AV163+AW299*AW163+AX299*AX163+AY299*AY163+AZ299*AZ163+BA299*BA163+BB299*BB163+BC299*BC163+BD299*BD163+BE299*BE163+BF299*BF163+BG299*BG163+BH299*BH163+BI299*BI163+BJ299*BJ163+BK299*BK163+BL299*BL163+BM299*BM163+BN299*BN163+BO299*BO163+BP299*BP163+BQ299*BQ163+BR299*BR163+BS299*BS163+BT299*BT163+BU299*BU163+BV299*BV163+BW299*BW163+BX299*BX163+BY299*BY163+BZ299*BZ163+CA299*CA163+CB299*CB163+CC299*CC163+CD299*CD163+CE299*CE163+CF299*CF163+CG299*CG163+CH299*CH163+CI299*CI163+CJ299*CJ163+CK299*CK163+CL299*CL163+CM299*CM163+CN299*CN163+CO299*CO163+CP299*CP163+CQ299*CQ163+CR299*CR163+CS299*CS163+CT299*CT163+CU299*CU163</f>
        <v>8.8817841970012523E-16</v>
      </c>
      <c r="CY163" s="2880">
        <f>E300*E163+F300*F163+G300*G163+H300*H163+I300*I163+J300*J163+K300*K163+L300*L163+M300*M163+N300*N163+O300*O163+P300*P163+Q300*Q163+R300*R163+S300*S163+T300*T163+U300*U163+V300*V163+W300*W163+X300*X163+Y300*Y163+Z300*Z163+AA300*AA163+AB300*AB163+AC300*AC163+AD300*AD163+AE300*AE163+AF300*AF163+AG300*AG163+AH300*AH163+AI300*AI163+AJ300*AJ163+AK300*AK163+AL300*AL163+AM300*AM163+AN300*AN163+AO300*AO163+AP300*AP163+AQ300*AQ163+AR300*AR163+AS300*AS163+AT300*AT163+AU300*AU163+AV300*AV163+AW300*AW163+AX300*AX163+AY300*AY163+AZ300*AZ163+BA300*BA163+BB300*BB163+BC300*BC163+BD300*BD163+BE300*BE163+BF300*BF163+BG300*BG163+BH300*BH163+BI300*BI163+BJ300*BJ163+BK300*BK163+BL300*BL163+BM300*BM163+BN300*BN163+BO300*BO163+BP300*BP163+BQ300*BQ163+BR300*BR163+BS300*BS163+BT300*BT163+BU300*BU163+BV300*BV163+BW300*BW163+BX300*BX163+BY300*BY163+BZ300*BZ163+CA300*CA163+CB300*CB163+CC300*CC163+CD300*CD163+CE300*CE163+CF300*CF163+CG300*CG163+CH300*CH163+CI300*CI163+CJ300*CJ163+CK300*CK163+CL300*CL163+CM300*CM163+CN300*CN163+CO300*CO163+CP300*CP163+CQ300*CQ163+CR300*CR163+CS300*CS163+CT300*CT163+CU300*CU163</f>
        <v>-1.1102230246251565E-16</v>
      </c>
      <c r="CZ163" s="2881">
        <f>E301*E163+F301*F163+G301*G163+H301*H163+I301*I163+J301*J163+K301*K163+L301*L163+M301*M163+N301*N163+O301*O163+P301*P163+Q301*Q163+R301*R163+S301*S163+T301*T163+U301*U163+V301*V163+W301*W163+X301*X163+Y301*Y163+Z301*Z163+AA301*AA163+AB301*AB163+AC301*AC163+AD301*AD163+AE301*AE163+AF301*AF163+AG301*AG163+AH301*AH163+AI301*AI163+AJ301*AJ163+AK301*AK163+AL301*AL163+AM301*AM163+AN301*AN163+AO301*AO163+AP301*AP163+AQ301*AQ163+AR301*AR163+AS301*AS163+AT301*AT163+AU301*AU163+AV301*AV163+AW301*AW163+AX301*AX163+AY301*AY163+AZ301*AZ163+BA301*BA163+BB301*BB163+BC301*BC163+BD301*BD163+BE301*BE163+BF301*BF163+BG301*BG163+BH301*BH163+BI301*BI163+BJ301*BJ163+BK301*BK163+BL301*BL163+BM301*BM163+BN301*BN163+BO301*BO163+BP301*BP163+BQ301*BQ163+BR301*BR163+BS301*BS163+BT301*BT163+BU301*BU163+BV301*BV163+BW301*BW163+BX301*BX163+BY301*BY163+BZ301*BZ163+CA301*CA163+CB301*CB163+CC301*CC163+CD301*CD163+CE301*CE163+CF301*CF163+CG301*CG163+CH301*CH163+CI301*CI163+CJ301*CJ163+CK301*CK163+CL301*CL163+CM301*CM163+CN301*CN163+CO301*CO163+CP301*CP163+CQ301*CQ163+CR301*CR163+CS301*CS163+CT301*CT163+CU301*CU163</f>
        <v>0</v>
      </c>
      <c r="DA163" s="2882">
        <f>E302*E163+F302*F163+G302*G163+H302*H163+I302*I163+J302*J163+K302*K163+L302*L163+M302*M163+N302*N163+O302*O163+P302*P163+Q302*Q163+R302*R163+S302*S163+T302*T163+U302*U163+V302*V163+W302*W163+X302*X163+Y302*Y163+Z302*Z163+AA302*AA163+AB302*AB163+AC302*AC163+AD302*AD163+AE302*AE163+AF302*AF163+AG302*AG163+AH302*AH163+AI302*AI163+AJ302*AJ163+AK302*AK163+AL302*AL163+AM302*AM163+AN302*AN163+AO302*AO163+AP302*AP163+AQ302*AQ163+AR302*AR163+AS302*AS163+AT302*AT163+AU302*AU163+AV302*AV163+AW302*AW163+AX302*AX163+AY302*AY163+AZ302*AZ163+BA302*BA163+BB302*BB163+BC302*BC163+BD302*BD163+BE302*BE163+BF302*BF163+BG302*BG163+BH302*BH163+BI302*BI163+BJ302*BJ163+BK302*BK163+BL302*BL163+BM302*BM163+BN302*BN163+BO302*BO163+BP302*BP163+BQ302*BQ163+BR302*BR163+BS302*BS163+BT302*BT163+BU302*BU163+BV302*BV163+BW302*BW163+BX302*BX163+BY302*BY163+BZ302*BZ163+CA302*CA163+CB302*CB163+CC302*CC163+CD302*CD163+CE302*CE163+CF302*CF163+CG302*CG163+CH302*CH163+CI302*CI163+CJ302*CJ163+CK302*CK163+CL302*CL163+CM302*CM163+CN302*CN163+CO302*CO163+CP302*CP163+CQ302*CQ163+CR302*CR163+CS302*CS163+CT302*CT163+CU302*CU163</f>
        <v>0</v>
      </c>
      <c r="DB163" s="2882">
        <f>E303*E163+F303*F163+G303*G163+H303*H163+I303*I163+J303*J163+K303*K163+L303*L163+M303*M163+N303*N163+O303*O163+P303*P163+Q303*Q163+R303*R163+S303*S163+T303*T163+U303*U163+V303*V163+W303*W163+X303*X163+Y303*Y163+Z303*Z163+AA303*AA163+AB303*AB163+AC303*AC163+AD303*AD163+AE303*AE163+AF303*AF163+AG303*AG163+AH303*AH163+AI303*AI163+AJ303*AJ163+AK303*AK163+AL303*AL163+AM303*AM163+AN303*AN163+AO303*AO163+AP303*AP163+AQ303*AQ163+AR303*AR163+AS303*AS163+AT303*AT163+AU303*AU163+AV303*AV163+AW303*AW163+AX303*AX163+AY303*AY163+AZ303*AZ163+BA303*BA163+BB303*BB163+BC303*BC163+BD303*BD163+BE303*BE163+BF303*BF163+BG303*BG163+BH303*BH163+BI303*BI163+BJ303*BJ163+BK303*BK163+BL303*BL163+BM303*BM163+BN303*BN163+BO303*BO163+BP303*BP163+BQ303*BQ163+BR303*BR163+BS303*BS163+BT303*BT163+BU303*BU163+BV303*BV163+BW303*BW163+BX303*BX163+BY303*BY163+BZ303*BZ163+CA303*CA163+CB303*CB163+CC303*CC163+CD303*CD163+CE303*CE163+CF303*CF163+CG303*CG163+CH303*CH163+CI303*CI163+CJ303*CJ163+CK303*CK163+CL303*CL163+CM303*CM163+CN303*CN163+CO303*CO163+CP303*CP163+CQ303*CQ163+CR303*CR163+CS303*CS163+CT303*CT163+CU303*CU163</f>
        <v>0</v>
      </c>
      <c r="DC163" s="2882">
        <f>E304*E163+F304*F163+G304*G163+H304*H163+I304*I163+J304*J163+K304*K163+L304*L163+M304*M163+N304*N163+O304*O163+P304*P163+Q304*Q163+R304*R163+S304*S163+T304*T163+U304*U163+V304*V163+W304*W163+X304*X163+Y304*Y163+Z304*Z163+AA304*AA163+AB304*AB163+AC304*AC163+AD304*AD163+AE304*AE163+AF304*AF163+AG304*AG163+AH304*AH163+AI304*AI163+AJ304*AJ163+AK304*AK163+AL304*AL163+AM304*AM163+AN304*AN163+AO304*AO163+AP304*AP163+AQ304*AQ163+AR304*AR163+AS304*AS163+AT304*AT163+AU304*AU163+AV304*AV163+AW304*AW163+AX304*AX163+AY304*AY163+AZ304*AZ163+BA304*BA163+BB304*BB163+BC304*BC163+BD304*BD163+BE304*BE163+BF304*BF163+BG304*BG163+BH304*BH163+BI304*BI163+BJ304*BJ163+BK304*BK163+BL304*BL163+BM304*BM163+BN304*BN163+BO304*BO163+BP304*BP163+BQ304*BQ163+BR304*BR163+BS304*BS163+BT304*BT163+BU304*BU163+BV304*BV163+BW304*BW163+BX304*BX163+BY304*BY163+BZ304*BZ163+CA304*CA163+CB304*CB163+CC304*CC163+CD304*CD163+CE304*CE163+CF304*CF163+CG304*CG163+CH304*CH163+CI304*CI163+CJ304*CJ163+CK304*CK163+CL304*CL163+CM304*CM163+CN304*CN163+CO304*CO163+CP304*CP163+CQ304*CQ163+CR304*CR163+CS304*CS163+CT304*CT163+CU304*CU163</f>
        <v>0</v>
      </c>
      <c r="DD163" s="2882">
        <f>E305*E163+F305*F163+G305*G163+H305*H163+I305*I163+J305*J163+K305*K163+L305*L163+M305*M163+N305*N163+O305*O163+P305*P163+Q305*Q163+R305*R163+S305*S163+T305*T163+U305*U163+V305*V163+W305*W163+X305*X163+Y305*Y163+Z305*Z163+AA305*AA163+AB305*AB163+AC305*AC163+AD305*AD163+AE305*AE163+AF305*AF163+AG305*AG163+AH305*AH163+AI305*AI163+AJ305*AJ163+AK305*AK163+AL305*AL163+AM305*AM163+AN305*AN163+AO305*AO163+AP305*AP163+AQ305*AQ163+AR305*AR163+AS305*AS163+AT305*AT163+AU305*AU163+AV305*AV163+AW305*AW163+AX305*AX163+AY305*AY163+AZ305*AZ163+BA305*BA163+BB305*BB163+BC305*BC163+BD305*BD163+BE305*BE163+BF305*BF163+BG305*BG163+BH305*BH163+BI305*BI163+BJ305*BJ163+BK305*BK163+BL305*BL163+BM305*BM163+BN305*BN163+BO305*BO163+BP305*BP163+BQ305*BQ163+BR305*BR163+BS305*BS163+BT305*BT163+BU305*BU163+BV305*BV163+BW305*BW163+BX305*BX163+BY305*BY163+BZ305*BZ163+CA305*CA163+CB305*CB163+CC305*CC163+CD305*CD163+CE305*CE163+CF305*CF163+CG305*CG163+CH305*CH163+CI305*CI163+CJ305*CJ163+CK305*CK163+CL305*CL163+CM305*CM163+CN305*CN163+CO305*CO163+CP305*CP163+CQ305*CQ163+CR305*CR163+CS305*CS163+CT305*CT163+CU305*CU163</f>
        <v>0</v>
      </c>
      <c r="DE163" s="2882">
        <f>E306*E163+F306*F163+G306*G163+H306*H163+I306*I163+J306*J163+K306*K163+L306*L163+M306*M163+N306*N163+O306*O163+P306*P163+Q306*Q163+R306*R163+S306*S163+T306*T163+U306*U163+V306*V163+W306*W163+X306*X163+Y306*Y163+Z306*Z163+AA306*AA163+AB306*AB163+AC306*AC163+AD306*AD163+AE306*AE163+AF306*AF163+AG306*AG163+AH306*AH163+AI306*AI163+AJ306*AJ163+AK306*AK163+AL306*AL163+AM306*AM163+AN306*AN163+AO306*AO163+AP306*AP163+AQ306*AQ163+AR306*AR163+AS306*AS163+AT306*AT163+AU306*AU163+AV306*AV163+AW306*AW163+AX306*AX163+AY306*AY163+AZ306*AZ163+BA306*BA163+BB306*BB163+BC306*BC163+BD306*BD163+BE306*BE163+BF306*BF163+BG306*BG163+BH306*BH163+BI306*BI163+BJ306*BJ163+BK306*BK163+BL306*BL163+BM306*BM163+BN306*BN163+BO306*BO163+BP306*BP163+BQ306*BQ163+BR306*BR163+BS306*BS163+BT306*BT163+BU306*BU163+BV306*BV163+BW306*BW163+BX306*BX163+BY306*BY163+BZ306*BZ163+CA306*CA163+CB306*CB163+CC306*CC163+CD306*CD163+CE306*CE163+CF306*CF163+CG306*CG163+CH306*CH163+CI306*CI163+CJ306*CJ163+CK306*CK163+CL306*CL163+CM306*CM163+CN306*CN163+CO306*CO163+CP306*CP163+CQ306*CQ163+CR306*CR163+CS306*CS163+CT306*CT163+CU306*CU163</f>
        <v>0</v>
      </c>
      <c r="DF163" s="2882">
        <f>E307*E163+F307*F163+G307*G163+H307*H163+I307*I163+J307*J163+K307*K163+L307*L163+M307*M163+N307*N163+O307*O163+P307*P163+Q307*Q163+R307*R163+S307*S163+T307*T163+U307*U163+V307*V163+W307*W163+X307*X163+Y307*Y163+Z307*Z163+AA307*AA163+AB307*AB163+AC307*AC163+AD307*AD163+AE307*AE163+AF307*AF163+AG307*AG163+AH307*AH163+AI307*AI163+AJ307*AJ163+AK307*AK163+AL307*AL163+AM307*AM163+AN307*AN163+AO307*AO163+AP307*AP163+AQ307*AQ163+AR307*AR163+AS307*AS163+AT307*AT163+AU307*AU163+AV307*AV163+AW307*AW163+AX307*AX163+AY307*AY163+AZ307*AZ163+BA307*BA163+BB307*BB163+BC307*BC163+BD307*BD163+BE307*BE163+BF307*BF163+BG307*BG163+BH307*BH163+BI307*BI163+BJ307*BJ163+BK307*BK163+BL307*BL163+BM307*BM163+BN307*BN163+BO307*BO163+BP307*BP163+BQ307*BQ163+BR307*BR163+BS307*BS163+BT307*BT163+BU307*BU163+BV307*BV163+BW307*BW163+BX307*BX163+BY307*BY163+BZ307*BZ163+CA307*CA163+CB307*CB163+CC307*CC163+CD307*CD163+CE307*CE163+CF307*CF163+CG307*CG163+CH307*CH163+CI307*CI163+CJ307*CJ163+CK307*CK163+CL307*CL163+CM307*CM163+CN307*CN163+CO307*CO163+CP307*CP163+CQ307*CQ163+CR307*CR163+CS307*CS163+CT307*CT163+CU307*CU163</f>
        <v>0</v>
      </c>
      <c r="DG163" s="2882">
        <f>E308*E163+F308*F163+G308*G163+H308*H163+I308*I163+J308*J163+K308*K163+L308*L163+M308*M163+N308*N163+O308*O163+P308*P163+Q308*Q163+R308*R163+S308*S163+T308*T163+U308*U163+V308*V163+W308*W163+X308*X163+Y308*Y163+Z308*Z163+AA308*AA163+AB308*AB163+AC308*AC163+AD308*AD163+AE308*AE163+AF308*AF163+AG308*AG163+AH308*AH163+AI308*AI163+AJ308*AJ163+AK308*AK163+AL308*AL163+AM308*AM163+AN308*AN163+AO308*AO163+AP308*AP163+AQ308*AQ163+AR308*AR163+AS308*AS163+AT308*AT163+AU308*AU163+AV308*AV163+AW308*AW163+AX308*AX163+AY308*AY163+AZ308*AZ163+BA308*BA163+BB308*BB163+BC308*BC163+BD308*BD163+BE308*BE163+BF308*BF163+BG308*BG163+BH308*BH163+BI308*BI163+BJ308*BJ163+BK308*BK163+BL308*BL163+BM308*BM163+BN308*BN163+BO308*BO163+BP308*BP163+BQ308*BQ163+BR308*BR163+BS308*BS163+BT308*BT163+BU308*BU163+BV308*BV163+BW308*BW163+BX308*BX163+BY308*BY163+BZ308*BZ163+CA308*CA163+CB308*CB163+CC308*CC163+CD308*CD163+CE308*CE163+CF308*CF163+CG308*CG163+CH308*CH163+CI308*CI163+CJ308*CJ163+CK308*CK163+CL308*CL163+CM308*CM163+CN308*CN163+CO308*CO163+CP308*CP163+CQ308*CQ163+CR308*CR163+CS308*CS163+CT308*CT163+CU308*CU163</f>
        <v>0</v>
      </c>
      <c r="DH163" s="2882">
        <f>E309*E163+F309*F163+G309*G163+H309*H163+I309*I163+J309*J163+K309*K163+L309*L163+M309*M163+N309*N163+O309*O163+P309*P163+Q309*Q163+R309*R163+S309*S163+T309*T163+U309*U163+V309*V163+W309*W163+X309*X163+Y309*Y163+Z309*Z163+AA309*AA163+AB309*AB163+AC309*AC163+AD309*AD163+AE309*AE163+AF309*AF163+AG309*AG163+AH309*AH163+AI309*AI163+AJ309*AJ163+AK309*AK163+AL309*AL163+AM309*AM163+AN309*AN163+AO309*AO163+AP309*AP163+AQ309*AQ163+AR309*AR163+AS309*AS163+AT309*AT163+AU309*AU163+AV309*AV163+AW309*AW163+AX309*AX163+AY309*AY163+AZ309*AZ163+BA309*BA163+BB309*BB163+BC309*BC163+BD309*BD163+BE309*BE163+BF309*BF163+BG309*BG163+BH309*BH163+BI309*BI163+BJ309*BJ163+BK309*BK163+BL309*BL163+BM309*BM163+BN309*BN163+BO309*BO163+BP309*BP163+BQ309*BQ163+BR309*BR163+BS309*BS163+BT309*BT163+BU309*BU163+BV309*BV163+BW309*BW163+BX309*BX163+BY309*BY163+BZ309*BZ163+CA309*CA163+CB309*CB163+CC309*CC163+CD309*CD163+CE309*CE163+CF309*CF163+CG309*CG163+CH309*CH163+CI309*CI163+CJ309*CJ163+CK309*CK163+CL309*CL163+CM309*CM163+CN309*CN163+CO309*CO163+CP309*CP163+CQ309*CQ163+CR309*CR163+CS309*CS163+CT309*CT163+CU309*CU163</f>
        <v>0</v>
      </c>
      <c r="DI163" s="2882">
        <f>E310*E163+F310*F163+G310*G163+H310*H163+I310*I163+J310*J163+K310*K163+L310*L163+M310*M163+N310*N163+O310*O163+P310*P163+Q310*Q163+R310*R163+S310*S163+T310*T163+U310*U163+V310*V163+W310*W163+X310*X163+Y310*Y163+Z310*Z163+AA310*AA163+AB310*AB163+AC310*AC163+AD310*AD163+AE310*AE163+AF310*AF163+AG310*AG163+AH310*AH163+AI310*AI163+AJ310*AJ163+AK310*AK163+AL310*AL163+AM310*AM163+AN310*AN163+AO310*AO163+AP310*AP163+AQ310*AQ163+AR310*AR163+AS310*AS163+AT310*AT163+AU310*AU163+AV310*AV163+AW310*AW163+AX310*AX163+AY310*AY163+AZ310*AZ163+BA310*BA163+BB310*BB163+BC310*BC163+BD310*BD163+BE310*BE163+BF310*BF163+BG310*BG163+BH310*BH163+BI310*BI163+BJ310*BJ163+BK310*BK163+BL310*BL163+BM310*BM163+BN310*BN163+BO310*BO163+BP310*BP163+BQ310*BQ163+BR310*BR163+BS310*BS163+BT310*BT163+BU310*BU163+BV310*BV163+BW310*BW163+BX310*BX163+BY310*BY163+BZ310*BZ163+CA310*CA163+CB310*CB163+CC310*CC163+CD310*CD163+CE310*CE163+CF310*CF163+CG310*CG163+CH310*CH163+CI310*CI163+CJ310*CJ163+CK310*CK163+CL310*CL163+CM310*CM163+CN310*CN163+CO310*CO163+CP310*CP163+CQ310*CQ163+CR310*CR163+CS310*CS163+CT310*CT163+CU310*CU163</f>
        <v>0</v>
      </c>
    </row>
    <row r="164" spans="2:113" ht="15.75" x14ac:dyDescent="0.55000000000000004">
      <c r="B164" s="433">
        <v>5</v>
      </c>
      <c r="C164" s="434" t="s">
        <v>228</v>
      </c>
      <c r="D164" s="759" t="s">
        <v>3891</v>
      </c>
      <c r="E164" s="724">
        <f>-1/Y_OHO_VFA_anox</f>
        <v>-2.2222222222222223</v>
      </c>
      <c r="F164" s="724">
        <f>0</f>
        <v>0</v>
      </c>
      <c r="G164" s="725">
        <f>0</f>
        <v>0</v>
      </c>
      <c r="H164" s="725">
        <f>0</f>
        <v>0</v>
      </c>
      <c r="I164" s="725">
        <f>0</f>
        <v>0</v>
      </c>
      <c r="J164" s="725">
        <f>0</f>
        <v>0</v>
      </c>
      <c r="K164" s="725">
        <f>0</f>
        <v>0</v>
      </c>
      <c r="L164" s="725">
        <f>0</f>
        <v>0</v>
      </c>
      <c r="M164" s="725">
        <f>0</f>
        <v>0</v>
      </c>
      <c r="N164" s="725">
        <f>0</f>
        <v>0</v>
      </c>
      <c r="O164" s="725">
        <f>0</f>
        <v>0</v>
      </c>
      <c r="P164" s="725">
        <f>0</f>
        <v>0</v>
      </c>
      <c r="Q164" s="725">
        <f>1</f>
        <v>1</v>
      </c>
      <c r="R164" s="725">
        <f>0</f>
        <v>0</v>
      </c>
      <c r="S164" s="725">
        <f>0</f>
        <v>0</v>
      </c>
      <c r="T164" s="725">
        <f>0</f>
        <v>0</v>
      </c>
      <c r="U164" s="725">
        <f>0</f>
        <v>0</v>
      </c>
      <c r="V164" s="725">
        <f>0</f>
        <v>0</v>
      </c>
      <c r="W164" s="725">
        <f>0</f>
        <v>0</v>
      </c>
      <c r="X164" s="725">
        <f>0</f>
        <v>0</v>
      </c>
      <c r="Y164" s="725">
        <f>0</f>
        <v>0</v>
      </c>
      <c r="Z164" s="725">
        <f>0</f>
        <v>0</v>
      </c>
      <c r="AA164" s="725">
        <f>0</f>
        <v>0</v>
      </c>
      <c r="AB164" s="724">
        <f t="shared" si="0"/>
        <v>-7.0000000000000007E-2</v>
      </c>
      <c r="AC164" s="724">
        <f>0</f>
        <v>0</v>
      </c>
      <c r="AD164" s="724">
        <f>0</f>
        <v>0</v>
      </c>
      <c r="AE164" s="724">
        <f>0</f>
        <v>0</v>
      </c>
      <c r="AF164" s="724">
        <f>0</f>
        <v>0</v>
      </c>
      <c r="AG164" s="724">
        <f>0</f>
        <v>0</v>
      </c>
      <c r="AH164" s="724">
        <f>-(1-Y_OHO_VFA_anox)/(E_EQN2_N2O*Y_OHO_VFA_anox)</f>
        <v>-2.1399927497281155</v>
      </c>
      <c r="AI164" s="724">
        <f>(1-Y_OHO_VFA_anox)/(E_EQN2_N2O*Y_OHO_VFA_anox)</f>
        <v>2.1399927497281155</v>
      </c>
      <c r="AJ164" s="725">
        <f>0</f>
        <v>0</v>
      </c>
      <c r="AK164" s="725">
        <f>0</f>
        <v>0</v>
      </c>
      <c r="AL164" s="725">
        <f>0</f>
        <v>0</v>
      </c>
      <c r="AM164" s="724">
        <f t="shared" si="1"/>
        <v>-0.02</v>
      </c>
      <c r="AN164" s="725">
        <f>0</f>
        <v>0</v>
      </c>
      <c r="AO164" s="725">
        <f>0</f>
        <v>0</v>
      </c>
      <c r="AP164" s="725">
        <f>0</f>
        <v>0</v>
      </c>
      <c r="AQ164" s="725">
        <f>0</f>
        <v>0</v>
      </c>
      <c r="AR164" s="724">
        <f>0</f>
        <v>0</v>
      </c>
      <c r="AS164" s="724">
        <f>0</f>
        <v>0</v>
      </c>
      <c r="AT164" s="724">
        <f>0</f>
        <v>0</v>
      </c>
      <c r="AU164" s="724">
        <f>i_CIT_VFA/Y_OHO_VFA_anox-i_CIT_BIO</f>
        <v>0.48133333333333328</v>
      </c>
      <c r="AV164" s="724">
        <f t="shared" si="2"/>
        <v>0.11</v>
      </c>
      <c r="AW164" s="724">
        <f t="shared" si="3"/>
        <v>-2.8804303582798466E-2</v>
      </c>
      <c r="AX164" s="724">
        <f t="shared" si="4"/>
        <v>-7.0195696417201539E-2</v>
      </c>
      <c r="AY164" s="724">
        <f t="shared" si="5"/>
        <v>-5.5000000000000005E-3</v>
      </c>
      <c r="AZ164" s="724">
        <f t="shared" si="6"/>
        <v>-5.5000000000000005E-3</v>
      </c>
      <c r="BA164" s="724">
        <f>0</f>
        <v>0</v>
      </c>
      <c r="BB164" s="724">
        <f>0</f>
        <v>0</v>
      </c>
      <c r="BC164" s="2850">
        <f>-i_S_BIO</f>
        <v>-0.01</v>
      </c>
      <c r="BD164" s="724">
        <f>0</f>
        <v>0</v>
      </c>
      <c r="BE164" s="724">
        <f>0</f>
        <v>0</v>
      </c>
      <c r="BF164" s="724">
        <f>0</f>
        <v>0</v>
      </c>
      <c r="BG164" s="724">
        <f>0</f>
        <v>0</v>
      </c>
      <c r="BH164" s="724">
        <f>0</f>
        <v>0</v>
      </c>
      <c r="BI164" s="724">
        <f>0</f>
        <v>0</v>
      </c>
      <c r="BJ164" s="724">
        <f>0</f>
        <v>0</v>
      </c>
      <c r="BK164" s="724">
        <f>0</f>
        <v>0</v>
      </c>
      <c r="BL164" s="724">
        <f>0</f>
        <v>0</v>
      </c>
      <c r="BM164" s="724">
        <f>0</f>
        <v>0</v>
      </c>
      <c r="BN164" s="724">
        <f>0</f>
        <v>0</v>
      </c>
      <c r="BO164" s="724">
        <f>0</f>
        <v>0</v>
      </c>
      <c r="BP164" s="724">
        <f>0</f>
        <v>0</v>
      </c>
      <c r="BQ164" s="724">
        <f>0</f>
        <v>0</v>
      </c>
      <c r="BR164" s="724">
        <f>0</f>
        <v>0</v>
      </c>
      <c r="BS164" s="724">
        <f>0</f>
        <v>0</v>
      </c>
      <c r="BT164" s="724">
        <f>0</f>
        <v>0</v>
      </c>
      <c r="BU164" s="724">
        <f>0</f>
        <v>0</v>
      </c>
      <c r="BV164" s="887">
        <f>0</f>
        <v>0</v>
      </c>
      <c r="BW164" s="724">
        <f>0</f>
        <v>0</v>
      </c>
      <c r="BX164" s="724">
        <f>0</f>
        <v>0</v>
      </c>
      <c r="BY164" s="724">
        <f>0</f>
        <v>0</v>
      </c>
      <c r="BZ164" s="724">
        <f>0</f>
        <v>0</v>
      </c>
      <c r="CA164" s="887">
        <f>0</f>
        <v>0</v>
      </c>
      <c r="CB164" s="724">
        <f>0</f>
        <v>0</v>
      </c>
      <c r="CC164" s="724">
        <f>0</f>
        <v>0</v>
      </c>
      <c r="CD164" s="724">
        <f>0</f>
        <v>0</v>
      </c>
      <c r="CE164" s="724">
        <f>0</f>
        <v>0</v>
      </c>
      <c r="CF164" s="724">
        <f>0</f>
        <v>0</v>
      </c>
      <c r="CG164" s="724">
        <f>0</f>
        <v>0</v>
      </c>
      <c r="CH164" s="724">
        <f>0</f>
        <v>0</v>
      </c>
      <c r="CI164" s="724">
        <f>0</f>
        <v>0</v>
      </c>
      <c r="CJ164" s="724">
        <f>0</f>
        <v>0</v>
      </c>
      <c r="CK164" s="724">
        <f>0</f>
        <v>0</v>
      </c>
      <c r="CL164" s="724">
        <f>0</f>
        <v>0</v>
      </c>
      <c r="CM164" s="724">
        <f>0</f>
        <v>0</v>
      </c>
      <c r="CN164" s="724">
        <f>0</f>
        <v>0</v>
      </c>
      <c r="CO164" s="724">
        <f>0</f>
        <v>0</v>
      </c>
      <c r="CP164" s="724">
        <f>0</f>
        <v>0</v>
      </c>
      <c r="CQ164" s="724">
        <f>0</f>
        <v>0</v>
      </c>
      <c r="CR164" s="724">
        <f>0</f>
        <v>0</v>
      </c>
      <c r="CS164" s="724">
        <f>0</f>
        <v>0</v>
      </c>
      <c r="CT164" s="724">
        <f>0</f>
        <v>0</v>
      </c>
      <c r="CU164" s="724">
        <f>0</f>
        <v>0</v>
      </c>
      <c r="CV164" s="2856">
        <f>µ_OHO_T*X_OHO*η_OHO_N2O*M_satSVFA_KVFA_N2O*M_satSN2O_KN2O_OHO*M_inhSO2_KO2_OHO_N2O*M_inhSNO_KiNO_OHO_N2O*M_satSNHx_KNHx_BIO*M_satSPO4_KPO4_BIO*M_satSCAT_KCAT*M_satSAN_KAN*M_satSCa_KCa*M_satSMg_KMg*B_ellinhpH</f>
        <v>0.12443032452309835</v>
      </c>
      <c r="CX164" s="2880">
        <f>E299*E164+F299*F164+G299*G164+H299*H164+I299*I164+J299*J164+K299*K164+L299*L164+M299*M164+N299*N164+O299*O164+P299*P164+Q299*Q164+R299*R164+S299*S164+T299*T164+U299*U164+V299*V164+W299*W164+X299*X164+Y299*Y164+Z299*Z164+AA299*AA164+AB299*AB164+AC299*AC164+AD299*AD164+AE299*AE164+AF299*AF164+AG299*AG164+AH299*AH164+AI299*AI164+AJ299*AJ164+AK299*AK164+AL299*AL164+AM299*AM164+AN299*AN164+AO299*AO164+AP299*AP164+AQ299*AQ164+AR299*AR164+AS299*AS164+AT299*AT164+AU299*AU164+AV299*AV164+AW299*AW164+AX299*AX164+AY299*AY164+AZ299*AZ164+BA299*BA164+BB299*BB164+BC299*BC164+BD299*BD164+BE299*BE164+BF299*BF164+BG299*BG164+BH299*BH164+BI299*BI164+BJ299*BJ164+BK299*BK164+BL299*BL164+BM299*BM164+BN299*BN164+BO299*BO164+BP299*BP164+BQ299*BQ164+BR299*BR164+BS299*BS164+BT299*BT164+BU299*BU164+BV299*BV164+BW299*BW164+BX299*BX164+BY299*BY164+BZ299*BZ164+CA299*CA164+CB299*CB164+CC299*CC164+CD299*CD164+CE299*CE164+CF299*CF164+CG299*CG164+CH299*CH164+CI299*CI164+CJ299*CJ164+CK299*CK164+CL299*CL164+CM299*CM164+CN299*CN164+CO299*CO164+CP299*CP164+CQ299*CQ164+CR299*CR164+CS299*CS164+CT299*CT164+CU299*CU164</f>
        <v>4.4408920985006262E-16</v>
      </c>
      <c r="CY164" s="2880">
        <f>E300*E164+F300*F164+G300*G164+H300*H164+I300*I164+J300*J164+K300*K164+L300*L164+M300*M164+N300*N164+O300*O164+P300*P164+Q300*Q164+R300*R164+S300*S164+T300*T164+U300*U164+V300*V164+W300*W164+X300*X164+Y300*Y164+Z300*Z164+AA300*AA164+AB300*AB164+AC300*AC164+AD300*AD164+AE300*AE164+AF300*AF164+AG300*AG164+AH300*AH164+AI300*AI164+AJ300*AJ164+AK300*AK164+AL300*AL164+AM300*AM164+AN300*AN164+AO300*AO164+AP300*AP164+AQ300*AQ164+AR300*AR164+AS300*AS164+AT300*AT164+AU300*AU164+AV300*AV164+AW300*AW164+AX300*AX164+AY300*AY164+AZ300*AZ164+BA300*BA164+BB300*BB164+BC300*BC164+BD300*BD164+BE300*BE164+BF300*BF164+BG300*BG164+BH300*BH164+BI300*BI164+BJ300*BJ164+BK300*BK164+BL300*BL164+BM300*BM164+BN300*BN164+BO300*BO164+BP300*BP164+BQ300*BQ164+BR300*BR164+BS300*BS164+BT300*BT164+BU300*BU164+BV300*BV164+BW300*BW164+BX300*BX164+BY300*BY164+BZ300*BZ164+CA300*CA164+CB300*CB164+CC300*CC164+CD300*CD164+CE300*CE164+CF300*CF164+CG300*CG164+CH300*CH164+CI300*CI164+CJ300*CJ164+CK300*CK164+CL300*CL164+CM300*CM164+CN300*CN164+CO300*CO164+CP300*CP164+CQ300*CQ164+CR300*CR164+CS300*CS164+CT300*CT164+CU300*CU164</f>
        <v>-1.1102230246251565E-16</v>
      </c>
      <c r="CZ164" s="2881">
        <f>E301*E164+F301*F164+G301*G164+H301*H164+I301*I164+J301*J164+K301*K164+L301*L164+M301*M164+N301*N164+O301*O164+P301*P164+Q301*Q164+R301*R164+S301*S164+T301*T164+U301*U164+V301*V164+W301*W164+X301*X164+Y301*Y164+Z301*Z164+AA301*AA164+AB301*AB164+AC301*AC164+AD301*AD164+AE301*AE164+AF301*AF164+AG301*AG164+AH301*AH164+AI301*AI164+AJ301*AJ164+AK301*AK164+AL301*AL164+AM301*AM164+AN301*AN164+AO301*AO164+AP301*AP164+AQ301*AQ164+AR301*AR164+AS301*AS164+AT301*AT164+AU301*AU164+AV301*AV164+AW301*AW164+AX301*AX164+AY301*AY164+AZ301*AZ164+BA301*BA164+BB301*BB164+BC301*BC164+BD301*BD164+BE301*BE164+BF301*BF164+BG301*BG164+BH301*BH164+BI301*BI164+BJ301*BJ164+BK301*BK164+BL301*BL164+BM301*BM164+BN301*BN164+BO301*BO164+BP301*BP164+BQ301*BQ164+BR301*BR164+BS301*BS164+BT301*BT164+BU301*BU164+BV301*BV164+BW301*BW164+BX301*BX164+BY301*BY164+BZ301*BZ164+CA301*CA164+CB301*CB164+CC301*CC164+CD301*CD164+CE301*CE164+CF301*CF164+CG301*CG164+CH301*CH164+CI301*CI164+CJ301*CJ164+CK301*CK164+CL301*CL164+CM301*CM164+CN301*CN164+CO301*CO164+CP301*CP164+CQ301*CQ164+CR301*CR164+CS301*CS164+CT301*CT164+CU301*CU164</f>
        <v>0</v>
      </c>
      <c r="DA164" s="2882">
        <f>E302*E164+F302*F164+G302*G164+H302*H164+I302*I164+J302*J164+K302*K164+L302*L164+M302*M164+N302*N164+O302*O164+P302*P164+Q302*Q164+R302*R164+S302*S164+T302*T164+U302*U164+V302*V164+W302*W164+X302*X164+Y302*Y164+Z302*Z164+AA302*AA164+AB302*AB164+AC302*AC164+AD302*AD164+AE302*AE164+AF302*AF164+AG302*AG164+AH302*AH164+AI302*AI164+AJ302*AJ164+AK302*AK164+AL302*AL164+AM302*AM164+AN302*AN164+AO302*AO164+AP302*AP164+AQ302*AQ164+AR302*AR164+AS302*AS164+AT302*AT164+AU302*AU164+AV302*AV164+AW302*AW164+AX302*AX164+AY302*AY164+AZ302*AZ164+BA302*BA164+BB302*BB164+BC302*BC164+BD302*BD164+BE302*BE164+BF302*BF164+BG302*BG164+BH302*BH164+BI302*BI164+BJ302*BJ164+BK302*BK164+BL302*BL164+BM302*BM164+BN302*BN164+BO302*BO164+BP302*BP164+BQ302*BQ164+BR302*BR164+BS302*BS164+BT302*BT164+BU302*BU164+BV302*BV164+BW302*BW164+BX302*BX164+BY302*BY164+BZ302*BZ164+CA302*CA164+CB302*CB164+CC302*CC164+CD302*CD164+CE302*CE164+CF302*CF164+CG302*CG164+CH302*CH164+CI302*CI164+CJ302*CJ164+CK302*CK164+CL302*CL164+CM302*CM164+CN302*CN164+CO302*CO164+CP302*CP164+CQ302*CQ164+CR302*CR164+CS302*CS164+CT302*CT164+CU302*CU164</f>
        <v>0</v>
      </c>
      <c r="DB164" s="2882">
        <f>E303*E164+F303*F164+G303*G164+H303*H164+I303*I164+J303*J164+K303*K164+L303*L164+M303*M164+N303*N164+O303*O164+P303*P164+Q303*Q164+R303*R164+S303*S164+T303*T164+U303*U164+V303*V164+W303*W164+X303*X164+Y303*Y164+Z303*Z164+AA303*AA164+AB303*AB164+AC303*AC164+AD303*AD164+AE303*AE164+AF303*AF164+AG303*AG164+AH303*AH164+AI303*AI164+AJ303*AJ164+AK303*AK164+AL303*AL164+AM303*AM164+AN303*AN164+AO303*AO164+AP303*AP164+AQ303*AQ164+AR303*AR164+AS303*AS164+AT303*AT164+AU303*AU164+AV303*AV164+AW303*AW164+AX303*AX164+AY303*AY164+AZ303*AZ164+BA303*BA164+BB303*BB164+BC303*BC164+BD303*BD164+BE303*BE164+BF303*BF164+BG303*BG164+BH303*BH164+BI303*BI164+BJ303*BJ164+BK303*BK164+BL303*BL164+BM303*BM164+BN303*BN164+BO303*BO164+BP303*BP164+BQ303*BQ164+BR303*BR164+BS303*BS164+BT303*BT164+BU303*BU164+BV303*BV164+BW303*BW164+BX303*BX164+BY303*BY164+BZ303*BZ164+CA303*CA164+CB303*CB164+CC303*CC164+CD303*CD164+CE303*CE164+CF303*CF164+CG303*CG164+CH303*CH164+CI303*CI164+CJ303*CJ164+CK303*CK164+CL303*CL164+CM303*CM164+CN303*CN164+CO303*CO164+CP303*CP164+CQ303*CQ164+CR303*CR164+CS303*CS164+CT303*CT164+CU303*CU164</f>
        <v>0</v>
      </c>
      <c r="DC164" s="2882">
        <f>E304*E164+F304*F164+G304*G164+H304*H164+I304*I164+J304*J164+K304*K164+L304*L164+M304*M164+N304*N164+O304*O164+P304*P164+Q304*Q164+R304*R164+S304*S164+T304*T164+U304*U164+V304*V164+W304*W164+X304*X164+Y304*Y164+Z304*Z164+AA304*AA164+AB304*AB164+AC304*AC164+AD304*AD164+AE304*AE164+AF304*AF164+AG304*AG164+AH304*AH164+AI304*AI164+AJ304*AJ164+AK304*AK164+AL304*AL164+AM304*AM164+AN304*AN164+AO304*AO164+AP304*AP164+AQ304*AQ164+AR304*AR164+AS304*AS164+AT304*AT164+AU304*AU164+AV304*AV164+AW304*AW164+AX304*AX164+AY304*AY164+AZ304*AZ164+BA304*BA164+BB304*BB164+BC304*BC164+BD304*BD164+BE304*BE164+BF304*BF164+BG304*BG164+BH304*BH164+BI304*BI164+BJ304*BJ164+BK304*BK164+BL304*BL164+BM304*BM164+BN304*BN164+BO304*BO164+BP304*BP164+BQ304*BQ164+BR304*BR164+BS304*BS164+BT304*BT164+BU304*BU164+BV304*BV164+BW304*BW164+BX304*BX164+BY304*BY164+BZ304*BZ164+CA304*CA164+CB304*CB164+CC304*CC164+CD304*CD164+CE304*CE164+CF304*CF164+CG304*CG164+CH304*CH164+CI304*CI164+CJ304*CJ164+CK304*CK164+CL304*CL164+CM304*CM164+CN304*CN164+CO304*CO164+CP304*CP164+CQ304*CQ164+CR304*CR164+CS304*CS164+CT304*CT164+CU304*CU164</f>
        <v>0</v>
      </c>
      <c r="DD164" s="2882">
        <f>E305*E164+F305*F164+G305*G164+H305*H164+I305*I164+J305*J164+K305*K164+L305*L164+M305*M164+N305*N164+O305*O164+P305*P164+Q305*Q164+R305*R164+S305*S164+T305*T164+U305*U164+V305*V164+W305*W164+X305*X164+Y305*Y164+Z305*Z164+AA305*AA164+AB305*AB164+AC305*AC164+AD305*AD164+AE305*AE164+AF305*AF164+AG305*AG164+AH305*AH164+AI305*AI164+AJ305*AJ164+AK305*AK164+AL305*AL164+AM305*AM164+AN305*AN164+AO305*AO164+AP305*AP164+AQ305*AQ164+AR305*AR164+AS305*AS164+AT305*AT164+AU305*AU164+AV305*AV164+AW305*AW164+AX305*AX164+AY305*AY164+AZ305*AZ164+BA305*BA164+BB305*BB164+BC305*BC164+BD305*BD164+BE305*BE164+BF305*BF164+BG305*BG164+BH305*BH164+BI305*BI164+BJ305*BJ164+BK305*BK164+BL305*BL164+BM305*BM164+BN305*BN164+BO305*BO164+BP305*BP164+BQ305*BQ164+BR305*BR164+BS305*BS164+BT305*BT164+BU305*BU164+BV305*BV164+BW305*BW164+BX305*BX164+BY305*BY164+BZ305*BZ164+CA305*CA164+CB305*CB164+CC305*CC164+CD305*CD164+CE305*CE164+CF305*CF164+CG305*CG164+CH305*CH164+CI305*CI164+CJ305*CJ164+CK305*CK164+CL305*CL164+CM305*CM164+CN305*CN164+CO305*CO164+CP305*CP164+CQ305*CQ164+CR305*CR164+CS305*CS164+CT305*CT164+CU305*CU164</f>
        <v>0</v>
      </c>
      <c r="DE164" s="2882">
        <f>E306*E164+F306*F164+G306*G164+H306*H164+I306*I164+J306*J164+K306*K164+L306*L164+M306*M164+N306*N164+O306*O164+P306*P164+Q306*Q164+R306*R164+S306*S164+T306*T164+U306*U164+V306*V164+W306*W164+X306*X164+Y306*Y164+Z306*Z164+AA306*AA164+AB306*AB164+AC306*AC164+AD306*AD164+AE306*AE164+AF306*AF164+AG306*AG164+AH306*AH164+AI306*AI164+AJ306*AJ164+AK306*AK164+AL306*AL164+AM306*AM164+AN306*AN164+AO306*AO164+AP306*AP164+AQ306*AQ164+AR306*AR164+AS306*AS164+AT306*AT164+AU306*AU164+AV306*AV164+AW306*AW164+AX306*AX164+AY306*AY164+AZ306*AZ164+BA306*BA164+BB306*BB164+BC306*BC164+BD306*BD164+BE306*BE164+BF306*BF164+BG306*BG164+BH306*BH164+BI306*BI164+BJ306*BJ164+BK306*BK164+BL306*BL164+BM306*BM164+BN306*BN164+BO306*BO164+BP306*BP164+BQ306*BQ164+BR306*BR164+BS306*BS164+BT306*BT164+BU306*BU164+BV306*BV164+BW306*BW164+BX306*BX164+BY306*BY164+BZ306*BZ164+CA306*CA164+CB306*CB164+CC306*CC164+CD306*CD164+CE306*CE164+CF306*CF164+CG306*CG164+CH306*CH164+CI306*CI164+CJ306*CJ164+CK306*CK164+CL306*CL164+CM306*CM164+CN306*CN164+CO306*CO164+CP306*CP164+CQ306*CQ164+CR306*CR164+CS306*CS164+CT306*CT164+CU306*CU164</f>
        <v>0</v>
      </c>
      <c r="DF164" s="2882">
        <f>E307*E164+F307*F164+G307*G164+H307*H164+I307*I164+J307*J164+K307*K164+L307*L164+M307*M164+N307*N164+O307*O164+P307*P164+Q307*Q164+R307*R164+S307*S164+T307*T164+U307*U164+V307*V164+W307*W164+X307*X164+Y307*Y164+Z307*Z164+AA307*AA164+AB307*AB164+AC307*AC164+AD307*AD164+AE307*AE164+AF307*AF164+AG307*AG164+AH307*AH164+AI307*AI164+AJ307*AJ164+AK307*AK164+AL307*AL164+AM307*AM164+AN307*AN164+AO307*AO164+AP307*AP164+AQ307*AQ164+AR307*AR164+AS307*AS164+AT307*AT164+AU307*AU164+AV307*AV164+AW307*AW164+AX307*AX164+AY307*AY164+AZ307*AZ164+BA307*BA164+BB307*BB164+BC307*BC164+BD307*BD164+BE307*BE164+BF307*BF164+BG307*BG164+BH307*BH164+BI307*BI164+BJ307*BJ164+BK307*BK164+BL307*BL164+BM307*BM164+BN307*BN164+BO307*BO164+BP307*BP164+BQ307*BQ164+BR307*BR164+BS307*BS164+BT307*BT164+BU307*BU164+BV307*BV164+BW307*BW164+BX307*BX164+BY307*BY164+BZ307*BZ164+CA307*CA164+CB307*CB164+CC307*CC164+CD307*CD164+CE307*CE164+CF307*CF164+CG307*CG164+CH307*CH164+CI307*CI164+CJ307*CJ164+CK307*CK164+CL307*CL164+CM307*CM164+CN307*CN164+CO307*CO164+CP307*CP164+CQ307*CQ164+CR307*CR164+CS307*CS164+CT307*CT164+CU307*CU164</f>
        <v>0</v>
      </c>
      <c r="DG164" s="2882">
        <f>E308*E164+F308*F164+G308*G164+H308*H164+I308*I164+J308*J164+K308*K164+L308*L164+M308*M164+N308*N164+O308*O164+P308*P164+Q308*Q164+R308*R164+S308*S164+T308*T164+U308*U164+V308*V164+W308*W164+X308*X164+Y308*Y164+Z308*Z164+AA308*AA164+AB308*AB164+AC308*AC164+AD308*AD164+AE308*AE164+AF308*AF164+AG308*AG164+AH308*AH164+AI308*AI164+AJ308*AJ164+AK308*AK164+AL308*AL164+AM308*AM164+AN308*AN164+AO308*AO164+AP308*AP164+AQ308*AQ164+AR308*AR164+AS308*AS164+AT308*AT164+AU308*AU164+AV308*AV164+AW308*AW164+AX308*AX164+AY308*AY164+AZ308*AZ164+BA308*BA164+BB308*BB164+BC308*BC164+BD308*BD164+BE308*BE164+BF308*BF164+BG308*BG164+BH308*BH164+BI308*BI164+BJ308*BJ164+BK308*BK164+BL308*BL164+BM308*BM164+BN308*BN164+BO308*BO164+BP308*BP164+BQ308*BQ164+BR308*BR164+BS308*BS164+BT308*BT164+BU308*BU164+BV308*BV164+BW308*BW164+BX308*BX164+BY308*BY164+BZ308*BZ164+CA308*CA164+CB308*CB164+CC308*CC164+CD308*CD164+CE308*CE164+CF308*CF164+CG308*CG164+CH308*CH164+CI308*CI164+CJ308*CJ164+CK308*CK164+CL308*CL164+CM308*CM164+CN308*CN164+CO308*CO164+CP308*CP164+CQ308*CQ164+CR308*CR164+CS308*CS164+CT308*CT164+CU308*CU164</f>
        <v>0</v>
      </c>
      <c r="DH164" s="2882">
        <f>E309*E164+F309*F164+G309*G164+H309*H164+I309*I164+J309*J164+K309*K164+L309*L164+M309*M164+N309*N164+O309*O164+P309*P164+Q309*Q164+R309*R164+S309*S164+T309*T164+U309*U164+V309*V164+W309*W164+X309*X164+Y309*Y164+Z309*Z164+AA309*AA164+AB309*AB164+AC309*AC164+AD309*AD164+AE309*AE164+AF309*AF164+AG309*AG164+AH309*AH164+AI309*AI164+AJ309*AJ164+AK309*AK164+AL309*AL164+AM309*AM164+AN309*AN164+AO309*AO164+AP309*AP164+AQ309*AQ164+AR309*AR164+AS309*AS164+AT309*AT164+AU309*AU164+AV309*AV164+AW309*AW164+AX309*AX164+AY309*AY164+AZ309*AZ164+BA309*BA164+BB309*BB164+BC309*BC164+BD309*BD164+BE309*BE164+BF309*BF164+BG309*BG164+BH309*BH164+BI309*BI164+BJ309*BJ164+BK309*BK164+BL309*BL164+BM309*BM164+BN309*BN164+BO309*BO164+BP309*BP164+BQ309*BQ164+BR309*BR164+BS309*BS164+BT309*BT164+BU309*BU164+BV309*BV164+BW309*BW164+BX309*BX164+BY309*BY164+BZ309*BZ164+CA309*CA164+CB309*CB164+CC309*CC164+CD309*CD164+CE309*CE164+CF309*CF164+CG309*CG164+CH309*CH164+CI309*CI164+CJ309*CJ164+CK309*CK164+CL309*CL164+CM309*CM164+CN309*CN164+CO309*CO164+CP309*CP164+CQ309*CQ164+CR309*CR164+CS309*CS164+CT309*CT164+CU309*CU164</f>
        <v>0</v>
      </c>
      <c r="DI164" s="2882">
        <f>E310*E164+F310*F164+G310*G164+H310*H164+I310*I164+J310*J164+K310*K164+L310*L164+M310*M164+N310*N164+O310*O164+P310*P164+Q310*Q164+R310*R164+S310*S164+T310*T164+U310*U164+V310*V164+W310*W164+X310*X164+Y310*Y164+Z310*Z164+AA310*AA164+AB310*AB164+AC310*AC164+AD310*AD164+AE310*AE164+AF310*AF164+AG310*AG164+AH310*AH164+AI310*AI164+AJ310*AJ164+AK310*AK164+AL310*AL164+AM310*AM164+AN310*AN164+AO310*AO164+AP310*AP164+AQ310*AQ164+AR310*AR164+AS310*AS164+AT310*AT164+AU310*AU164+AV310*AV164+AW310*AW164+AX310*AX164+AY310*AY164+AZ310*AZ164+BA310*BA164+BB310*BB164+BC310*BC164+BD310*BD164+BE310*BE164+BF310*BF164+BG310*BG164+BH310*BH164+BI310*BI164+BJ310*BJ164+BK310*BK164+BL310*BL164+BM310*BM164+BN310*BN164+BO310*BO164+BP310*BP164+BQ310*BQ164+BR310*BR164+BS310*BS164+BT310*BT164+BU310*BU164+BV310*BV164+BW310*BW164+BX310*BX164+BY310*BY164+BZ310*BZ164+CA310*CA164+CB310*CB164+CC310*CC164+CD310*CD164+CE310*CE164+CF310*CF164+CG310*CG164+CH310*CH164+CI310*CI164+CJ310*CJ164+CK310*CK164+CL310*CL164+CM310*CM164+CN310*CN164+CO310*CO164+CP310*CP164+CQ310*CQ164+CR310*CR164+CS310*CS164+CT310*CT164+CU310*CU164</f>
        <v>0</v>
      </c>
    </row>
    <row r="165" spans="2:113" ht="15.75" x14ac:dyDescent="0.55000000000000004">
      <c r="B165" s="433">
        <v>6</v>
      </c>
      <c r="C165" s="434" t="s">
        <v>229</v>
      </c>
      <c r="D165" s="759" t="s">
        <v>1660</v>
      </c>
      <c r="E165" s="725">
        <f>0</f>
        <v>0</v>
      </c>
      <c r="F165" s="724">
        <f>-1/Y_OHO_SB_ox</f>
        <v>-1.4925373134328357</v>
      </c>
      <c r="G165" s="725">
        <f>0</f>
        <v>0</v>
      </c>
      <c r="H165" s="725">
        <f>0</f>
        <v>0</v>
      </c>
      <c r="I165" s="725">
        <f>0</f>
        <v>0</v>
      </c>
      <c r="J165" s="725">
        <f>0</f>
        <v>0</v>
      </c>
      <c r="K165" s="725">
        <f>0</f>
        <v>0</v>
      </c>
      <c r="L165" s="725">
        <f>0</f>
        <v>0</v>
      </c>
      <c r="M165" s="725">
        <f>0</f>
        <v>0</v>
      </c>
      <c r="N165" s="725">
        <f>0</f>
        <v>0</v>
      </c>
      <c r="O165" s="725">
        <f>0</f>
        <v>0</v>
      </c>
      <c r="P165" s="725">
        <f>0</f>
        <v>0</v>
      </c>
      <c r="Q165" s="725">
        <f>1</f>
        <v>1</v>
      </c>
      <c r="R165" s="725">
        <f>0</f>
        <v>0</v>
      </c>
      <c r="S165" s="725">
        <f>0</f>
        <v>0</v>
      </c>
      <c r="T165" s="725">
        <f>0</f>
        <v>0</v>
      </c>
      <c r="U165" s="725">
        <f>0</f>
        <v>0</v>
      </c>
      <c r="V165" s="725">
        <f>0</f>
        <v>0</v>
      </c>
      <c r="W165" s="725">
        <f>0</f>
        <v>0</v>
      </c>
      <c r="X165" s="725">
        <f>0</f>
        <v>0</v>
      </c>
      <c r="Y165" s="725">
        <f>0</f>
        <v>0</v>
      </c>
      <c r="Z165" s="725">
        <f>0</f>
        <v>0</v>
      </c>
      <c r="AA165" s="725">
        <f>0</f>
        <v>0</v>
      </c>
      <c r="AB165" s="724">
        <f t="shared" si="0"/>
        <v>-7.0000000000000007E-2</v>
      </c>
      <c r="AC165" s="724">
        <f>0</f>
        <v>0</v>
      </c>
      <c r="AD165" s="724">
        <f>0</f>
        <v>0</v>
      </c>
      <c r="AE165" s="724">
        <f>0</f>
        <v>0</v>
      </c>
      <c r="AF165" s="724">
        <f>0</f>
        <v>0</v>
      </c>
      <c r="AG165" s="724">
        <f>0</f>
        <v>0</v>
      </c>
      <c r="AH165" s="724">
        <f>0</f>
        <v>0</v>
      </c>
      <c r="AI165" s="725">
        <f>0</f>
        <v>0</v>
      </c>
      <c r="AJ165" s="725">
        <f>0</f>
        <v>0</v>
      </c>
      <c r="AK165" s="725">
        <f>0</f>
        <v>0</v>
      </c>
      <c r="AL165" s="725">
        <f>0</f>
        <v>0</v>
      </c>
      <c r="AM165" s="724">
        <f t="shared" si="1"/>
        <v>-0.02</v>
      </c>
      <c r="AN165" s="725">
        <f>0</f>
        <v>0</v>
      </c>
      <c r="AO165" s="725">
        <f>0</f>
        <v>0</v>
      </c>
      <c r="AP165" s="725">
        <f>0</f>
        <v>0</v>
      </c>
      <c r="AQ165" s="725">
        <f>0</f>
        <v>0</v>
      </c>
      <c r="AR165" s="724">
        <f>-(1-Y_OHO_SB_ox)/Y_OHO_SB_ox</f>
        <v>-0.49253731343283574</v>
      </c>
      <c r="AS165" s="724">
        <f>0</f>
        <v>0</v>
      </c>
      <c r="AT165" s="724">
        <f>0</f>
        <v>0</v>
      </c>
      <c r="AU165" s="724">
        <f>i_CIT_SB/Y_OHO_SB_ox-i_CIT_BIO</f>
        <v>7.4865671641791032E-2</v>
      </c>
      <c r="AV165" s="724">
        <f t="shared" si="2"/>
        <v>0.11</v>
      </c>
      <c r="AW165" s="724">
        <f t="shared" si="3"/>
        <v>-2.8804303582798466E-2</v>
      </c>
      <c r="AX165" s="724">
        <f t="shared" si="4"/>
        <v>-7.0195696417201539E-2</v>
      </c>
      <c r="AY165" s="724">
        <f t="shared" si="5"/>
        <v>-5.5000000000000005E-3</v>
      </c>
      <c r="AZ165" s="724">
        <f t="shared" si="6"/>
        <v>-5.5000000000000005E-3</v>
      </c>
      <c r="BA165" s="724">
        <f>0</f>
        <v>0</v>
      </c>
      <c r="BB165" s="724">
        <f>0</f>
        <v>0</v>
      </c>
      <c r="BC165" s="2850">
        <f>-i_S_BIO+1/Y_OHO_SB_ox*i_S_SB</f>
        <v>-7.7611940298507468E-3</v>
      </c>
      <c r="BD165" s="724">
        <f>0</f>
        <v>0</v>
      </c>
      <c r="BE165" s="724">
        <f>0</f>
        <v>0</v>
      </c>
      <c r="BF165" s="724">
        <f>0</f>
        <v>0</v>
      </c>
      <c r="BG165" s="724">
        <f>0</f>
        <v>0</v>
      </c>
      <c r="BH165" s="724">
        <f>0</f>
        <v>0</v>
      </c>
      <c r="BI165" s="724">
        <f>0</f>
        <v>0</v>
      </c>
      <c r="BJ165" s="724">
        <f>0</f>
        <v>0</v>
      </c>
      <c r="BK165" s="724">
        <f>0</f>
        <v>0</v>
      </c>
      <c r="BL165" s="724">
        <f>0</f>
        <v>0</v>
      </c>
      <c r="BM165" s="724">
        <f>0</f>
        <v>0</v>
      </c>
      <c r="BN165" s="724">
        <f>0</f>
        <v>0</v>
      </c>
      <c r="BO165" s="724">
        <f>0</f>
        <v>0</v>
      </c>
      <c r="BP165" s="724">
        <f>0</f>
        <v>0</v>
      </c>
      <c r="BQ165" s="724">
        <f>0</f>
        <v>0</v>
      </c>
      <c r="BR165" s="724">
        <f>0</f>
        <v>0</v>
      </c>
      <c r="BS165" s="724">
        <f>0</f>
        <v>0</v>
      </c>
      <c r="BT165" s="724">
        <f>0</f>
        <v>0</v>
      </c>
      <c r="BU165" s="724">
        <f>0</f>
        <v>0</v>
      </c>
      <c r="BV165" s="887">
        <f>0</f>
        <v>0</v>
      </c>
      <c r="BW165" s="724">
        <f>0</f>
        <v>0</v>
      </c>
      <c r="BX165" s="724">
        <f>0</f>
        <v>0</v>
      </c>
      <c r="BY165" s="724">
        <f>0</f>
        <v>0</v>
      </c>
      <c r="BZ165" s="724">
        <f>0</f>
        <v>0</v>
      </c>
      <c r="CA165" s="887">
        <f>0</f>
        <v>0</v>
      </c>
      <c r="CB165" s="724">
        <f>0</f>
        <v>0</v>
      </c>
      <c r="CC165" s="724">
        <f>0</f>
        <v>0</v>
      </c>
      <c r="CD165" s="724">
        <f>0</f>
        <v>0</v>
      </c>
      <c r="CE165" s="724">
        <f>0</f>
        <v>0</v>
      </c>
      <c r="CF165" s="724">
        <f>0</f>
        <v>0</v>
      </c>
      <c r="CG165" s="724">
        <f>0</f>
        <v>0</v>
      </c>
      <c r="CH165" s="724">
        <f>0</f>
        <v>0</v>
      </c>
      <c r="CI165" s="724">
        <f>0</f>
        <v>0</v>
      </c>
      <c r="CJ165" s="724">
        <f>0</f>
        <v>0</v>
      </c>
      <c r="CK165" s="724">
        <f>0</f>
        <v>0</v>
      </c>
      <c r="CL165" s="724">
        <f>0</f>
        <v>0</v>
      </c>
      <c r="CM165" s="724">
        <f>0</f>
        <v>0</v>
      </c>
      <c r="CN165" s="724">
        <f>0</f>
        <v>0</v>
      </c>
      <c r="CO165" s="724">
        <f>0</f>
        <v>0</v>
      </c>
      <c r="CP165" s="724">
        <f>0</f>
        <v>0</v>
      </c>
      <c r="CQ165" s="724">
        <f>0</f>
        <v>0</v>
      </c>
      <c r="CR165" s="724">
        <f>0</f>
        <v>0</v>
      </c>
      <c r="CS165" s="724">
        <f>0</f>
        <v>0</v>
      </c>
      <c r="CT165" s="724">
        <f>0</f>
        <v>0</v>
      </c>
      <c r="CU165" s="724">
        <f>0</f>
        <v>0</v>
      </c>
      <c r="CV165" s="2856">
        <f>µ_OHO_T*X_OHO*M_satSB_KSB*M_inhSVFA_KVFA*M_satSO2_KO2_OHO*M_satSNHx_KNHx_BIO*M_satSPO4_KPO4_BIO*M_satSCAT_KCAT*M_satSAN_KAN*M_satSCa_KCa*M_satSMg_KMg*B_ellinhpH</f>
        <v>300.21284646842776</v>
      </c>
      <c r="CX165" s="2880">
        <f>E299*E165+F299*F165+G299*G165+H299*H165+I299*I165+J299*J165+K299*K165+L299*L165+M299*M165+N299*N165+O299*O165+P299*P165+Q299*Q165+R299*R165+S299*S165+T299*T165+U299*U165+V299*V165+W299*W165+X299*X165+Y299*Y165+Z299*Z165+AA299*AA165+AB299*AB165+AC299*AC165+AD299*AD165+AE299*AE165+AF299*AF165+AG299*AG165+AH299*AH165+AI299*AI165+AJ299*AJ165+AK299*AK165+AL299*AL165+AM299*AM165+AN299*AN165+AO299*AO165+AP299*AP165+AQ299*AQ165+AR299*AR165+AS299*AS165+AT299*AT165+AU299*AU165+AV299*AV165+AW299*AW165+AX299*AX165+AY299*AY165+AZ299*AZ165+BA299*BA165+BB299*BB165+BC299*BC165+BD299*BD165+BE299*BE165+BF299*BF165+BG299*BG165+BH299*BH165+BI299*BI165+BJ299*BJ165+BK299*BK165+BL299*BL165+BM299*BM165+BN299*BN165+BO299*BO165+BP299*BP165+BQ299*BQ165+BR299*BR165+BS299*BS165+BT299*BT165+BU299*BU165+BV299*BV165+BW299*BW165+BX299*BX165+BY299*BY165+BZ299*BZ165+CA299*CA165+CB299*CB165+CC299*CC165+CD299*CD165+CE299*CE165+CF299*CF165+CG299*CG165+CH299*CH165+CI299*CI165+CJ299*CJ165+CK299*CK165+CL299*CL165+CM299*CM165+CN299*CN165+CO299*CO165+CP299*CP165+CQ299*CQ165+CR299*CR165+CS299*CS165+CT299*CT165+CU299*CU165</f>
        <v>5.5511151231257827E-17</v>
      </c>
      <c r="CY165" s="2880">
        <f>E300*E165+F300*F165+G300*G165+H300*H165+I300*I165+J300*J165+K300*K165+L300*L165+M300*M165+N300*N165+O300*O165+P300*P165+Q300*Q165+R300*R165+S300*S165+T300*T165+U300*U165+V300*V165+W300*W165+X300*X165+Y300*Y165+Z300*Z165+AA300*AA165+AB300*AB165+AC300*AC165+AD300*AD165+AE300*AE165+AF300*AF165+AG300*AG165+AH300*AH165+AI300*AI165+AJ300*AJ165+AK300*AK165+AL300*AL165+AM300*AM165+AN300*AN165+AO300*AO165+AP300*AP165+AQ300*AQ165+AR300*AR165+AS300*AS165+AT300*AT165+AU300*AU165+AV300*AV165+AW300*AW165+AX300*AX165+AY300*AY165+AZ300*AZ165+BA300*BA165+BB300*BB165+BC300*BC165+BD300*BD165+BE300*BE165+BF300*BF165+BG300*BG165+BH300*BH165+BI300*BI165+BJ300*BJ165+BK300*BK165+BL300*BL165+BM300*BM165+BN300*BN165+BO300*BO165+BP300*BP165+BQ300*BQ165+BR300*BR165+BS300*BS165+BT300*BT165+BU300*BU165+BV300*BV165+BW300*BW165+BX300*BX165+BY300*BY165+BZ300*BZ165+CA300*CA165+CB300*CB165+CC300*CC165+CD300*CD165+CE300*CE165+CF300*CF165+CG300*CG165+CH300*CH165+CI300*CI165+CJ300*CJ165+CK300*CK165+CL300*CL165+CM300*CM165+CN300*CN165+CO300*CO165+CP300*CP165+CQ300*CQ165+CR300*CR165+CS300*CS165+CT300*CT165+CU300*CU165</f>
        <v>5.5511151231257827E-17</v>
      </c>
      <c r="CZ165" s="2881">
        <f>E301*E165+F301*F165+G301*G165+H301*H165+I301*I165+J301*J165+K301*K165+L301*L165+M301*M165+N301*N165+O301*O165+P301*P165+Q301*Q165+R301*R165+S301*S165+T301*T165+U301*U165+V301*V165+W301*W165+X301*X165+Y301*Y165+Z301*Z165+AA301*AA165+AB301*AB165+AC301*AC165+AD301*AD165+AE301*AE165+AF301*AF165+AG301*AG165+AH301*AH165+AI301*AI165+AJ301*AJ165+AK301*AK165+AL301*AL165+AM301*AM165+AN301*AN165+AO301*AO165+AP301*AP165+AQ301*AQ165+AR301*AR165+AS301*AS165+AT301*AT165+AU301*AU165+AV301*AV165+AW301*AW165+AX301*AX165+AY301*AY165+AZ301*AZ165+BA301*BA165+BB301*BB165+BC301*BC165+BD301*BD165+BE301*BE165+BF301*BF165+BG301*BG165+BH301*BH165+BI301*BI165+BJ301*BJ165+BK301*BK165+BL301*BL165+BM301*BM165+BN301*BN165+BO301*BO165+BP301*BP165+BQ301*BQ165+BR301*BR165+BS301*BS165+BT301*BT165+BU301*BU165+BV301*BV165+BW301*BW165+BX301*BX165+BY301*BY165+BZ301*BZ165+CA301*CA165+CB301*CB165+CC301*CC165+CD301*CD165+CE301*CE165+CF301*CF165+CG301*CG165+CH301*CH165+CI301*CI165+CJ301*CJ165+CK301*CK165+CL301*CL165+CM301*CM165+CN301*CN165+CO301*CO165+CP301*CP165+CQ301*CQ165+CR301*CR165+CS301*CS165+CT301*CT165+CU301*CU165</f>
        <v>0</v>
      </c>
      <c r="DA165" s="2882">
        <f>E302*E165+F302*F165+G302*G165+H302*H165+I302*I165+J302*J165+K302*K165+L302*L165+M302*M165+N302*N165+O302*O165+P302*P165+Q302*Q165+R302*R165+S302*S165+T302*T165+U302*U165+V302*V165+W302*W165+X302*X165+Y302*Y165+Z302*Z165+AA302*AA165+AB302*AB165+AC302*AC165+AD302*AD165+AE302*AE165+AF302*AF165+AG302*AG165+AH302*AH165+AI302*AI165+AJ302*AJ165+AK302*AK165+AL302*AL165+AM302*AM165+AN302*AN165+AO302*AO165+AP302*AP165+AQ302*AQ165+AR302*AR165+AS302*AS165+AT302*AT165+AU302*AU165+AV302*AV165+AW302*AW165+AX302*AX165+AY302*AY165+AZ302*AZ165+BA302*BA165+BB302*BB165+BC302*BC165+BD302*BD165+BE302*BE165+BF302*BF165+BG302*BG165+BH302*BH165+BI302*BI165+BJ302*BJ165+BK302*BK165+BL302*BL165+BM302*BM165+BN302*BN165+BO302*BO165+BP302*BP165+BQ302*BQ165+BR302*BR165+BS302*BS165+BT302*BT165+BU302*BU165+BV302*BV165+BW302*BW165+BX302*BX165+BY302*BY165+BZ302*BZ165+CA302*CA165+CB302*CB165+CC302*CC165+CD302*CD165+CE302*CE165+CF302*CF165+CG302*CG165+CH302*CH165+CI302*CI165+CJ302*CJ165+CK302*CK165+CL302*CL165+CM302*CM165+CN302*CN165+CO302*CO165+CP302*CP165+CQ302*CQ165+CR302*CR165+CS302*CS165+CT302*CT165+CU302*CU165</f>
        <v>0</v>
      </c>
      <c r="DB165" s="2882">
        <f>E303*E165+F303*F165+G303*G165+H303*H165+I303*I165+J303*J165+K303*K165+L303*L165+M303*M165+N303*N165+O303*O165+P303*P165+Q303*Q165+R303*R165+S303*S165+T303*T165+U303*U165+V303*V165+W303*W165+X303*X165+Y303*Y165+Z303*Z165+AA303*AA165+AB303*AB165+AC303*AC165+AD303*AD165+AE303*AE165+AF303*AF165+AG303*AG165+AH303*AH165+AI303*AI165+AJ303*AJ165+AK303*AK165+AL303*AL165+AM303*AM165+AN303*AN165+AO303*AO165+AP303*AP165+AQ303*AQ165+AR303*AR165+AS303*AS165+AT303*AT165+AU303*AU165+AV303*AV165+AW303*AW165+AX303*AX165+AY303*AY165+AZ303*AZ165+BA303*BA165+BB303*BB165+BC303*BC165+BD303*BD165+BE303*BE165+BF303*BF165+BG303*BG165+BH303*BH165+BI303*BI165+BJ303*BJ165+BK303*BK165+BL303*BL165+BM303*BM165+BN303*BN165+BO303*BO165+BP303*BP165+BQ303*BQ165+BR303*BR165+BS303*BS165+BT303*BT165+BU303*BU165+BV303*BV165+BW303*BW165+BX303*BX165+BY303*BY165+BZ303*BZ165+CA303*CA165+CB303*CB165+CC303*CC165+CD303*CD165+CE303*CE165+CF303*CF165+CG303*CG165+CH303*CH165+CI303*CI165+CJ303*CJ165+CK303*CK165+CL303*CL165+CM303*CM165+CN303*CN165+CO303*CO165+CP303*CP165+CQ303*CQ165+CR303*CR165+CS303*CS165+CT303*CT165+CU303*CU165</f>
        <v>0</v>
      </c>
      <c r="DC165" s="2882">
        <f>E304*E165+F304*F165+G304*G165+H304*H165+I304*I165+J304*J165+K304*K165+L304*L165+M304*M165+N304*N165+O304*O165+P304*P165+Q304*Q165+R304*R165+S304*S165+T304*T165+U304*U165+V304*V165+W304*W165+X304*X165+Y304*Y165+Z304*Z165+AA304*AA165+AB304*AB165+AC304*AC165+AD304*AD165+AE304*AE165+AF304*AF165+AG304*AG165+AH304*AH165+AI304*AI165+AJ304*AJ165+AK304*AK165+AL304*AL165+AM304*AM165+AN304*AN165+AO304*AO165+AP304*AP165+AQ304*AQ165+AR304*AR165+AS304*AS165+AT304*AT165+AU304*AU165+AV304*AV165+AW304*AW165+AX304*AX165+AY304*AY165+AZ304*AZ165+BA304*BA165+BB304*BB165+BC304*BC165+BD304*BD165+BE304*BE165+BF304*BF165+BG304*BG165+BH304*BH165+BI304*BI165+BJ304*BJ165+BK304*BK165+BL304*BL165+BM304*BM165+BN304*BN165+BO304*BO165+BP304*BP165+BQ304*BQ165+BR304*BR165+BS304*BS165+BT304*BT165+BU304*BU165+BV304*BV165+BW304*BW165+BX304*BX165+BY304*BY165+BZ304*BZ165+CA304*CA165+CB304*CB165+CC304*CC165+CD304*CD165+CE304*CE165+CF304*CF165+CG304*CG165+CH304*CH165+CI304*CI165+CJ304*CJ165+CK304*CK165+CL304*CL165+CM304*CM165+CN304*CN165+CO304*CO165+CP304*CP165+CQ304*CQ165+CR304*CR165+CS304*CS165+CT304*CT165+CU304*CU165</f>
        <v>0</v>
      </c>
      <c r="DD165" s="2882">
        <f>E305*E165+F305*F165+G305*G165+H305*H165+I305*I165+J305*J165+K305*K165+L305*L165+M305*M165+N305*N165+O305*O165+P305*P165+Q305*Q165+R305*R165+S305*S165+T305*T165+U305*U165+V305*V165+W305*W165+X305*X165+Y305*Y165+Z305*Z165+AA305*AA165+AB305*AB165+AC305*AC165+AD305*AD165+AE305*AE165+AF305*AF165+AG305*AG165+AH305*AH165+AI305*AI165+AJ305*AJ165+AK305*AK165+AL305*AL165+AM305*AM165+AN305*AN165+AO305*AO165+AP305*AP165+AQ305*AQ165+AR305*AR165+AS305*AS165+AT305*AT165+AU305*AU165+AV305*AV165+AW305*AW165+AX305*AX165+AY305*AY165+AZ305*AZ165+BA305*BA165+BB305*BB165+BC305*BC165+BD305*BD165+BE305*BE165+BF305*BF165+BG305*BG165+BH305*BH165+BI305*BI165+BJ305*BJ165+BK305*BK165+BL305*BL165+BM305*BM165+BN305*BN165+BO305*BO165+BP305*BP165+BQ305*BQ165+BR305*BR165+BS305*BS165+BT305*BT165+BU305*BU165+BV305*BV165+BW305*BW165+BX305*BX165+BY305*BY165+BZ305*BZ165+CA305*CA165+CB305*CB165+CC305*CC165+CD305*CD165+CE305*CE165+CF305*CF165+CG305*CG165+CH305*CH165+CI305*CI165+CJ305*CJ165+CK305*CK165+CL305*CL165+CM305*CM165+CN305*CN165+CO305*CO165+CP305*CP165+CQ305*CQ165+CR305*CR165+CS305*CS165+CT305*CT165+CU305*CU165</f>
        <v>0</v>
      </c>
      <c r="DE165" s="2882">
        <f>E306*E165+F306*F165+G306*G165+H306*H165+I306*I165+J306*J165+K306*K165+L306*L165+M306*M165+N306*N165+O306*O165+P306*P165+Q306*Q165+R306*R165+S306*S165+T306*T165+U306*U165+V306*V165+W306*W165+X306*X165+Y306*Y165+Z306*Z165+AA306*AA165+AB306*AB165+AC306*AC165+AD306*AD165+AE306*AE165+AF306*AF165+AG306*AG165+AH306*AH165+AI306*AI165+AJ306*AJ165+AK306*AK165+AL306*AL165+AM306*AM165+AN306*AN165+AO306*AO165+AP306*AP165+AQ306*AQ165+AR306*AR165+AS306*AS165+AT306*AT165+AU306*AU165+AV306*AV165+AW306*AW165+AX306*AX165+AY306*AY165+AZ306*AZ165+BA306*BA165+BB306*BB165+BC306*BC165+BD306*BD165+BE306*BE165+BF306*BF165+BG306*BG165+BH306*BH165+BI306*BI165+BJ306*BJ165+BK306*BK165+BL306*BL165+BM306*BM165+BN306*BN165+BO306*BO165+BP306*BP165+BQ306*BQ165+BR306*BR165+BS306*BS165+BT306*BT165+BU306*BU165+BV306*BV165+BW306*BW165+BX306*BX165+BY306*BY165+BZ306*BZ165+CA306*CA165+CB306*CB165+CC306*CC165+CD306*CD165+CE306*CE165+CF306*CF165+CG306*CG165+CH306*CH165+CI306*CI165+CJ306*CJ165+CK306*CK165+CL306*CL165+CM306*CM165+CN306*CN165+CO306*CO165+CP306*CP165+CQ306*CQ165+CR306*CR165+CS306*CS165+CT306*CT165+CU306*CU165</f>
        <v>0</v>
      </c>
      <c r="DF165" s="2882">
        <f>E307*E165+F307*F165+G307*G165+H307*H165+I307*I165+J307*J165+K307*K165+L307*L165+M307*M165+N307*N165+O307*O165+P307*P165+Q307*Q165+R307*R165+S307*S165+T307*T165+U307*U165+V307*V165+W307*W165+X307*X165+Y307*Y165+Z307*Z165+AA307*AA165+AB307*AB165+AC307*AC165+AD307*AD165+AE307*AE165+AF307*AF165+AG307*AG165+AH307*AH165+AI307*AI165+AJ307*AJ165+AK307*AK165+AL307*AL165+AM307*AM165+AN307*AN165+AO307*AO165+AP307*AP165+AQ307*AQ165+AR307*AR165+AS307*AS165+AT307*AT165+AU307*AU165+AV307*AV165+AW307*AW165+AX307*AX165+AY307*AY165+AZ307*AZ165+BA307*BA165+BB307*BB165+BC307*BC165+BD307*BD165+BE307*BE165+BF307*BF165+BG307*BG165+BH307*BH165+BI307*BI165+BJ307*BJ165+BK307*BK165+BL307*BL165+BM307*BM165+BN307*BN165+BO307*BO165+BP307*BP165+BQ307*BQ165+BR307*BR165+BS307*BS165+BT307*BT165+BU307*BU165+BV307*BV165+BW307*BW165+BX307*BX165+BY307*BY165+BZ307*BZ165+CA307*CA165+CB307*CB165+CC307*CC165+CD307*CD165+CE307*CE165+CF307*CF165+CG307*CG165+CH307*CH165+CI307*CI165+CJ307*CJ165+CK307*CK165+CL307*CL165+CM307*CM165+CN307*CN165+CO307*CO165+CP307*CP165+CQ307*CQ165+CR307*CR165+CS307*CS165+CT307*CT165+CU307*CU165</f>
        <v>0</v>
      </c>
      <c r="DG165" s="2882">
        <f>E308*E165+F308*F165+G308*G165+H308*H165+I308*I165+J308*J165+K308*K165+L308*L165+M308*M165+N308*N165+O308*O165+P308*P165+Q308*Q165+R308*R165+S308*S165+T308*T165+U308*U165+V308*V165+W308*W165+X308*X165+Y308*Y165+Z308*Z165+AA308*AA165+AB308*AB165+AC308*AC165+AD308*AD165+AE308*AE165+AF308*AF165+AG308*AG165+AH308*AH165+AI308*AI165+AJ308*AJ165+AK308*AK165+AL308*AL165+AM308*AM165+AN308*AN165+AO308*AO165+AP308*AP165+AQ308*AQ165+AR308*AR165+AS308*AS165+AT308*AT165+AU308*AU165+AV308*AV165+AW308*AW165+AX308*AX165+AY308*AY165+AZ308*AZ165+BA308*BA165+BB308*BB165+BC308*BC165+BD308*BD165+BE308*BE165+BF308*BF165+BG308*BG165+BH308*BH165+BI308*BI165+BJ308*BJ165+BK308*BK165+BL308*BL165+BM308*BM165+BN308*BN165+BO308*BO165+BP308*BP165+BQ308*BQ165+BR308*BR165+BS308*BS165+BT308*BT165+BU308*BU165+BV308*BV165+BW308*BW165+BX308*BX165+BY308*BY165+BZ308*BZ165+CA308*CA165+CB308*CB165+CC308*CC165+CD308*CD165+CE308*CE165+CF308*CF165+CG308*CG165+CH308*CH165+CI308*CI165+CJ308*CJ165+CK308*CK165+CL308*CL165+CM308*CM165+CN308*CN165+CO308*CO165+CP308*CP165+CQ308*CQ165+CR308*CR165+CS308*CS165+CT308*CT165+CU308*CU165</f>
        <v>0</v>
      </c>
      <c r="DH165" s="2882">
        <f>E309*E165+F309*F165+G309*G165+H309*H165+I309*I165+J309*J165+K309*K165+L309*L165+M309*M165+N309*N165+O309*O165+P309*P165+Q309*Q165+R309*R165+S309*S165+T309*T165+U309*U165+V309*V165+W309*W165+X309*X165+Y309*Y165+Z309*Z165+AA309*AA165+AB309*AB165+AC309*AC165+AD309*AD165+AE309*AE165+AF309*AF165+AG309*AG165+AH309*AH165+AI309*AI165+AJ309*AJ165+AK309*AK165+AL309*AL165+AM309*AM165+AN309*AN165+AO309*AO165+AP309*AP165+AQ309*AQ165+AR309*AR165+AS309*AS165+AT309*AT165+AU309*AU165+AV309*AV165+AW309*AW165+AX309*AX165+AY309*AY165+AZ309*AZ165+BA309*BA165+BB309*BB165+BC309*BC165+BD309*BD165+BE309*BE165+BF309*BF165+BG309*BG165+BH309*BH165+BI309*BI165+BJ309*BJ165+BK309*BK165+BL309*BL165+BM309*BM165+BN309*BN165+BO309*BO165+BP309*BP165+BQ309*BQ165+BR309*BR165+BS309*BS165+BT309*BT165+BU309*BU165+BV309*BV165+BW309*BW165+BX309*BX165+BY309*BY165+BZ309*BZ165+CA309*CA165+CB309*CB165+CC309*CC165+CD309*CD165+CE309*CE165+CF309*CF165+CG309*CG165+CH309*CH165+CI309*CI165+CJ309*CJ165+CK309*CK165+CL309*CL165+CM309*CM165+CN309*CN165+CO309*CO165+CP309*CP165+CQ309*CQ165+CR309*CR165+CS309*CS165+CT309*CT165+CU309*CU165</f>
        <v>0</v>
      </c>
      <c r="DI165" s="2882">
        <f>E310*E165+F310*F165+G310*G165+H310*H165+I310*I165+J310*J165+K310*K165+L310*L165+M310*M165+N310*N165+O310*O165+P310*P165+Q310*Q165+R310*R165+S310*S165+T310*T165+U310*U165+V310*V165+W310*W165+X310*X165+Y310*Y165+Z310*Z165+AA310*AA165+AB310*AB165+AC310*AC165+AD310*AD165+AE310*AE165+AF310*AF165+AG310*AG165+AH310*AH165+AI310*AI165+AJ310*AJ165+AK310*AK165+AL310*AL165+AM310*AM165+AN310*AN165+AO310*AO165+AP310*AP165+AQ310*AQ165+AR310*AR165+AS310*AS165+AT310*AT165+AU310*AU165+AV310*AV165+AW310*AW165+AX310*AX165+AY310*AY165+AZ310*AZ165+BA310*BA165+BB310*BB165+BC310*BC165+BD310*BD165+BE310*BE165+BF310*BF165+BG310*BG165+BH310*BH165+BI310*BI165+BJ310*BJ165+BK310*BK165+BL310*BL165+BM310*BM165+BN310*BN165+BO310*BO165+BP310*BP165+BQ310*BQ165+BR310*BR165+BS310*BS165+BT310*BT165+BU310*BU165+BV310*BV165+BW310*BW165+BX310*BX165+BY310*BY165+BZ310*BZ165+CA310*CA165+CB310*CB165+CC310*CC165+CD310*CD165+CE310*CE165+CF310*CF165+CG310*CG165+CH310*CH165+CI310*CI165+CJ310*CJ165+CK310*CK165+CL310*CL165+CM310*CM165+CN310*CN165+CO310*CO165+CP310*CP165+CQ310*CQ165+CR310*CR165+CS310*CS165+CT310*CT165+CU310*CU165</f>
        <v>0</v>
      </c>
    </row>
    <row r="166" spans="2:113" ht="15.75" x14ac:dyDescent="0.55000000000000004">
      <c r="B166" s="433">
        <v>7</v>
      </c>
      <c r="C166" s="434" t="s">
        <v>230</v>
      </c>
      <c r="D166" s="759" t="s">
        <v>3777</v>
      </c>
      <c r="E166" s="725">
        <f>0</f>
        <v>0</v>
      </c>
      <c r="F166" s="724">
        <f>-1/Y_OHO_SB_anox</f>
        <v>-1.8518518518518516</v>
      </c>
      <c r="G166" s="725">
        <f>0</f>
        <v>0</v>
      </c>
      <c r="H166" s="725">
        <f>0</f>
        <v>0</v>
      </c>
      <c r="I166" s="725">
        <f>0</f>
        <v>0</v>
      </c>
      <c r="J166" s="725">
        <f>0</f>
        <v>0</v>
      </c>
      <c r="K166" s="725">
        <f>0</f>
        <v>0</v>
      </c>
      <c r="L166" s="725">
        <f>0</f>
        <v>0</v>
      </c>
      <c r="M166" s="725">
        <f>0</f>
        <v>0</v>
      </c>
      <c r="N166" s="725">
        <f>0</f>
        <v>0</v>
      </c>
      <c r="O166" s="725">
        <f>0</f>
        <v>0</v>
      </c>
      <c r="P166" s="725">
        <f>0</f>
        <v>0</v>
      </c>
      <c r="Q166" s="725">
        <f>1</f>
        <v>1</v>
      </c>
      <c r="R166" s="725">
        <f>0</f>
        <v>0</v>
      </c>
      <c r="S166" s="725">
        <f>0</f>
        <v>0</v>
      </c>
      <c r="T166" s="725">
        <f>0</f>
        <v>0</v>
      </c>
      <c r="U166" s="725">
        <f>0</f>
        <v>0</v>
      </c>
      <c r="V166" s="725">
        <f>0</f>
        <v>0</v>
      </c>
      <c r="W166" s="725">
        <f>0</f>
        <v>0</v>
      </c>
      <c r="X166" s="725">
        <f>0</f>
        <v>0</v>
      </c>
      <c r="Y166" s="725">
        <f>0</f>
        <v>0</v>
      </c>
      <c r="Z166" s="725">
        <f>0</f>
        <v>0</v>
      </c>
      <c r="AA166" s="725">
        <f>0</f>
        <v>0</v>
      </c>
      <c r="AB166" s="724">
        <f t="shared" si="0"/>
        <v>-7.0000000000000007E-2</v>
      </c>
      <c r="AC166" s="724">
        <f>0</f>
        <v>0</v>
      </c>
      <c r="AD166" s="724">
        <f>-(1-Y_OHO_SB_anox)/(E_EQNO2_NO3*Y_OHO_SB_anox)</f>
        <v>-0.74575504914767643</v>
      </c>
      <c r="AE166" s="724">
        <f>(1-Y_OHO_SB_anox)/(E_EQNO2_NO3*Y_OHO_SB_anox)</f>
        <v>0.74575504914767643</v>
      </c>
      <c r="AF166" s="724">
        <f>0</f>
        <v>0</v>
      </c>
      <c r="AG166" s="724">
        <f>0</f>
        <v>0</v>
      </c>
      <c r="AH166" s="724">
        <f>0</f>
        <v>0</v>
      </c>
      <c r="AI166" s="724">
        <f>0</f>
        <v>0</v>
      </c>
      <c r="AJ166" s="725">
        <f>0</f>
        <v>0</v>
      </c>
      <c r="AK166" s="725">
        <f>0</f>
        <v>0</v>
      </c>
      <c r="AL166" s="725">
        <f>0</f>
        <v>0</v>
      </c>
      <c r="AM166" s="724">
        <f t="shared" si="1"/>
        <v>-0.02</v>
      </c>
      <c r="AN166" s="725">
        <f>0</f>
        <v>0</v>
      </c>
      <c r="AO166" s="725">
        <f>0</f>
        <v>0</v>
      </c>
      <c r="AP166" s="725">
        <f>0</f>
        <v>0</v>
      </c>
      <c r="AQ166" s="725">
        <f>0</f>
        <v>0</v>
      </c>
      <c r="AR166" s="725">
        <f>0</f>
        <v>0</v>
      </c>
      <c r="AS166" s="725">
        <f>0</f>
        <v>0</v>
      </c>
      <c r="AT166" s="725">
        <f>0</f>
        <v>0</v>
      </c>
      <c r="AU166" s="724">
        <f>i_CIT_SB/Y_OHO_SB_anox-i_CIT_BIO</f>
        <v>0.17762962962962958</v>
      </c>
      <c r="AV166" s="724">
        <f t="shared" si="2"/>
        <v>0.11</v>
      </c>
      <c r="AW166" s="724">
        <f t="shared" si="3"/>
        <v>-2.8804303582798466E-2</v>
      </c>
      <c r="AX166" s="724">
        <f t="shared" si="4"/>
        <v>-7.0195696417201539E-2</v>
      </c>
      <c r="AY166" s="724">
        <f t="shared" si="5"/>
        <v>-5.5000000000000005E-3</v>
      </c>
      <c r="AZ166" s="724">
        <f t="shared" si="6"/>
        <v>-5.5000000000000005E-3</v>
      </c>
      <c r="BA166" s="724">
        <f>0</f>
        <v>0</v>
      </c>
      <c r="BB166" s="724">
        <f>0</f>
        <v>0</v>
      </c>
      <c r="BC166" s="2850">
        <f>-i_S_BIO+1/Y_OHO_SB_anox*i_S_SB</f>
        <v>-7.2222222222222228E-3</v>
      </c>
      <c r="BD166" s="724">
        <f>0</f>
        <v>0</v>
      </c>
      <c r="BE166" s="724">
        <f>0</f>
        <v>0</v>
      </c>
      <c r="BF166" s="724">
        <f>0</f>
        <v>0</v>
      </c>
      <c r="BG166" s="724">
        <f>0</f>
        <v>0</v>
      </c>
      <c r="BH166" s="724">
        <f>0</f>
        <v>0</v>
      </c>
      <c r="BI166" s="724">
        <f>0</f>
        <v>0</v>
      </c>
      <c r="BJ166" s="724">
        <f>0</f>
        <v>0</v>
      </c>
      <c r="BK166" s="724">
        <f>0</f>
        <v>0</v>
      </c>
      <c r="BL166" s="724">
        <f>0</f>
        <v>0</v>
      </c>
      <c r="BM166" s="724">
        <f>0</f>
        <v>0</v>
      </c>
      <c r="BN166" s="724">
        <f>0</f>
        <v>0</v>
      </c>
      <c r="BO166" s="724">
        <f>0</f>
        <v>0</v>
      </c>
      <c r="BP166" s="724">
        <f>0</f>
        <v>0</v>
      </c>
      <c r="BQ166" s="724">
        <f>0</f>
        <v>0</v>
      </c>
      <c r="BR166" s="724">
        <f>0</f>
        <v>0</v>
      </c>
      <c r="BS166" s="724">
        <f>0</f>
        <v>0</v>
      </c>
      <c r="BT166" s="724">
        <f>0</f>
        <v>0</v>
      </c>
      <c r="BU166" s="724">
        <f>0</f>
        <v>0</v>
      </c>
      <c r="BV166" s="887">
        <f>0</f>
        <v>0</v>
      </c>
      <c r="BW166" s="724">
        <f>0</f>
        <v>0</v>
      </c>
      <c r="BX166" s="724">
        <f>0</f>
        <v>0</v>
      </c>
      <c r="BY166" s="724">
        <f>0</f>
        <v>0</v>
      </c>
      <c r="BZ166" s="724">
        <f>0</f>
        <v>0</v>
      </c>
      <c r="CA166" s="887">
        <f>0</f>
        <v>0</v>
      </c>
      <c r="CB166" s="724">
        <f>0</f>
        <v>0</v>
      </c>
      <c r="CC166" s="724">
        <f>0</f>
        <v>0</v>
      </c>
      <c r="CD166" s="724">
        <f>0</f>
        <v>0</v>
      </c>
      <c r="CE166" s="724">
        <f>0</f>
        <v>0</v>
      </c>
      <c r="CF166" s="724">
        <f>0</f>
        <v>0</v>
      </c>
      <c r="CG166" s="724">
        <f>0</f>
        <v>0</v>
      </c>
      <c r="CH166" s="724">
        <f>0</f>
        <v>0</v>
      </c>
      <c r="CI166" s="724">
        <f>0</f>
        <v>0</v>
      </c>
      <c r="CJ166" s="724">
        <f>0</f>
        <v>0</v>
      </c>
      <c r="CK166" s="724">
        <f>0</f>
        <v>0</v>
      </c>
      <c r="CL166" s="724">
        <f>0</f>
        <v>0</v>
      </c>
      <c r="CM166" s="724">
        <f>0</f>
        <v>0</v>
      </c>
      <c r="CN166" s="724">
        <f>0</f>
        <v>0</v>
      </c>
      <c r="CO166" s="724">
        <f>0</f>
        <v>0</v>
      </c>
      <c r="CP166" s="724">
        <f>0</f>
        <v>0</v>
      </c>
      <c r="CQ166" s="724">
        <f>0</f>
        <v>0</v>
      </c>
      <c r="CR166" s="724">
        <f>0</f>
        <v>0</v>
      </c>
      <c r="CS166" s="724">
        <f>0</f>
        <v>0</v>
      </c>
      <c r="CT166" s="724">
        <f>0</f>
        <v>0</v>
      </c>
      <c r="CU166" s="724">
        <f>0</f>
        <v>0</v>
      </c>
      <c r="CV166" s="2856">
        <f>µ_OHO_T*X_OHO*η_OHO_NO3*M_satSB_KSB_NO3*M_inhSVFA_KVFA*M_satSNO3_KNO3_OHO*M_inhSO2_KO2_OHO_NO3*M_satSNHx_KNHx_BIO*M_satSPO4_KPO4_BIO*M_satSCAT_KCAT*M_satSAN_KAN*M_satSCa_KCa*M_satSMg_KMg*B_ellinhpH</f>
        <v>6.0619901690740212</v>
      </c>
      <c r="CX166" s="2880">
        <f>E299*E166+F299*F166+G299*G166+H299*H166+I299*I166+J299*J166+K299*K166+L299*L166+M299*M166+N299*N166+O299*O166+P299*P166+Q299*Q166+R299*R166+S299*S166+T299*T166+U299*U166+V299*V166+W299*W166+X299*X166+Y299*Y166+Z299*Z166+AA299*AA166+AB299*AB166+AC299*AC166+AD299*AD166+AE299*AE166+AF299*AF166+AG299*AG166+AH299*AH166+AI299*AI166+AJ299*AJ166+AK299*AK166+AL299*AL166+AM299*AM166+AN299*AN166+AO299*AO166+AP299*AP166+AQ299*AQ166+AR299*AR166+AS299*AS166+AT299*AT166+AU299*AU166+AV299*AV166+AW299*AW166+AX299*AX166+AY299*AY166+AZ299*AZ166+BA299*BA166+BB299*BB166+BC299*BC166+BD299*BD166+BE299*BE166+BF299*BF166+BG299*BG166+BH299*BH166+BI299*BI166+BJ299*BJ166+BK299*BK166+BL299*BL166+BM299*BM166+BN299*BN166+BO299*BO166+BP299*BP166+BQ299*BQ166+BR299*BR166+BS299*BS166+BT299*BT166+BU299*BU166+BV299*BV166+BW299*BW166+BX299*BX166+BY299*BY166+BZ299*BZ166+CA299*CA166+CB299*CB166+CC299*CC166+CD299*CD166+CE299*CE166+CF299*CF166+CG299*CG166+CH299*CH166+CI299*CI166+CJ299*CJ166+CK299*CK166+CL299*CL166+CM299*CM166+CN299*CN166+CO299*CO166+CP299*CP166+CQ299*CQ166+CR299*CR166+CS299*CS166+CT299*CT166+CU299*CU166</f>
        <v>0</v>
      </c>
      <c r="CY166" s="2880">
        <f>E300*E166+F300*F166+G300*G166+H300*H166+I300*I166+J300*J166+K300*K166+L300*L166+M300*M166+N300*N166+O300*O166+P300*P166+Q300*Q166+R300*R166+S300*S166+T300*T166+U300*U166+V300*V166+W300*W166+X300*X166+Y300*Y166+Z300*Z166+AA300*AA166+AB300*AB166+AC300*AC166+AD300*AD166+AE300*AE166+AF300*AF166+AG300*AG166+AH300*AH166+AI300*AI166+AJ300*AJ166+AK300*AK166+AL300*AL166+AM300*AM166+AN300*AN166+AO300*AO166+AP300*AP166+AQ300*AQ166+AR300*AR166+AS300*AS166+AT300*AT166+AU300*AU166+AV300*AV166+AW300*AW166+AX300*AX166+AY300*AY166+AZ300*AZ166+BA300*BA166+BB300*BB166+BC300*BC166+BD300*BD166+BE300*BE166+BF300*BF166+BG300*BG166+BH300*BH166+BI300*BI166+BJ300*BJ166+BK300*BK166+BL300*BL166+BM300*BM166+BN300*BN166+BO300*BO166+BP300*BP166+BQ300*BQ166+BR300*BR166+BS300*BS166+BT300*BT166+BU300*BU166+BV300*BV166+BW300*BW166+BX300*BX166+BY300*BY166+BZ300*BZ166+CA300*CA166+CB300*CB166+CC300*CC166+CD300*CD166+CE300*CE166+CF300*CF166+CG300*CG166+CH300*CH166+CI300*CI166+CJ300*CJ166+CK300*CK166+CL300*CL166+CM300*CM166+CN300*CN166+CO300*CO166+CP300*CP166+CQ300*CQ166+CR300*CR166+CS300*CS166+CT300*CT166+CU300*CU166</f>
        <v>0</v>
      </c>
      <c r="CZ166" s="2881">
        <f>E301*E166+F301*F166+G301*G166+H301*H166+I301*I166+J301*J166+K301*K166+L301*L166+M301*M166+N301*N166+O301*O166+P301*P166+Q301*Q166+R301*R166+S301*S166+T301*T166+U301*U166+V301*V166+W301*W166+X301*X166+Y301*Y166+Z301*Z166+AA301*AA166+AB301*AB166+AC301*AC166+AD301*AD166+AE301*AE166+AF301*AF166+AG301*AG166+AH301*AH166+AI301*AI166+AJ301*AJ166+AK301*AK166+AL301*AL166+AM301*AM166+AN301*AN166+AO301*AO166+AP301*AP166+AQ301*AQ166+AR301*AR166+AS301*AS166+AT301*AT166+AU301*AU166+AV301*AV166+AW301*AW166+AX301*AX166+AY301*AY166+AZ301*AZ166+BA301*BA166+BB301*BB166+BC301*BC166+BD301*BD166+BE301*BE166+BF301*BF166+BG301*BG166+BH301*BH166+BI301*BI166+BJ301*BJ166+BK301*BK166+BL301*BL166+BM301*BM166+BN301*BN166+BO301*BO166+BP301*BP166+BQ301*BQ166+BR301*BR166+BS301*BS166+BT301*BT166+BU301*BU166+BV301*BV166+BW301*BW166+BX301*BX166+BY301*BY166+BZ301*BZ166+CA301*CA166+CB301*CB166+CC301*CC166+CD301*CD166+CE301*CE166+CF301*CF166+CG301*CG166+CH301*CH166+CI301*CI166+CJ301*CJ166+CK301*CK166+CL301*CL166+CM301*CM166+CN301*CN166+CO301*CO166+CP301*CP166+CQ301*CQ166+CR301*CR166+CS301*CS166+CT301*CT166+CU301*CU166</f>
        <v>0</v>
      </c>
      <c r="DA166" s="2882">
        <f>E302*E166+F302*F166+G302*G166+H302*H166+I302*I166+J302*J166+K302*K166+L302*L166+M302*M166+N302*N166+O302*O166+P302*P166+Q302*Q166+R302*R166+S302*S166+T302*T166+U302*U166+V302*V166+W302*W166+X302*X166+Y302*Y166+Z302*Z166+AA302*AA166+AB302*AB166+AC302*AC166+AD302*AD166+AE302*AE166+AF302*AF166+AG302*AG166+AH302*AH166+AI302*AI166+AJ302*AJ166+AK302*AK166+AL302*AL166+AM302*AM166+AN302*AN166+AO302*AO166+AP302*AP166+AQ302*AQ166+AR302*AR166+AS302*AS166+AT302*AT166+AU302*AU166+AV302*AV166+AW302*AW166+AX302*AX166+AY302*AY166+AZ302*AZ166+BA302*BA166+BB302*BB166+BC302*BC166+BD302*BD166+BE302*BE166+BF302*BF166+BG302*BG166+BH302*BH166+BI302*BI166+BJ302*BJ166+BK302*BK166+BL302*BL166+BM302*BM166+BN302*BN166+BO302*BO166+BP302*BP166+BQ302*BQ166+BR302*BR166+BS302*BS166+BT302*BT166+BU302*BU166+BV302*BV166+BW302*BW166+BX302*BX166+BY302*BY166+BZ302*BZ166+CA302*CA166+CB302*CB166+CC302*CC166+CD302*CD166+CE302*CE166+CF302*CF166+CG302*CG166+CH302*CH166+CI302*CI166+CJ302*CJ166+CK302*CK166+CL302*CL166+CM302*CM166+CN302*CN166+CO302*CO166+CP302*CP166+CQ302*CQ166+CR302*CR166+CS302*CS166+CT302*CT166+CU302*CU166</f>
        <v>0</v>
      </c>
      <c r="DB166" s="2882">
        <f>E303*E166+F303*F166+G303*G166+H303*H166+I303*I166+J303*J166+K303*K166+L303*L166+M303*M166+N303*N166+O303*O166+P303*P166+Q303*Q166+R303*R166+S303*S166+T303*T166+U303*U166+V303*V166+W303*W166+X303*X166+Y303*Y166+Z303*Z166+AA303*AA166+AB303*AB166+AC303*AC166+AD303*AD166+AE303*AE166+AF303*AF166+AG303*AG166+AH303*AH166+AI303*AI166+AJ303*AJ166+AK303*AK166+AL303*AL166+AM303*AM166+AN303*AN166+AO303*AO166+AP303*AP166+AQ303*AQ166+AR303*AR166+AS303*AS166+AT303*AT166+AU303*AU166+AV303*AV166+AW303*AW166+AX303*AX166+AY303*AY166+AZ303*AZ166+BA303*BA166+BB303*BB166+BC303*BC166+BD303*BD166+BE303*BE166+BF303*BF166+BG303*BG166+BH303*BH166+BI303*BI166+BJ303*BJ166+BK303*BK166+BL303*BL166+BM303*BM166+BN303*BN166+BO303*BO166+BP303*BP166+BQ303*BQ166+BR303*BR166+BS303*BS166+BT303*BT166+BU303*BU166+BV303*BV166+BW303*BW166+BX303*BX166+BY303*BY166+BZ303*BZ166+CA303*CA166+CB303*CB166+CC303*CC166+CD303*CD166+CE303*CE166+CF303*CF166+CG303*CG166+CH303*CH166+CI303*CI166+CJ303*CJ166+CK303*CK166+CL303*CL166+CM303*CM166+CN303*CN166+CO303*CO166+CP303*CP166+CQ303*CQ166+CR303*CR166+CS303*CS166+CT303*CT166+CU303*CU166</f>
        <v>0</v>
      </c>
      <c r="DC166" s="2882">
        <f>E304*E166+F304*F166+G304*G166+H304*H166+I304*I166+J304*J166+K304*K166+L304*L166+M304*M166+N304*N166+O304*O166+P304*P166+Q304*Q166+R304*R166+S304*S166+T304*T166+U304*U166+V304*V166+W304*W166+X304*X166+Y304*Y166+Z304*Z166+AA304*AA166+AB304*AB166+AC304*AC166+AD304*AD166+AE304*AE166+AF304*AF166+AG304*AG166+AH304*AH166+AI304*AI166+AJ304*AJ166+AK304*AK166+AL304*AL166+AM304*AM166+AN304*AN166+AO304*AO166+AP304*AP166+AQ304*AQ166+AR304*AR166+AS304*AS166+AT304*AT166+AU304*AU166+AV304*AV166+AW304*AW166+AX304*AX166+AY304*AY166+AZ304*AZ166+BA304*BA166+BB304*BB166+BC304*BC166+BD304*BD166+BE304*BE166+BF304*BF166+BG304*BG166+BH304*BH166+BI304*BI166+BJ304*BJ166+BK304*BK166+BL304*BL166+BM304*BM166+BN304*BN166+BO304*BO166+BP304*BP166+BQ304*BQ166+BR304*BR166+BS304*BS166+BT304*BT166+BU304*BU166+BV304*BV166+BW304*BW166+BX304*BX166+BY304*BY166+BZ304*BZ166+CA304*CA166+CB304*CB166+CC304*CC166+CD304*CD166+CE304*CE166+CF304*CF166+CG304*CG166+CH304*CH166+CI304*CI166+CJ304*CJ166+CK304*CK166+CL304*CL166+CM304*CM166+CN304*CN166+CO304*CO166+CP304*CP166+CQ304*CQ166+CR304*CR166+CS304*CS166+CT304*CT166+CU304*CU166</f>
        <v>0</v>
      </c>
      <c r="DD166" s="2882">
        <f>E305*E166+F305*F166+G305*G166+H305*H166+I305*I166+J305*J166+K305*K166+L305*L166+M305*M166+N305*N166+O305*O166+P305*P166+Q305*Q166+R305*R166+S305*S166+T305*T166+U305*U166+V305*V166+W305*W166+X305*X166+Y305*Y166+Z305*Z166+AA305*AA166+AB305*AB166+AC305*AC166+AD305*AD166+AE305*AE166+AF305*AF166+AG305*AG166+AH305*AH166+AI305*AI166+AJ305*AJ166+AK305*AK166+AL305*AL166+AM305*AM166+AN305*AN166+AO305*AO166+AP305*AP166+AQ305*AQ166+AR305*AR166+AS305*AS166+AT305*AT166+AU305*AU166+AV305*AV166+AW305*AW166+AX305*AX166+AY305*AY166+AZ305*AZ166+BA305*BA166+BB305*BB166+BC305*BC166+BD305*BD166+BE305*BE166+BF305*BF166+BG305*BG166+BH305*BH166+BI305*BI166+BJ305*BJ166+BK305*BK166+BL305*BL166+BM305*BM166+BN305*BN166+BO305*BO166+BP305*BP166+BQ305*BQ166+BR305*BR166+BS305*BS166+BT305*BT166+BU305*BU166+BV305*BV166+BW305*BW166+BX305*BX166+BY305*BY166+BZ305*BZ166+CA305*CA166+CB305*CB166+CC305*CC166+CD305*CD166+CE305*CE166+CF305*CF166+CG305*CG166+CH305*CH166+CI305*CI166+CJ305*CJ166+CK305*CK166+CL305*CL166+CM305*CM166+CN305*CN166+CO305*CO166+CP305*CP166+CQ305*CQ166+CR305*CR166+CS305*CS166+CT305*CT166+CU305*CU166</f>
        <v>0</v>
      </c>
      <c r="DE166" s="2882">
        <f>E306*E166+F306*F166+G306*G166+H306*H166+I306*I166+J306*J166+K306*K166+L306*L166+M306*M166+N306*N166+O306*O166+P306*P166+Q306*Q166+R306*R166+S306*S166+T306*T166+U306*U166+V306*V166+W306*W166+X306*X166+Y306*Y166+Z306*Z166+AA306*AA166+AB306*AB166+AC306*AC166+AD306*AD166+AE306*AE166+AF306*AF166+AG306*AG166+AH306*AH166+AI306*AI166+AJ306*AJ166+AK306*AK166+AL306*AL166+AM306*AM166+AN306*AN166+AO306*AO166+AP306*AP166+AQ306*AQ166+AR306*AR166+AS306*AS166+AT306*AT166+AU306*AU166+AV306*AV166+AW306*AW166+AX306*AX166+AY306*AY166+AZ306*AZ166+BA306*BA166+BB306*BB166+BC306*BC166+BD306*BD166+BE306*BE166+BF306*BF166+BG306*BG166+BH306*BH166+BI306*BI166+BJ306*BJ166+BK306*BK166+BL306*BL166+BM306*BM166+BN306*BN166+BO306*BO166+BP306*BP166+BQ306*BQ166+BR306*BR166+BS306*BS166+BT306*BT166+BU306*BU166+BV306*BV166+BW306*BW166+BX306*BX166+BY306*BY166+BZ306*BZ166+CA306*CA166+CB306*CB166+CC306*CC166+CD306*CD166+CE306*CE166+CF306*CF166+CG306*CG166+CH306*CH166+CI306*CI166+CJ306*CJ166+CK306*CK166+CL306*CL166+CM306*CM166+CN306*CN166+CO306*CO166+CP306*CP166+CQ306*CQ166+CR306*CR166+CS306*CS166+CT306*CT166+CU306*CU166</f>
        <v>0</v>
      </c>
      <c r="DF166" s="2882">
        <f>E307*E166+F307*F166+G307*G166+H307*H166+I307*I166+J307*J166+K307*K166+L307*L166+M307*M166+N307*N166+O307*O166+P307*P166+Q307*Q166+R307*R166+S307*S166+T307*T166+U307*U166+V307*V166+W307*W166+X307*X166+Y307*Y166+Z307*Z166+AA307*AA166+AB307*AB166+AC307*AC166+AD307*AD166+AE307*AE166+AF307*AF166+AG307*AG166+AH307*AH166+AI307*AI166+AJ307*AJ166+AK307*AK166+AL307*AL166+AM307*AM166+AN307*AN166+AO307*AO166+AP307*AP166+AQ307*AQ166+AR307*AR166+AS307*AS166+AT307*AT166+AU307*AU166+AV307*AV166+AW307*AW166+AX307*AX166+AY307*AY166+AZ307*AZ166+BA307*BA166+BB307*BB166+BC307*BC166+BD307*BD166+BE307*BE166+BF307*BF166+BG307*BG166+BH307*BH166+BI307*BI166+BJ307*BJ166+BK307*BK166+BL307*BL166+BM307*BM166+BN307*BN166+BO307*BO166+BP307*BP166+BQ307*BQ166+BR307*BR166+BS307*BS166+BT307*BT166+BU307*BU166+BV307*BV166+BW307*BW166+BX307*BX166+BY307*BY166+BZ307*BZ166+CA307*CA166+CB307*CB166+CC307*CC166+CD307*CD166+CE307*CE166+CF307*CF166+CG307*CG166+CH307*CH166+CI307*CI166+CJ307*CJ166+CK307*CK166+CL307*CL166+CM307*CM166+CN307*CN166+CO307*CO166+CP307*CP166+CQ307*CQ166+CR307*CR166+CS307*CS166+CT307*CT166+CU307*CU166</f>
        <v>0</v>
      </c>
      <c r="DG166" s="2882">
        <f>E308*E166+F308*F166+G308*G166+H308*H166+I308*I166+J308*J166+K308*K166+L308*L166+M308*M166+N308*N166+O308*O166+P308*P166+Q308*Q166+R308*R166+S308*S166+T308*T166+U308*U166+V308*V166+W308*W166+X308*X166+Y308*Y166+Z308*Z166+AA308*AA166+AB308*AB166+AC308*AC166+AD308*AD166+AE308*AE166+AF308*AF166+AG308*AG166+AH308*AH166+AI308*AI166+AJ308*AJ166+AK308*AK166+AL308*AL166+AM308*AM166+AN308*AN166+AO308*AO166+AP308*AP166+AQ308*AQ166+AR308*AR166+AS308*AS166+AT308*AT166+AU308*AU166+AV308*AV166+AW308*AW166+AX308*AX166+AY308*AY166+AZ308*AZ166+BA308*BA166+BB308*BB166+BC308*BC166+BD308*BD166+BE308*BE166+BF308*BF166+BG308*BG166+BH308*BH166+BI308*BI166+BJ308*BJ166+BK308*BK166+BL308*BL166+BM308*BM166+BN308*BN166+BO308*BO166+BP308*BP166+BQ308*BQ166+BR308*BR166+BS308*BS166+BT308*BT166+BU308*BU166+BV308*BV166+BW308*BW166+BX308*BX166+BY308*BY166+BZ308*BZ166+CA308*CA166+CB308*CB166+CC308*CC166+CD308*CD166+CE308*CE166+CF308*CF166+CG308*CG166+CH308*CH166+CI308*CI166+CJ308*CJ166+CK308*CK166+CL308*CL166+CM308*CM166+CN308*CN166+CO308*CO166+CP308*CP166+CQ308*CQ166+CR308*CR166+CS308*CS166+CT308*CT166+CU308*CU166</f>
        <v>0</v>
      </c>
      <c r="DH166" s="2882">
        <f>E309*E166+F309*F166+G309*G166+H309*H166+I309*I166+J309*J166+K309*K166+L309*L166+M309*M166+N309*N166+O309*O166+P309*P166+Q309*Q166+R309*R166+S309*S166+T309*T166+U309*U166+V309*V166+W309*W166+X309*X166+Y309*Y166+Z309*Z166+AA309*AA166+AB309*AB166+AC309*AC166+AD309*AD166+AE309*AE166+AF309*AF166+AG309*AG166+AH309*AH166+AI309*AI166+AJ309*AJ166+AK309*AK166+AL309*AL166+AM309*AM166+AN309*AN166+AO309*AO166+AP309*AP166+AQ309*AQ166+AR309*AR166+AS309*AS166+AT309*AT166+AU309*AU166+AV309*AV166+AW309*AW166+AX309*AX166+AY309*AY166+AZ309*AZ166+BA309*BA166+BB309*BB166+BC309*BC166+BD309*BD166+BE309*BE166+BF309*BF166+BG309*BG166+BH309*BH166+BI309*BI166+BJ309*BJ166+BK309*BK166+BL309*BL166+BM309*BM166+BN309*BN166+BO309*BO166+BP309*BP166+BQ309*BQ166+BR309*BR166+BS309*BS166+BT309*BT166+BU309*BU166+BV309*BV166+BW309*BW166+BX309*BX166+BY309*BY166+BZ309*BZ166+CA309*CA166+CB309*CB166+CC309*CC166+CD309*CD166+CE309*CE166+CF309*CF166+CG309*CG166+CH309*CH166+CI309*CI166+CJ309*CJ166+CK309*CK166+CL309*CL166+CM309*CM166+CN309*CN166+CO309*CO166+CP309*CP166+CQ309*CQ166+CR309*CR166+CS309*CS166+CT309*CT166+CU309*CU166</f>
        <v>0</v>
      </c>
      <c r="DI166" s="2882">
        <f>E310*E166+F310*F166+G310*G166+H310*H166+I310*I166+J310*J166+K310*K166+L310*L166+M310*M166+N310*N166+O310*O166+P310*P166+Q310*Q166+R310*R166+S310*S166+T310*T166+U310*U166+V310*V166+W310*W166+X310*X166+Y310*Y166+Z310*Z166+AA310*AA166+AB310*AB166+AC310*AC166+AD310*AD166+AE310*AE166+AF310*AF166+AG310*AG166+AH310*AH166+AI310*AI166+AJ310*AJ166+AK310*AK166+AL310*AL166+AM310*AM166+AN310*AN166+AO310*AO166+AP310*AP166+AQ310*AQ166+AR310*AR166+AS310*AS166+AT310*AT166+AU310*AU166+AV310*AV166+AW310*AW166+AX310*AX166+AY310*AY166+AZ310*AZ166+BA310*BA166+BB310*BB166+BC310*BC166+BD310*BD166+BE310*BE166+BF310*BF166+BG310*BG166+BH310*BH166+BI310*BI166+BJ310*BJ166+BK310*BK166+BL310*BL166+BM310*BM166+BN310*BN166+BO310*BO166+BP310*BP166+BQ310*BQ166+BR310*BR166+BS310*BS166+BT310*BT166+BU310*BU166+BV310*BV166+BW310*BW166+BX310*BX166+BY310*BY166+BZ310*BZ166+CA310*CA166+CB310*CB166+CC310*CC166+CD310*CD166+CE310*CE166+CF310*CF166+CG310*CG166+CH310*CH166+CI310*CI166+CJ310*CJ166+CK310*CK166+CL310*CL166+CM310*CM166+CN310*CN166+CO310*CO166+CP310*CP166+CQ310*CQ166+CR310*CR166+CS310*CS166+CT310*CT166+CU310*CU166</f>
        <v>0</v>
      </c>
    </row>
    <row r="167" spans="2:113" ht="15.75" x14ac:dyDescent="0.55000000000000004">
      <c r="B167" s="433">
        <v>8</v>
      </c>
      <c r="C167" s="434" t="s">
        <v>231</v>
      </c>
      <c r="D167" s="759" t="s">
        <v>3776</v>
      </c>
      <c r="E167" s="725">
        <f>0</f>
        <v>0</v>
      </c>
      <c r="F167" s="724">
        <f>-1/Y_OHO_SB_anox</f>
        <v>-1.8518518518518516</v>
      </c>
      <c r="G167" s="725">
        <f>0</f>
        <v>0</v>
      </c>
      <c r="H167" s="725">
        <f>0</f>
        <v>0</v>
      </c>
      <c r="I167" s="725">
        <f>0</f>
        <v>0</v>
      </c>
      <c r="J167" s="725">
        <f>0</f>
        <v>0</v>
      </c>
      <c r="K167" s="725">
        <f>0</f>
        <v>0</v>
      </c>
      <c r="L167" s="725">
        <f>0</f>
        <v>0</v>
      </c>
      <c r="M167" s="725">
        <f>0</f>
        <v>0</v>
      </c>
      <c r="N167" s="725">
        <f>0</f>
        <v>0</v>
      </c>
      <c r="O167" s="725">
        <f>0</f>
        <v>0</v>
      </c>
      <c r="P167" s="725">
        <f>0</f>
        <v>0</v>
      </c>
      <c r="Q167" s="725">
        <f>1</f>
        <v>1</v>
      </c>
      <c r="R167" s="725">
        <f>0</f>
        <v>0</v>
      </c>
      <c r="S167" s="725">
        <f>0</f>
        <v>0</v>
      </c>
      <c r="T167" s="725">
        <f>0</f>
        <v>0</v>
      </c>
      <c r="U167" s="725">
        <f>0</f>
        <v>0</v>
      </c>
      <c r="V167" s="725">
        <f>0</f>
        <v>0</v>
      </c>
      <c r="W167" s="725">
        <f>0</f>
        <v>0</v>
      </c>
      <c r="X167" s="725">
        <f>0</f>
        <v>0</v>
      </c>
      <c r="Y167" s="725">
        <f>0</f>
        <v>0</v>
      </c>
      <c r="Z167" s="725">
        <f>0</f>
        <v>0</v>
      </c>
      <c r="AA167" s="725">
        <f>0</f>
        <v>0</v>
      </c>
      <c r="AB167" s="724">
        <f t="shared" si="0"/>
        <v>-7.0000000000000007E-2</v>
      </c>
      <c r="AC167" s="724">
        <f>0</f>
        <v>0</v>
      </c>
      <c r="AD167" s="724">
        <f>0</f>
        <v>0</v>
      </c>
      <c r="AE167" s="724">
        <f>-(1-Y_OHO_SB_anox)/(E_EQNO_NO2*Y_OHO_SB_anox)</f>
        <v>-1.4915100982953529</v>
      </c>
      <c r="AF167" s="724">
        <f>0</f>
        <v>0</v>
      </c>
      <c r="AG167" s="724">
        <f>(1-Y_OHO_SB_anox)/(E_EQNO_NO2*Y_OHO_SB_anox)</f>
        <v>1.4915100982953529</v>
      </c>
      <c r="AH167" s="724">
        <f>0</f>
        <v>0</v>
      </c>
      <c r="AI167" s="724">
        <f>0</f>
        <v>0</v>
      </c>
      <c r="AJ167" s="725">
        <f>0</f>
        <v>0</v>
      </c>
      <c r="AK167" s="725">
        <f>0</f>
        <v>0</v>
      </c>
      <c r="AL167" s="725">
        <f>0</f>
        <v>0</v>
      </c>
      <c r="AM167" s="724">
        <f t="shared" si="1"/>
        <v>-0.02</v>
      </c>
      <c r="AN167" s="725">
        <f>0</f>
        <v>0</v>
      </c>
      <c r="AO167" s="725">
        <f>0</f>
        <v>0</v>
      </c>
      <c r="AP167" s="725">
        <f>0</f>
        <v>0</v>
      </c>
      <c r="AQ167" s="725">
        <f>0</f>
        <v>0</v>
      </c>
      <c r="AR167" s="724">
        <f>0</f>
        <v>0</v>
      </c>
      <c r="AS167" s="724">
        <f>0</f>
        <v>0</v>
      </c>
      <c r="AT167" s="724">
        <f>0</f>
        <v>0</v>
      </c>
      <c r="AU167" s="724">
        <f>i_CIT_SB/Y_OHO_SB_anox-i_CIT_BIO</f>
        <v>0.17762962962962958</v>
      </c>
      <c r="AV167" s="724">
        <f t="shared" si="2"/>
        <v>0.11</v>
      </c>
      <c r="AW167" s="724">
        <f t="shared" si="3"/>
        <v>-2.8804303582798466E-2</v>
      </c>
      <c r="AX167" s="724">
        <f t="shared" si="4"/>
        <v>-7.0195696417201539E-2</v>
      </c>
      <c r="AY167" s="724">
        <f t="shared" si="5"/>
        <v>-5.5000000000000005E-3</v>
      </c>
      <c r="AZ167" s="724">
        <f t="shared" si="6"/>
        <v>-5.5000000000000005E-3</v>
      </c>
      <c r="BA167" s="724">
        <f>0</f>
        <v>0</v>
      </c>
      <c r="BB167" s="724">
        <f>0</f>
        <v>0</v>
      </c>
      <c r="BC167" s="2850">
        <f>-i_S_BIO+1/Y_OHO_SB_anox*i_S_SB</f>
        <v>-7.2222222222222228E-3</v>
      </c>
      <c r="BD167" s="724">
        <f>0</f>
        <v>0</v>
      </c>
      <c r="BE167" s="724">
        <f>0</f>
        <v>0</v>
      </c>
      <c r="BF167" s="724">
        <f>0</f>
        <v>0</v>
      </c>
      <c r="BG167" s="724">
        <f>0</f>
        <v>0</v>
      </c>
      <c r="BH167" s="724">
        <f>0</f>
        <v>0</v>
      </c>
      <c r="BI167" s="724">
        <f>0</f>
        <v>0</v>
      </c>
      <c r="BJ167" s="724">
        <f>0</f>
        <v>0</v>
      </c>
      <c r="BK167" s="724">
        <f>0</f>
        <v>0</v>
      </c>
      <c r="BL167" s="724">
        <f>0</f>
        <v>0</v>
      </c>
      <c r="BM167" s="724">
        <f>0</f>
        <v>0</v>
      </c>
      <c r="BN167" s="724">
        <f>0</f>
        <v>0</v>
      </c>
      <c r="BO167" s="724">
        <f>0</f>
        <v>0</v>
      </c>
      <c r="BP167" s="724">
        <f>0</f>
        <v>0</v>
      </c>
      <c r="BQ167" s="724">
        <f>0</f>
        <v>0</v>
      </c>
      <c r="BR167" s="724">
        <f>0</f>
        <v>0</v>
      </c>
      <c r="BS167" s="724">
        <f>0</f>
        <v>0</v>
      </c>
      <c r="BT167" s="724">
        <f>0</f>
        <v>0</v>
      </c>
      <c r="BU167" s="724">
        <f>0</f>
        <v>0</v>
      </c>
      <c r="BV167" s="887">
        <f>0</f>
        <v>0</v>
      </c>
      <c r="BW167" s="724">
        <f>0</f>
        <v>0</v>
      </c>
      <c r="BX167" s="724">
        <f>0</f>
        <v>0</v>
      </c>
      <c r="BY167" s="724">
        <f>0</f>
        <v>0</v>
      </c>
      <c r="BZ167" s="724">
        <f>0</f>
        <v>0</v>
      </c>
      <c r="CA167" s="887">
        <f>0</f>
        <v>0</v>
      </c>
      <c r="CB167" s="724">
        <f>0</f>
        <v>0</v>
      </c>
      <c r="CC167" s="724">
        <f>0</f>
        <v>0</v>
      </c>
      <c r="CD167" s="724">
        <f>0</f>
        <v>0</v>
      </c>
      <c r="CE167" s="724">
        <f>0</f>
        <v>0</v>
      </c>
      <c r="CF167" s="724">
        <f>0</f>
        <v>0</v>
      </c>
      <c r="CG167" s="724">
        <f>0</f>
        <v>0</v>
      </c>
      <c r="CH167" s="724">
        <f>0</f>
        <v>0</v>
      </c>
      <c r="CI167" s="724">
        <f>0</f>
        <v>0</v>
      </c>
      <c r="CJ167" s="724">
        <f>0</f>
        <v>0</v>
      </c>
      <c r="CK167" s="724">
        <f>0</f>
        <v>0</v>
      </c>
      <c r="CL167" s="724">
        <f>0</f>
        <v>0</v>
      </c>
      <c r="CM167" s="724">
        <f>0</f>
        <v>0</v>
      </c>
      <c r="CN167" s="724">
        <f>0</f>
        <v>0</v>
      </c>
      <c r="CO167" s="724">
        <f>0</f>
        <v>0</v>
      </c>
      <c r="CP167" s="724">
        <f>0</f>
        <v>0</v>
      </c>
      <c r="CQ167" s="724">
        <f>0</f>
        <v>0</v>
      </c>
      <c r="CR167" s="724">
        <f>0</f>
        <v>0</v>
      </c>
      <c r="CS167" s="724">
        <f>0</f>
        <v>0</v>
      </c>
      <c r="CT167" s="724">
        <f>0</f>
        <v>0</v>
      </c>
      <c r="CU167" s="724">
        <f>0</f>
        <v>0</v>
      </c>
      <c r="CV167" s="2856">
        <f>µ_OHO_T*X_OHO*η_OHO_NO2*M_satSB_KSB_NO2*M_inhSVFA_KVFA*M_satSNO2_KNO2_OHO*M_inhSO2_KO2_OHO_NO2*M_inhSNO_KiNO_OHO_NO2*M_satSNHx_KNHx_BIO*M_satSPO4_KPO4_BIO*M_satSCAT_KCAT*M_satSAN_KAN*M_satSCa_KCa*M_satSMg_KMg*B_ellinhpH</f>
        <v>1.1546647941093373</v>
      </c>
      <c r="CX167" s="2880">
        <f>E299*E167+F299*F167+G299*G167+H299*H167+I299*I167+J299*J167+K299*K167+L299*L167+M299*M167+N299*N167+O299*O167+P299*P167+Q299*Q167+R299*R167+S299*S167+T299*T167+U299*U167+V299*V167+W299*W167+X299*X167+Y299*Y167+Z299*Z167+AA299*AA167+AB299*AB167+AC299*AC167+AD299*AD167+AE299*AE167+AF299*AF167+AG299*AG167+AH299*AH167+AI299*AI167+AJ299*AJ167+AK299*AK167+AL299*AL167+AM299*AM167+AN299*AN167+AO299*AO167+AP299*AP167+AQ299*AQ167+AR299*AR167+AS299*AS167+AT299*AT167+AU299*AU167+AV299*AV167+AW299*AW167+AX299*AX167+AY299*AY167+AZ299*AZ167+BA299*BA167+BB299*BB167+BC299*BC167+BD299*BD167+BE299*BE167+BF299*BF167+BG299*BG167+BH299*BH167+BI299*BI167+BJ299*BJ167+BK299*BK167+BL299*BL167+BM299*BM167+BN299*BN167+BO299*BO167+BP299*BP167+BQ299*BQ167+BR299*BR167+BS299*BS167+BT299*BT167+BU299*BU167+BV299*BV167+BW299*BW167+BX299*BX167+BY299*BY167+BZ299*BZ167+CA299*CA167+CB299*CB167+CC299*CC167+CD299*CD167+CE299*CE167+CF299*CF167+CG299*CG167+CH299*CH167+CI299*CI167+CJ299*CJ167+CK299*CK167+CL299*CL167+CM299*CM167+CN299*CN167+CO299*CO167+CP299*CP167+CQ299*CQ167+CR299*CR167+CS299*CS167+CT299*CT167+CU299*CU167</f>
        <v>0</v>
      </c>
      <c r="CY167" s="2880">
        <f>E300*E167+F300*F167+G300*G167+H300*H167+I300*I167+J300*J167+K300*K167+L300*L167+M300*M167+N300*N167+O300*O167+P300*P167+Q300*Q167+R300*R167+S300*S167+T300*T167+U300*U167+V300*V167+W300*W167+X300*X167+Y300*Y167+Z300*Z167+AA300*AA167+AB300*AB167+AC300*AC167+AD300*AD167+AE300*AE167+AF300*AF167+AG300*AG167+AH300*AH167+AI300*AI167+AJ300*AJ167+AK300*AK167+AL300*AL167+AM300*AM167+AN300*AN167+AO300*AO167+AP300*AP167+AQ300*AQ167+AR300*AR167+AS300*AS167+AT300*AT167+AU300*AU167+AV300*AV167+AW300*AW167+AX300*AX167+AY300*AY167+AZ300*AZ167+BA300*BA167+BB300*BB167+BC300*BC167+BD300*BD167+BE300*BE167+BF300*BF167+BG300*BG167+BH300*BH167+BI300*BI167+BJ300*BJ167+BK300*BK167+BL300*BL167+BM300*BM167+BN300*BN167+BO300*BO167+BP300*BP167+BQ300*BQ167+BR300*BR167+BS300*BS167+BT300*BT167+BU300*BU167+BV300*BV167+BW300*BW167+BX300*BX167+BY300*BY167+BZ300*BZ167+CA300*CA167+CB300*CB167+CC300*CC167+CD300*CD167+CE300*CE167+CF300*CF167+CG300*CG167+CH300*CH167+CI300*CI167+CJ300*CJ167+CK300*CK167+CL300*CL167+CM300*CM167+CN300*CN167+CO300*CO167+CP300*CP167+CQ300*CQ167+CR300*CR167+CS300*CS167+CT300*CT167+CU300*CU167</f>
        <v>0</v>
      </c>
      <c r="CZ167" s="2881">
        <f>E301*E167+F301*F167+G301*G167+H301*H167+I301*I167+J301*J167+K301*K167+L301*L167+M301*M167+N301*N167+O301*O167+P301*P167+Q301*Q167+R301*R167+S301*S167+T301*T167+U301*U167+V301*V167+W301*W167+X301*X167+Y301*Y167+Z301*Z167+AA301*AA167+AB301*AB167+AC301*AC167+AD301*AD167+AE301*AE167+AF301*AF167+AG301*AG167+AH301*AH167+AI301*AI167+AJ301*AJ167+AK301*AK167+AL301*AL167+AM301*AM167+AN301*AN167+AO301*AO167+AP301*AP167+AQ301*AQ167+AR301*AR167+AS301*AS167+AT301*AT167+AU301*AU167+AV301*AV167+AW301*AW167+AX301*AX167+AY301*AY167+AZ301*AZ167+BA301*BA167+BB301*BB167+BC301*BC167+BD301*BD167+BE301*BE167+BF301*BF167+BG301*BG167+BH301*BH167+BI301*BI167+BJ301*BJ167+BK301*BK167+BL301*BL167+BM301*BM167+BN301*BN167+BO301*BO167+BP301*BP167+BQ301*BQ167+BR301*BR167+BS301*BS167+BT301*BT167+BU301*BU167+BV301*BV167+BW301*BW167+BX301*BX167+BY301*BY167+BZ301*BZ167+CA301*CA167+CB301*CB167+CC301*CC167+CD301*CD167+CE301*CE167+CF301*CF167+CG301*CG167+CH301*CH167+CI301*CI167+CJ301*CJ167+CK301*CK167+CL301*CL167+CM301*CM167+CN301*CN167+CO301*CO167+CP301*CP167+CQ301*CQ167+CR301*CR167+CS301*CS167+CT301*CT167+CU301*CU167</f>
        <v>0</v>
      </c>
      <c r="DA167" s="2882">
        <f>E302*E167+F302*F167+G302*G167+H302*H167+I302*I167+J302*J167+K302*K167+L302*L167+M302*M167+N302*N167+O302*O167+P302*P167+Q302*Q167+R302*R167+S302*S167+T302*T167+U302*U167+V302*V167+W302*W167+X302*X167+Y302*Y167+Z302*Z167+AA302*AA167+AB302*AB167+AC302*AC167+AD302*AD167+AE302*AE167+AF302*AF167+AG302*AG167+AH302*AH167+AI302*AI167+AJ302*AJ167+AK302*AK167+AL302*AL167+AM302*AM167+AN302*AN167+AO302*AO167+AP302*AP167+AQ302*AQ167+AR302*AR167+AS302*AS167+AT302*AT167+AU302*AU167+AV302*AV167+AW302*AW167+AX302*AX167+AY302*AY167+AZ302*AZ167+BA302*BA167+BB302*BB167+BC302*BC167+BD302*BD167+BE302*BE167+BF302*BF167+BG302*BG167+BH302*BH167+BI302*BI167+BJ302*BJ167+BK302*BK167+BL302*BL167+BM302*BM167+BN302*BN167+BO302*BO167+BP302*BP167+BQ302*BQ167+BR302*BR167+BS302*BS167+BT302*BT167+BU302*BU167+BV302*BV167+BW302*BW167+BX302*BX167+BY302*BY167+BZ302*BZ167+CA302*CA167+CB302*CB167+CC302*CC167+CD302*CD167+CE302*CE167+CF302*CF167+CG302*CG167+CH302*CH167+CI302*CI167+CJ302*CJ167+CK302*CK167+CL302*CL167+CM302*CM167+CN302*CN167+CO302*CO167+CP302*CP167+CQ302*CQ167+CR302*CR167+CS302*CS167+CT302*CT167+CU302*CU167</f>
        <v>0</v>
      </c>
      <c r="DB167" s="2882">
        <f>E303*E167+F303*F167+G303*G167+H303*H167+I303*I167+J303*J167+K303*K167+L303*L167+M303*M167+N303*N167+O303*O167+P303*P167+Q303*Q167+R303*R167+S303*S167+T303*T167+U303*U167+V303*V167+W303*W167+X303*X167+Y303*Y167+Z303*Z167+AA303*AA167+AB303*AB167+AC303*AC167+AD303*AD167+AE303*AE167+AF303*AF167+AG303*AG167+AH303*AH167+AI303*AI167+AJ303*AJ167+AK303*AK167+AL303*AL167+AM303*AM167+AN303*AN167+AO303*AO167+AP303*AP167+AQ303*AQ167+AR303*AR167+AS303*AS167+AT303*AT167+AU303*AU167+AV303*AV167+AW303*AW167+AX303*AX167+AY303*AY167+AZ303*AZ167+BA303*BA167+BB303*BB167+BC303*BC167+BD303*BD167+BE303*BE167+BF303*BF167+BG303*BG167+BH303*BH167+BI303*BI167+BJ303*BJ167+BK303*BK167+BL303*BL167+BM303*BM167+BN303*BN167+BO303*BO167+BP303*BP167+BQ303*BQ167+BR303*BR167+BS303*BS167+BT303*BT167+BU303*BU167+BV303*BV167+BW303*BW167+BX303*BX167+BY303*BY167+BZ303*BZ167+CA303*CA167+CB303*CB167+CC303*CC167+CD303*CD167+CE303*CE167+CF303*CF167+CG303*CG167+CH303*CH167+CI303*CI167+CJ303*CJ167+CK303*CK167+CL303*CL167+CM303*CM167+CN303*CN167+CO303*CO167+CP303*CP167+CQ303*CQ167+CR303*CR167+CS303*CS167+CT303*CT167+CU303*CU167</f>
        <v>0</v>
      </c>
      <c r="DC167" s="2882">
        <f>E304*E167+F304*F167+G304*G167+H304*H167+I304*I167+J304*J167+K304*K167+L304*L167+M304*M167+N304*N167+O304*O167+P304*P167+Q304*Q167+R304*R167+S304*S167+T304*T167+U304*U167+V304*V167+W304*W167+X304*X167+Y304*Y167+Z304*Z167+AA304*AA167+AB304*AB167+AC304*AC167+AD304*AD167+AE304*AE167+AF304*AF167+AG304*AG167+AH304*AH167+AI304*AI167+AJ304*AJ167+AK304*AK167+AL304*AL167+AM304*AM167+AN304*AN167+AO304*AO167+AP304*AP167+AQ304*AQ167+AR304*AR167+AS304*AS167+AT304*AT167+AU304*AU167+AV304*AV167+AW304*AW167+AX304*AX167+AY304*AY167+AZ304*AZ167+BA304*BA167+BB304*BB167+BC304*BC167+BD304*BD167+BE304*BE167+BF304*BF167+BG304*BG167+BH304*BH167+BI304*BI167+BJ304*BJ167+BK304*BK167+BL304*BL167+BM304*BM167+BN304*BN167+BO304*BO167+BP304*BP167+BQ304*BQ167+BR304*BR167+BS304*BS167+BT304*BT167+BU304*BU167+BV304*BV167+BW304*BW167+BX304*BX167+BY304*BY167+BZ304*BZ167+CA304*CA167+CB304*CB167+CC304*CC167+CD304*CD167+CE304*CE167+CF304*CF167+CG304*CG167+CH304*CH167+CI304*CI167+CJ304*CJ167+CK304*CK167+CL304*CL167+CM304*CM167+CN304*CN167+CO304*CO167+CP304*CP167+CQ304*CQ167+CR304*CR167+CS304*CS167+CT304*CT167+CU304*CU167</f>
        <v>0</v>
      </c>
      <c r="DD167" s="2882">
        <f>E305*E167+F305*F167+G305*G167+H305*H167+I305*I167+J305*J167+K305*K167+L305*L167+M305*M167+N305*N167+O305*O167+P305*P167+Q305*Q167+R305*R167+S305*S167+T305*T167+U305*U167+V305*V167+W305*W167+X305*X167+Y305*Y167+Z305*Z167+AA305*AA167+AB305*AB167+AC305*AC167+AD305*AD167+AE305*AE167+AF305*AF167+AG305*AG167+AH305*AH167+AI305*AI167+AJ305*AJ167+AK305*AK167+AL305*AL167+AM305*AM167+AN305*AN167+AO305*AO167+AP305*AP167+AQ305*AQ167+AR305*AR167+AS305*AS167+AT305*AT167+AU305*AU167+AV305*AV167+AW305*AW167+AX305*AX167+AY305*AY167+AZ305*AZ167+BA305*BA167+BB305*BB167+BC305*BC167+BD305*BD167+BE305*BE167+BF305*BF167+BG305*BG167+BH305*BH167+BI305*BI167+BJ305*BJ167+BK305*BK167+BL305*BL167+BM305*BM167+BN305*BN167+BO305*BO167+BP305*BP167+BQ305*BQ167+BR305*BR167+BS305*BS167+BT305*BT167+BU305*BU167+BV305*BV167+BW305*BW167+BX305*BX167+BY305*BY167+BZ305*BZ167+CA305*CA167+CB305*CB167+CC305*CC167+CD305*CD167+CE305*CE167+CF305*CF167+CG305*CG167+CH305*CH167+CI305*CI167+CJ305*CJ167+CK305*CK167+CL305*CL167+CM305*CM167+CN305*CN167+CO305*CO167+CP305*CP167+CQ305*CQ167+CR305*CR167+CS305*CS167+CT305*CT167+CU305*CU167</f>
        <v>0</v>
      </c>
      <c r="DE167" s="2882">
        <f>E306*E167+F306*F167+G306*G167+H306*H167+I306*I167+J306*J167+K306*K167+L306*L167+M306*M167+N306*N167+O306*O167+P306*P167+Q306*Q167+R306*R167+S306*S167+T306*T167+U306*U167+V306*V167+W306*W167+X306*X167+Y306*Y167+Z306*Z167+AA306*AA167+AB306*AB167+AC306*AC167+AD306*AD167+AE306*AE167+AF306*AF167+AG306*AG167+AH306*AH167+AI306*AI167+AJ306*AJ167+AK306*AK167+AL306*AL167+AM306*AM167+AN306*AN167+AO306*AO167+AP306*AP167+AQ306*AQ167+AR306*AR167+AS306*AS167+AT306*AT167+AU306*AU167+AV306*AV167+AW306*AW167+AX306*AX167+AY306*AY167+AZ306*AZ167+BA306*BA167+BB306*BB167+BC306*BC167+BD306*BD167+BE306*BE167+BF306*BF167+BG306*BG167+BH306*BH167+BI306*BI167+BJ306*BJ167+BK306*BK167+BL306*BL167+BM306*BM167+BN306*BN167+BO306*BO167+BP306*BP167+BQ306*BQ167+BR306*BR167+BS306*BS167+BT306*BT167+BU306*BU167+BV306*BV167+BW306*BW167+BX306*BX167+BY306*BY167+BZ306*BZ167+CA306*CA167+CB306*CB167+CC306*CC167+CD306*CD167+CE306*CE167+CF306*CF167+CG306*CG167+CH306*CH167+CI306*CI167+CJ306*CJ167+CK306*CK167+CL306*CL167+CM306*CM167+CN306*CN167+CO306*CO167+CP306*CP167+CQ306*CQ167+CR306*CR167+CS306*CS167+CT306*CT167+CU306*CU167</f>
        <v>0</v>
      </c>
      <c r="DF167" s="2882">
        <f>E307*E167+F307*F167+G307*G167+H307*H167+I307*I167+J307*J167+K307*K167+L307*L167+M307*M167+N307*N167+O307*O167+P307*P167+Q307*Q167+R307*R167+S307*S167+T307*T167+U307*U167+V307*V167+W307*W167+X307*X167+Y307*Y167+Z307*Z167+AA307*AA167+AB307*AB167+AC307*AC167+AD307*AD167+AE307*AE167+AF307*AF167+AG307*AG167+AH307*AH167+AI307*AI167+AJ307*AJ167+AK307*AK167+AL307*AL167+AM307*AM167+AN307*AN167+AO307*AO167+AP307*AP167+AQ307*AQ167+AR307*AR167+AS307*AS167+AT307*AT167+AU307*AU167+AV307*AV167+AW307*AW167+AX307*AX167+AY307*AY167+AZ307*AZ167+BA307*BA167+BB307*BB167+BC307*BC167+BD307*BD167+BE307*BE167+BF307*BF167+BG307*BG167+BH307*BH167+BI307*BI167+BJ307*BJ167+BK307*BK167+BL307*BL167+BM307*BM167+BN307*BN167+BO307*BO167+BP307*BP167+BQ307*BQ167+BR307*BR167+BS307*BS167+BT307*BT167+BU307*BU167+BV307*BV167+BW307*BW167+BX307*BX167+BY307*BY167+BZ307*BZ167+CA307*CA167+CB307*CB167+CC307*CC167+CD307*CD167+CE307*CE167+CF307*CF167+CG307*CG167+CH307*CH167+CI307*CI167+CJ307*CJ167+CK307*CK167+CL307*CL167+CM307*CM167+CN307*CN167+CO307*CO167+CP307*CP167+CQ307*CQ167+CR307*CR167+CS307*CS167+CT307*CT167+CU307*CU167</f>
        <v>0</v>
      </c>
      <c r="DG167" s="2882">
        <f>E308*E167+F308*F167+G308*G167+H308*H167+I308*I167+J308*J167+K308*K167+L308*L167+M308*M167+N308*N167+O308*O167+P308*P167+Q308*Q167+R308*R167+S308*S167+T308*T167+U308*U167+V308*V167+W308*W167+X308*X167+Y308*Y167+Z308*Z167+AA308*AA167+AB308*AB167+AC308*AC167+AD308*AD167+AE308*AE167+AF308*AF167+AG308*AG167+AH308*AH167+AI308*AI167+AJ308*AJ167+AK308*AK167+AL308*AL167+AM308*AM167+AN308*AN167+AO308*AO167+AP308*AP167+AQ308*AQ167+AR308*AR167+AS308*AS167+AT308*AT167+AU308*AU167+AV308*AV167+AW308*AW167+AX308*AX167+AY308*AY167+AZ308*AZ167+BA308*BA167+BB308*BB167+BC308*BC167+BD308*BD167+BE308*BE167+BF308*BF167+BG308*BG167+BH308*BH167+BI308*BI167+BJ308*BJ167+BK308*BK167+BL308*BL167+BM308*BM167+BN308*BN167+BO308*BO167+BP308*BP167+BQ308*BQ167+BR308*BR167+BS308*BS167+BT308*BT167+BU308*BU167+BV308*BV167+BW308*BW167+BX308*BX167+BY308*BY167+BZ308*BZ167+CA308*CA167+CB308*CB167+CC308*CC167+CD308*CD167+CE308*CE167+CF308*CF167+CG308*CG167+CH308*CH167+CI308*CI167+CJ308*CJ167+CK308*CK167+CL308*CL167+CM308*CM167+CN308*CN167+CO308*CO167+CP308*CP167+CQ308*CQ167+CR308*CR167+CS308*CS167+CT308*CT167+CU308*CU167</f>
        <v>0</v>
      </c>
      <c r="DH167" s="2882">
        <f>E309*E167+F309*F167+G309*G167+H309*H167+I309*I167+J309*J167+K309*K167+L309*L167+M309*M167+N309*N167+O309*O167+P309*P167+Q309*Q167+R309*R167+S309*S167+T309*T167+U309*U167+V309*V167+W309*W167+X309*X167+Y309*Y167+Z309*Z167+AA309*AA167+AB309*AB167+AC309*AC167+AD309*AD167+AE309*AE167+AF309*AF167+AG309*AG167+AH309*AH167+AI309*AI167+AJ309*AJ167+AK309*AK167+AL309*AL167+AM309*AM167+AN309*AN167+AO309*AO167+AP309*AP167+AQ309*AQ167+AR309*AR167+AS309*AS167+AT309*AT167+AU309*AU167+AV309*AV167+AW309*AW167+AX309*AX167+AY309*AY167+AZ309*AZ167+BA309*BA167+BB309*BB167+BC309*BC167+BD309*BD167+BE309*BE167+BF309*BF167+BG309*BG167+BH309*BH167+BI309*BI167+BJ309*BJ167+BK309*BK167+BL309*BL167+BM309*BM167+BN309*BN167+BO309*BO167+BP309*BP167+BQ309*BQ167+BR309*BR167+BS309*BS167+BT309*BT167+BU309*BU167+BV309*BV167+BW309*BW167+BX309*BX167+BY309*BY167+BZ309*BZ167+CA309*CA167+CB309*CB167+CC309*CC167+CD309*CD167+CE309*CE167+CF309*CF167+CG309*CG167+CH309*CH167+CI309*CI167+CJ309*CJ167+CK309*CK167+CL309*CL167+CM309*CM167+CN309*CN167+CO309*CO167+CP309*CP167+CQ309*CQ167+CR309*CR167+CS309*CS167+CT309*CT167+CU309*CU167</f>
        <v>0</v>
      </c>
      <c r="DI167" s="2882">
        <f>E310*E167+F310*F167+G310*G167+H310*H167+I310*I167+J310*J167+K310*K167+L310*L167+M310*M167+N310*N167+O310*O167+P310*P167+Q310*Q167+R310*R167+S310*S167+T310*T167+U310*U167+V310*V167+W310*W167+X310*X167+Y310*Y167+Z310*Z167+AA310*AA167+AB310*AB167+AC310*AC167+AD310*AD167+AE310*AE167+AF310*AF167+AG310*AG167+AH310*AH167+AI310*AI167+AJ310*AJ167+AK310*AK167+AL310*AL167+AM310*AM167+AN310*AN167+AO310*AO167+AP310*AP167+AQ310*AQ167+AR310*AR167+AS310*AS167+AT310*AT167+AU310*AU167+AV310*AV167+AW310*AW167+AX310*AX167+AY310*AY167+AZ310*AZ167+BA310*BA167+BB310*BB167+BC310*BC167+BD310*BD167+BE310*BE167+BF310*BF167+BG310*BG167+BH310*BH167+BI310*BI167+BJ310*BJ167+BK310*BK167+BL310*BL167+BM310*BM167+BN310*BN167+BO310*BO167+BP310*BP167+BQ310*BQ167+BR310*BR167+BS310*BS167+BT310*BT167+BU310*BU167+BV310*BV167+BW310*BW167+BX310*BX167+BY310*BY167+BZ310*BZ167+CA310*CA167+CB310*CB167+CC310*CC167+CD310*CD167+CE310*CE167+CF310*CF167+CG310*CG167+CH310*CH167+CI310*CI167+CJ310*CJ167+CK310*CK167+CL310*CL167+CM310*CM167+CN310*CN167+CO310*CO167+CP310*CP167+CQ310*CQ167+CR310*CR167+CS310*CS167+CT310*CT167+CU310*CU167</f>
        <v>0</v>
      </c>
    </row>
    <row r="168" spans="2:113" ht="15.75" x14ac:dyDescent="0.55000000000000004">
      <c r="B168" s="433">
        <v>9</v>
      </c>
      <c r="C168" s="434" t="s">
        <v>232</v>
      </c>
      <c r="D168" s="759" t="s">
        <v>3841</v>
      </c>
      <c r="E168" s="725">
        <f>0</f>
        <v>0</v>
      </c>
      <c r="F168" s="724">
        <f>-1/Y_OHO_SB_anox</f>
        <v>-1.8518518518518516</v>
      </c>
      <c r="G168" s="725">
        <f>0</f>
        <v>0</v>
      </c>
      <c r="H168" s="725">
        <f>0</f>
        <v>0</v>
      </c>
      <c r="I168" s="725">
        <f>0</f>
        <v>0</v>
      </c>
      <c r="J168" s="725">
        <f>0</f>
        <v>0</v>
      </c>
      <c r="K168" s="725">
        <f>0</f>
        <v>0</v>
      </c>
      <c r="L168" s="725">
        <f>0</f>
        <v>0</v>
      </c>
      <c r="M168" s="725">
        <f>0</f>
        <v>0</v>
      </c>
      <c r="N168" s="725">
        <f>0</f>
        <v>0</v>
      </c>
      <c r="O168" s="725">
        <f>0</f>
        <v>0</v>
      </c>
      <c r="P168" s="725">
        <f>0</f>
        <v>0</v>
      </c>
      <c r="Q168" s="725">
        <f>1</f>
        <v>1</v>
      </c>
      <c r="R168" s="725">
        <f>0</f>
        <v>0</v>
      </c>
      <c r="S168" s="725">
        <f>0</f>
        <v>0</v>
      </c>
      <c r="T168" s="725">
        <f>0</f>
        <v>0</v>
      </c>
      <c r="U168" s="725">
        <f>0</f>
        <v>0</v>
      </c>
      <c r="V168" s="725">
        <f>0</f>
        <v>0</v>
      </c>
      <c r="W168" s="725">
        <f>0</f>
        <v>0</v>
      </c>
      <c r="X168" s="725">
        <f>0</f>
        <v>0</v>
      </c>
      <c r="Y168" s="725">
        <f>0</f>
        <v>0</v>
      </c>
      <c r="Z168" s="725">
        <f>0</f>
        <v>0</v>
      </c>
      <c r="AA168" s="725">
        <f>0</f>
        <v>0</v>
      </c>
      <c r="AB168" s="724">
        <f t="shared" si="0"/>
        <v>-7.0000000000000007E-2</v>
      </c>
      <c r="AC168" s="724">
        <f>0</f>
        <v>0</v>
      </c>
      <c r="AD168" s="724">
        <f>0</f>
        <v>0</v>
      </c>
      <c r="AE168" s="724">
        <f>0</f>
        <v>0</v>
      </c>
      <c r="AF168" s="724">
        <f>0</f>
        <v>0</v>
      </c>
      <c r="AG168" s="724">
        <f>-(1-Y_OHO_SB_anox)/(E_EQN2O_NO*Y_OHO_SB_anox)</f>
        <v>-1.4915100982953529</v>
      </c>
      <c r="AH168" s="724">
        <f>(1-Y_OHO_SB_anox)/(E_EQN2O_NO*Y_OHO_SB_anox)</f>
        <v>1.4915100982953529</v>
      </c>
      <c r="AI168" s="724">
        <f>0</f>
        <v>0</v>
      </c>
      <c r="AJ168" s="725">
        <f>0</f>
        <v>0</v>
      </c>
      <c r="AK168" s="725">
        <f>0</f>
        <v>0</v>
      </c>
      <c r="AL168" s="725">
        <f>0</f>
        <v>0</v>
      </c>
      <c r="AM168" s="724">
        <f t="shared" si="1"/>
        <v>-0.02</v>
      </c>
      <c r="AN168" s="725">
        <f>0</f>
        <v>0</v>
      </c>
      <c r="AO168" s="725">
        <f>0</f>
        <v>0</v>
      </c>
      <c r="AP168" s="725">
        <f>0</f>
        <v>0</v>
      </c>
      <c r="AQ168" s="725">
        <f>0</f>
        <v>0</v>
      </c>
      <c r="AR168" s="724">
        <f>0</f>
        <v>0</v>
      </c>
      <c r="AS168" s="724">
        <f>0</f>
        <v>0</v>
      </c>
      <c r="AT168" s="724">
        <f>0</f>
        <v>0</v>
      </c>
      <c r="AU168" s="724">
        <f>i_CIT_SB/Y_OHO_SB_anox-i_CIT_BIO</f>
        <v>0.17762962962962958</v>
      </c>
      <c r="AV168" s="724">
        <f t="shared" si="2"/>
        <v>0.11</v>
      </c>
      <c r="AW168" s="724">
        <f t="shared" si="3"/>
        <v>-2.8804303582798466E-2</v>
      </c>
      <c r="AX168" s="724">
        <f t="shared" si="4"/>
        <v>-7.0195696417201539E-2</v>
      </c>
      <c r="AY168" s="724">
        <f t="shared" si="5"/>
        <v>-5.5000000000000005E-3</v>
      </c>
      <c r="AZ168" s="724">
        <f t="shared" si="6"/>
        <v>-5.5000000000000005E-3</v>
      </c>
      <c r="BA168" s="724">
        <f>0</f>
        <v>0</v>
      </c>
      <c r="BB168" s="724">
        <f>0</f>
        <v>0</v>
      </c>
      <c r="BC168" s="2850">
        <f>-i_S_BIO+1/Y_OHO_SB_anox*i_S_SB</f>
        <v>-7.2222222222222228E-3</v>
      </c>
      <c r="BD168" s="724">
        <f>0</f>
        <v>0</v>
      </c>
      <c r="BE168" s="724">
        <f>0</f>
        <v>0</v>
      </c>
      <c r="BF168" s="724">
        <f>0</f>
        <v>0</v>
      </c>
      <c r="BG168" s="724">
        <f>0</f>
        <v>0</v>
      </c>
      <c r="BH168" s="724">
        <f>0</f>
        <v>0</v>
      </c>
      <c r="BI168" s="724">
        <f>0</f>
        <v>0</v>
      </c>
      <c r="BJ168" s="724">
        <f>0</f>
        <v>0</v>
      </c>
      <c r="BK168" s="724">
        <f>0</f>
        <v>0</v>
      </c>
      <c r="BL168" s="724">
        <f>0</f>
        <v>0</v>
      </c>
      <c r="BM168" s="724">
        <f>0</f>
        <v>0</v>
      </c>
      <c r="BN168" s="724">
        <f>0</f>
        <v>0</v>
      </c>
      <c r="BO168" s="724">
        <f>0</f>
        <v>0</v>
      </c>
      <c r="BP168" s="724">
        <f>0</f>
        <v>0</v>
      </c>
      <c r="BQ168" s="724">
        <f>0</f>
        <v>0</v>
      </c>
      <c r="BR168" s="724">
        <f>0</f>
        <v>0</v>
      </c>
      <c r="BS168" s="724">
        <f>0</f>
        <v>0</v>
      </c>
      <c r="BT168" s="724">
        <f>0</f>
        <v>0</v>
      </c>
      <c r="BU168" s="724">
        <f>0</f>
        <v>0</v>
      </c>
      <c r="BV168" s="887">
        <f>0</f>
        <v>0</v>
      </c>
      <c r="BW168" s="724">
        <f>0</f>
        <v>0</v>
      </c>
      <c r="BX168" s="724">
        <f>0</f>
        <v>0</v>
      </c>
      <c r="BY168" s="724">
        <f>0</f>
        <v>0</v>
      </c>
      <c r="BZ168" s="724">
        <f>0</f>
        <v>0</v>
      </c>
      <c r="CA168" s="887">
        <f>0</f>
        <v>0</v>
      </c>
      <c r="CB168" s="724">
        <f>0</f>
        <v>0</v>
      </c>
      <c r="CC168" s="724">
        <f>0</f>
        <v>0</v>
      </c>
      <c r="CD168" s="724">
        <f>0</f>
        <v>0</v>
      </c>
      <c r="CE168" s="724">
        <f>0</f>
        <v>0</v>
      </c>
      <c r="CF168" s="724">
        <f>0</f>
        <v>0</v>
      </c>
      <c r="CG168" s="724">
        <f>0</f>
        <v>0</v>
      </c>
      <c r="CH168" s="724">
        <f>0</f>
        <v>0</v>
      </c>
      <c r="CI168" s="724">
        <f>0</f>
        <v>0</v>
      </c>
      <c r="CJ168" s="724">
        <f>0</f>
        <v>0</v>
      </c>
      <c r="CK168" s="724">
        <f>0</f>
        <v>0</v>
      </c>
      <c r="CL168" s="724">
        <f>0</f>
        <v>0</v>
      </c>
      <c r="CM168" s="724">
        <f>0</f>
        <v>0</v>
      </c>
      <c r="CN168" s="724">
        <f>0</f>
        <v>0</v>
      </c>
      <c r="CO168" s="724">
        <f>0</f>
        <v>0</v>
      </c>
      <c r="CP168" s="724">
        <f>0</f>
        <v>0</v>
      </c>
      <c r="CQ168" s="724">
        <f>0</f>
        <v>0</v>
      </c>
      <c r="CR168" s="724">
        <f>0</f>
        <v>0</v>
      </c>
      <c r="CS168" s="724">
        <f>0</f>
        <v>0</v>
      </c>
      <c r="CT168" s="724">
        <f>0</f>
        <v>0</v>
      </c>
      <c r="CU168" s="724">
        <f>0</f>
        <v>0</v>
      </c>
      <c r="CV168" s="2856">
        <f>µ_OHO_T*X_OHO*η_OHO_NO*M_satSB_KSB_NO*M_inhSVFA_KVFA*H_satSNO_KNO_OHO*M_inhSO2_KO2_OHO_NO*M_satSNHx_KNHx_BIO*M_satSPO4_KPO4_BIO*M_satSCAT_KCAT*M_satSAN_KAN*M_satSCa_KCa*M_satSMg_KMg*B_ellinhpH</f>
        <v>2.209510435456886</v>
      </c>
      <c r="CX168" s="2880">
        <f>E299*E168+F299*F168+G299*G168+H299*H168+I299*I168+J299*J168+K299*K168+L299*L168+M299*M168+N299*N168+O299*O168+P299*P168+Q299*Q168+R299*R168+S299*S168+T299*T168+U299*U168+V299*V168+W299*W168+X299*X168+Y299*Y168+Z299*Z168+AA299*AA168+AB299*AB168+AC299*AC168+AD299*AD168+AE299*AE168+AF299*AF168+AG299*AG168+AH299*AH168+AI299*AI168+AJ299*AJ168+AK299*AK168+AL299*AL168+AM299*AM168+AN299*AN168+AO299*AO168+AP299*AP168+AQ299*AQ168+AR299*AR168+AS299*AS168+AT299*AT168+AU299*AU168+AV299*AV168+AW299*AW168+AX299*AX168+AY299*AY168+AZ299*AZ168+BA299*BA168+BB299*BB168+BC299*BC168+BD299*BD168+BE299*BE168+BF299*BF168+BG299*BG168+BH299*BH168+BI299*BI168+BJ299*BJ168+BK299*BK168+BL299*BL168+BM299*BM168+BN299*BN168+BO299*BO168+BP299*BP168+BQ299*BQ168+BR299*BR168+BS299*BS168+BT299*BT168+BU299*BU168+BV299*BV168+BW299*BW168+BX299*BX168+BY299*BY168+BZ299*BZ168+CA299*CA168+CB299*CB168+CC299*CC168+CD299*CD168+CE299*CE168+CF299*CF168+CG299*CG168+CH299*CH168+CI299*CI168+CJ299*CJ168+CK299*CK168+CL299*CL168+CM299*CM168+CN299*CN168+CO299*CO168+CP299*CP168+CQ299*CQ168+CR299*CR168+CS299*CS168+CT299*CT168+CU299*CU168</f>
        <v>8.8817841970012523E-16</v>
      </c>
      <c r="CY168" s="2880">
        <f>E300*E168+F300*F168+G300*G168+H300*H168+I300*I168+J300*J168+K300*K168+L300*L168+M300*M168+N300*N168+O300*O168+P300*P168+Q300*Q168+R300*R168+S300*S168+T300*T168+U300*U168+V300*V168+W300*W168+X300*X168+Y300*Y168+Z300*Z168+AA300*AA168+AB300*AB168+AC300*AC168+AD300*AD168+AE300*AE168+AF300*AF168+AG300*AG168+AH300*AH168+AI300*AI168+AJ300*AJ168+AK300*AK168+AL300*AL168+AM300*AM168+AN300*AN168+AO300*AO168+AP300*AP168+AQ300*AQ168+AR300*AR168+AS300*AS168+AT300*AT168+AU300*AU168+AV300*AV168+AW300*AW168+AX300*AX168+AY300*AY168+AZ300*AZ168+BA300*BA168+BB300*BB168+BC300*BC168+BD300*BD168+BE300*BE168+BF300*BF168+BG300*BG168+BH300*BH168+BI300*BI168+BJ300*BJ168+BK300*BK168+BL300*BL168+BM300*BM168+BN300*BN168+BO300*BO168+BP300*BP168+BQ300*BQ168+BR300*BR168+BS300*BS168+BT300*BT168+BU300*BU168+BV300*BV168+BW300*BW168+BX300*BX168+BY300*BY168+BZ300*BZ168+CA300*CA168+CB300*CB168+CC300*CC168+CD300*CD168+CE300*CE168+CF300*CF168+CG300*CG168+CH300*CH168+CI300*CI168+CJ300*CJ168+CK300*CK168+CL300*CL168+CM300*CM168+CN300*CN168+CO300*CO168+CP300*CP168+CQ300*CQ168+CR300*CR168+CS300*CS168+CT300*CT168+CU300*CU168</f>
        <v>0</v>
      </c>
      <c r="CZ168" s="2881">
        <f>E301*E168+F301*F168+G301*G168+H301*H168+I301*I168+J301*J168+K301*K168+L301*L168+M301*M168+N301*N168+O301*O168+P301*P168+Q301*Q168+R301*R168+S301*S168+T301*T168+U301*U168+V301*V168+W301*W168+X301*X168+Y301*Y168+Z301*Z168+AA301*AA168+AB301*AB168+AC301*AC168+AD301*AD168+AE301*AE168+AF301*AF168+AG301*AG168+AH301*AH168+AI301*AI168+AJ301*AJ168+AK301*AK168+AL301*AL168+AM301*AM168+AN301*AN168+AO301*AO168+AP301*AP168+AQ301*AQ168+AR301*AR168+AS301*AS168+AT301*AT168+AU301*AU168+AV301*AV168+AW301*AW168+AX301*AX168+AY301*AY168+AZ301*AZ168+BA301*BA168+BB301*BB168+BC301*BC168+BD301*BD168+BE301*BE168+BF301*BF168+BG301*BG168+BH301*BH168+BI301*BI168+BJ301*BJ168+BK301*BK168+BL301*BL168+BM301*BM168+BN301*BN168+BO301*BO168+BP301*BP168+BQ301*BQ168+BR301*BR168+BS301*BS168+BT301*BT168+BU301*BU168+BV301*BV168+BW301*BW168+BX301*BX168+BY301*BY168+BZ301*BZ168+CA301*CA168+CB301*CB168+CC301*CC168+CD301*CD168+CE301*CE168+CF301*CF168+CG301*CG168+CH301*CH168+CI301*CI168+CJ301*CJ168+CK301*CK168+CL301*CL168+CM301*CM168+CN301*CN168+CO301*CO168+CP301*CP168+CQ301*CQ168+CR301*CR168+CS301*CS168+CT301*CT168+CU301*CU168</f>
        <v>0</v>
      </c>
      <c r="DA168" s="2882">
        <f>E302*E168+F302*F168+G302*G168+H302*H168+I302*I168+J302*J168+K302*K168+L302*L168+M302*M168+N302*N168+O302*O168+P302*P168+Q302*Q168+R302*R168+S302*S168+T302*T168+U302*U168+V302*V168+W302*W168+X302*X168+Y302*Y168+Z302*Z168+AA302*AA168+AB302*AB168+AC302*AC168+AD302*AD168+AE302*AE168+AF302*AF168+AG302*AG168+AH302*AH168+AI302*AI168+AJ302*AJ168+AK302*AK168+AL302*AL168+AM302*AM168+AN302*AN168+AO302*AO168+AP302*AP168+AQ302*AQ168+AR302*AR168+AS302*AS168+AT302*AT168+AU302*AU168+AV302*AV168+AW302*AW168+AX302*AX168+AY302*AY168+AZ302*AZ168+BA302*BA168+BB302*BB168+BC302*BC168+BD302*BD168+BE302*BE168+BF302*BF168+BG302*BG168+BH302*BH168+BI302*BI168+BJ302*BJ168+BK302*BK168+BL302*BL168+BM302*BM168+BN302*BN168+BO302*BO168+BP302*BP168+BQ302*BQ168+BR302*BR168+BS302*BS168+BT302*BT168+BU302*BU168+BV302*BV168+BW302*BW168+BX302*BX168+BY302*BY168+BZ302*BZ168+CA302*CA168+CB302*CB168+CC302*CC168+CD302*CD168+CE302*CE168+CF302*CF168+CG302*CG168+CH302*CH168+CI302*CI168+CJ302*CJ168+CK302*CK168+CL302*CL168+CM302*CM168+CN302*CN168+CO302*CO168+CP302*CP168+CQ302*CQ168+CR302*CR168+CS302*CS168+CT302*CT168+CU302*CU168</f>
        <v>0</v>
      </c>
      <c r="DB168" s="2882">
        <f>E303*E168+F303*F168+G303*G168+H303*H168+I303*I168+J303*J168+K303*K168+L303*L168+M303*M168+N303*N168+O303*O168+P303*P168+Q303*Q168+R303*R168+S303*S168+T303*T168+U303*U168+V303*V168+W303*W168+X303*X168+Y303*Y168+Z303*Z168+AA303*AA168+AB303*AB168+AC303*AC168+AD303*AD168+AE303*AE168+AF303*AF168+AG303*AG168+AH303*AH168+AI303*AI168+AJ303*AJ168+AK303*AK168+AL303*AL168+AM303*AM168+AN303*AN168+AO303*AO168+AP303*AP168+AQ303*AQ168+AR303*AR168+AS303*AS168+AT303*AT168+AU303*AU168+AV303*AV168+AW303*AW168+AX303*AX168+AY303*AY168+AZ303*AZ168+BA303*BA168+BB303*BB168+BC303*BC168+BD303*BD168+BE303*BE168+BF303*BF168+BG303*BG168+BH303*BH168+BI303*BI168+BJ303*BJ168+BK303*BK168+BL303*BL168+BM303*BM168+BN303*BN168+BO303*BO168+BP303*BP168+BQ303*BQ168+BR303*BR168+BS303*BS168+BT303*BT168+BU303*BU168+BV303*BV168+BW303*BW168+BX303*BX168+BY303*BY168+BZ303*BZ168+CA303*CA168+CB303*CB168+CC303*CC168+CD303*CD168+CE303*CE168+CF303*CF168+CG303*CG168+CH303*CH168+CI303*CI168+CJ303*CJ168+CK303*CK168+CL303*CL168+CM303*CM168+CN303*CN168+CO303*CO168+CP303*CP168+CQ303*CQ168+CR303*CR168+CS303*CS168+CT303*CT168+CU303*CU168</f>
        <v>0</v>
      </c>
      <c r="DC168" s="2882">
        <f>E304*E168+F304*F168+G304*G168+H304*H168+I304*I168+J304*J168+K304*K168+L304*L168+M304*M168+N304*N168+O304*O168+P304*P168+Q304*Q168+R304*R168+S304*S168+T304*T168+U304*U168+V304*V168+W304*W168+X304*X168+Y304*Y168+Z304*Z168+AA304*AA168+AB304*AB168+AC304*AC168+AD304*AD168+AE304*AE168+AF304*AF168+AG304*AG168+AH304*AH168+AI304*AI168+AJ304*AJ168+AK304*AK168+AL304*AL168+AM304*AM168+AN304*AN168+AO304*AO168+AP304*AP168+AQ304*AQ168+AR304*AR168+AS304*AS168+AT304*AT168+AU304*AU168+AV304*AV168+AW304*AW168+AX304*AX168+AY304*AY168+AZ304*AZ168+BA304*BA168+BB304*BB168+BC304*BC168+BD304*BD168+BE304*BE168+BF304*BF168+BG304*BG168+BH304*BH168+BI304*BI168+BJ304*BJ168+BK304*BK168+BL304*BL168+BM304*BM168+BN304*BN168+BO304*BO168+BP304*BP168+BQ304*BQ168+BR304*BR168+BS304*BS168+BT304*BT168+BU304*BU168+BV304*BV168+BW304*BW168+BX304*BX168+BY304*BY168+BZ304*BZ168+CA304*CA168+CB304*CB168+CC304*CC168+CD304*CD168+CE304*CE168+CF304*CF168+CG304*CG168+CH304*CH168+CI304*CI168+CJ304*CJ168+CK304*CK168+CL304*CL168+CM304*CM168+CN304*CN168+CO304*CO168+CP304*CP168+CQ304*CQ168+CR304*CR168+CS304*CS168+CT304*CT168+CU304*CU168</f>
        <v>0</v>
      </c>
      <c r="DD168" s="2882">
        <f>E305*E168+F305*F168+G305*G168+H305*H168+I305*I168+J305*J168+K305*K168+L305*L168+M305*M168+N305*N168+O305*O168+P305*P168+Q305*Q168+R305*R168+S305*S168+T305*T168+U305*U168+V305*V168+W305*W168+X305*X168+Y305*Y168+Z305*Z168+AA305*AA168+AB305*AB168+AC305*AC168+AD305*AD168+AE305*AE168+AF305*AF168+AG305*AG168+AH305*AH168+AI305*AI168+AJ305*AJ168+AK305*AK168+AL305*AL168+AM305*AM168+AN305*AN168+AO305*AO168+AP305*AP168+AQ305*AQ168+AR305*AR168+AS305*AS168+AT305*AT168+AU305*AU168+AV305*AV168+AW305*AW168+AX305*AX168+AY305*AY168+AZ305*AZ168+BA305*BA168+BB305*BB168+BC305*BC168+BD305*BD168+BE305*BE168+BF305*BF168+BG305*BG168+BH305*BH168+BI305*BI168+BJ305*BJ168+BK305*BK168+BL305*BL168+BM305*BM168+BN305*BN168+BO305*BO168+BP305*BP168+BQ305*BQ168+BR305*BR168+BS305*BS168+BT305*BT168+BU305*BU168+BV305*BV168+BW305*BW168+BX305*BX168+BY305*BY168+BZ305*BZ168+CA305*CA168+CB305*CB168+CC305*CC168+CD305*CD168+CE305*CE168+CF305*CF168+CG305*CG168+CH305*CH168+CI305*CI168+CJ305*CJ168+CK305*CK168+CL305*CL168+CM305*CM168+CN305*CN168+CO305*CO168+CP305*CP168+CQ305*CQ168+CR305*CR168+CS305*CS168+CT305*CT168+CU305*CU168</f>
        <v>0</v>
      </c>
      <c r="DE168" s="2882">
        <f>E306*E168+F306*F168+G306*G168+H306*H168+I306*I168+J306*J168+K306*K168+L306*L168+M306*M168+N306*N168+O306*O168+P306*P168+Q306*Q168+R306*R168+S306*S168+T306*T168+U306*U168+V306*V168+W306*W168+X306*X168+Y306*Y168+Z306*Z168+AA306*AA168+AB306*AB168+AC306*AC168+AD306*AD168+AE306*AE168+AF306*AF168+AG306*AG168+AH306*AH168+AI306*AI168+AJ306*AJ168+AK306*AK168+AL306*AL168+AM306*AM168+AN306*AN168+AO306*AO168+AP306*AP168+AQ306*AQ168+AR306*AR168+AS306*AS168+AT306*AT168+AU306*AU168+AV306*AV168+AW306*AW168+AX306*AX168+AY306*AY168+AZ306*AZ168+BA306*BA168+BB306*BB168+BC306*BC168+BD306*BD168+BE306*BE168+BF306*BF168+BG306*BG168+BH306*BH168+BI306*BI168+BJ306*BJ168+BK306*BK168+BL306*BL168+BM306*BM168+BN306*BN168+BO306*BO168+BP306*BP168+BQ306*BQ168+BR306*BR168+BS306*BS168+BT306*BT168+BU306*BU168+BV306*BV168+BW306*BW168+BX306*BX168+BY306*BY168+BZ306*BZ168+CA306*CA168+CB306*CB168+CC306*CC168+CD306*CD168+CE306*CE168+CF306*CF168+CG306*CG168+CH306*CH168+CI306*CI168+CJ306*CJ168+CK306*CK168+CL306*CL168+CM306*CM168+CN306*CN168+CO306*CO168+CP306*CP168+CQ306*CQ168+CR306*CR168+CS306*CS168+CT306*CT168+CU306*CU168</f>
        <v>0</v>
      </c>
      <c r="DF168" s="2882">
        <f>E307*E168+F307*F168+G307*G168+H307*H168+I307*I168+J307*J168+K307*K168+L307*L168+M307*M168+N307*N168+O307*O168+P307*P168+Q307*Q168+R307*R168+S307*S168+T307*T168+U307*U168+V307*V168+W307*W168+X307*X168+Y307*Y168+Z307*Z168+AA307*AA168+AB307*AB168+AC307*AC168+AD307*AD168+AE307*AE168+AF307*AF168+AG307*AG168+AH307*AH168+AI307*AI168+AJ307*AJ168+AK307*AK168+AL307*AL168+AM307*AM168+AN307*AN168+AO307*AO168+AP307*AP168+AQ307*AQ168+AR307*AR168+AS307*AS168+AT307*AT168+AU307*AU168+AV307*AV168+AW307*AW168+AX307*AX168+AY307*AY168+AZ307*AZ168+BA307*BA168+BB307*BB168+BC307*BC168+BD307*BD168+BE307*BE168+BF307*BF168+BG307*BG168+BH307*BH168+BI307*BI168+BJ307*BJ168+BK307*BK168+BL307*BL168+BM307*BM168+BN307*BN168+BO307*BO168+BP307*BP168+BQ307*BQ168+BR307*BR168+BS307*BS168+BT307*BT168+BU307*BU168+BV307*BV168+BW307*BW168+BX307*BX168+BY307*BY168+BZ307*BZ168+CA307*CA168+CB307*CB168+CC307*CC168+CD307*CD168+CE307*CE168+CF307*CF168+CG307*CG168+CH307*CH168+CI307*CI168+CJ307*CJ168+CK307*CK168+CL307*CL168+CM307*CM168+CN307*CN168+CO307*CO168+CP307*CP168+CQ307*CQ168+CR307*CR168+CS307*CS168+CT307*CT168+CU307*CU168</f>
        <v>0</v>
      </c>
      <c r="DG168" s="2882">
        <f>E308*E168+F308*F168+G308*G168+H308*H168+I308*I168+J308*J168+K308*K168+L308*L168+M308*M168+N308*N168+O308*O168+P308*P168+Q308*Q168+R308*R168+S308*S168+T308*T168+U308*U168+V308*V168+W308*W168+X308*X168+Y308*Y168+Z308*Z168+AA308*AA168+AB308*AB168+AC308*AC168+AD308*AD168+AE308*AE168+AF308*AF168+AG308*AG168+AH308*AH168+AI308*AI168+AJ308*AJ168+AK308*AK168+AL308*AL168+AM308*AM168+AN308*AN168+AO308*AO168+AP308*AP168+AQ308*AQ168+AR308*AR168+AS308*AS168+AT308*AT168+AU308*AU168+AV308*AV168+AW308*AW168+AX308*AX168+AY308*AY168+AZ308*AZ168+BA308*BA168+BB308*BB168+BC308*BC168+BD308*BD168+BE308*BE168+BF308*BF168+BG308*BG168+BH308*BH168+BI308*BI168+BJ308*BJ168+BK308*BK168+BL308*BL168+BM308*BM168+BN308*BN168+BO308*BO168+BP308*BP168+BQ308*BQ168+BR308*BR168+BS308*BS168+BT308*BT168+BU308*BU168+BV308*BV168+BW308*BW168+BX308*BX168+BY308*BY168+BZ308*BZ168+CA308*CA168+CB308*CB168+CC308*CC168+CD308*CD168+CE308*CE168+CF308*CF168+CG308*CG168+CH308*CH168+CI308*CI168+CJ308*CJ168+CK308*CK168+CL308*CL168+CM308*CM168+CN308*CN168+CO308*CO168+CP308*CP168+CQ308*CQ168+CR308*CR168+CS308*CS168+CT308*CT168+CU308*CU168</f>
        <v>0</v>
      </c>
      <c r="DH168" s="2882">
        <f>E309*E168+F309*F168+G309*G168+H309*H168+I309*I168+J309*J168+K309*K168+L309*L168+M309*M168+N309*N168+O309*O168+P309*P168+Q309*Q168+R309*R168+S309*S168+T309*T168+U309*U168+V309*V168+W309*W168+X309*X168+Y309*Y168+Z309*Z168+AA309*AA168+AB309*AB168+AC309*AC168+AD309*AD168+AE309*AE168+AF309*AF168+AG309*AG168+AH309*AH168+AI309*AI168+AJ309*AJ168+AK309*AK168+AL309*AL168+AM309*AM168+AN309*AN168+AO309*AO168+AP309*AP168+AQ309*AQ168+AR309*AR168+AS309*AS168+AT309*AT168+AU309*AU168+AV309*AV168+AW309*AW168+AX309*AX168+AY309*AY168+AZ309*AZ168+BA309*BA168+BB309*BB168+BC309*BC168+BD309*BD168+BE309*BE168+BF309*BF168+BG309*BG168+BH309*BH168+BI309*BI168+BJ309*BJ168+BK309*BK168+BL309*BL168+BM309*BM168+BN309*BN168+BO309*BO168+BP309*BP168+BQ309*BQ168+BR309*BR168+BS309*BS168+BT309*BT168+BU309*BU168+BV309*BV168+BW309*BW168+BX309*BX168+BY309*BY168+BZ309*BZ168+CA309*CA168+CB309*CB168+CC309*CC168+CD309*CD168+CE309*CE168+CF309*CF168+CG309*CG168+CH309*CH168+CI309*CI168+CJ309*CJ168+CK309*CK168+CL309*CL168+CM309*CM168+CN309*CN168+CO309*CO168+CP309*CP168+CQ309*CQ168+CR309*CR168+CS309*CS168+CT309*CT168+CU309*CU168</f>
        <v>0</v>
      </c>
      <c r="DI168" s="2882">
        <f>E310*E168+F310*F168+G310*G168+H310*H168+I310*I168+J310*J168+K310*K168+L310*L168+M310*M168+N310*N168+O310*O168+P310*P168+Q310*Q168+R310*R168+S310*S168+T310*T168+U310*U168+V310*V168+W310*W168+X310*X168+Y310*Y168+Z310*Z168+AA310*AA168+AB310*AB168+AC310*AC168+AD310*AD168+AE310*AE168+AF310*AF168+AG310*AG168+AH310*AH168+AI310*AI168+AJ310*AJ168+AK310*AK168+AL310*AL168+AM310*AM168+AN310*AN168+AO310*AO168+AP310*AP168+AQ310*AQ168+AR310*AR168+AS310*AS168+AT310*AT168+AU310*AU168+AV310*AV168+AW310*AW168+AX310*AX168+AY310*AY168+AZ310*AZ168+BA310*BA168+BB310*BB168+BC310*BC168+BD310*BD168+BE310*BE168+BF310*BF168+BG310*BG168+BH310*BH168+BI310*BI168+BJ310*BJ168+BK310*BK168+BL310*BL168+BM310*BM168+BN310*BN168+BO310*BO168+BP310*BP168+BQ310*BQ168+BR310*BR168+BS310*BS168+BT310*BT168+BU310*BU168+BV310*BV168+BW310*BW168+BX310*BX168+BY310*BY168+BZ310*BZ168+CA310*CA168+CB310*CB168+CC310*CC168+CD310*CD168+CE310*CE168+CF310*CF168+CG310*CG168+CH310*CH168+CI310*CI168+CJ310*CJ168+CK310*CK168+CL310*CL168+CM310*CM168+CN310*CN168+CO310*CO168+CP310*CP168+CQ310*CQ168+CR310*CR168+CS310*CS168+CT310*CT168+CU310*CU168</f>
        <v>0</v>
      </c>
    </row>
    <row r="169" spans="2:113" ht="15.75" x14ac:dyDescent="0.55000000000000004">
      <c r="B169" s="433">
        <v>10</v>
      </c>
      <c r="C169" s="434" t="s">
        <v>233</v>
      </c>
      <c r="D169" s="759" t="s">
        <v>3842</v>
      </c>
      <c r="E169" s="725">
        <f>0</f>
        <v>0</v>
      </c>
      <c r="F169" s="724">
        <f>-1/Y_OHO_SB_anox</f>
        <v>-1.8518518518518516</v>
      </c>
      <c r="G169" s="725">
        <f>0</f>
        <v>0</v>
      </c>
      <c r="H169" s="725">
        <f>0</f>
        <v>0</v>
      </c>
      <c r="I169" s="725">
        <f>0</f>
        <v>0</v>
      </c>
      <c r="J169" s="725">
        <f>0</f>
        <v>0</v>
      </c>
      <c r="K169" s="725">
        <f>0</f>
        <v>0</v>
      </c>
      <c r="L169" s="725">
        <f>0</f>
        <v>0</v>
      </c>
      <c r="M169" s="725">
        <f>0</f>
        <v>0</v>
      </c>
      <c r="N169" s="725">
        <f>0</f>
        <v>0</v>
      </c>
      <c r="O169" s="725">
        <f>0</f>
        <v>0</v>
      </c>
      <c r="P169" s="725">
        <f>0</f>
        <v>0</v>
      </c>
      <c r="Q169" s="725">
        <f>1</f>
        <v>1</v>
      </c>
      <c r="R169" s="725">
        <f>0</f>
        <v>0</v>
      </c>
      <c r="S169" s="725">
        <f>0</f>
        <v>0</v>
      </c>
      <c r="T169" s="725">
        <f>0</f>
        <v>0</v>
      </c>
      <c r="U169" s="725">
        <f>0</f>
        <v>0</v>
      </c>
      <c r="V169" s="725">
        <f>0</f>
        <v>0</v>
      </c>
      <c r="W169" s="725">
        <f>0</f>
        <v>0</v>
      </c>
      <c r="X169" s="725">
        <f>0</f>
        <v>0</v>
      </c>
      <c r="Y169" s="725">
        <f>0</f>
        <v>0</v>
      </c>
      <c r="Z169" s="725">
        <f>0</f>
        <v>0</v>
      </c>
      <c r="AA169" s="725">
        <f>0</f>
        <v>0</v>
      </c>
      <c r="AB169" s="724">
        <f t="shared" si="0"/>
        <v>-7.0000000000000007E-2</v>
      </c>
      <c r="AC169" s="724">
        <f>0</f>
        <v>0</v>
      </c>
      <c r="AD169" s="724">
        <f>0</f>
        <v>0</v>
      </c>
      <c r="AE169" s="724">
        <f>0</f>
        <v>0</v>
      </c>
      <c r="AF169" s="724">
        <f>0</f>
        <v>0</v>
      </c>
      <c r="AG169" s="724">
        <f>0</f>
        <v>0</v>
      </c>
      <c r="AH169" s="724">
        <f>-(1-Y_OHO_SB_anox)/(E_EQN2_N2O*Y_OHO_SB_anox)</f>
        <v>-1.4915100982953529</v>
      </c>
      <c r="AI169" s="724">
        <f>(1-Y_OHO_SB_anox)/(E_EQN2_N2O*Y_OHO_SB_anox)</f>
        <v>1.4915100982953529</v>
      </c>
      <c r="AJ169" s="725">
        <f>0</f>
        <v>0</v>
      </c>
      <c r="AK169" s="725">
        <f>0</f>
        <v>0</v>
      </c>
      <c r="AL169" s="725">
        <f>0</f>
        <v>0</v>
      </c>
      <c r="AM169" s="724">
        <f t="shared" si="1"/>
        <v>-0.02</v>
      </c>
      <c r="AN169" s="725">
        <f>0</f>
        <v>0</v>
      </c>
      <c r="AO169" s="725">
        <f>0</f>
        <v>0</v>
      </c>
      <c r="AP169" s="725">
        <f>0</f>
        <v>0</v>
      </c>
      <c r="AQ169" s="725">
        <f>0</f>
        <v>0</v>
      </c>
      <c r="AR169" s="724">
        <f>0</f>
        <v>0</v>
      </c>
      <c r="AS169" s="724">
        <f>0</f>
        <v>0</v>
      </c>
      <c r="AT169" s="724">
        <f>0</f>
        <v>0</v>
      </c>
      <c r="AU169" s="724">
        <f>i_CIT_SB/Y_OHO_SB_anox-i_CIT_BIO</f>
        <v>0.17762962962962958</v>
      </c>
      <c r="AV169" s="724">
        <f t="shared" si="2"/>
        <v>0.11</v>
      </c>
      <c r="AW169" s="724">
        <f t="shared" si="3"/>
        <v>-2.8804303582798466E-2</v>
      </c>
      <c r="AX169" s="724">
        <f t="shared" si="4"/>
        <v>-7.0195696417201539E-2</v>
      </c>
      <c r="AY169" s="724">
        <f t="shared" si="5"/>
        <v>-5.5000000000000005E-3</v>
      </c>
      <c r="AZ169" s="724">
        <f t="shared" si="6"/>
        <v>-5.5000000000000005E-3</v>
      </c>
      <c r="BA169" s="724">
        <f>0</f>
        <v>0</v>
      </c>
      <c r="BB169" s="724">
        <f>0</f>
        <v>0</v>
      </c>
      <c r="BC169" s="2850">
        <f>-i_S_BIO+1/Y_OHO_SB_anox*i_S_SB</f>
        <v>-7.2222222222222228E-3</v>
      </c>
      <c r="BD169" s="724">
        <f>0</f>
        <v>0</v>
      </c>
      <c r="BE169" s="724">
        <f>0</f>
        <v>0</v>
      </c>
      <c r="BF169" s="724">
        <f>0</f>
        <v>0</v>
      </c>
      <c r="BG169" s="724">
        <f>0</f>
        <v>0</v>
      </c>
      <c r="BH169" s="724">
        <f>0</f>
        <v>0</v>
      </c>
      <c r="BI169" s="724">
        <f>0</f>
        <v>0</v>
      </c>
      <c r="BJ169" s="724">
        <f>0</f>
        <v>0</v>
      </c>
      <c r="BK169" s="724">
        <f>0</f>
        <v>0</v>
      </c>
      <c r="BL169" s="724">
        <f>0</f>
        <v>0</v>
      </c>
      <c r="BM169" s="724">
        <f>0</f>
        <v>0</v>
      </c>
      <c r="BN169" s="724">
        <f>0</f>
        <v>0</v>
      </c>
      <c r="BO169" s="724">
        <f>0</f>
        <v>0</v>
      </c>
      <c r="BP169" s="724">
        <f>0</f>
        <v>0</v>
      </c>
      <c r="BQ169" s="724">
        <f>0</f>
        <v>0</v>
      </c>
      <c r="BR169" s="724">
        <f>0</f>
        <v>0</v>
      </c>
      <c r="BS169" s="724">
        <f>0</f>
        <v>0</v>
      </c>
      <c r="BT169" s="724">
        <f>0</f>
        <v>0</v>
      </c>
      <c r="BU169" s="724">
        <f>0</f>
        <v>0</v>
      </c>
      <c r="BV169" s="887">
        <f>0</f>
        <v>0</v>
      </c>
      <c r="BW169" s="724">
        <f>0</f>
        <v>0</v>
      </c>
      <c r="BX169" s="724">
        <f>0</f>
        <v>0</v>
      </c>
      <c r="BY169" s="724">
        <f>0</f>
        <v>0</v>
      </c>
      <c r="BZ169" s="724">
        <f>0</f>
        <v>0</v>
      </c>
      <c r="CA169" s="887">
        <f>0</f>
        <v>0</v>
      </c>
      <c r="CB169" s="724">
        <f>0</f>
        <v>0</v>
      </c>
      <c r="CC169" s="724">
        <f>0</f>
        <v>0</v>
      </c>
      <c r="CD169" s="724">
        <f>0</f>
        <v>0</v>
      </c>
      <c r="CE169" s="724">
        <f>0</f>
        <v>0</v>
      </c>
      <c r="CF169" s="724">
        <f>0</f>
        <v>0</v>
      </c>
      <c r="CG169" s="724">
        <f>0</f>
        <v>0</v>
      </c>
      <c r="CH169" s="724">
        <f>0</f>
        <v>0</v>
      </c>
      <c r="CI169" s="724">
        <f>0</f>
        <v>0</v>
      </c>
      <c r="CJ169" s="724">
        <f>0</f>
        <v>0</v>
      </c>
      <c r="CK169" s="724">
        <f>0</f>
        <v>0</v>
      </c>
      <c r="CL169" s="724">
        <f>0</f>
        <v>0</v>
      </c>
      <c r="CM169" s="724">
        <f>0</f>
        <v>0</v>
      </c>
      <c r="CN169" s="724">
        <f>0</f>
        <v>0</v>
      </c>
      <c r="CO169" s="724">
        <f>0</f>
        <v>0</v>
      </c>
      <c r="CP169" s="724">
        <f>0</f>
        <v>0</v>
      </c>
      <c r="CQ169" s="724">
        <f>0</f>
        <v>0</v>
      </c>
      <c r="CR169" s="724">
        <f>0</f>
        <v>0</v>
      </c>
      <c r="CS169" s="724">
        <f>0</f>
        <v>0</v>
      </c>
      <c r="CT169" s="724">
        <f>0</f>
        <v>0</v>
      </c>
      <c r="CU169" s="724">
        <f>0</f>
        <v>0</v>
      </c>
      <c r="CV169" s="2856">
        <f>µ_OHO_T*X_OHO*η_OHO_N2O*M_satSB_KSB_N2O*M_inhSVFA_KVFA*M_satSN2O_KN2O_OHO*M_inhSO2_KO2_OHO_N2O*M_inhSNO_KiNO_OHO_N2O*M_satSNHx_KNHx_BIO*M_satSPO4_KPO4_BIO*M_satSCAT_KCAT*M_satSAN_KAN*M_satSCa_KCa*M_satSMg_KMg*B_ellinhpH</f>
        <v>1.0369193710258193</v>
      </c>
      <c r="CX169" s="2880">
        <f>E299*E169+F299*F169+G299*G169+H299*H169+I299*I169+J299*J169+K299*K169+L299*L169+M299*M169+N299*N169+O299*O169+P299*P169+Q299*Q169+R299*R169+S299*S169+T299*T169+U299*U169+V299*V169+W299*W169+X299*X169+Y299*Y169+Z299*Z169+AA299*AA169+AB299*AB169+AC299*AC169+AD299*AD169+AE299*AE169+AF299*AF169+AG299*AG169+AH299*AH169+AI299*AI169+AJ299*AJ169+AK299*AK169+AL299*AL169+AM299*AM169+AN299*AN169+AO299*AO169+AP299*AP169+AQ299*AQ169+AR299*AR169+AS299*AS169+AT299*AT169+AU299*AU169+AV299*AV169+AW299*AW169+AX299*AX169+AY299*AY169+AZ299*AZ169+BA299*BA169+BB299*BB169+BC299*BC169+BD299*BD169+BE299*BE169+BF299*BF169+BG299*BG169+BH299*BH169+BI299*BI169+BJ299*BJ169+BK299*BK169+BL299*BL169+BM299*BM169+BN299*BN169+BO299*BO169+BP299*BP169+BQ299*BQ169+BR299*BR169+BS299*BS169+BT299*BT169+BU299*BU169+BV299*BV169+BW299*BW169+BX299*BX169+BY299*BY169+BZ299*BZ169+CA299*CA169+CB299*CB169+CC299*CC169+CD299*CD169+CE299*CE169+CF299*CF169+CG299*CG169+CH299*CH169+CI299*CI169+CJ299*CJ169+CK299*CK169+CL299*CL169+CM299*CM169+CN299*CN169+CO299*CO169+CP299*CP169+CQ299*CQ169+CR299*CR169+CS299*CS169+CT299*CT169+CU299*CU169</f>
        <v>0</v>
      </c>
      <c r="CY169" s="2880">
        <f>E300*E169+F300*F169+G300*G169+H300*H169+I300*I169+J300*J169+K300*K169+L300*L169+M300*M169+N300*N169+O300*O169+P300*P169+Q300*Q169+R300*R169+S300*S169+T300*T169+U300*U169+V300*V169+W300*W169+X300*X169+Y300*Y169+Z300*Z169+AA300*AA169+AB300*AB169+AC300*AC169+AD300*AD169+AE300*AE169+AF300*AF169+AG300*AG169+AH300*AH169+AI300*AI169+AJ300*AJ169+AK300*AK169+AL300*AL169+AM300*AM169+AN300*AN169+AO300*AO169+AP300*AP169+AQ300*AQ169+AR300*AR169+AS300*AS169+AT300*AT169+AU300*AU169+AV300*AV169+AW300*AW169+AX300*AX169+AY300*AY169+AZ300*AZ169+BA300*BA169+BB300*BB169+BC300*BC169+BD300*BD169+BE300*BE169+BF300*BF169+BG300*BG169+BH300*BH169+BI300*BI169+BJ300*BJ169+BK300*BK169+BL300*BL169+BM300*BM169+BN300*BN169+BO300*BO169+BP300*BP169+BQ300*BQ169+BR300*BR169+BS300*BS169+BT300*BT169+BU300*BU169+BV300*BV169+BW300*BW169+BX300*BX169+BY300*BY169+BZ300*BZ169+CA300*CA169+CB300*CB169+CC300*CC169+CD300*CD169+CE300*CE169+CF300*CF169+CG300*CG169+CH300*CH169+CI300*CI169+CJ300*CJ169+CK300*CK169+CL300*CL169+CM300*CM169+CN300*CN169+CO300*CO169+CP300*CP169+CQ300*CQ169+CR300*CR169+CS300*CS169+CT300*CT169+CU300*CU169</f>
        <v>0</v>
      </c>
      <c r="CZ169" s="2881">
        <f>E301*E169+F301*F169+G301*G169+H301*H169+I301*I169+J301*J169+K301*K169+L301*L169+M301*M169+N301*N169+O301*O169+P301*P169+Q301*Q169+R301*R169+S301*S169+T301*T169+U301*U169+V301*V169+W301*W169+X301*X169+Y301*Y169+Z301*Z169+AA301*AA169+AB301*AB169+AC301*AC169+AD301*AD169+AE301*AE169+AF301*AF169+AG301*AG169+AH301*AH169+AI301*AI169+AJ301*AJ169+AK301*AK169+AL301*AL169+AM301*AM169+AN301*AN169+AO301*AO169+AP301*AP169+AQ301*AQ169+AR301*AR169+AS301*AS169+AT301*AT169+AU301*AU169+AV301*AV169+AW301*AW169+AX301*AX169+AY301*AY169+AZ301*AZ169+BA301*BA169+BB301*BB169+BC301*BC169+BD301*BD169+BE301*BE169+BF301*BF169+BG301*BG169+BH301*BH169+BI301*BI169+BJ301*BJ169+BK301*BK169+BL301*BL169+BM301*BM169+BN301*BN169+BO301*BO169+BP301*BP169+BQ301*BQ169+BR301*BR169+BS301*BS169+BT301*BT169+BU301*BU169+BV301*BV169+BW301*BW169+BX301*BX169+BY301*BY169+BZ301*BZ169+CA301*CA169+CB301*CB169+CC301*CC169+CD301*CD169+CE301*CE169+CF301*CF169+CG301*CG169+CH301*CH169+CI301*CI169+CJ301*CJ169+CK301*CK169+CL301*CL169+CM301*CM169+CN301*CN169+CO301*CO169+CP301*CP169+CQ301*CQ169+CR301*CR169+CS301*CS169+CT301*CT169+CU301*CU169</f>
        <v>0</v>
      </c>
      <c r="DA169" s="2882">
        <f>E302*E169+F302*F169+G302*G169+H302*H169+I302*I169+J302*J169+K302*K169+L302*L169+M302*M169+N302*N169+O302*O169+P302*P169+Q302*Q169+R302*R169+S302*S169+T302*T169+U302*U169+V302*V169+W302*W169+X302*X169+Y302*Y169+Z302*Z169+AA302*AA169+AB302*AB169+AC302*AC169+AD302*AD169+AE302*AE169+AF302*AF169+AG302*AG169+AH302*AH169+AI302*AI169+AJ302*AJ169+AK302*AK169+AL302*AL169+AM302*AM169+AN302*AN169+AO302*AO169+AP302*AP169+AQ302*AQ169+AR302*AR169+AS302*AS169+AT302*AT169+AU302*AU169+AV302*AV169+AW302*AW169+AX302*AX169+AY302*AY169+AZ302*AZ169+BA302*BA169+BB302*BB169+BC302*BC169+BD302*BD169+BE302*BE169+BF302*BF169+BG302*BG169+BH302*BH169+BI302*BI169+BJ302*BJ169+BK302*BK169+BL302*BL169+BM302*BM169+BN302*BN169+BO302*BO169+BP302*BP169+BQ302*BQ169+BR302*BR169+BS302*BS169+BT302*BT169+BU302*BU169+BV302*BV169+BW302*BW169+BX302*BX169+BY302*BY169+BZ302*BZ169+CA302*CA169+CB302*CB169+CC302*CC169+CD302*CD169+CE302*CE169+CF302*CF169+CG302*CG169+CH302*CH169+CI302*CI169+CJ302*CJ169+CK302*CK169+CL302*CL169+CM302*CM169+CN302*CN169+CO302*CO169+CP302*CP169+CQ302*CQ169+CR302*CR169+CS302*CS169+CT302*CT169+CU302*CU169</f>
        <v>0</v>
      </c>
      <c r="DB169" s="2882">
        <f>E303*E169+F303*F169+G303*G169+H303*H169+I303*I169+J303*J169+K303*K169+L303*L169+M303*M169+N303*N169+O303*O169+P303*P169+Q303*Q169+R303*R169+S303*S169+T303*T169+U303*U169+V303*V169+W303*W169+X303*X169+Y303*Y169+Z303*Z169+AA303*AA169+AB303*AB169+AC303*AC169+AD303*AD169+AE303*AE169+AF303*AF169+AG303*AG169+AH303*AH169+AI303*AI169+AJ303*AJ169+AK303*AK169+AL303*AL169+AM303*AM169+AN303*AN169+AO303*AO169+AP303*AP169+AQ303*AQ169+AR303*AR169+AS303*AS169+AT303*AT169+AU303*AU169+AV303*AV169+AW303*AW169+AX303*AX169+AY303*AY169+AZ303*AZ169+BA303*BA169+BB303*BB169+BC303*BC169+BD303*BD169+BE303*BE169+BF303*BF169+BG303*BG169+BH303*BH169+BI303*BI169+BJ303*BJ169+BK303*BK169+BL303*BL169+BM303*BM169+BN303*BN169+BO303*BO169+BP303*BP169+BQ303*BQ169+BR303*BR169+BS303*BS169+BT303*BT169+BU303*BU169+BV303*BV169+BW303*BW169+BX303*BX169+BY303*BY169+BZ303*BZ169+CA303*CA169+CB303*CB169+CC303*CC169+CD303*CD169+CE303*CE169+CF303*CF169+CG303*CG169+CH303*CH169+CI303*CI169+CJ303*CJ169+CK303*CK169+CL303*CL169+CM303*CM169+CN303*CN169+CO303*CO169+CP303*CP169+CQ303*CQ169+CR303*CR169+CS303*CS169+CT303*CT169+CU303*CU169</f>
        <v>0</v>
      </c>
      <c r="DC169" s="2882">
        <f>E304*E169+F304*F169+G304*G169+H304*H169+I304*I169+J304*J169+K304*K169+L304*L169+M304*M169+N304*N169+O304*O169+P304*P169+Q304*Q169+R304*R169+S304*S169+T304*T169+U304*U169+V304*V169+W304*W169+X304*X169+Y304*Y169+Z304*Z169+AA304*AA169+AB304*AB169+AC304*AC169+AD304*AD169+AE304*AE169+AF304*AF169+AG304*AG169+AH304*AH169+AI304*AI169+AJ304*AJ169+AK304*AK169+AL304*AL169+AM304*AM169+AN304*AN169+AO304*AO169+AP304*AP169+AQ304*AQ169+AR304*AR169+AS304*AS169+AT304*AT169+AU304*AU169+AV304*AV169+AW304*AW169+AX304*AX169+AY304*AY169+AZ304*AZ169+BA304*BA169+BB304*BB169+BC304*BC169+BD304*BD169+BE304*BE169+BF304*BF169+BG304*BG169+BH304*BH169+BI304*BI169+BJ304*BJ169+BK304*BK169+BL304*BL169+BM304*BM169+BN304*BN169+BO304*BO169+BP304*BP169+BQ304*BQ169+BR304*BR169+BS304*BS169+BT304*BT169+BU304*BU169+BV304*BV169+BW304*BW169+BX304*BX169+BY304*BY169+BZ304*BZ169+CA304*CA169+CB304*CB169+CC304*CC169+CD304*CD169+CE304*CE169+CF304*CF169+CG304*CG169+CH304*CH169+CI304*CI169+CJ304*CJ169+CK304*CK169+CL304*CL169+CM304*CM169+CN304*CN169+CO304*CO169+CP304*CP169+CQ304*CQ169+CR304*CR169+CS304*CS169+CT304*CT169+CU304*CU169</f>
        <v>0</v>
      </c>
      <c r="DD169" s="2882">
        <f>E305*E169+F305*F169+G305*G169+H305*H169+I305*I169+J305*J169+K305*K169+L305*L169+M305*M169+N305*N169+O305*O169+P305*P169+Q305*Q169+R305*R169+S305*S169+T305*T169+U305*U169+V305*V169+W305*W169+X305*X169+Y305*Y169+Z305*Z169+AA305*AA169+AB305*AB169+AC305*AC169+AD305*AD169+AE305*AE169+AF305*AF169+AG305*AG169+AH305*AH169+AI305*AI169+AJ305*AJ169+AK305*AK169+AL305*AL169+AM305*AM169+AN305*AN169+AO305*AO169+AP305*AP169+AQ305*AQ169+AR305*AR169+AS305*AS169+AT305*AT169+AU305*AU169+AV305*AV169+AW305*AW169+AX305*AX169+AY305*AY169+AZ305*AZ169+BA305*BA169+BB305*BB169+BC305*BC169+BD305*BD169+BE305*BE169+BF305*BF169+BG305*BG169+BH305*BH169+BI305*BI169+BJ305*BJ169+BK305*BK169+BL305*BL169+BM305*BM169+BN305*BN169+BO305*BO169+BP305*BP169+BQ305*BQ169+BR305*BR169+BS305*BS169+BT305*BT169+BU305*BU169+BV305*BV169+BW305*BW169+BX305*BX169+BY305*BY169+BZ305*BZ169+CA305*CA169+CB305*CB169+CC305*CC169+CD305*CD169+CE305*CE169+CF305*CF169+CG305*CG169+CH305*CH169+CI305*CI169+CJ305*CJ169+CK305*CK169+CL305*CL169+CM305*CM169+CN305*CN169+CO305*CO169+CP305*CP169+CQ305*CQ169+CR305*CR169+CS305*CS169+CT305*CT169+CU305*CU169</f>
        <v>0</v>
      </c>
      <c r="DE169" s="2882">
        <f>E306*E169+F306*F169+G306*G169+H306*H169+I306*I169+J306*J169+K306*K169+L306*L169+M306*M169+N306*N169+O306*O169+P306*P169+Q306*Q169+R306*R169+S306*S169+T306*T169+U306*U169+V306*V169+W306*W169+X306*X169+Y306*Y169+Z306*Z169+AA306*AA169+AB306*AB169+AC306*AC169+AD306*AD169+AE306*AE169+AF306*AF169+AG306*AG169+AH306*AH169+AI306*AI169+AJ306*AJ169+AK306*AK169+AL306*AL169+AM306*AM169+AN306*AN169+AO306*AO169+AP306*AP169+AQ306*AQ169+AR306*AR169+AS306*AS169+AT306*AT169+AU306*AU169+AV306*AV169+AW306*AW169+AX306*AX169+AY306*AY169+AZ306*AZ169+BA306*BA169+BB306*BB169+BC306*BC169+BD306*BD169+BE306*BE169+BF306*BF169+BG306*BG169+BH306*BH169+BI306*BI169+BJ306*BJ169+BK306*BK169+BL306*BL169+BM306*BM169+BN306*BN169+BO306*BO169+BP306*BP169+BQ306*BQ169+BR306*BR169+BS306*BS169+BT306*BT169+BU306*BU169+BV306*BV169+BW306*BW169+BX306*BX169+BY306*BY169+BZ306*BZ169+CA306*CA169+CB306*CB169+CC306*CC169+CD306*CD169+CE306*CE169+CF306*CF169+CG306*CG169+CH306*CH169+CI306*CI169+CJ306*CJ169+CK306*CK169+CL306*CL169+CM306*CM169+CN306*CN169+CO306*CO169+CP306*CP169+CQ306*CQ169+CR306*CR169+CS306*CS169+CT306*CT169+CU306*CU169</f>
        <v>0</v>
      </c>
      <c r="DF169" s="2882">
        <f>E307*E169+F307*F169+G307*G169+H307*H169+I307*I169+J307*J169+K307*K169+L307*L169+M307*M169+N307*N169+O307*O169+P307*P169+Q307*Q169+R307*R169+S307*S169+T307*T169+U307*U169+V307*V169+W307*W169+X307*X169+Y307*Y169+Z307*Z169+AA307*AA169+AB307*AB169+AC307*AC169+AD307*AD169+AE307*AE169+AF307*AF169+AG307*AG169+AH307*AH169+AI307*AI169+AJ307*AJ169+AK307*AK169+AL307*AL169+AM307*AM169+AN307*AN169+AO307*AO169+AP307*AP169+AQ307*AQ169+AR307*AR169+AS307*AS169+AT307*AT169+AU307*AU169+AV307*AV169+AW307*AW169+AX307*AX169+AY307*AY169+AZ307*AZ169+BA307*BA169+BB307*BB169+BC307*BC169+BD307*BD169+BE307*BE169+BF307*BF169+BG307*BG169+BH307*BH169+BI307*BI169+BJ307*BJ169+BK307*BK169+BL307*BL169+BM307*BM169+BN307*BN169+BO307*BO169+BP307*BP169+BQ307*BQ169+BR307*BR169+BS307*BS169+BT307*BT169+BU307*BU169+BV307*BV169+BW307*BW169+BX307*BX169+BY307*BY169+BZ307*BZ169+CA307*CA169+CB307*CB169+CC307*CC169+CD307*CD169+CE307*CE169+CF307*CF169+CG307*CG169+CH307*CH169+CI307*CI169+CJ307*CJ169+CK307*CK169+CL307*CL169+CM307*CM169+CN307*CN169+CO307*CO169+CP307*CP169+CQ307*CQ169+CR307*CR169+CS307*CS169+CT307*CT169+CU307*CU169</f>
        <v>0</v>
      </c>
      <c r="DG169" s="2882">
        <f>E308*E169+F308*F169+G308*G169+H308*H169+I308*I169+J308*J169+K308*K169+L308*L169+M308*M169+N308*N169+O308*O169+P308*P169+Q308*Q169+R308*R169+S308*S169+T308*T169+U308*U169+V308*V169+W308*W169+X308*X169+Y308*Y169+Z308*Z169+AA308*AA169+AB308*AB169+AC308*AC169+AD308*AD169+AE308*AE169+AF308*AF169+AG308*AG169+AH308*AH169+AI308*AI169+AJ308*AJ169+AK308*AK169+AL308*AL169+AM308*AM169+AN308*AN169+AO308*AO169+AP308*AP169+AQ308*AQ169+AR308*AR169+AS308*AS169+AT308*AT169+AU308*AU169+AV308*AV169+AW308*AW169+AX308*AX169+AY308*AY169+AZ308*AZ169+BA308*BA169+BB308*BB169+BC308*BC169+BD308*BD169+BE308*BE169+BF308*BF169+BG308*BG169+BH308*BH169+BI308*BI169+BJ308*BJ169+BK308*BK169+BL308*BL169+BM308*BM169+BN308*BN169+BO308*BO169+BP308*BP169+BQ308*BQ169+BR308*BR169+BS308*BS169+BT308*BT169+BU308*BU169+BV308*BV169+BW308*BW169+BX308*BX169+BY308*BY169+BZ308*BZ169+CA308*CA169+CB308*CB169+CC308*CC169+CD308*CD169+CE308*CE169+CF308*CF169+CG308*CG169+CH308*CH169+CI308*CI169+CJ308*CJ169+CK308*CK169+CL308*CL169+CM308*CM169+CN308*CN169+CO308*CO169+CP308*CP169+CQ308*CQ169+CR308*CR169+CS308*CS169+CT308*CT169+CU308*CU169</f>
        <v>0</v>
      </c>
      <c r="DH169" s="2882">
        <f>E309*E169+F309*F169+G309*G169+H309*H169+I309*I169+J309*J169+K309*K169+L309*L169+M309*M169+N309*N169+O309*O169+P309*P169+Q309*Q169+R309*R169+S309*S169+T309*T169+U309*U169+V309*V169+W309*W169+X309*X169+Y309*Y169+Z309*Z169+AA309*AA169+AB309*AB169+AC309*AC169+AD309*AD169+AE309*AE169+AF309*AF169+AG309*AG169+AH309*AH169+AI309*AI169+AJ309*AJ169+AK309*AK169+AL309*AL169+AM309*AM169+AN309*AN169+AO309*AO169+AP309*AP169+AQ309*AQ169+AR309*AR169+AS309*AS169+AT309*AT169+AU309*AU169+AV309*AV169+AW309*AW169+AX309*AX169+AY309*AY169+AZ309*AZ169+BA309*BA169+BB309*BB169+BC309*BC169+BD309*BD169+BE309*BE169+BF309*BF169+BG309*BG169+BH309*BH169+BI309*BI169+BJ309*BJ169+BK309*BK169+BL309*BL169+BM309*BM169+BN309*BN169+BO309*BO169+BP309*BP169+BQ309*BQ169+BR309*BR169+BS309*BS169+BT309*BT169+BU309*BU169+BV309*BV169+BW309*BW169+BX309*BX169+BY309*BY169+BZ309*BZ169+CA309*CA169+CB309*CB169+CC309*CC169+CD309*CD169+CE309*CE169+CF309*CF169+CG309*CG169+CH309*CH169+CI309*CI169+CJ309*CJ169+CK309*CK169+CL309*CL169+CM309*CM169+CN309*CN169+CO309*CO169+CP309*CP169+CQ309*CQ169+CR309*CR169+CS309*CS169+CT309*CT169+CU309*CU169</f>
        <v>0</v>
      </c>
      <c r="DI169" s="2882">
        <f>E310*E169+F310*F169+G310*G169+H310*H169+I310*I169+J310*J169+K310*K169+L310*L169+M310*M169+N310*N169+O310*O169+P310*P169+Q310*Q169+R310*R169+S310*S169+T310*T169+U310*U169+V310*V169+W310*W169+X310*X169+Y310*Y169+Z310*Z169+AA310*AA169+AB310*AB169+AC310*AC169+AD310*AD169+AE310*AE169+AF310*AF169+AG310*AG169+AH310*AH169+AI310*AI169+AJ310*AJ169+AK310*AK169+AL310*AL169+AM310*AM169+AN310*AN169+AO310*AO169+AP310*AP169+AQ310*AQ169+AR310*AR169+AS310*AS169+AT310*AT169+AU310*AU169+AV310*AV169+AW310*AW169+AX310*AX169+AY310*AY169+AZ310*AZ169+BA310*BA169+BB310*BB169+BC310*BC169+BD310*BD169+BE310*BE169+BF310*BF169+BG310*BG169+BH310*BH169+BI310*BI169+BJ310*BJ169+BK310*BK169+BL310*BL169+BM310*BM169+BN310*BN169+BO310*BO169+BP310*BP169+BQ310*BQ169+BR310*BR169+BS310*BS169+BT310*BT169+BU310*BU169+BV310*BV169+BW310*BW169+BX310*BX169+BY310*BY169+BZ310*BZ169+CA310*CA169+CB310*CB169+CC310*CC169+CD310*CD169+CE310*CE169+CF310*CF169+CG310*CG169+CH310*CH169+CI310*CI169+CJ310*CJ169+CK310*CK169+CL310*CL169+CM310*CM169+CN310*CN169+CO310*CO169+CP310*CP169+CQ310*CQ169+CR310*CR169+CS310*CS169+CT310*CT169+CU310*CU169</f>
        <v>0</v>
      </c>
    </row>
    <row r="170" spans="2:113" ht="15.75" x14ac:dyDescent="0.55000000000000004">
      <c r="B170" s="433">
        <v>11</v>
      </c>
      <c r="C170" s="434" t="s">
        <v>234</v>
      </c>
      <c r="D170" s="759" t="s">
        <v>2214</v>
      </c>
      <c r="E170" s="725">
        <f>(1-Y_OHO_SB_ana-Y_OHO_H2_ana_high)/Y_OHO_SB_ana</f>
        <v>5.5</v>
      </c>
      <c r="F170" s="724">
        <f>-1/Y_OHO_SB_ana</f>
        <v>-10</v>
      </c>
      <c r="G170" s="725">
        <f>0</f>
        <v>0</v>
      </c>
      <c r="H170" s="725">
        <f>0</f>
        <v>0</v>
      </c>
      <c r="I170" s="725">
        <f>0</f>
        <v>0</v>
      </c>
      <c r="J170" s="725">
        <f>0</f>
        <v>0</v>
      </c>
      <c r="K170" s="725">
        <f>0</f>
        <v>0</v>
      </c>
      <c r="L170" s="725">
        <f>0</f>
        <v>0</v>
      </c>
      <c r="M170" s="725">
        <f>0</f>
        <v>0</v>
      </c>
      <c r="N170" s="725">
        <f>0</f>
        <v>0</v>
      </c>
      <c r="O170" s="725">
        <f>0</f>
        <v>0</v>
      </c>
      <c r="P170" s="725">
        <f>0</f>
        <v>0</v>
      </c>
      <c r="Q170" s="725">
        <f>1</f>
        <v>1</v>
      </c>
      <c r="R170" s="725">
        <f>0</f>
        <v>0</v>
      </c>
      <c r="S170" s="725">
        <f>0</f>
        <v>0</v>
      </c>
      <c r="T170" s="725">
        <f>0</f>
        <v>0</v>
      </c>
      <c r="U170" s="725">
        <f>0</f>
        <v>0</v>
      </c>
      <c r="V170" s="725">
        <f>0</f>
        <v>0</v>
      </c>
      <c r="W170" s="725">
        <f>0</f>
        <v>0</v>
      </c>
      <c r="X170" s="725">
        <f>0</f>
        <v>0</v>
      </c>
      <c r="Y170" s="725">
        <f>0</f>
        <v>0</v>
      </c>
      <c r="Z170" s="725">
        <f>0</f>
        <v>0</v>
      </c>
      <c r="AA170" s="725">
        <f>0</f>
        <v>0</v>
      </c>
      <c r="AB170" s="724">
        <f t="shared" si="0"/>
        <v>-7.0000000000000007E-2</v>
      </c>
      <c r="AC170" s="724">
        <f>0</f>
        <v>0</v>
      </c>
      <c r="AD170" s="725">
        <f>0</f>
        <v>0</v>
      </c>
      <c r="AE170" s="725">
        <f>0</f>
        <v>0</v>
      </c>
      <c r="AF170" s="725">
        <f>0</f>
        <v>0</v>
      </c>
      <c r="AG170" s="725">
        <f>0</f>
        <v>0</v>
      </c>
      <c r="AH170" s="725">
        <f>0</f>
        <v>0</v>
      </c>
      <c r="AI170" s="725">
        <f>0</f>
        <v>0</v>
      </c>
      <c r="AJ170" s="725">
        <f>0</f>
        <v>0</v>
      </c>
      <c r="AK170" s="725">
        <f>0</f>
        <v>0</v>
      </c>
      <c r="AL170" s="725">
        <f>0</f>
        <v>0</v>
      </c>
      <c r="AM170" s="724">
        <f t="shared" si="1"/>
        <v>-0.02</v>
      </c>
      <c r="AN170" s="725">
        <f>0</f>
        <v>0</v>
      </c>
      <c r="AO170" s="725">
        <f>0</f>
        <v>0</v>
      </c>
      <c r="AP170" s="725">
        <f>0</f>
        <v>0</v>
      </c>
      <c r="AQ170" s="725">
        <f>0</f>
        <v>0</v>
      </c>
      <c r="AR170" s="725">
        <f>0</f>
        <v>0</v>
      </c>
      <c r="AS170" s="725">
        <f>0</f>
        <v>0</v>
      </c>
      <c r="AT170" s="725">
        <f>Y_OHO_H2_ana_high/Y_OHO_SB_ana</f>
        <v>3.4999999999999996</v>
      </c>
      <c r="AU170" s="761">
        <f>(i_CIT_SB-i_CIT_VFA*(1-Y_OHO_SB_ana-Y_OHO_H2_ana_high)-i_CIT_BIO*Y_OHO_SB_ana)/Y_OHO_SB_ana</f>
        <v>0.44549999999999956</v>
      </c>
      <c r="AV170" s="724">
        <f t="shared" si="2"/>
        <v>0.11</v>
      </c>
      <c r="AW170" s="724">
        <f t="shared" si="3"/>
        <v>-2.8804303582798466E-2</v>
      </c>
      <c r="AX170" s="724">
        <f t="shared" si="4"/>
        <v>-7.0195696417201539E-2</v>
      </c>
      <c r="AY170" s="724">
        <f t="shared" si="5"/>
        <v>-5.5000000000000005E-3</v>
      </c>
      <c r="AZ170" s="724">
        <f t="shared" si="6"/>
        <v>-5.5000000000000005E-3</v>
      </c>
      <c r="BA170" s="724">
        <f>0</f>
        <v>0</v>
      </c>
      <c r="BB170" s="724">
        <f>0</f>
        <v>0</v>
      </c>
      <c r="BC170" s="724">
        <f>-i_S_BIO+1/Y_OHO_SB_ana*i_S_SB</f>
        <v>4.9999999999999992E-3</v>
      </c>
      <c r="BD170" s="724">
        <f>0</f>
        <v>0</v>
      </c>
      <c r="BE170" s="724">
        <f>0</f>
        <v>0</v>
      </c>
      <c r="BF170" s="724">
        <f>0</f>
        <v>0</v>
      </c>
      <c r="BG170" s="724">
        <f>0</f>
        <v>0</v>
      </c>
      <c r="BH170" s="724">
        <f>0</f>
        <v>0</v>
      </c>
      <c r="BI170" s="724">
        <f>0</f>
        <v>0</v>
      </c>
      <c r="BJ170" s="724">
        <f>0</f>
        <v>0</v>
      </c>
      <c r="BK170" s="724">
        <f>0</f>
        <v>0</v>
      </c>
      <c r="BL170" s="724">
        <f>0</f>
        <v>0</v>
      </c>
      <c r="BM170" s="724">
        <f>0</f>
        <v>0</v>
      </c>
      <c r="BN170" s="724">
        <f>0</f>
        <v>0</v>
      </c>
      <c r="BO170" s="724">
        <f>0</f>
        <v>0</v>
      </c>
      <c r="BP170" s="724">
        <f>0</f>
        <v>0</v>
      </c>
      <c r="BQ170" s="724">
        <f>0</f>
        <v>0</v>
      </c>
      <c r="BR170" s="724">
        <f>0</f>
        <v>0</v>
      </c>
      <c r="BS170" s="724">
        <f>0</f>
        <v>0</v>
      </c>
      <c r="BT170" s="724">
        <f>0</f>
        <v>0</v>
      </c>
      <c r="BU170" s="724">
        <f>0</f>
        <v>0</v>
      </c>
      <c r="BV170" s="887">
        <f>0</f>
        <v>0</v>
      </c>
      <c r="BW170" s="724">
        <f>0</f>
        <v>0</v>
      </c>
      <c r="BX170" s="724">
        <f>0</f>
        <v>0</v>
      </c>
      <c r="BY170" s="724">
        <f>0</f>
        <v>0</v>
      </c>
      <c r="BZ170" s="724">
        <f>0</f>
        <v>0</v>
      </c>
      <c r="CA170" s="887">
        <f>0</f>
        <v>0</v>
      </c>
      <c r="CB170" s="724">
        <f>0</f>
        <v>0</v>
      </c>
      <c r="CC170" s="724">
        <f>0</f>
        <v>0</v>
      </c>
      <c r="CD170" s="724">
        <f>0</f>
        <v>0</v>
      </c>
      <c r="CE170" s="724">
        <f>0</f>
        <v>0</v>
      </c>
      <c r="CF170" s="724">
        <f>0</f>
        <v>0</v>
      </c>
      <c r="CG170" s="724">
        <f>0</f>
        <v>0</v>
      </c>
      <c r="CH170" s="724">
        <f>0</f>
        <v>0</v>
      </c>
      <c r="CI170" s="724">
        <f>0</f>
        <v>0</v>
      </c>
      <c r="CJ170" s="724">
        <f>0</f>
        <v>0</v>
      </c>
      <c r="CK170" s="724">
        <f>0</f>
        <v>0</v>
      </c>
      <c r="CL170" s="724">
        <f>0</f>
        <v>0</v>
      </c>
      <c r="CM170" s="724">
        <f>0</f>
        <v>0</v>
      </c>
      <c r="CN170" s="724">
        <f>0</f>
        <v>0</v>
      </c>
      <c r="CO170" s="724">
        <f>0</f>
        <v>0</v>
      </c>
      <c r="CP170" s="724">
        <f>0</f>
        <v>0</v>
      </c>
      <c r="CQ170" s="724">
        <f>0</f>
        <v>0</v>
      </c>
      <c r="CR170" s="724">
        <f>0</f>
        <v>0</v>
      </c>
      <c r="CS170" s="724">
        <f>0</f>
        <v>0</v>
      </c>
      <c r="CT170" s="724">
        <f>0</f>
        <v>0</v>
      </c>
      <c r="CU170" s="724">
        <f>0</f>
        <v>0</v>
      </c>
      <c r="CV170" s="2856">
        <f>µ_FERM_OHO_T*X_OHO*L_ogsatSVFA_KVFA_FERM*M_satSB_KSB_ana*M_inhSO2_KO2_OHO*M_inhSNO2_KNO2_OHO*M_inhSNO3_KNO3_OHO*M_satSNHx_KNHx_BIO*M_satSPO4_KPO4_BIO*M_satSCAT_KCAT*M_satSAN_KAN*M_satSCa_KCa*M_satSMg_KMg*B_ellinhpH</f>
        <v>1.9772086783332978E-218</v>
      </c>
      <c r="CX170" s="2880">
        <f>E299*E170+F299*F170+G299*G170+H299*H170+I299*I170+J299*J170+K299*K170+L299*L170+M299*M170+N299*N170+O299*O170+P299*P170+Q299*Q170+R299*R170+S299*S170+T299*T170+U299*U170+V299*V170+W299*W170+X299*X170+Y299*Y170+Z299*Z170+AA299*AA170+AB299*AB170+AC299*AC170+AD299*AD170+AE299*AE170+AF299*AF170+AG299*AG170+AH299*AH170+AI299*AI170+AJ299*AJ170+AK299*AK170+AL299*AL170+AM299*AM170+AN299*AN170+AO299*AO170+AP299*AP170+AQ299*AQ170+AR299*AR170+AS299*AS170+AT299*AT170+AU299*AU170+AV299*AV170+AW299*AW170+AX299*AX170+AY299*AY170+AZ299*AZ170+BA299*BA170+BB299*BB170+BC299*BC170+BD299*BD170+BE299*BE170+BF299*BF170+BG299*BG170+BH299*BH170+BI299*BI170+BJ299*BJ170+BK299*BK170+BL299*BL170+BM299*BM170+BN299*BN170+BO299*BO170+BP299*BP170+BQ299*BQ170+BR299*BR170+BS299*BS170+BT299*BT170+BU299*BU170+BV299*BV170+BW299*BW170+BX299*BX170+BY299*BY170+BZ299*BZ170+CA299*CA170+CB299*CB170+CC299*CC170+CD299*CD170+CE299*CE170+CF299*CF170+CG299*CG170+CH299*CH170+CI299*CI170+CJ299*CJ170+CK299*CK170+CL299*CL170+CM299*CM170+CN299*CN170+CO299*CO170+CP299*CP170+CQ299*CQ170+CR299*CR170+CS299*CS170+CT299*CT170+CU299*CU170</f>
        <v>-4.4408920985006262E-16</v>
      </c>
      <c r="CY170" s="2880">
        <f>E300*E170+F300*F170+G300*G170+H300*H170+I300*I170+J300*J170+K300*K170+L300*L170+M300*M170+N300*N170+O300*O170+P300*P170+Q300*Q170+R300*R170+S300*S170+T300*T170+U300*U170+V300*V170+W300*W170+X300*X170+Y300*Y170+Z300*Z170+AA300*AA170+AB300*AB170+AC300*AC170+AD300*AD170+AE300*AE170+AF300*AF170+AG300*AG170+AH300*AH170+AI300*AI170+AJ300*AJ170+AK300*AK170+AL300*AL170+AM300*AM170+AN300*AN170+AO300*AO170+AP300*AP170+AQ300*AQ170+AR300*AR170+AS300*AS170+AT300*AT170+AU300*AU170+AV300*AV170+AW300*AW170+AX300*AX170+AY300*AY170+AZ300*AZ170+BA300*BA170+BB300*BB170+BC300*BC170+BD300*BD170+BE300*BE170+BF300*BF170+BG300*BG170+BH300*BH170+BI300*BI170+BJ300*BJ170+BK300*BK170+BL300*BL170+BM300*BM170+BN300*BN170+BO300*BO170+BP300*BP170+BQ300*BQ170+BR300*BR170+BS300*BS170+BT300*BT170+BU300*BU170+BV300*BV170+BW300*BW170+BX300*BX170+BY300*BY170+BZ300*BZ170+CA300*CA170+CB300*CB170+CC300*CC170+CD300*CD170+CE300*CE170+CF300*CF170+CG300*CG170+CH300*CH170+CI300*CI170+CJ300*CJ170+CK300*CK170+CL300*CL170+CM300*CM170+CN300*CN170+CO300*CO170+CP300*CP170+CQ300*CQ170+CR300*CR170+CS300*CS170+CT300*CT170+CU300*CU170</f>
        <v>-3.3306690738754696E-16</v>
      </c>
      <c r="CZ170" s="2881">
        <f>E301*E170+F301*F170+G301*G170+H301*H170+I301*I170+J301*J170+K301*K170+L301*L170+M301*M170+N301*N170+O301*O170+P301*P170+Q301*Q170+R301*R170+S301*S170+T301*T170+U301*U170+V301*V170+W301*W170+X301*X170+Y301*Y170+Z301*Z170+AA301*AA170+AB301*AB170+AC301*AC170+AD301*AD170+AE301*AE170+AF301*AF170+AG301*AG170+AH301*AH170+AI301*AI170+AJ301*AJ170+AK301*AK170+AL301*AL170+AM301*AM170+AN301*AN170+AO301*AO170+AP301*AP170+AQ301*AQ170+AR301*AR170+AS301*AS170+AT301*AT170+AU301*AU170+AV301*AV170+AW301*AW170+AX301*AX170+AY301*AY170+AZ301*AZ170+BA301*BA170+BB301*BB170+BC301*BC170+BD301*BD170+BE301*BE170+BF301*BF170+BG301*BG170+BH301*BH170+BI301*BI170+BJ301*BJ170+BK301*BK170+BL301*BL170+BM301*BM170+BN301*BN170+BO301*BO170+BP301*BP170+BQ301*BQ170+BR301*BR170+BS301*BS170+BT301*BT170+BU301*BU170+BV301*BV170+BW301*BW170+BX301*BX170+BY301*BY170+BZ301*BZ170+CA301*CA170+CB301*CB170+CC301*CC170+CD301*CD170+CE301*CE170+CF301*CF170+CG301*CG170+CH301*CH170+CI301*CI170+CJ301*CJ170+CK301*CK170+CL301*CL170+CM301*CM170+CN301*CN170+CO301*CO170+CP301*CP170+CQ301*CQ170+CR301*CR170+CS301*CS170+CT301*CT170+CU301*CU170</f>
        <v>0</v>
      </c>
      <c r="DA170" s="2882">
        <f>E302*E170+F302*F170+G302*G170+H302*H170+I302*I170+J302*J170+K302*K170+L302*L170+M302*M170+N302*N170+O302*O170+P302*P170+Q302*Q170+R302*R170+S302*S170+T302*T170+U302*U170+V302*V170+W302*W170+X302*X170+Y302*Y170+Z302*Z170+AA302*AA170+AB302*AB170+AC302*AC170+AD302*AD170+AE302*AE170+AF302*AF170+AG302*AG170+AH302*AH170+AI302*AI170+AJ302*AJ170+AK302*AK170+AL302*AL170+AM302*AM170+AN302*AN170+AO302*AO170+AP302*AP170+AQ302*AQ170+AR302*AR170+AS302*AS170+AT302*AT170+AU302*AU170+AV302*AV170+AW302*AW170+AX302*AX170+AY302*AY170+AZ302*AZ170+BA302*BA170+BB302*BB170+BC302*BC170+BD302*BD170+BE302*BE170+BF302*BF170+BG302*BG170+BH302*BH170+BI302*BI170+BJ302*BJ170+BK302*BK170+BL302*BL170+BM302*BM170+BN302*BN170+BO302*BO170+BP302*BP170+BQ302*BQ170+BR302*BR170+BS302*BS170+BT302*BT170+BU302*BU170+BV302*BV170+BW302*BW170+BX302*BX170+BY302*BY170+BZ302*BZ170+CA302*CA170+CB302*CB170+CC302*CC170+CD302*CD170+CE302*CE170+CF302*CF170+CG302*CG170+CH302*CH170+CI302*CI170+CJ302*CJ170+CK302*CK170+CL302*CL170+CM302*CM170+CN302*CN170+CO302*CO170+CP302*CP170+CQ302*CQ170+CR302*CR170+CS302*CS170+CT302*CT170+CU302*CU170</f>
        <v>0</v>
      </c>
      <c r="DB170" s="2882">
        <f>E303*E170+F303*F170+G303*G170+H303*H170+I303*I170+J303*J170+K303*K170+L303*L170+M303*M170+N303*N170+O303*O170+P303*P170+Q303*Q170+R303*R170+S303*S170+T303*T170+U303*U170+V303*V170+W303*W170+X303*X170+Y303*Y170+Z303*Z170+AA303*AA170+AB303*AB170+AC303*AC170+AD303*AD170+AE303*AE170+AF303*AF170+AG303*AG170+AH303*AH170+AI303*AI170+AJ303*AJ170+AK303*AK170+AL303*AL170+AM303*AM170+AN303*AN170+AO303*AO170+AP303*AP170+AQ303*AQ170+AR303*AR170+AS303*AS170+AT303*AT170+AU303*AU170+AV303*AV170+AW303*AW170+AX303*AX170+AY303*AY170+AZ303*AZ170+BA303*BA170+BB303*BB170+BC303*BC170+BD303*BD170+BE303*BE170+BF303*BF170+BG303*BG170+BH303*BH170+BI303*BI170+BJ303*BJ170+BK303*BK170+BL303*BL170+BM303*BM170+BN303*BN170+BO303*BO170+BP303*BP170+BQ303*BQ170+BR303*BR170+BS303*BS170+BT303*BT170+BU303*BU170+BV303*BV170+BW303*BW170+BX303*BX170+BY303*BY170+BZ303*BZ170+CA303*CA170+CB303*CB170+CC303*CC170+CD303*CD170+CE303*CE170+CF303*CF170+CG303*CG170+CH303*CH170+CI303*CI170+CJ303*CJ170+CK303*CK170+CL303*CL170+CM303*CM170+CN303*CN170+CO303*CO170+CP303*CP170+CQ303*CQ170+CR303*CR170+CS303*CS170+CT303*CT170+CU303*CU170</f>
        <v>0</v>
      </c>
      <c r="DC170" s="2882">
        <f>E304*E170+F304*F170+G304*G170+H304*H170+I304*I170+J304*J170+K304*K170+L304*L170+M304*M170+N304*N170+O304*O170+P304*P170+Q304*Q170+R304*R170+S304*S170+T304*T170+U304*U170+V304*V170+W304*W170+X304*X170+Y304*Y170+Z304*Z170+AA304*AA170+AB304*AB170+AC304*AC170+AD304*AD170+AE304*AE170+AF304*AF170+AG304*AG170+AH304*AH170+AI304*AI170+AJ304*AJ170+AK304*AK170+AL304*AL170+AM304*AM170+AN304*AN170+AO304*AO170+AP304*AP170+AQ304*AQ170+AR304*AR170+AS304*AS170+AT304*AT170+AU304*AU170+AV304*AV170+AW304*AW170+AX304*AX170+AY304*AY170+AZ304*AZ170+BA304*BA170+BB304*BB170+BC304*BC170+BD304*BD170+BE304*BE170+BF304*BF170+BG304*BG170+BH304*BH170+BI304*BI170+BJ304*BJ170+BK304*BK170+BL304*BL170+BM304*BM170+BN304*BN170+BO304*BO170+BP304*BP170+BQ304*BQ170+BR304*BR170+BS304*BS170+BT304*BT170+BU304*BU170+BV304*BV170+BW304*BW170+BX304*BX170+BY304*BY170+BZ304*BZ170+CA304*CA170+CB304*CB170+CC304*CC170+CD304*CD170+CE304*CE170+CF304*CF170+CG304*CG170+CH304*CH170+CI304*CI170+CJ304*CJ170+CK304*CK170+CL304*CL170+CM304*CM170+CN304*CN170+CO304*CO170+CP304*CP170+CQ304*CQ170+CR304*CR170+CS304*CS170+CT304*CT170+CU304*CU170</f>
        <v>0</v>
      </c>
      <c r="DD170" s="2882">
        <f>E305*E170+F305*F170+G305*G170+H305*H170+I305*I170+J305*J170+K305*K170+L305*L170+M305*M170+N305*N170+O305*O170+P305*P170+Q305*Q170+R305*R170+S305*S170+T305*T170+U305*U170+V305*V170+W305*W170+X305*X170+Y305*Y170+Z305*Z170+AA305*AA170+AB305*AB170+AC305*AC170+AD305*AD170+AE305*AE170+AF305*AF170+AG305*AG170+AH305*AH170+AI305*AI170+AJ305*AJ170+AK305*AK170+AL305*AL170+AM305*AM170+AN305*AN170+AO305*AO170+AP305*AP170+AQ305*AQ170+AR305*AR170+AS305*AS170+AT305*AT170+AU305*AU170+AV305*AV170+AW305*AW170+AX305*AX170+AY305*AY170+AZ305*AZ170+BA305*BA170+BB305*BB170+BC305*BC170+BD305*BD170+BE305*BE170+BF305*BF170+BG305*BG170+BH305*BH170+BI305*BI170+BJ305*BJ170+BK305*BK170+BL305*BL170+BM305*BM170+BN305*BN170+BO305*BO170+BP305*BP170+BQ305*BQ170+BR305*BR170+BS305*BS170+BT305*BT170+BU305*BU170+BV305*BV170+BW305*BW170+BX305*BX170+BY305*BY170+BZ305*BZ170+CA305*CA170+CB305*CB170+CC305*CC170+CD305*CD170+CE305*CE170+CF305*CF170+CG305*CG170+CH305*CH170+CI305*CI170+CJ305*CJ170+CK305*CK170+CL305*CL170+CM305*CM170+CN305*CN170+CO305*CO170+CP305*CP170+CQ305*CQ170+CR305*CR170+CS305*CS170+CT305*CT170+CU305*CU170</f>
        <v>0</v>
      </c>
      <c r="DE170" s="2882">
        <f>E306*E170+F306*F170+G306*G170+H306*H170+I306*I170+J306*J170+K306*K170+L306*L170+M306*M170+N306*N170+O306*O170+P306*P170+Q306*Q170+R306*R170+S306*S170+T306*T170+U306*U170+V306*V170+W306*W170+X306*X170+Y306*Y170+Z306*Z170+AA306*AA170+AB306*AB170+AC306*AC170+AD306*AD170+AE306*AE170+AF306*AF170+AG306*AG170+AH306*AH170+AI306*AI170+AJ306*AJ170+AK306*AK170+AL306*AL170+AM306*AM170+AN306*AN170+AO306*AO170+AP306*AP170+AQ306*AQ170+AR306*AR170+AS306*AS170+AT306*AT170+AU306*AU170+AV306*AV170+AW306*AW170+AX306*AX170+AY306*AY170+AZ306*AZ170+BA306*BA170+BB306*BB170+BC306*BC170+BD306*BD170+BE306*BE170+BF306*BF170+BG306*BG170+BH306*BH170+BI306*BI170+BJ306*BJ170+BK306*BK170+BL306*BL170+BM306*BM170+BN306*BN170+BO306*BO170+BP306*BP170+BQ306*BQ170+BR306*BR170+BS306*BS170+BT306*BT170+BU306*BU170+BV306*BV170+BW306*BW170+BX306*BX170+BY306*BY170+BZ306*BZ170+CA306*CA170+CB306*CB170+CC306*CC170+CD306*CD170+CE306*CE170+CF306*CF170+CG306*CG170+CH306*CH170+CI306*CI170+CJ306*CJ170+CK306*CK170+CL306*CL170+CM306*CM170+CN306*CN170+CO306*CO170+CP306*CP170+CQ306*CQ170+CR306*CR170+CS306*CS170+CT306*CT170+CU306*CU170</f>
        <v>0</v>
      </c>
      <c r="DF170" s="2882">
        <f>E307*E170+F307*F170+G307*G170+H307*H170+I307*I170+J307*J170+K307*K170+L307*L170+M307*M170+N307*N170+O307*O170+P307*P170+Q307*Q170+R307*R170+S307*S170+T307*T170+U307*U170+V307*V170+W307*W170+X307*X170+Y307*Y170+Z307*Z170+AA307*AA170+AB307*AB170+AC307*AC170+AD307*AD170+AE307*AE170+AF307*AF170+AG307*AG170+AH307*AH170+AI307*AI170+AJ307*AJ170+AK307*AK170+AL307*AL170+AM307*AM170+AN307*AN170+AO307*AO170+AP307*AP170+AQ307*AQ170+AR307*AR170+AS307*AS170+AT307*AT170+AU307*AU170+AV307*AV170+AW307*AW170+AX307*AX170+AY307*AY170+AZ307*AZ170+BA307*BA170+BB307*BB170+BC307*BC170+BD307*BD170+BE307*BE170+BF307*BF170+BG307*BG170+BH307*BH170+BI307*BI170+BJ307*BJ170+BK307*BK170+BL307*BL170+BM307*BM170+BN307*BN170+BO307*BO170+BP307*BP170+BQ307*BQ170+BR307*BR170+BS307*BS170+BT307*BT170+BU307*BU170+BV307*BV170+BW307*BW170+BX307*BX170+BY307*BY170+BZ307*BZ170+CA307*CA170+CB307*CB170+CC307*CC170+CD307*CD170+CE307*CE170+CF307*CF170+CG307*CG170+CH307*CH170+CI307*CI170+CJ307*CJ170+CK307*CK170+CL307*CL170+CM307*CM170+CN307*CN170+CO307*CO170+CP307*CP170+CQ307*CQ170+CR307*CR170+CS307*CS170+CT307*CT170+CU307*CU170</f>
        <v>0</v>
      </c>
      <c r="DG170" s="2882">
        <f>E308*E170+F308*F170+G308*G170+H308*H170+I308*I170+J308*J170+K308*K170+L308*L170+M308*M170+N308*N170+O308*O170+P308*P170+Q308*Q170+R308*R170+S308*S170+T308*T170+U308*U170+V308*V170+W308*W170+X308*X170+Y308*Y170+Z308*Z170+AA308*AA170+AB308*AB170+AC308*AC170+AD308*AD170+AE308*AE170+AF308*AF170+AG308*AG170+AH308*AH170+AI308*AI170+AJ308*AJ170+AK308*AK170+AL308*AL170+AM308*AM170+AN308*AN170+AO308*AO170+AP308*AP170+AQ308*AQ170+AR308*AR170+AS308*AS170+AT308*AT170+AU308*AU170+AV308*AV170+AW308*AW170+AX308*AX170+AY308*AY170+AZ308*AZ170+BA308*BA170+BB308*BB170+BC308*BC170+BD308*BD170+BE308*BE170+BF308*BF170+BG308*BG170+BH308*BH170+BI308*BI170+BJ308*BJ170+BK308*BK170+BL308*BL170+BM308*BM170+BN308*BN170+BO308*BO170+BP308*BP170+BQ308*BQ170+BR308*BR170+BS308*BS170+BT308*BT170+BU308*BU170+BV308*BV170+BW308*BW170+BX308*BX170+BY308*BY170+BZ308*BZ170+CA308*CA170+CB308*CB170+CC308*CC170+CD308*CD170+CE308*CE170+CF308*CF170+CG308*CG170+CH308*CH170+CI308*CI170+CJ308*CJ170+CK308*CK170+CL308*CL170+CM308*CM170+CN308*CN170+CO308*CO170+CP308*CP170+CQ308*CQ170+CR308*CR170+CS308*CS170+CT308*CT170+CU308*CU170</f>
        <v>0</v>
      </c>
      <c r="DH170" s="2882">
        <f>E309*E170+F309*F170+G309*G170+H309*H170+I309*I170+J309*J170+K309*K170+L309*L170+M309*M170+N309*N170+O309*O170+P309*P170+Q309*Q170+R309*R170+S309*S170+T309*T170+U309*U170+V309*V170+W309*W170+X309*X170+Y309*Y170+Z309*Z170+AA309*AA170+AB309*AB170+AC309*AC170+AD309*AD170+AE309*AE170+AF309*AF170+AG309*AG170+AH309*AH170+AI309*AI170+AJ309*AJ170+AK309*AK170+AL309*AL170+AM309*AM170+AN309*AN170+AO309*AO170+AP309*AP170+AQ309*AQ170+AR309*AR170+AS309*AS170+AT309*AT170+AU309*AU170+AV309*AV170+AW309*AW170+AX309*AX170+AY309*AY170+AZ309*AZ170+BA309*BA170+BB309*BB170+BC309*BC170+BD309*BD170+BE309*BE170+BF309*BF170+BG309*BG170+BH309*BH170+BI309*BI170+BJ309*BJ170+BK309*BK170+BL309*BL170+BM309*BM170+BN309*BN170+BO309*BO170+BP309*BP170+BQ309*BQ170+BR309*BR170+BS309*BS170+BT309*BT170+BU309*BU170+BV309*BV170+BW309*BW170+BX309*BX170+BY309*BY170+BZ309*BZ170+CA309*CA170+CB309*CB170+CC309*CC170+CD309*CD170+CE309*CE170+CF309*CF170+CG309*CG170+CH309*CH170+CI309*CI170+CJ309*CJ170+CK309*CK170+CL309*CL170+CM309*CM170+CN309*CN170+CO309*CO170+CP309*CP170+CQ309*CQ170+CR309*CR170+CS309*CS170+CT309*CT170+CU309*CU170</f>
        <v>0</v>
      </c>
      <c r="DI170" s="2882">
        <f>E310*E170+F310*F170+G310*G170+H310*H170+I310*I170+J310*J170+K310*K170+L310*L170+M310*M170+N310*N170+O310*O170+P310*P170+Q310*Q170+R310*R170+S310*S170+T310*T170+U310*U170+V310*V170+W310*W170+X310*X170+Y310*Y170+Z310*Z170+AA310*AA170+AB310*AB170+AC310*AC170+AD310*AD170+AE310*AE170+AF310*AF170+AG310*AG170+AH310*AH170+AI310*AI170+AJ310*AJ170+AK310*AK170+AL310*AL170+AM310*AM170+AN310*AN170+AO310*AO170+AP310*AP170+AQ310*AQ170+AR310*AR170+AS310*AS170+AT310*AT170+AU310*AU170+AV310*AV170+AW310*AW170+AX310*AX170+AY310*AY170+AZ310*AZ170+BA310*BA170+BB310*BB170+BC310*BC170+BD310*BD170+BE310*BE170+BF310*BF170+BG310*BG170+BH310*BH170+BI310*BI170+BJ310*BJ170+BK310*BK170+BL310*BL170+BM310*BM170+BN310*BN170+BO310*BO170+BP310*BP170+BQ310*BQ170+BR310*BR170+BS310*BS170+BT310*BT170+BU310*BU170+BV310*BV170+BW310*BW170+BX310*BX170+BY310*BY170+BZ310*BZ170+CA310*CA170+CB310*CB170+CC310*CC170+CD310*CD170+CE310*CE170+CF310*CF170+CG310*CG170+CH310*CH170+CI310*CI170+CJ310*CJ170+CK310*CK170+CL310*CL170+CM310*CM170+CN310*CN170+CO310*CO170+CP310*CP170+CQ310*CQ170+CR310*CR170+CS310*CS170+CT310*CT170+CU310*CU170</f>
        <v>0</v>
      </c>
    </row>
    <row r="171" spans="2:113" ht="15.75" x14ac:dyDescent="0.55000000000000004">
      <c r="B171" s="433">
        <v>12</v>
      </c>
      <c r="C171" s="434" t="s">
        <v>235</v>
      </c>
      <c r="D171" s="759" t="s">
        <v>2951</v>
      </c>
      <c r="E171" s="725">
        <f>(1-Y_OHO_SB_ana-Y_OHO_H2_ana_low)/Y_OHO_SB_ana</f>
        <v>8</v>
      </c>
      <c r="F171" s="724">
        <f>-1/Y_OHO_SB_ana</f>
        <v>-10</v>
      </c>
      <c r="G171" s="725">
        <f>0</f>
        <v>0</v>
      </c>
      <c r="H171" s="725">
        <f>0</f>
        <v>0</v>
      </c>
      <c r="I171" s="725">
        <f>0</f>
        <v>0</v>
      </c>
      <c r="J171" s="725">
        <f>0</f>
        <v>0</v>
      </c>
      <c r="K171" s="725">
        <f>0</f>
        <v>0</v>
      </c>
      <c r="L171" s="725">
        <f>0</f>
        <v>0</v>
      </c>
      <c r="M171" s="725">
        <f>0</f>
        <v>0</v>
      </c>
      <c r="N171" s="725">
        <f>0</f>
        <v>0</v>
      </c>
      <c r="O171" s="725">
        <f>0</f>
        <v>0</v>
      </c>
      <c r="P171" s="725">
        <f>0</f>
        <v>0</v>
      </c>
      <c r="Q171" s="725">
        <f>1</f>
        <v>1</v>
      </c>
      <c r="R171" s="725">
        <f>0</f>
        <v>0</v>
      </c>
      <c r="S171" s="725">
        <f>0</f>
        <v>0</v>
      </c>
      <c r="T171" s="725">
        <f>0</f>
        <v>0</v>
      </c>
      <c r="U171" s="725">
        <f>0</f>
        <v>0</v>
      </c>
      <c r="V171" s="725">
        <f>0</f>
        <v>0</v>
      </c>
      <c r="W171" s="725">
        <f>0</f>
        <v>0</v>
      </c>
      <c r="X171" s="725">
        <f>0</f>
        <v>0</v>
      </c>
      <c r="Y171" s="725">
        <f>0</f>
        <v>0</v>
      </c>
      <c r="Z171" s="725">
        <f>0</f>
        <v>0</v>
      </c>
      <c r="AA171" s="725">
        <f>0</f>
        <v>0</v>
      </c>
      <c r="AB171" s="724">
        <f t="shared" si="0"/>
        <v>-7.0000000000000007E-2</v>
      </c>
      <c r="AC171" s="724">
        <f>0</f>
        <v>0</v>
      </c>
      <c r="AD171" s="725">
        <f>0</f>
        <v>0</v>
      </c>
      <c r="AE171" s="725">
        <f>0</f>
        <v>0</v>
      </c>
      <c r="AF171" s="725">
        <f>0</f>
        <v>0</v>
      </c>
      <c r="AG171" s="725">
        <f>0</f>
        <v>0</v>
      </c>
      <c r="AH171" s="725">
        <f>0</f>
        <v>0</v>
      </c>
      <c r="AI171" s="725">
        <f>0</f>
        <v>0</v>
      </c>
      <c r="AJ171" s="725">
        <f>0</f>
        <v>0</v>
      </c>
      <c r="AK171" s="725">
        <f>0</f>
        <v>0</v>
      </c>
      <c r="AL171" s="725">
        <f>0</f>
        <v>0</v>
      </c>
      <c r="AM171" s="724">
        <f t="shared" si="1"/>
        <v>-0.02</v>
      </c>
      <c r="AN171" s="725">
        <f>0</f>
        <v>0</v>
      </c>
      <c r="AO171" s="725">
        <f>0</f>
        <v>0</v>
      </c>
      <c r="AP171" s="725">
        <f>0</f>
        <v>0</v>
      </c>
      <c r="AQ171" s="725">
        <f>0</f>
        <v>0</v>
      </c>
      <c r="AR171" s="725">
        <f>0</f>
        <v>0</v>
      </c>
      <c r="AS171" s="725">
        <f>0</f>
        <v>0</v>
      </c>
      <c r="AT171" s="725">
        <f>Y_OHO_H2_ana_low/Y_OHO_SB_ana</f>
        <v>1</v>
      </c>
      <c r="AU171" s="761">
        <f>(i_CIT_SB-i_CIT_VFA*(1-Y_OHO_SB_ana-Y_OHO_H2_ana_low)-i_CIT_BIO*Y_OHO_SB_ana)/Y_OHO_SB_ana</f>
        <v>-0.49200000000000066</v>
      </c>
      <c r="AV171" s="724">
        <f t="shared" si="2"/>
        <v>0.11</v>
      </c>
      <c r="AW171" s="724">
        <f t="shared" si="3"/>
        <v>-2.8804303582798466E-2</v>
      </c>
      <c r="AX171" s="724">
        <f t="shared" si="4"/>
        <v>-7.0195696417201539E-2</v>
      </c>
      <c r="AY171" s="724">
        <f t="shared" si="5"/>
        <v>-5.5000000000000005E-3</v>
      </c>
      <c r="AZ171" s="724">
        <f t="shared" si="6"/>
        <v>-5.5000000000000005E-3</v>
      </c>
      <c r="BA171" s="724">
        <f>0</f>
        <v>0</v>
      </c>
      <c r="BB171" s="724">
        <f>0</f>
        <v>0</v>
      </c>
      <c r="BC171" s="724">
        <f>-i_S_BIO+1/Y_OHO_SB_ana*i_S_SB</f>
        <v>4.9999999999999992E-3</v>
      </c>
      <c r="BD171" s="724">
        <f>0</f>
        <v>0</v>
      </c>
      <c r="BE171" s="724">
        <f>0</f>
        <v>0</v>
      </c>
      <c r="BF171" s="724">
        <f>0</f>
        <v>0</v>
      </c>
      <c r="BG171" s="724">
        <f>0</f>
        <v>0</v>
      </c>
      <c r="BH171" s="724">
        <f>0</f>
        <v>0</v>
      </c>
      <c r="BI171" s="724">
        <f>0</f>
        <v>0</v>
      </c>
      <c r="BJ171" s="724">
        <f>0</f>
        <v>0</v>
      </c>
      <c r="BK171" s="724">
        <f>0</f>
        <v>0</v>
      </c>
      <c r="BL171" s="724">
        <f>0</f>
        <v>0</v>
      </c>
      <c r="BM171" s="724">
        <f>0</f>
        <v>0</v>
      </c>
      <c r="BN171" s="724">
        <f>0</f>
        <v>0</v>
      </c>
      <c r="BO171" s="724">
        <f>0</f>
        <v>0</v>
      </c>
      <c r="BP171" s="724">
        <f>0</f>
        <v>0</v>
      </c>
      <c r="BQ171" s="724">
        <f>0</f>
        <v>0</v>
      </c>
      <c r="BR171" s="724">
        <f>0</f>
        <v>0</v>
      </c>
      <c r="BS171" s="724">
        <f>0</f>
        <v>0</v>
      </c>
      <c r="BT171" s="724">
        <f>0</f>
        <v>0</v>
      </c>
      <c r="BU171" s="724">
        <f>0</f>
        <v>0</v>
      </c>
      <c r="BV171" s="887">
        <f>0</f>
        <v>0</v>
      </c>
      <c r="BW171" s="724">
        <f>0</f>
        <v>0</v>
      </c>
      <c r="BX171" s="724">
        <f>0</f>
        <v>0</v>
      </c>
      <c r="BY171" s="724">
        <f>0</f>
        <v>0</v>
      </c>
      <c r="BZ171" s="724">
        <f>0</f>
        <v>0</v>
      </c>
      <c r="CA171" s="887">
        <f>0</f>
        <v>0</v>
      </c>
      <c r="CB171" s="724">
        <f>0</f>
        <v>0</v>
      </c>
      <c r="CC171" s="724">
        <f>0</f>
        <v>0</v>
      </c>
      <c r="CD171" s="724">
        <f>0</f>
        <v>0</v>
      </c>
      <c r="CE171" s="724">
        <f>0</f>
        <v>0</v>
      </c>
      <c r="CF171" s="724">
        <f>0</f>
        <v>0</v>
      </c>
      <c r="CG171" s="724">
        <f>0</f>
        <v>0</v>
      </c>
      <c r="CH171" s="724">
        <f>0</f>
        <v>0</v>
      </c>
      <c r="CI171" s="724">
        <f>0</f>
        <v>0</v>
      </c>
      <c r="CJ171" s="724">
        <f>0</f>
        <v>0</v>
      </c>
      <c r="CK171" s="724">
        <f>0</f>
        <v>0</v>
      </c>
      <c r="CL171" s="724">
        <f>0</f>
        <v>0</v>
      </c>
      <c r="CM171" s="724">
        <f>0</f>
        <v>0</v>
      </c>
      <c r="CN171" s="724">
        <f>0</f>
        <v>0</v>
      </c>
      <c r="CO171" s="724">
        <f>0</f>
        <v>0</v>
      </c>
      <c r="CP171" s="724">
        <f>0</f>
        <v>0</v>
      </c>
      <c r="CQ171" s="724">
        <f>0</f>
        <v>0</v>
      </c>
      <c r="CR171" s="724">
        <f>0</f>
        <v>0</v>
      </c>
      <c r="CS171" s="724">
        <f>0</f>
        <v>0</v>
      </c>
      <c r="CT171" s="724">
        <f>0</f>
        <v>0</v>
      </c>
      <c r="CU171" s="724">
        <f>0</f>
        <v>0</v>
      </c>
      <c r="CV171" s="2856">
        <f>µ_FERM_OHO_T*X_OHO*L_oginhSVFA_KVFA_FERM*M_satSB_KSB_ana*M_inhSO2_KO2_OHO*M_inhSNO2_KNO2_OHO*M_inhSNO3_KNO3_OHO*M_satSNHx_KNHx_BIO*M_satSPO4_KPO4_BIO*M_satSCAT_KCAT*M_satSAN_KAN*M_satSCa_KCa*M_satSMg_KMg*M_satSCO2_KCO2_BIO*B_ellinhpH</f>
        <v>4.3461152921894675E-2</v>
      </c>
      <c r="CX171" s="2880">
        <f>E299*E171+F299*F171+G299*G171+H299*H171+I299*I171+J299*J171+K299*K171+L299*L171+M299*M171+N299*N171+O299*O171+P299*P171+Q299*Q171+R299*R171+S299*S171+T299*T171+U299*U171+V299*V171+W299*W171+X299*X171+Y299*Y171+Z299*Z171+AA299*AA171+AB299*AB171+AC299*AC171+AD299*AD171+AE299*AE171+AF299*AF171+AG299*AG171+AH299*AH171+AI299*AI171+AJ299*AJ171+AK299*AK171+AL299*AL171+AM299*AM171+AN299*AN171+AO299*AO171+AP299*AP171+AQ299*AQ171+AR299*AR171+AS299*AS171+AT299*AT171+AU299*AU171+AV299*AV171+AW299*AW171+AX299*AX171+AY299*AY171+AZ299*AZ171+BA299*BA171+BB299*BB171+BC299*BC171+BD299*BD171+BE299*BE171+BF299*BF171+BG299*BG171+BH299*BH171+BI299*BI171+BJ299*BJ171+BK299*BK171+BL299*BL171+BM299*BM171+BN299*BN171+BO299*BO171+BP299*BP171+BQ299*BQ171+BR299*BR171+BS299*BS171+BT299*BT171+BU299*BU171+BV299*BV171+BW299*BW171+BX299*BX171+BY299*BY171+BZ299*BZ171+CA299*CA171+CB299*CB171+CC299*CC171+CD299*CD171+CE299*CE171+CF299*CF171+CG299*CG171+CH299*CH171+CI299*CI171+CJ299*CJ171+CK299*CK171+CL299*CL171+CM299*CM171+CN299*CN171+CO299*CO171+CP299*CP171+CQ299*CQ171+CR299*CR171+CS299*CS171+CT299*CT171+CU299*CU171</f>
        <v>0</v>
      </c>
      <c r="CY171" s="2880">
        <f>E300*E171+F300*F171+G300*G171+H300*H171+I300*I171+J300*J171+K300*K171+L300*L171+M300*M171+N300*N171+O300*O171+P300*P171+Q300*Q171+R300*R171+S300*S171+T300*T171+U300*U171+V300*V171+W300*W171+X300*X171+Y300*Y171+Z300*Z171+AA300*AA171+AB300*AB171+AC300*AC171+AD300*AD171+AE300*AE171+AF300*AF171+AG300*AG171+AH300*AH171+AI300*AI171+AJ300*AJ171+AK300*AK171+AL300*AL171+AM300*AM171+AN300*AN171+AO300*AO171+AP300*AP171+AQ300*AQ171+AR300*AR171+AS300*AS171+AT300*AT171+AU300*AU171+AV300*AV171+AW300*AW171+AX300*AX171+AY300*AY171+AZ300*AZ171+BA300*BA171+BB300*BB171+BC300*BC171+BD300*BD171+BE300*BE171+BF300*BF171+BG300*BG171+BH300*BH171+BI300*BI171+BJ300*BJ171+BK300*BK171+BL300*BL171+BM300*BM171+BN300*BN171+BO300*BO171+BP300*BP171+BQ300*BQ171+BR300*BR171+BS300*BS171+BT300*BT171+BU300*BU171+BV300*BV171+BW300*BW171+BX300*BX171+BY300*BY171+BZ300*BZ171+CA300*CA171+CB300*CB171+CC300*CC171+CD300*CD171+CE300*CE171+CF300*CF171+CG300*CG171+CH300*CH171+CI300*CI171+CJ300*CJ171+CK300*CK171+CL300*CL171+CM300*CM171+CN300*CN171+CO300*CO171+CP300*CP171+CQ300*CQ171+CR300*CR171+CS300*CS171+CT300*CT171+CU300*CU171</f>
        <v>-5.5511151231257827E-16</v>
      </c>
      <c r="CZ171" s="2881">
        <f>E301*E171+F301*F171+G301*G171+H301*H171+I301*I171+J301*J171+K301*K171+L301*L171+M301*M171+N301*N171+O301*O171+P301*P171+Q301*Q171+R301*R171+S301*S171+T301*T171+U301*U171+V301*V171+W301*W171+X301*X171+Y301*Y171+Z301*Z171+AA301*AA171+AB301*AB171+AC301*AC171+AD301*AD171+AE301*AE171+AF301*AF171+AG301*AG171+AH301*AH171+AI301*AI171+AJ301*AJ171+AK301*AK171+AL301*AL171+AM301*AM171+AN301*AN171+AO301*AO171+AP301*AP171+AQ301*AQ171+AR301*AR171+AS301*AS171+AT301*AT171+AU301*AU171+AV301*AV171+AW301*AW171+AX301*AX171+AY301*AY171+AZ301*AZ171+BA301*BA171+BB301*BB171+BC301*BC171+BD301*BD171+BE301*BE171+BF301*BF171+BG301*BG171+BH301*BH171+BI301*BI171+BJ301*BJ171+BK301*BK171+BL301*BL171+BM301*BM171+BN301*BN171+BO301*BO171+BP301*BP171+BQ301*BQ171+BR301*BR171+BS301*BS171+BT301*BT171+BU301*BU171+BV301*BV171+BW301*BW171+BX301*BX171+BY301*BY171+BZ301*BZ171+CA301*CA171+CB301*CB171+CC301*CC171+CD301*CD171+CE301*CE171+CF301*CF171+CG301*CG171+CH301*CH171+CI301*CI171+CJ301*CJ171+CK301*CK171+CL301*CL171+CM301*CM171+CN301*CN171+CO301*CO171+CP301*CP171+CQ301*CQ171+CR301*CR171+CS301*CS171+CT301*CT171+CU301*CU171</f>
        <v>0</v>
      </c>
      <c r="DA171" s="2882">
        <f>E302*E171+F302*F171+G302*G171+H302*H171+I302*I171+J302*J171+K302*K171+L302*L171+M302*M171+N302*N171+O302*O171+P302*P171+Q302*Q171+R302*R171+S302*S171+T302*T171+U302*U171+V302*V171+W302*W171+X302*X171+Y302*Y171+Z302*Z171+AA302*AA171+AB302*AB171+AC302*AC171+AD302*AD171+AE302*AE171+AF302*AF171+AG302*AG171+AH302*AH171+AI302*AI171+AJ302*AJ171+AK302*AK171+AL302*AL171+AM302*AM171+AN302*AN171+AO302*AO171+AP302*AP171+AQ302*AQ171+AR302*AR171+AS302*AS171+AT302*AT171+AU302*AU171+AV302*AV171+AW302*AW171+AX302*AX171+AY302*AY171+AZ302*AZ171+BA302*BA171+BB302*BB171+BC302*BC171+BD302*BD171+BE302*BE171+BF302*BF171+BG302*BG171+BH302*BH171+BI302*BI171+BJ302*BJ171+BK302*BK171+BL302*BL171+BM302*BM171+BN302*BN171+BO302*BO171+BP302*BP171+BQ302*BQ171+BR302*BR171+BS302*BS171+BT302*BT171+BU302*BU171+BV302*BV171+BW302*BW171+BX302*BX171+BY302*BY171+BZ302*BZ171+CA302*CA171+CB302*CB171+CC302*CC171+CD302*CD171+CE302*CE171+CF302*CF171+CG302*CG171+CH302*CH171+CI302*CI171+CJ302*CJ171+CK302*CK171+CL302*CL171+CM302*CM171+CN302*CN171+CO302*CO171+CP302*CP171+CQ302*CQ171+CR302*CR171+CS302*CS171+CT302*CT171+CU302*CU171</f>
        <v>0</v>
      </c>
      <c r="DB171" s="2882">
        <f>E303*E171+F303*F171+G303*G171+H303*H171+I303*I171+J303*J171+K303*K171+L303*L171+M303*M171+N303*N171+O303*O171+P303*P171+Q303*Q171+R303*R171+S303*S171+T303*T171+U303*U171+V303*V171+W303*W171+X303*X171+Y303*Y171+Z303*Z171+AA303*AA171+AB303*AB171+AC303*AC171+AD303*AD171+AE303*AE171+AF303*AF171+AG303*AG171+AH303*AH171+AI303*AI171+AJ303*AJ171+AK303*AK171+AL303*AL171+AM303*AM171+AN303*AN171+AO303*AO171+AP303*AP171+AQ303*AQ171+AR303*AR171+AS303*AS171+AT303*AT171+AU303*AU171+AV303*AV171+AW303*AW171+AX303*AX171+AY303*AY171+AZ303*AZ171+BA303*BA171+BB303*BB171+BC303*BC171+BD303*BD171+BE303*BE171+BF303*BF171+BG303*BG171+BH303*BH171+BI303*BI171+BJ303*BJ171+BK303*BK171+BL303*BL171+BM303*BM171+BN303*BN171+BO303*BO171+BP303*BP171+BQ303*BQ171+BR303*BR171+BS303*BS171+BT303*BT171+BU303*BU171+BV303*BV171+BW303*BW171+BX303*BX171+BY303*BY171+BZ303*BZ171+CA303*CA171+CB303*CB171+CC303*CC171+CD303*CD171+CE303*CE171+CF303*CF171+CG303*CG171+CH303*CH171+CI303*CI171+CJ303*CJ171+CK303*CK171+CL303*CL171+CM303*CM171+CN303*CN171+CO303*CO171+CP303*CP171+CQ303*CQ171+CR303*CR171+CS303*CS171+CT303*CT171+CU303*CU171</f>
        <v>0</v>
      </c>
      <c r="DC171" s="2882">
        <f>E304*E171+F304*F171+G304*G171+H304*H171+I304*I171+J304*J171+K304*K171+L304*L171+M304*M171+N304*N171+O304*O171+P304*P171+Q304*Q171+R304*R171+S304*S171+T304*T171+U304*U171+V304*V171+W304*W171+X304*X171+Y304*Y171+Z304*Z171+AA304*AA171+AB304*AB171+AC304*AC171+AD304*AD171+AE304*AE171+AF304*AF171+AG304*AG171+AH304*AH171+AI304*AI171+AJ304*AJ171+AK304*AK171+AL304*AL171+AM304*AM171+AN304*AN171+AO304*AO171+AP304*AP171+AQ304*AQ171+AR304*AR171+AS304*AS171+AT304*AT171+AU304*AU171+AV304*AV171+AW304*AW171+AX304*AX171+AY304*AY171+AZ304*AZ171+BA304*BA171+BB304*BB171+BC304*BC171+BD304*BD171+BE304*BE171+BF304*BF171+BG304*BG171+BH304*BH171+BI304*BI171+BJ304*BJ171+BK304*BK171+BL304*BL171+BM304*BM171+BN304*BN171+BO304*BO171+BP304*BP171+BQ304*BQ171+BR304*BR171+BS304*BS171+BT304*BT171+BU304*BU171+BV304*BV171+BW304*BW171+BX304*BX171+BY304*BY171+BZ304*BZ171+CA304*CA171+CB304*CB171+CC304*CC171+CD304*CD171+CE304*CE171+CF304*CF171+CG304*CG171+CH304*CH171+CI304*CI171+CJ304*CJ171+CK304*CK171+CL304*CL171+CM304*CM171+CN304*CN171+CO304*CO171+CP304*CP171+CQ304*CQ171+CR304*CR171+CS304*CS171+CT304*CT171+CU304*CU171</f>
        <v>0</v>
      </c>
      <c r="DD171" s="2882">
        <f>E305*E171+F305*F171+G305*G171+H305*H171+I305*I171+J305*J171+K305*K171+L305*L171+M305*M171+N305*N171+O305*O171+P305*P171+Q305*Q171+R305*R171+S305*S171+T305*T171+U305*U171+V305*V171+W305*W171+X305*X171+Y305*Y171+Z305*Z171+AA305*AA171+AB305*AB171+AC305*AC171+AD305*AD171+AE305*AE171+AF305*AF171+AG305*AG171+AH305*AH171+AI305*AI171+AJ305*AJ171+AK305*AK171+AL305*AL171+AM305*AM171+AN305*AN171+AO305*AO171+AP305*AP171+AQ305*AQ171+AR305*AR171+AS305*AS171+AT305*AT171+AU305*AU171+AV305*AV171+AW305*AW171+AX305*AX171+AY305*AY171+AZ305*AZ171+BA305*BA171+BB305*BB171+BC305*BC171+BD305*BD171+BE305*BE171+BF305*BF171+BG305*BG171+BH305*BH171+BI305*BI171+BJ305*BJ171+BK305*BK171+BL305*BL171+BM305*BM171+BN305*BN171+BO305*BO171+BP305*BP171+BQ305*BQ171+BR305*BR171+BS305*BS171+BT305*BT171+BU305*BU171+BV305*BV171+BW305*BW171+BX305*BX171+BY305*BY171+BZ305*BZ171+CA305*CA171+CB305*CB171+CC305*CC171+CD305*CD171+CE305*CE171+CF305*CF171+CG305*CG171+CH305*CH171+CI305*CI171+CJ305*CJ171+CK305*CK171+CL305*CL171+CM305*CM171+CN305*CN171+CO305*CO171+CP305*CP171+CQ305*CQ171+CR305*CR171+CS305*CS171+CT305*CT171+CU305*CU171</f>
        <v>0</v>
      </c>
      <c r="DE171" s="2882">
        <f>E306*E171+F306*F171+G306*G171+H306*H171+I306*I171+J306*J171+K306*K171+L306*L171+M306*M171+N306*N171+O306*O171+P306*P171+Q306*Q171+R306*R171+S306*S171+T306*T171+U306*U171+V306*V171+W306*W171+X306*X171+Y306*Y171+Z306*Z171+AA306*AA171+AB306*AB171+AC306*AC171+AD306*AD171+AE306*AE171+AF306*AF171+AG306*AG171+AH306*AH171+AI306*AI171+AJ306*AJ171+AK306*AK171+AL306*AL171+AM306*AM171+AN306*AN171+AO306*AO171+AP306*AP171+AQ306*AQ171+AR306*AR171+AS306*AS171+AT306*AT171+AU306*AU171+AV306*AV171+AW306*AW171+AX306*AX171+AY306*AY171+AZ306*AZ171+BA306*BA171+BB306*BB171+BC306*BC171+BD306*BD171+BE306*BE171+BF306*BF171+BG306*BG171+BH306*BH171+BI306*BI171+BJ306*BJ171+BK306*BK171+BL306*BL171+BM306*BM171+BN306*BN171+BO306*BO171+BP306*BP171+BQ306*BQ171+BR306*BR171+BS306*BS171+BT306*BT171+BU306*BU171+BV306*BV171+BW306*BW171+BX306*BX171+BY306*BY171+BZ306*BZ171+CA306*CA171+CB306*CB171+CC306*CC171+CD306*CD171+CE306*CE171+CF306*CF171+CG306*CG171+CH306*CH171+CI306*CI171+CJ306*CJ171+CK306*CK171+CL306*CL171+CM306*CM171+CN306*CN171+CO306*CO171+CP306*CP171+CQ306*CQ171+CR306*CR171+CS306*CS171+CT306*CT171+CU306*CU171</f>
        <v>0</v>
      </c>
      <c r="DF171" s="2882">
        <f>E307*E171+F307*F171+G307*G171+H307*H171+I307*I171+J307*J171+K307*K171+L307*L171+M307*M171+N307*N171+O307*O171+P307*P171+Q307*Q171+R307*R171+S307*S171+T307*T171+U307*U171+V307*V171+W307*W171+X307*X171+Y307*Y171+Z307*Z171+AA307*AA171+AB307*AB171+AC307*AC171+AD307*AD171+AE307*AE171+AF307*AF171+AG307*AG171+AH307*AH171+AI307*AI171+AJ307*AJ171+AK307*AK171+AL307*AL171+AM307*AM171+AN307*AN171+AO307*AO171+AP307*AP171+AQ307*AQ171+AR307*AR171+AS307*AS171+AT307*AT171+AU307*AU171+AV307*AV171+AW307*AW171+AX307*AX171+AY307*AY171+AZ307*AZ171+BA307*BA171+BB307*BB171+BC307*BC171+BD307*BD171+BE307*BE171+BF307*BF171+BG307*BG171+BH307*BH171+BI307*BI171+BJ307*BJ171+BK307*BK171+BL307*BL171+BM307*BM171+BN307*BN171+BO307*BO171+BP307*BP171+BQ307*BQ171+BR307*BR171+BS307*BS171+BT307*BT171+BU307*BU171+BV307*BV171+BW307*BW171+BX307*BX171+BY307*BY171+BZ307*BZ171+CA307*CA171+CB307*CB171+CC307*CC171+CD307*CD171+CE307*CE171+CF307*CF171+CG307*CG171+CH307*CH171+CI307*CI171+CJ307*CJ171+CK307*CK171+CL307*CL171+CM307*CM171+CN307*CN171+CO307*CO171+CP307*CP171+CQ307*CQ171+CR307*CR171+CS307*CS171+CT307*CT171+CU307*CU171</f>
        <v>0</v>
      </c>
      <c r="DG171" s="2882">
        <f>E308*E171+F308*F171+G308*G171+H308*H171+I308*I171+J308*J171+K308*K171+L308*L171+M308*M171+N308*N171+O308*O171+P308*P171+Q308*Q171+R308*R171+S308*S171+T308*T171+U308*U171+V308*V171+W308*W171+X308*X171+Y308*Y171+Z308*Z171+AA308*AA171+AB308*AB171+AC308*AC171+AD308*AD171+AE308*AE171+AF308*AF171+AG308*AG171+AH308*AH171+AI308*AI171+AJ308*AJ171+AK308*AK171+AL308*AL171+AM308*AM171+AN308*AN171+AO308*AO171+AP308*AP171+AQ308*AQ171+AR308*AR171+AS308*AS171+AT308*AT171+AU308*AU171+AV308*AV171+AW308*AW171+AX308*AX171+AY308*AY171+AZ308*AZ171+BA308*BA171+BB308*BB171+BC308*BC171+BD308*BD171+BE308*BE171+BF308*BF171+BG308*BG171+BH308*BH171+BI308*BI171+BJ308*BJ171+BK308*BK171+BL308*BL171+BM308*BM171+BN308*BN171+BO308*BO171+BP308*BP171+BQ308*BQ171+BR308*BR171+BS308*BS171+BT308*BT171+BU308*BU171+BV308*BV171+BW308*BW171+BX308*BX171+BY308*BY171+BZ308*BZ171+CA308*CA171+CB308*CB171+CC308*CC171+CD308*CD171+CE308*CE171+CF308*CF171+CG308*CG171+CH308*CH171+CI308*CI171+CJ308*CJ171+CK308*CK171+CL308*CL171+CM308*CM171+CN308*CN171+CO308*CO171+CP308*CP171+CQ308*CQ171+CR308*CR171+CS308*CS171+CT308*CT171+CU308*CU171</f>
        <v>0</v>
      </c>
      <c r="DH171" s="2882">
        <f>E309*E171+F309*F171+G309*G171+H309*H171+I309*I171+J309*J171+K309*K171+L309*L171+M309*M171+N309*N171+O309*O171+P309*P171+Q309*Q171+R309*R171+S309*S171+T309*T171+U309*U171+V309*V171+W309*W171+X309*X171+Y309*Y171+Z309*Z171+AA309*AA171+AB309*AB171+AC309*AC171+AD309*AD171+AE309*AE171+AF309*AF171+AG309*AG171+AH309*AH171+AI309*AI171+AJ309*AJ171+AK309*AK171+AL309*AL171+AM309*AM171+AN309*AN171+AO309*AO171+AP309*AP171+AQ309*AQ171+AR309*AR171+AS309*AS171+AT309*AT171+AU309*AU171+AV309*AV171+AW309*AW171+AX309*AX171+AY309*AY171+AZ309*AZ171+BA309*BA171+BB309*BB171+BC309*BC171+BD309*BD171+BE309*BE171+BF309*BF171+BG309*BG171+BH309*BH171+BI309*BI171+BJ309*BJ171+BK309*BK171+BL309*BL171+BM309*BM171+BN309*BN171+BO309*BO171+BP309*BP171+BQ309*BQ171+BR309*BR171+BS309*BS171+BT309*BT171+BU309*BU171+BV309*BV171+BW309*BW171+BX309*BX171+BY309*BY171+BZ309*BZ171+CA309*CA171+CB309*CB171+CC309*CC171+CD309*CD171+CE309*CE171+CF309*CF171+CG309*CG171+CH309*CH171+CI309*CI171+CJ309*CJ171+CK309*CK171+CL309*CL171+CM309*CM171+CN309*CN171+CO309*CO171+CP309*CP171+CQ309*CQ171+CR309*CR171+CS309*CS171+CT309*CT171+CU309*CU171</f>
        <v>0</v>
      </c>
      <c r="DI171" s="2882">
        <f>E310*E171+F310*F171+G310*G171+H310*H171+I310*I171+J310*J171+K310*K171+L310*L171+M310*M171+N310*N171+O310*O171+P310*P171+Q310*Q171+R310*R171+S310*S171+T310*T171+U310*U171+V310*V171+W310*W171+X310*X171+Y310*Y171+Z310*Z171+AA310*AA171+AB310*AB171+AC310*AC171+AD310*AD171+AE310*AE171+AF310*AF171+AG310*AG171+AH310*AH171+AI310*AI171+AJ310*AJ171+AK310*AK171+AL310*AL171+AM310*AM171+AN310*AN171+AO310*AO171+AP310*AP171+AQ310*AQ171+AR310*AR171+AS310*AS171+AT310*AT171+AU310*AU171+AV310*AV171+AW310*AW171+AX310*AX171+AY310*AY171+AZ310*AZ171+BA310*BA171+BB310*BB171+BC310*BC171+BD310*BD171+BE310*BE171+BF310*BF171+BG310*BG171+BH310*BH171+BI310*BI171+BJ310*BJ171+BK310*BK171+BL310*BL171+BM310*BM171+BN310*BN171+BO310*BO171+BP310*BP171+BQ310*BQ171+BR310*BR171+BS310*BS171+BT310*BT171+BU310*BU171+BV310*BV171+BW310*BW171+BX310*BX171+BY310*BY171+BZ310*BZ171+CA310*CA171+CB310*CB171+CC310*CC171+CD310*CD171+CE310*CE171+CF310*CF171+CG310*CG171+CH310*CH171+CI310*CI171+CJ310*CJ171+CK310*CK171+CL310*CL171+CM310*CM171+CN310*CN171+CO310*CO171+CP310*CP171+CQ310*CQ171+CR310*CR171+CS310*CS171+CT310*CT171+CU310*CU171</f>
        <v>0</v>
      </c>
    </row>
    <row r="172" spans="2:113" ht="15.75" x14ac:dyDescent="0.55000000000000004">
      <c r="B172" s="433">
        <v>13</v>
      </c>
      <c r="C172" s="434" t="s">
        <v>236</v>
      </c>
      <c r="D172" s="759" t="s">
        <v>1661</v>
      </c>
      <c r="E172" s="725">
        <f>0</f>
        <v>0</v>
      </c>
      <c r="F172" s="725">
        <f>0</f>
        <v>0</v>
      </c>
      <c r="G172" s="724">
        <f>-1/Y_OHO_SMEOL_ox</f>
        <v>-2.5</v>
      </c>
      <c r="H172" s="725">
        <f>0</f>
        <v>0</v>
      </c>
      <c r="I172" s="725">
        <f>0</f>
        <v>0</v>
      </c>
      <c r="J172" s="725">
        <f>0</f>
        <v>0</v>
      </c>
      <c r="K172" s="725">
        <f>0</f>
        <v>0</v>
      </c>
      <c r="L172" s="725">
        <f>0</f>
        <v>0</v>
      </c>
      <c r="M172" s="725">
        <f>0</f>
        <v>0</v>
      </c>
      <c r="N172" s="725">
        <f>0</f>
        <v>0</v>
      </c>
      <c r="O172" s="725">
        <f>0</f>
        <v>0</v>
      </c>
      <c r="P172" s="725">
        <f>0</f>
        <v>0</v>
      </c>
      <c r="Q172" s="725">
        <f>1</f>
        <v>1</v>
      </c>
      <c r="R172" s="725">
        <f>0</f>
        <v>0</v>
      </c>
      <c r="S172" s="725">
        <f>0</f>
        <v>0</v>
      </c>
      <c r="T172" s="725">
        <f>0</f>
        <v>0</v>
      </c>
      <c r="U172" s="725">
        <f>0</f>
        <v>0</v>
      </c>
      <c r="V172" s="725">
        <f>0</f>
        <v>0</v>
      </c>
      <c r="W172" s="725">
        <f>0</f>
        <v>0</v>
      </c>
      <c r="X172" s="725">
        <f>0</f>
        <v>0</v>
      </c>
      <c r="Y172" s="725">
        <f>0</f>
        <v>0</v>
      </c>
      <c r="Z172" s="725">
        <f>0</f>
        <v>0</v>
      </c>
      <c r="AA172" s="725">
        <f>0</f>
        <v>0</v>
      </c>
      <c r="AB172" s="724">
        <f t="shared" si="0"/>
        <v>-7.0000000000000007E-2</v>
      </c>
      <c r="AC172" s="724">
        <f>0</f>
        <v>0</v>
      </c>
      <c r="AD172" s="725">
        <f>0</f>
        <v>0</v>
      </c>
      <c r="AE172" s="725">
        <f>0</f>
        <v>0</v>
      </c>
      <c r="AF172" s="725">
        <f>0</f>
        <v>0</v>
      </c>
      <c r="AG172" s="725">
        <f>0</f>
        <v>0</v>
      </c>
      <c r="AH172" s="725">
        <f>0</f>
        <v>0</v>
      </c>
      <c r="AI172" s="725">
        <f>0</f>
        <v>0</v>
      </c>
      <c r="AJ172" s="725">
        <f>0</f>
        <v>0</v>
      </c>
      <c r="AK172" s="725">
        <f>0</f>
        <v>0</v>
      </c>
      <c r="AL172" s="725">
        <f>0</f>
        <v>0</v>
      </c>
      <c r="AM172" s="724">
        <f t="shared" si="1"/>
        <v>-0.02</v>
      </c>
      <c r="AN172" s="725">
        <f>0</f>
        <v>0</v>
      </c>
      <c r="AO172" s="725">
        <f>0</f>
        <v>0</v>
      </c>
      <c r="AP172" s="725">
        <f>0</f>
        <v>0</v>
      </c>
      <c r="AQ172" s="725">
        <f>0</f>
        <v>0</v>
      </c>
      <c r="AR172" s="724">
        <f>-(1-Y_OHO_SMEOL_ox)/Y_OHO_SMEOL_ox</f>
        <v>-1.4999999999999998</v>
      </c>
      <c r="AS172" s="724">
        <f>0</f>
        <v>0</v>
      </c>
      <c r="AT172" s="724">
        <f>0</f>
        <v>0</v>
      </c>
      <c r="AU172" s="724">
        <f>i_CIT_MEOL/Y_OHO_SMEOL_ox-i_CIT_BIO</f>
        <v>0.27300000000000002</v>
      </c>
      <c r="AV172" s="724">
        <f t="shared" si="2"/>
        <v>0.11</v>
      </c>
      <c r="AW172" s="724">
        <f t="shared" si="3"/>
        <v>-2.8804303582798466E-2</v>
      </c>
      <c r="AX172" s="724">
        <f t="shared" si="4"/>
        <v>-7.0195696417201539E-2</v>
      </c>
      <c r="AY172" s="724">
        <f t="shared" si="5"/>
        <v>-5.5000000000000005E-3</v>
      </c>
      <c r="AZ172" s="724">
        <f t="shared" si="6"/>
        <v>-5.5000000000000005E-3</v>
      </c>
      <c r="BA172" s="724">
        <f>0</f>
        <v>0</v>
      </c>
      <c r="BB172" s="724">
        <f>0</f>
        <v>0</v>
      </c>
      <c r="BC172" s="2850">
        <f>-i_S_BIO</f>
        <v>-0.01</v>
      </c>
      <c r="BD172" s="724">
        <f>0</f>
        <v>0</v>
      </c>
      <c r="BE172" s="724">
        <f>0</f>
        <v>0</v>
      </c>
      <c r="BF172" s="724">
        <f>0</f>
        <v>0</v>
      </c>
      <c r="BG172" s="724">
        <f>0</f>
        <v>0</v>
      </c>
      <c r="BH172" s="724">
        <f>0</f>
        <v>0</v>
      </c>
      <c r="BI172" s="724">
        <f>0</f>
        <v>0</v>
      </c>
      <c r="BJ172" s="724">
        <f>0</f>
        <v>0</v>
      </c>
      <c r="BK172" s="724">
        <f>0</f>
        <v>0</v>
      </c>
      <c r="BL172" s="724">
        <f>0</f>
        <v>0</v>
      </c>
      <c r="BM172" s="724">
        <f>0</f>
        <v>0</v>
      </c>
      <c r="BN172" s="724">
        <f>0</f>
        <v>0</v>
      </c>
      <c r="BO172" s="724">
        <f>0</f>
        <v>0</v>
      </c>
      <c r="BP172" s="724">
        <f>0</f>
        <v>0</v>
      </c>
      <c r="BQ172" s="724">
        <f>0</f>
        <v>0</v>
      </c>
      <c r="BR172" s="724">
        <f>0</f>
        <v>0</v>
      </c>
      <c r="BS172" s="724">
        <f>0</f>
        <v>0</v>
      </c>
      <c r="BT172" s="724">
        <f>0</f>
        <v>0</v>
      </c>
      <c r="BU172" s="724">
        <f>0</f>
        <v>0</v>
      </c>
      <c r="BV172" s="887">
        <f>0</f>
        <v>0</v>
      </c>
      <c r="BW172" s="724">
        <f>0</f>
        <v>0</v>
      </c>
      <c r="BX172" s="724">
        <f>0</f>
        <v>0</v>
      </c>
      <c r="BY172" s="724">
        <f>0</f>
        <v>0</v>
      </c>
      <c r="BZ172" s="724">
        <f>0</f>
        <v>0</v>
      </c>
      <c r="CA172" s="887">
        <f>0</f>
        <v>0</v>
      </c>
      <c r="CB172" s="724">
        <f>0</f>
        <v>0</v>
      </c>
      <c r="CC172" s="724">
        <f>0</f>
        <v>0</v>
      </c>
      <c r="CD172" s="724">
        <f>0</f>
        <v>0</v>
      </c>
      <c r="CE172" s="724">
        <f>0</f>
        <v>0</v>
      </c>
      <c r="CF172" s="724">
        <f>0</f>
        <v>0</v>
      </c>
      <c r="CG172" s="724">
        <f>0</f>
        <v>0</v>
      </c>
      <c r="CH172" s="724">
        <f>0</f>
        <v>0</v>
      </c>
      <c r="CI172" s="724">
        <f>0</f>
        <v>0</v>
      </c>
      <c r="CJ172" s="724">
        <f>0</f>
        <v>0</v>
      </c>
      <c r="CK172" s="724">
        <f>0</f>
        <v>0</v>
      </c>
      <c r="CL172" s="724">
        <f>0</f>
        <v>0</v>
      </c>
      <c r="CM172" s="724">
        <f>0</f>
        <v>0</v>
      </c>
      <c r="CN172" s="724">
        <f>0</f>
        <v>0</v>
      </c>
      <c r="CO172" s="724">
        <f>0</f>
        <v>0</v>
      </c>
      <c r="CP172" s="724">
        <f>0</f>
        <v>0</v>
      </c>
      <c r="CQ172" s="724">
        <f>0</f>
        <v>0</v>
      </c>
      <c r="CR172" s="724">
        <f>0</f>
        <v>0</v>
      </c>
      <c r="CS172" s="724">
        <f>0</f>
        <v>0</v>
      </c>
      <c r="CT172" s="724">
        <f>0</f>
        <v>0</v>
      </c>
      <c r="CU172" s="724">
        <f>0</f>
        <v>0</v>
      </c>
      <c r="CV172" s="2856">
        <f>µ_OHO_T*X_OHO*M_satSMEOL_KMEOL_OHO*M_satSO2_KO2_OHO*M_satSNHx_KNHx_BIO*M_satSPO4_KPO4_BIO*M_satSCAT_KCAT*M_satSAN_KAN*M_satSCa_KCa*M_satSMg_KMg*B_ellinhpH</f>
        <v>1.8373026203867775E-46</v>
      </c>
      <c r="CX172" s="2880">
        <f>E299*E172+F299*F172+G299*G172+H299*H172+I299*I172+J299*J172+K299*K172+L299*L172+M299*M172+N299*N172+O299*O172+P299*P172+Q299*Q172+R299*R172+S299*S172+T299*T172+U299*U172+V299*V172+W299*W172+X299*X172+Y299*Y172+Z299*Z172+AA299*AA172+AB299*AB172+AC299*AC172+AD299*AD172+AE299*AE172+AF299*AF172+AG299*AG172+AH299*AH172+AI299*AI172+AJ299*AJ172+AK299*AK172+AL299*AL172+AM299*AM172+AN299*AN172+AO299*AO172+AP299*AP172+AQ299*AQ172+AR299*AR172+AS299*AS172+AT299*AT172+AU299*AU172+AV299*AV172+AW299*AW172+AX299*AX172+AY299*AY172+AZ299*AZ172+BA299*BA172+BB299*BB172+BC299*BC172+BD299*BD172+BE299*BE172+BF299*BF172+BG299*BG172+BH299*BH172+BI299*BI172+BJ299*BJ172+BK299*BK172+BL299*BL172+BM299*BM172+BN299*BN172+BO299*BO172+BP299*BP172+BQ299*BQ172+BR299*BR172+BS299*BS172+BT299*BT172+BU299*BU172+BV299*BV172+BW299*BW172+BX299*BX172+BY299*BY172+BZ299*BZ172+CA299*CA172+CB299*CB172+CC299*CC172+CD299*CD172+CE299*CE172+CF299*CF172+CG299*CG172+CH299*CH172+CI299*CI172+CJ299*CJ172+CK299*CK172+CL299*CL172+CM299*CM172+CN299*CN172+CO299*CO172+CP299*CP172+CQ299*CQ172+CR299*CR172+CS299*CS172+CT299*CT172+CU299*CU172</f>
        <v>-2.2204460492503131E-16</v>
      </c>
      <c r="CY172" s="2880">
        <f>E300*E172+F300*F172+G300*G172+H300*H172+I300*I172+J300*J172+K300*K172+L300*L172+M300*M172+N300*N172+O300*O172+P300*P172+Q300*Q172+R300*R172+S300*S172+T300*T172+U300*U172+V300*V172+W300*W172+X300*X172+Y300*Y172+Z300*Z172+AA300*AA172+AB300*AB172+AC300*AC172+AD300*AD172+AE300*AE172+AF300*AF172+AG300*AG172+AH300*AH172+AI300*AI172+AJ300*AJ172+AK300*AK172+AL300*AL172+AM300*AM172+AN300*AN172+AO300*AO172+AP300*AP172+AQ300*AQ172+AR300*AR172+AS300*AS172+AT300*AT172+AU300*AU172+AV300*AV172+AW300*AW172+AX300*AX172+AY300*AY172+AZ300*AZ172+BA300*BA172+BB300*BB172+BC300*BC172+BD300*BD172+BE300*BE172+BF300*BF172+BG300*BG172+BH300*BH172+BI300*BI172+BJ300*BJ172+BK300*BK172+BL300*BL172+BM300*BM172+BN300*BN172+BO300*BO172+BP300*BP172+BQ300*BQ172+BR300*BR172+BS300*BS172+BT300*BT172+BU300*BU172+BV300*BV172+BW300*BW172+BX300*BX172+BY300*BY172+BZ300*BZ172+CA300*CA172+CB300*CB172+CC300*CC172+CD300*CD172+CE300*CE172+CF300*CF172+CG300*CG172+CH300*CH172+CI300*CI172+CJ300*CJ172+CK300*CK172+CL300*CL172+CM300*CM172+CN300*CN172+CO300*CO172+CP300*CP172+CQ300*CQ172+CR300*CR172+CS300*CS172+CT300*CT172+CU300*CU172</f>
        <v>0</v>
      </c>
      <c r="CZ172" s="2881">
        <f>E301*E172+F301*F172+G301*G172+H301*H172+I301*I172+J301*J172+K301*K172+L301*L172+M301*M172+N301*N172+O301*O172+P301*P172+Q301*Q172+R301*R172+S301*S172+T301*T172+U301*U172+V301*V172+W301*W172+X301*X172+Y301*Y172+Z301*Z172+AA301*AA172+AB301*AB172+AC301*AC172+AD301*AD172+AE301*AE172+AF301*AF172+AG301*AG172+AH301*AH172+AI301*AI172+AJ301*AJ172+AK301*AK172+AL301*AL172+AM301*AM172+AN301*AN172+AO301*AO172+AP301*AP172+AQ301*AQ172+AR301*AR172+AS301*AS172+AT301*AT172+AU301*AU172+AV301*AV172+AW301*AW172+AX301*AX172+AY301*AY172+AZ301*AZ172+BA301*BA172+BB301*BB172+BC301*BC172+BD301*BD172+BE301*BE172+BF301*BF172+BG301*BG172+BH301*BH172+BI301*BI172+BJ301*BJ172+BK301*BK172+BL301*BL172+BM301*BM172+BN301*BN172+BO301*BO172+BP301*BP172+BQ301*BQ172+BR301*BR172+BS301*BS172+BT301*BT172+BU301*BU172+BV301*BV172+BW301*BW172+BX301*BX172+BY301*BY172+BZ301*BZ172+CA301*CA172+CB301*CB172+CC301*CC172+CD301*CD172+CE301*CE172+CF301*CF172+CG301*CG172+CH301*CH172+CI301*CI172+CJ301*CJ172+CK301*CK172+CL301*CL172+CM301*CM172+CN301*CN172+CO301*CO172+CP301*CP172+CQ301*CQ172+CR301*CR172+CS301*CS172+CT301*CT172+CU301*CU172</f>
        <v>0</v>
      </c>
      <c r="DA172" s="2882">
        <f>E302*E172+F302*F172+G302*G172+H302*H172+I302*I172+J302*J172+K302*K172+L302*L172+M302*M172+N302*N172+O302*O172+P302*P172+Q302*Q172+R302*R172+S302*S172+T302*T172+U302*U172+V302*V172+W302*W172+X302*X172+Y302*Y172+Z302*Z172+AA302*AA172+AB302*AB172+AC302*AC172+AD302*AD172+AE302*AE172+AF302*AF172+AG302*AG172+AH302*AH172+AI302*AI172+AJ302*AJ172+AK302*AK172+AL302*AL172+AM302*AM172+AN302*AN172+AO302*AO172+AP302*AP172+AQ302*AQ172+AR302*AR172+AS302*AS172+AT302*AT172+AU302*AU172+AV302*AV172+AW302*AW172+AX302*AX172+AY302*AY172+AZ302*AZ172+BA302*BA172+BB302*BB172+BC302*BC172+BD302*BD172+BE302*BE172+BF302*BF172+BG302*BG172+BH302*BH172+BI302*BI172+BJ302*BJ172+BK302*BK172+BL302*BL172+BM302*BM172+BN302*BN172+BO302*BO172+BP302*BP172+BQ302*BQ172+BR302*BR172+BS302*BS172+BT302*BT172+BU302*BU172+BV302*BV172+BW302*BW172+BX302*BX172+BY302*BY172+BZ302*BZ172+CA302*CA172+CB302*CB172+CC302*CC172+CD302*CD172+CE302*CE172+CF302*CF172+CG302*CG172+CH302*CH172+CI302*CI172+CJ302*CJ172+CK302*CK172+CL302*CL172+CM302*CM172+CN302*CN172+CO302*CO172+CP302*CP172+CQ302*CQ172+CR302*CR172+CS302*CS172+CT302*CT172+CU302*CU172</f>
        <v>0</v>
      </c>
      <c r="DB172" s="2882">
        <f>E303*E172+F303*F172+G303*G172+H303*H172+I303*I172+J303*J172+K303*K172+L303*L172+M303*M172+N303*N172+O303*O172+P303*P172+Q303*Q172+R303*R172+S303*S172+T303*T172+U303*U172+V303*V172+W303*W172+X303*X172+Y303*Y172+Z303*Z172+AA303*AA172+AB303*AB172+AC303*AC172+AD303*AD172+AE303*AE172+AF303*AF172+AG303*AG172+AH303*AH172+AI303*AI172+AJ303*AJ172+AK303*AK172+AL303*AL172+AM303*AM172+AN303*AN172+AO303*AO172+AP303*AP172+AQ303*AQ172+AR303*AR172+AS303*AS172+AT303*AT172+AU303*AU172+AV303*AV172+AW303*AW172+AX303*AX172+AY303*AY172+AZ303*AZ172+BA303*BA172+BB303*BB172+BC303*BC172+BD303*BD172+BE303*BE172+BF303*BF172+BG303*BG172+BH303*BH172+BI303*BI172+BJ303*BJ172+BK303*BK172+BL303*BL172+BM303*BM172+BN303*BN172+BO303*BO172+BP303*BP172+BQ303*BQ172+BR303*BR172+BS303*BS172+BT303*BT172+BU303*BU172+BV303*BV172+BW303*BW172+BX303*BX172+BY303*BY172+BZ303*BZ172+CA303*CA172+CB303*CB172+CC303*CC172+CD303*CD172+CE303*CE172+CF303*CF172+CG303*CG172+CH303*CH172+CI303*CI172+CJ303*CJ172+CK303*CK172+CL303*CL172+CM303*CM172+CN303*CN172+CO303*CO172+CP303*CP172+CQ303*CQ172+CR303*CR172+CS303*CS172+CT303*CT172+CU303*CU172</f>
        <v>0</v>
      </c>
      <c r="DC172" s="2882">
        <f>E304*E172+F304*F172+G304*G172+H304*H172+I304*I172+J304*J172+K304*K172+L304*L172+M304*M172+N304*N172+O304*O172+P304*P172+Q304*Q172+R304*R172+S304*S172+T304*T172+U304*U172+V304*V172+W304*W172+X304*X172+Y304*Y172+Z304*Z172+AA304*AA172+AB304*AB172+AC304*AC172+AD304*AD172+AE304*AE172+AF304*AF172+AG304*AG172+AH304*AH172+AI304*AI172+AJ304*AJ172+AK304*AK172+AL304*AL172+AM304*AM172+AN304*AN172+AO304*AO172+AP304*AP172+AQ304*AQ172+AR304*AR172+AS304*AS172+AT304*AT172+AU304*AU172+AV304*AV172+AW304*AW172+AX304*AX172+AY304*AY172+AZ304*AZ172+BA304*BA172+BB304*BB172+BC304*BC172+BD304*BD172+BE304*BE172+BF304*BF172+BG304*BG172+BH304*BH172+BI304*BI172+BJ304*BJ172+BK304*BK172+BL304*BL172+BM304*BM172+BN304*BN172+BO304*BO172+BP304*BP172+BQ304*BQ172+BR304*BR172+BS304*BS172+BT304*BT172+BU304*BU172+BV304*BV172+BW304*BW172+BX304*BX172+BY304*BY172+BZ304*BZ172+CA304*CA172+CB304*CB172+CC304*CC172+CD304*CD172+CE304*CE172+CF304*CF172+CG304*CG172+CH304*CH172+CI304*CI172+CJ304*CJ172+CK304*CK172+CL304*CL172+CM304*CM172+CN304*CN172+CO304*CO172+CP304*CP172+CQ304*CQ172+CR304*CR172+CS304*CS172+CT304*CT172+CU304*CU172</f>
        <v>0</v>
      </c>
      <c r="DD172" s="2882">
        <f>E305*E172+F305*F172+G305*G172+H305*H172+I305*I172+J305*J172+K305*K172+L305*L172+M305*M172+N305*N172+O305*O172+P305*P172+Q305*Q172+R305*R172+S305*S172+T305*T172+U305*U172+V305*V172+W305*W172+X305*X172+Y305*Y172+Z305*Z172+AA305*AA172+AB305*AB172+AC305*AC172+AD305*AD172+AE305*AE172+AF305*AF172+AG305*AG172+AH305*AH172+AI305*AI172+AJ305*AJ172+AK305*AK172+AL305*AL172+AM305*AM172+AN305*AN172+AO305*AO172+AP305*AP172+AQ305*AQ172+AR305*AR172+AS305*AS172+AT305*AT172+AU305*AU172+AV305*AV172+AW305*AW172+AX305*AX172+AY305*AY172+AZ305*AZ172+BA305*BA172+BB305*BB172+BC305*BC172+BD305*BD172+BE305*BE172+BF305*BF172+BG305*BG172+BH305*BH172+BI305*BI172+BJ305*BJ172+BK305*BK172+BL305*BL172+BM305*BM172+BN305*BN172+BO305*BO172+BP305*BP172+BQ305*BQ172+BR305*BR172+BS305*BS172+BT305*BT172+BU305*BU172+BV305*BV172+BW305*BW172+BX305*BX172+BY305*BY172+BZ305*BZ172+CA305*CA172+CB305*CB172+CC305*CC172+CD305*CD172+CE305*CE172+CF305*CF172+CG305*CG172+CH305*CH172+CI305*CI172+CJ305*CJ172+CK305*CK172+CL305*CL172+CM305*CM172+CN305*CN172+CO305*CO172+CP305*CP172+CQ305*CQ172+CR305*CR172+CS305*CS172+CT305*CT172+CU305*CU172</f>
        <v>0</v>
      </c>
      <c r="DE172" s="2882">
        <f>E306*E172+F306*F172+G306*G172+H306*H172+I306*I172+J306*J172+K306*K172+L306*L172+M306*M172+N306*N172+O306*O172+P306*P172+Q306*Q172+R306*R172+S306*S172+T306*T172+U306*U172+V306*V172+W306*W172+X306*X172+Y306*Y172+Z306*Z172+AA306*AA172+AB306*AB172+AC306*AC172+AD306*AD172+AE306*AE172+AF306*AF172+AG306*AG172+AH306*AH172+AI306*AI172+AJ306*AJ172+AK306*AK172+AL306*AL172+AM306*AM172+AN306*AN172+AO306*AO172+AP306*AP172+AQ306*AQ172+AR306*AR172+AS306*AS172+AT306*AT172+AU306*AU172+AV306*AV172+AW306*AW172+AX306*AX172+AY306*AY172+AZ306*AZ172+BA306*BA172+BB306*BB172+BC306*BC172+BD306*BD172+BE306*BE172+BF306*BF172+BG306*BG172+BH306*BH172+BI306*BI172+BJ306*BJ172+BK306*BK172+BL306*BL172+BM306*BM172+BN306*BN172+BO306*BO172+BP306*BP172+BQ306*BQ172+BR306*BR172+BS306*BS172+BT306*BT172+BU306*BU172+BV306*BV172+BW306*BW172+BX306*BX172+BY306*BY172+BZ306*BZ172+CA306*CA172+CB306*CB172+CC306*CC172+CD306*CD172+CE306*CE172+CF306*CF172+CG306*CG172+CH306*CH172+CI306*CI172+CJ306*CJ172+CK306*CK172+CL306*CL172+CM306*CM172+CN306*CN172+CO306*CO172+CP306*CP172+CQ306*CQ172+CR306*CR172+CS306*CS172+CT306*CT172+CU306*CU172</f>
        <v>0</v>
      </c>
      <c r="DF172" s="2882">
        <f>E307*E172+F307*F172+G307*G172+H307*H172+I307*I172+J307*J172+K307*K172+L307*L172+M307*M172+N307*N172+O307*O172+P307*P172+Q307*Q172+R307*R172+S307*S172+T307*T172+U307*U172+V307*V172+W307*W172+X307*X172+Y307*Y172+Z307*Z172+AA307*AA172+AB307*AB172+AC307*AC172+AD307*AD172+AE307*AE172+AF307*AF172+AG307*AG172+AH307*AH172+AI307*AI172+AJ307*AJ172+AK307*AK172+AL307*AL172+AM307*AM172+AN307*AN172+AO307*AO172+AP307*AP172+AQ307*AQ172+AR307*AR172+AS307*AS172+AT307*AT172+AU307*AU172+AV307*AV172+AW307*AW172+AX307*AX172+AY307*AY172+AZ307*AZ172+BA307*BA172+BB307*BB172+BC307*BC172+BD307*BD172+BE307*BE172+BF307*BF172+BG307*BG172+BH307*BH172+BI307*BI172+BJ307*BJ172+BK307*BK172+BL307*BL172+BM307*BM172+BN307*BN172+BO307*BO172+BP307*BP172+BQ307*BQ172+BR307*BR172+BS307*BS172+BT307*BT172+BU307*BU172+BV307*BV172+BW307*BW172+BX307*BX172+BY307*BY172+BZ307*BZ172+CA307*CA172+CB307*CB172+CC307*CC172+CD307*CD172+CE307*CE172+CF307*CF172+CG307*CG172+CH307*CH172+CI307*CI172+CJ307*CJ172+CK307*CK172+CL307*CL172+CM307*CM172+CN307*CN172+CO307*CO172+CP307*CP172+CQ307*CQ172+CR307*CR172+CS307*CS172+CT307*CT172+CU307*CU172</f>
        <v>0</v>
      </c>
      <c r="DG172" s="2882">
        <f>E308*E172+F308*F172+G308*G172+H308*H172+I308*I172+J308*J172+K308*K172+L308*L172+M308*M172+N308*N172+O308*O172+P308*P172+Q308*Q172+R308*R172+S308*S172+T308*T172+U308*U172+V308*V172+W308*W172+X308*X172+Y308*Y172+Z308*Z172+AA308*AA172+AB308*AB172+AC308*AC172+AD308*AD172+AE308*AE172+AF308*AF172+AG308*AG172+AH308*AH172+AI308*AI172+AJ308*AJ172+AK308*AK172+AL308*AL172+AM308*AM172+AN308*AN172+AO308*AO172+AP308*AP172+AQ308*AQ172+AR308*AR172+AS308*AS172+AT308*AT172+AU308*AU172+AV308*AV172+AW308*AW172+AX308*AX172+AY308*AY172+AZ308*AZ172+BA308*BA172+BB308*BB172+BC308*BC172+BD308*BD172+BE308*BE172+BF308*BF172+BG308*BG172+BH308*BH172+BI308*BI172+BJ308*BJ172+BK308*BK172+BL308*BL172+BM308*BM172+BN308*BN172+BO308*BO172+BP308*BP172+BQ308*BQ172+BR308*BR172+BS308*BS172+BT308*BT172+BU308*BU172+BV308*BV172+BW308*BW172+BX308*BX172+BY308*BY172+BZ308*BZ172+CA308*CA172+CB308*CB172+CC308*CC172+CD308*CD172+CE308*CE172+CF308*CF172+CG308*CG172+CH308*CH172+CI308*CI172+CJ308*CJ172+CK308*CK172+CL308*CL172+CM308*CM172+CN308*CN172+CO308*CO172+CP308*CP172+CQ308*CQ172+CR308*CR172+CS308*CS172+CT308*CT172+CU308*CU172</f>
        <v>0</v>
      </c>
      <c r="DH172" s="2882">
        <f>E309*E172+F309*F172+G309*G172+H309*H172+I309*I172+J309*J172+K309*K172+L309*L172+M309*M172+N309*N172+O309*O172+P309*P172+Q309*Q172+R309*R172+S309*S172+T309*T172+U309*U172+V309*V172+W309*W172+X309*X172+Y309*Y172+Z309*Z172+AA309*AA172+AB309*AB172+AC309*AC172+AD309*AD172+AE309*AE172+AF309*AF172+AG309*AG172+AH309*AH172+AI309*AI172+AJ309*AJ172+AK309*AK172+AL309*AL172+AM309*AM172+AN309*AN172+AO309*AO172+AP309*AP172+AQ309*AQ172+AR309*AR172+AS309*AS172+AT309*AT172+AU309*AU172+AV309*AV172+AW309*AW172+AX309*AX172+AY309*AY172+AZ309*AZ172+BA309*BA172+BB309*BB172+BC309*BC172+BD309*BD172+BE309*BE172+BF309*BF172+BG309*BG172+BH309*BH172+BI309*BI172+BJ309*BJ172+BK309*BK172+BL309*BL172+BM309*BM172+BN309*BN172+BO309*BO172+BP309*BP172+BQ309*BQ172+BR309*BR172+BS309*BS172+BT309*BT172+BU309*BU172+BV309*BV172+BW309*BW172+BX309*BX172+BY309*BY172+BZ309*BZ172+CA309*CA172+CB309*CB172+CC309*CC172+CD309*CD172+CE309*CE172+CF309*CF172+CG309*CG172+CH309*CH172+CI309*CI172+CJ309*CJ172+CK309*CK172+CL309*CL172+CM309*CM172+CN309*CN172+CO309*CO172+CP309*CP172+CQ309*CQ172+CR309*CR172+CS309*CS172+CT309*CT172+CU309*CU172</f>
        <v>0</v>
      </c>
      <c r="DI172" s="2882">
        <f>E310*E172+F310*F172+G310*G172+H310*H172+I310*I172+J310*J172+K310*K172+L310*L172+M310*M172+N310*N172+O310*O172+P310*P172+Q310*Q172+R310*R172+S310*S172+T310*T172+U310*U172+V310*V172+W310*W172+X310*X172+Y310*Y172+Z310*Z172+AA310*AA172+AB310*AB172+AC310*AC172+AD310*AD172+AE310*AE172+AF310*AF172+AG310*AG172+AH310*AH172+AI310*AI172+AJ310*AJ172+AK310*AK172+AL310*AL172+AM310*AM172+AN310*AN172+AO310*AO172+AP310*AP172+AQ310*AQ172+AR310*AR172+AS310*AS172+AT310*AT172+AU310*AU172+AV310*AV172+AW310*AW172+AX310*AX172+AY310*AY172+AZ310*AZ172+BA310*BA172+BB310*BB172+BC310*BC172+BD310*BD172+BE310*BE172+BF310*BF172+BG310*BG172+BH310*BH172+BI310*BI172+BJ310*BJ172+BK310*BK172+BL310*BL172+BM310*BM172+BN310*BN172+BO310*BO172+BP310*BP172+BQ310*BQ172+BR310*BR172+BS310*BS172+BT310*BT172+BU310*BU172+BV310*BV172+BW310*BW172+BX310*BX172+BY310*BY172+BZ310*BZ172+CA310*CA172+CB310*CB172+CC310*CC172+CD310*CD172+CE310*CE172+CF310*CF172+CG310*CG172+CH310*CH172+CI310*CI172+CJ310*CJ172+CK310*CK172+CL310*CL172+CM310*CM172+CN310*CN172+CO310*CO172+CP310*CP172+CQ310*CQ172+CR310*CR172+CS310*CS172+CT310*CT172+CU310*CU172</f>
        <v>0</v>
      </c>
    </row>
    <row r="173" spans="2:113" x14ac:dyDescent="0.45">
      <c r="B173" s="433">
        <v>14</v>
      </c>
      <c r="C173" s="434" t="s">
        <v>237</v>
      </c>
      <c r="D173" s="759" t="s">
        <v>289</v>
      </c>
      <c r="E173" s="725">
        <f>0</f>
        <v>0</v>
      </c>
      <c r="F173" s="725">
        <f>0</f>
        <v>0</v>
      </c>
      <c r="G173" s="725">
        <f>0</f>
        <v>0</v>
      </c>
      <c r="H173" s="725">
        <f>0</f>
        <v>0</v>
      </c>
      <c r="I173" s="725">
        <f>1-f_E</f>
        <v>0.92</v>
      </c>
      <c r="J173" s="725">
        <f>0</f>
        <v>0</v>
      </c>
      <c r="K173" s="725">
        <f>0</f>
        <v>0</v>
      </c>
      <c r="L173" s="725">
        <f>0</f>
        <v>0</v>
      </c>
      <c r="M173" s="725">
        <f>0</f>
        <v>0</v>
      </c>
      <c r="N173" s="725">
        <f>0</f>
        <v>0</v>
      </c>
      <c r="O173" s="725">
        <f>f_E</f>
        <v>0.08</v>
      </c>
      <c r="P173" s="725">
        <f>0</f>
        <v>0</v>
      </c>
      <c r="Q173" s="725">
        <f>-1</f>
        <v>-1</v>
      </c>
      <c r="R173" s="725">
        <f>0</f>
        <v>0</v>
      </c>
      <c r="S173" s="725">
        <f>0</f>
        <v>0</v>
      </c>
      <c r="T173" s="725">
        <f>0</f>
        <v>0</v>
      </c>
      <c r="U173" s="725">
        <f>0</f>
        <v>0</v>
      </c>
      <c r="V173" s="725">
        <f>0</f>
        <v>0</v>
      </c>
      <c r="W173" s="725">
        <f>0</f>
        <v>0</v>
      </c>
      <c r="X173" s="725">
        <f>0</f>
        <v>0</v>
      </c>
      <c r="Y173" s="725">
        <f>0</f>
        <v>0</v>
      </c>
      <c r="Z173" s="725">
        <f>0</f>
        <v>0</v>
      </c>
      <c r="AA173" s="725">
        <f>0</f>
        <v>0</v>
      </c>
      <c r="AB173" s="724">
        <f>-f_E*(i_N_XE-i_N_BIO)</f>
        <v>8.0000000000000069E-4</v>
      </c>
      <c r="AC173" s="724">
        <f>0</f>
        <v>0</v>
      </c>
      <c r="AD173" s="725">
        <f>0</f>
        <v>0</v>
      </c>
      <c r="AE173" s="725">
        <f>0</f>
        <v>0</v>
      </c>
      <c r="AF173" s="725">
        <f>0</f>
        <v>0</v>
      </c>
      <c r="AG173" s="725">
        <f>0</f>
        <v>0</v>
      </c>
      <c r="AH173" s="725">
        <f>0</f>
        <v>0</v>
      </c>
      <c r="AI173" s="725">
        <f>0</f>
        <v>0</v>
      </c>
      <c r="AJ173" s="725">
        <f>0</f>
        <v>0</v>
      </c>
      <c r="AK173" s="725">
        <f>(1-f_E)*i_N_BIO</f>
        <v>6.4400000000000013E-2</v>
      </c>
      <c r="AL173" s="725">
        <f>0</f>
        <v>0</v>
      </c>
      <c r="AM173" s="725">
        <f>0</f>
        <v>0</v>
      </c>
      <c r="AN173" s="725">
        <f>0</f>
        <v>0</v>
      </c>
      <c r="AO173" s="725">
        <f>0</f>
        <v>0</v>
      </c>
      <c r="AP173" s="725">
        <f>(1-f_E)*i_P_BIO</f>
        <v>1.84E-2</v>
      </c>
      <c r="AQ173" s="725">
        <f>0</f>
        <v>0</v>
      </c>
      <c r="AR173" s="725">
        <f>0</f>
        <v>0</v>
      </c>
      <c r="AS173" s="725">
        <f>0</f>
        <v>0</v>
      </c>
      <c r="AT173" s="725">
        <f>0</f>
        <v>0</v>
      </c>
      <c r="AU173" s="725">
        <f>(1-f_E)*(i_CIT_BIO-i_CIT_SB)</f>
        <v>6.0720000000000003E-2</v>
      </c>
      <c r="AV173" s="725">
        <f>-i_INORG</f>
        <v>-0.11</v>
      </c>
      <c r="AW173" s="724">
        <f>i_INORG*(1-i_Ca_INORG*(A_MCa+2*A_MCl)/A_MCa-i_Mg_INORG*(A_MMg+2*A_MCl)/A_MMg)*f_Na</f>
        <v>2.8804303582798466E-2</v>
      </c>
      <c r="AX173" s="724">
        <f>i_INORG*(i_Ca_INORG*(2*A_MCl)/A_MCa+i_Mg_INORG*(2*A_MCl)/A_MMg)+i_INORG*(1-i_Ca_INORG*(A_MCa+2*A_MCl)/A_MCa-i_Mg_INORG*(A_MMg+2*A_MCl)/A_MMg)*(1-f_Na)</f>
        <v>7.0195696417201539E-2</v>
      </c>
      <c r="AY173" s="724">
        <f>i_INORG*i_Ca_INORG</f>
        <v>5.5000000000000005E-3</v>
      </c>
      <c r="AZ173" s="724">
        <f>i_INORG*i_Mg_INORG</f>
        <v>5.5000000000000005E-3</v>
      </c>
      <c r="BA173" s="724">
        <f>0</f>
        <v>0</v>
      </c>
      <c r="BB173" s="724">
        <f>0</f>
        <v>0</v>
      </c>
      <c r="BC173" s="724">
        <f>(1-f_E)*i_S_BIO-(1-f_E)*i_S_XB</f>
        <v>7.8200000000000006E-3</v>
      </c>
      <c r="BD173" s="724">
        <f>0</f>
        <v>0</v>
      </c>
      <c r="BE173" s="724">
        <f>0</f>
        <v>0</v>
      </c>
      <c r="BF173" s="724">
        <f>0</f>
        <v>0</v>
      </c>
      <c r="BG173" s="724">
        <f>0</f>
        <v>0</v>
      </c>
      <c r="BH173" s="724">
        <f>0</f>
        <v>0</v>
      </c>
      <c r="BI173" s="724">
        <f>0</f>
        <v>0</v>
      </c>
      <c r="BJ173" s="724">
        <f>0</f>
        <v>0</v>
      </c>
      <c r="BK173" s="724">
        <f>0</f>
        <v>0</v>
      </c>
      <c r="BL173" s="724">
        <f>0</f>
        <v>0</v>
      </c>
      <c r="BM173" s="724">
        <f>0</f>
        <v>0</v>
      </c>
      <c r="BN173" s="724">
        <f>0</f>
        <v>0</v>
      </c>
      <c r="BO173" s="724">
        <f>0</f>
        <v>0</v>
      </c>
      <c r="BP173" s="724">
        <f>0</f>
        <v>0</v>
      </c>
      <c r="BQ173" s="724">
        <f>0</f>
        <v>0</v>
      </c>
      <c r="BR173" s="724">
        <f>0</f>
        <v>0</v>
      </c>
      <c r="BS173" s="724">
        <f>0</f>
        <v>0</v>
      </c>
      <c r="BT173" s="724">
        <f>0</f>
        <v>0</v>
      </c>
      <c r="BU173" s="724">
        <f>0</f>
        <v>0</v>
      </c>
      <c r="BV173" s="887">
        <f>0</f>
        <v>0</v>
      </c>
      <c r="BW173" s="724">
        <f>0</f>
        <v>0</v>
      </c>
      <c r="BX173" s="724">
        <f>0</f>
        <v>0</v>
      </c>
      <c r="BY173" s="724">
        <f>0</f>
        <v>0</v>
      </c>
      <c r="BZ173" s="724">
        <f>0</f>
        <v>0</v>
      </c>
      <c r="CA173" s="887">
        <f>0</f>
        <v>0</v>
      </c>
      <c r="CB173" s="724">
        <f>0</f>
        <v>0</v>
      </c>
      <c r="CC173" s="724">
        <f>0</f>
        <v>0</v>
      </c>
      <c r="CD173" s="724">
        <f>0</f>
        <v>0</v>
      </c>
      <c r="CE173" s="724">
        <f>0</f>
        <v>0</v>
      </c>
      <c r="CF173" s="724">
        <f>0</f>
        <v>0</v>
      </c>
      <c r="CG173" s="724">
        <f>0</f>
        <v>0</v>
      </c>
      <c r="CH173" s="724">
        <f>0</f>
        <v>0</v>
      </c>
      <c r="CI173" s="724">
        <f>0</f>
        <v>0</v>
      </c>
      <c r="CJ173" s="724">
        <f>0</f>
        <v>0</v>
      </c>
      <c r="CK173" s="724">
        <f>0</f>
        <v>0</v>
      </c>
      <c r="CL173" s="724">
        <f>0</f>
        <v>0</v>
      </c>
      <c r="CM173" s="724">
        <f>0</f>
        <v>0</v>
      </c>
      <c r="CN173" s="724">
        <f>0</f>
        <v>0</v>
      </c>
      <c r="CO173" s="724">
        <f>0</f>
        <v>0</v>
      </c>
      <c r="CP173" s="724">
        <f>0</f>
        <v>0</v>
      </c>
      <c r="CQ173" s="724">
        <f>0</f>
        <v>0</v>
      </c>
      <c r="CR173" s="724">
        <f>0</f>
        <v>0</v>
      </c>
      <c r="CS173" s="724">
        <f>0</f>
        <v>0</v>
      </c>
      <c r="CT173" s="724">
        <f>0</f>
        <v>0</v>
      </c>
      <c r="CU173" s="724">
        <f>0</f>
        <v>0</v>
      </c>
      <c r="CV173" s="2856">
        <f>b_OHO_T*X_OHO*(M_satSO2_KO2_OHO+η_b_anox*M_satSNO2_KNO2_OHO*M_inhSO2_KO2_OHO+η_b_anox*M_satSNO3_KNO3_OHO*M_inhSNO2_KNO2_OHO*M_inhSO2_KO2_OHO)</f>
        <v>298.90876565295167</v>
      </c>
      <c r="CX173" s="2880">
        <f>E299*E173+F299*F173+G299*G173+H299*H173+I299*I173+J299*J173+K299*K173+L299*L173+M299*M173+N299*N173+O299*O173+P299*P173+Q299*Q173+R299*R173+S299*S173+T299*T173+U299*U173+V299*V173+W299*W173+X299*X173+Y299*Y173+Z299*Z173+AA299*AA173+AB299*AB173+AC299*AC173+AD299*AD173+AE299*AE173+AF299*AF173+AG299*AG173+AH299*AH173+AI299*AI173+AJ299*AJ173+AK299*AK173+AL299*AL173+AM299*AM173+AN299*AN173+AO299*AO173+AP299*AP173+AQ299*AQ173+AR299*AR173+AS299*AS173+AT299*AT173+AU299*AU173+AV299*AV173+AW299*AW173+AX299*AX173+AY299*AY173+AZ299*AZ173+BA299*BA173+BB299*BB173+BC299*BC173+BD299*BD173+BE299*BE173+BF299*BF173+BG299*BG173+BH299*BH173+BI299*BI173+BJ299*BJ173+BK299*BK173+BL299*BL173+BM299*BM173+BN299*BN173+BO299*BO173+BP299*BP173+BQ299*BQ173+BR299*BR173+BS299*BS173+BT299*BT173+BU299*BU173+BV299*BV173+BW299*BW173+BX299*BX173+BY299*BY173+BZ299*BZ173+CA299*CA173+CB299*CB173+CC299*CC173+CD299*CD173+CE299*CE173+CF299*CF173+CG299*CG173+CH299*CH173+CI299*CI173+CJ299*CJ173+CK299*CK173+CL299*CL173+CM299*CM173+CN299*CN173+CO299*CO173+CP299*CP173+CQ299*CQ173+CR299*CR173+CS299*CS173+CT299*CT173+CU299*CU173</f>
        <v>0</v>
      </c>
      <c r="CY173" s="2880">
        <f>E300*E173+F300*F173+G300*G173+H300*H173+I300*I173+J300*J173+K300*K173+L300*L173+M300*M173+N300*N173+O300*O173+P300*P173+Q300*Q173+R300*R173+S300*S173+T300*T173+U300*U173+V300*V173+W300*W173+X300*X173+Y300*Y173+Z300*Z173+AA300*AA173+AB300*AB173+AC300*AC173+AD300*AD173+AE300*AE173+AF300*AF173+AG300*AG173+AH300*AH173+AI300*AI173+AJ300*AJ173+AK300*AK173+AL300*AL173+AM300*AM173+AN300*AN173+AO300*AO173+AP300*AP173+AQ300*AQ173+AR300*AR173+AS300*AS173+AT300*AT173+AU300*AU173+AV300*AV173+AW300*AW173+AX300*AX173+AY300*AY173+AZ300*AZ173+BA300*BA173+BB300*BB173+BC300*BC173+BD300*BD173+BE300*BE173+BF300*BF173+BG300*BG173+BH300*BH173+BI300*BI173+BJ300*BJ173+BK300*BK173+BL300*BL173+BM300*BM173+BN300*BN173+BO300*BO173+BP300*BP173+BQ300*BQ173+BR300*BR173+BS300*BS173+BT300*BT173+BU300*BU173+BV300*BV173+BW300*BW173+BX300*BX173+BY300*BY173+BZ300*BZ173+CA300*CA173+CB300*CB173+CC300*CC173+CD300*CD173+CE300*CE173+CF300*CF173+CG300*CG173+CH300*CH173+CI300*CI173+CJ300*CJ173+CK300*CK173+CL300*CL173+CM300*CM173+CN300*CN173+CO300*CO173+CP300*CP173+CQ300*CQ173+CR300*CR173+CS300*CS173+CT300*CT173+CU300*CU173</f>
        <v>6.9388939039072284E-18</v>
      </c>
      <c r="CZ173" s="2881">
        <f>E301*E173+F301*F173+G301*G173+H301*H173+I301*I173+J301*J173+K301*K173+L301*L173+M301*M173+N301*N173+O301*O173+P301*P173+Q301*Q173+R301*R173+S301*S173+T301*T173+U301*U173+V301*V173+W301*W173+X301*X173+Y301*Y173+Z301*Z173+AA301*AA173+AB301*AB173+AC301*AC173+AD301*AD173+AE301*AE173+AF301*AF173+AG301*AG173+AH301*AH173+AI301*AI173+AJ301*AJ173+AK301*AK173+AL301*AL173+AM301*AM173+AN301*AN173+AO301*AO173+AP301*AP173+AQ301*AQ173+AR301*AR173+AS301*AS173+AT301*AT173+AU301*AU173+AV301*AV173+AW301*AW173+AX301*AX173+AY301*AY173+AZ301*AZ173+BA301*BA173+BB301*BB173+BC301*BC173+BD301*BD173+BE301*BE173+BF301*BF173+BG301*BG173+BH301*BH173+BI301*BI173+BJ301*BJ173+BK301*BK173+BL301*BL173+BM301*BM173+BN301*BN173+BO301*BO173+BP301*BP173+BQ301*BQ173+BR301*BR173+BS301*BS173+BT301*BT173+BU301*BU173+BV301*BV173+BW301*BW173+BX301*BX173+BY301*BY173+BZ301*BZ173+CA301*CA173+CB301*CB173+CC301*CC173+CD301*CD173+CE301*CE173+CF301*CF173+CG301*CG173+CH301*CH173+CI301*CI173+CJ301*CJ173+CK301*CK173+CL301*CL173+CM301*CM173+CN301*CN173+CO301*CO173+CP301*CP173+CQ301*CQ173+CR301*CR173+CS301*CS173+CT301*CT173+CU301*CU173</f>
        <v>0</v>
      </c>
      <c r="DA173" s="2882">
        <f>E302*E173+F302*F173+G302*G173+H302*H173+I302*I173+J302*J173+K302*K173+L302*L173+M302*M173+N302*N173+O302*O173+P302*P173+Q302*Q173+R302*R173+S302*S173+T302*T173+U302*U173+V302*V173+W302*W173+X302*X173+Y302*Y173+Z302*Z173+AA302*AA173+AB302*AB173+AC302*AC173+AD302*AD173+AE302*AE173+AF302*AF173+AG302*AG173+AH302*AH173+AI302*AI173+AJ302*AJ173+AK302*AK173+AL302*AL173+AM302*AM173+AN302*AN173+AO302*AO173+AP302*AP173+AQ302*AQ173+AR302*AR173+AS302*AS173+AT302*AT173+AU302*AU173+AV302*AV173+AW302*AW173+AX302*AX173+AY302*AY173+AZ302*AZ173+BA302*BA173+BB302*BB173+BC302*BC173+BD302*BD173+BE302*BE173+BF302*BF173+BG302*BG173+BH302*BH173+BI302*BI173+BJ302*BJ173+BK302*BK173+BL302*BL173+BM302*BM173+BN302*BN173+BO302*BO173+BP302*BP173+BQ302*BQ173+BR302*BR173+BS302*BS173+BT302*BT173+BU302*BU173+BV302*BV173+BW302*BW173+BX302*BX173+BY302*BY173+BZ302*BZ173+CA302*CA173+CB302*CB173+CC302*CC173+CD302*CD173+CE302*CE173+CF302*CF173+CG302*CG173+CH302*CH173+CI302*CI173+CJ302*CJ173+CK302*CK173+CL302*CL173+CM302*CM173+CN302*CN173+CO302*CO173+CP302*CP173+CQ302*CQ173+CR302*CR173+CS302*CS173+CT302*CT173+CU302*CU173</f>
        <v>0</v>
      </c>
      <c r="DB173" s="2882">
        <f>E303*E173+F303*F173+G303*G173+H303*H173+I303*I173+J303*J173+K303*K173+L303*L173+M303*M173+N303*N173+O303*O173+P303*P173+Q303*Q173+R303*R173+S303*S173+T303*T173+U303*U173+V303*V173+W303*W173+X303*X173+Y303*Y173+Z303*Z173+AA303*AA173+AB303*AB173+AC303*AC173+AD303*AD173+AE303*AE173+AF303*AF173+AG303*AG173+AH303*AH173+AI303*AI173+AJ303*AJ173+AK303*AK173+AL303*AL173+AM303*AM173+AN303*AN173+AO303*AO173+AP303*AP173+AQ303*AQ173+AR303*AR173+AS303*AS173+AT303*AT173+AU303*AU173+AV303*AV173+AW303*AW173+AX303*AX173+AY303*AY173+AZ303*AZ173+BA303*BA173+BB303*BB173+BC303*BC173+BD303*BD173+BE303*BE173+BF303*BF173+BG303*BG173+BH303*BH173+BI303*BI173+BJ303*BJ173+BK303*BK173+BL303*BL173+BM303*BM173+BN303*BN173+BO303*BO173+BP303*BP173+BQ303*BQ173+BR303*BR173+BS303*BS173+BT303*BT173+BU303*BU173+BV303*BV173+BW303*BW173+BX303*BX173+BY303*BY173+BZ303*BZ173+CA303*CA173+CB303*CB173+CC303*CC173+CD303*CD173+CE303*CE173+CF303*CF173+CG303*CG173+CH303*CH173+CI303*CI173+CJ303*CJ173+CK303*CK173+CL303*CL173+CM303*CM173+CN303*CN173+CO303*CO173+CP303*CP173+CQ303*CQ173+CR303*CR173+CS303*CS173+CT303*CT173+CU303*CU173</f>
        <v>0</v>
      </c>
      <c r="DC173" s="2882">
        <f>E304*E173+F304*F173+G304*G173+H304*H173+I304*I173+J304*J173+K304*K173+L304*L173+M304*M173+N304*N173+O304*O173+P304*P173+Q304*Q173+R304*R173+S304*S173+T304*T173+U304*U173+V304*V173+W304*W173+X304*X173+Y304*Y173+Z304*Z173+AA304*AA173+AB304*AB173+AC304*AC173+AD304*AD173+AE304*AE173+AF304*AF173+AG304*AG173+AH304*AH173+AI304*AI173+AJ304*AJ173+AK304*AK173+AL304*AL173+AM304*AM173+AN304*AN173+AO304*AO173+AP304*AP173+AQ304*AQ173+AR304*AR173+AS304*AS173+AT304*AT173+AU304*AU173+AV304*AV173+AW304*AW173+AX304*AX173+AY304*AY173+AZ304*AZ173+BA304*BA173+BB304*BB173+BC304*BC173+BD304*BD173+BE304*BE173+BF304*BF173+BG304*BG173+BH304*BH173+BI304*BI173+BJ304*BJ173+BK304*BK173+BL304*BL173+BM304*BM173+BN304*BN173+BO304*BO173+BP304*BP173+BQ304*BQ173+BR304*BR173+BS304*BS173+BT304*BT173+BU304*BU173+BV304*BV173+BW304*BW173+BX304*BX173+BY304*BY173+BZ304*BZ173+CA304*CA173+CB304*CB173+CC304*CC173+CD304*CD173+CE304*CE173+CF304*CF173+CG304*CG173+CH304*CH173+CI304*CI173+CJ304*CJ173+CK304*CK173+CL304*CL173+CM304*CM173+CN304*CN173+CO304*CO173+CP304*CP173+CQ304*CQ173+CR304*CR173+CS304*CS173+CT304*CT173+CU304*CU173</f>
        <v>0</v>
      </c>
      <c r="DD173" s="2882">
        <f>E305*E173+F305*F173+G305*G173+H305*H173+I305*I173+J305*J173+K305*K173+L305*L173+M305*M173+N305*N173+O305*O173+P305*P173+Q305*Q173+R305*R173+S305*S173+T305*T173+U305*U173+V305*V173+W305*W173+X305*X173+Y305*Y173+Z305*Z173+AA305*AA173+AB305*AB173+AC305*AC173+AD305*AD173+AE305*AE173+AF305*AF173+AG305*AG173+AH305*AH173+AI305*AI173+AJ305*AJ173+AK305*AK173+AL305*AL173+AM305*AM173+AN305*AN173+AO305*AO173+AP305*AP173+AQ305*AQ173+AR305*AR173+AS305*AS173+AT305*AT173+AU305*AU173+AV305*AV173+AW305*AW173+AX305*AX173+AY305*AY173+AZ305*AZ173+BA305*BA173+BB305*BB173+BC305*BC173+BD305*BD173+BE305*BE173+BF305*BF173+BG305*BG173+BH305*BH173+BI305*BI173+BJ305*BJ173+BK305*BK173+BL305*BL173+BM305*BM173+BN305*BN173+BO305*BO173+BP305*BP173+BQ305*BQ173+BR305*BR173+BS305*BS173+BT305*BT173+BU305*BU173+BV305*BV173+BW305*BW173+BX305*BX173+BY305*BY173+BZ305*BZ173+CA305*CA173+CB305*CB173+CC305*CC173+CD305*CD173+CE305*CE173+CF305*CF173+CG305*CG173+CH305*CH173+CI305*CI173+CJ305*CJ173+CK305*CK173+CL305*CL173+CM305*CM173+CN305*CN173+CO305*CO173+CP305*CP173+CQ305*CQ173+CR305*CR173+CS305*CS173+CT305*CT173+CU305*CU173</f>
        <v>0</v>
      </c>
      <c r="DE173" s="2882">
        <f>E306*E173+F306*F173+G306*G173+H306*H173+I306*I173+J306*J173+K306*K173+L306*L173+M306*M173+N306*N173+O306*O173+P306*P173+Q306*Q173+R306*R173+S306*S173+T306*T173+U306*U173+V306*V173+W306*W173+X306*X173+Y306*Y173+Z306*Z173+AA306*AA173+AB306*AB173+AC306*AC173+AD306*AD173+AE306*AE173+AF306*AF173+AG306*AG173+AH306*AH173+AI306*AI173+AJ306*AJ173+AK306*AK173+AL306*AL173+AM306*AM173+AN306*AN173+AO306*AO173+AP306*AP173+AQ306*AQ173+AR306*AR173+AS306*AS173+AT306*AT173+AU306*AU173+AV306*AV173+AW306*AW173+AX306*AX173+AY306*AY173+AZ306*AZ173+BA306*BA173+BB306*BB173+BC306*BC173+BD306*BD173+BE306*BE173+BF306*BF173+BG306*BG173+BH306*BH173+BI306*BI173+BJ306*BJ173+BK306*BK173+BL306*BL173+BM306*BM173+BN306*BN173+BO306*BO173+BP306*BP173+BQ306*BQ173+BR306*BR173+BS306*BS173+BT306*BT173+BU306*BU173+BV306*BV173+BW306*BW173+BX306*BX173+BY306*BY173+BZ306*BZ173+CA306*CA173+CB306*CB173+CC306*CC173+CD306*CD173+CE306*CE173+CF306*CF173+CG306*CG173+CH306*CH173+CI306*CI173+CJ306*CJ173+CK306*CK173+CL306*CL173+CM306*CM173+CN306*CN173+CO306*CO173+CP306*CP173+CQ306*CQ173+CR306*CR173+CS306*CS173+CT306*CT173+CU306*CU173</f>
        <v>0</v>
      </c>
      <c r="DF173" s="2882">
        <f>E307*E173+F307*F173+G307*G173+H307*H173+I307*I173+J307*J173+K307*K173+L307*L173+M307*M173+N307*N173+O307*O173+P307*P173+Q307*Q173+R307*R173+S307*S173+T307*T173+U307*U173+V307*V173+W307*W173+X307*X173+Y307*Y173+Z307*Z173+AA307*AA173+AB307*AB173+AC307*AC173+AD307*AD173+AE307*AE173+AF307*AF173+AG307*AG173+AH307*AH173+AI307*AI173+AJ307*AJ173+AK307*AK173+AL307*AL173+AM307*AM173+AN307*AN173+AO307*AO173+AP307*AP173+AQ307*AQ173+AR307*AR173+AS307*AS173+AT307*AT173+AU307*AU173+AV307*AV173+AW307*AW173+AX307*AX173+AY307*AY173+AZ307*AZ173+BA307*BA173+BB307*BB173+BC307*BC173+BD307*BD173+BE307*BE173+BF307*BF173+BG307*BG173+BH307*BH173+BI307*BI173+BJ307*BJ173+BK307*BK173+BL307*BL173+BM307*BM173+BN307*BN173+BO307*BO173+BP307*BP173+BQ307*BQ173+BR307*BR173+BS307*BS173+BT307*BT173+BU307*BU173+BV307*BV173+BW307*BW173+BX307*BX173+BY307*BY173+BZ307*BZ173+CA307*CA173+CB307*CB173+CC307*CC173+CD307*CD173+CE307*CE173+CF307*CF173+CG307*CG173+CH307*CH173+CI307*CI173+CJ307*CJ173+CK307*CK173+CL307*CL173+CM307*CM173+CN307*CN173+CO307*CO173+CP307*CP173+CQ307*CQ173+CR307*CR173+CS307*CS173+CT307*CT173+CU307*CU173</f>
        <v>0</v>
      </c>
      <c r="DG173" s="2882">
        <f>E308*E173+F308*F173+G308*G173+H308*H173+I308*I173+J308*J173+K308*K173+L308*L173+M308*M173+N308*N173+O308*O173+P308*P173+Q308*Q173+R308*R173+S308*S173+T308*T173+U308*U173+V308*V173+W308*W173+X308*X173+Y308*Y173+Z308*Z173+AA308*AA173+AB308*AB173+AC308*AC173+AD308*AD173+AE308*AE173+AF308*AF173+AG308*AG173+AH308*AH173+AI308*AI173+AJ308*AJ173+AK308*AK173+AL308*AL173+AM308*AM173+AN308*AN173+AO308*AO173+AP308*AP173+AQ308*AQ173+AR308*AR173+AS308*AS173+AT308*AT173+AU308*AU173+AV308*AV173+AW308*AW173+AX308*AX173+AY308*AY173+AZ308*AZ173+BA308*BA173+BB308*BB173+BC308*BC173+BD308*BD173+BE308*BE173+BF308*BF173+BG308*BG173+BH308*BH173+BI308*BI173+BJ308*BJ173+BK308*BK173+BL308*BL173+BM308*BM173+BN308*BN173+BO308*BO173+BP308*BP173+BQ308*BQ173+BR308*BR173+BS308*BS173+BT308*BT173+BU308*BU173+BV308*BV173+BW308*BW173+BX308*BX173+BY308*BY173+BZ308*BZ173+CA308*CA173+CB308*CB173+CC308*CC173+CD308*CD173+CE308*CE173+CF308*CF173+CG308*CG173+CH308*CH173+CI308*CI173+CJ308*CJ173+CK308*CK173+CL308*CL173+CM308*CM173+CN308*CN173+CO308*CO173+CP308*CP173+CQ308*CQ173+CR308*CR173+CS308*CS173+CT308*CT173+CU308*CU173</f>
        <v>0</v>
      </c>
      <c r="DH173" s="2882">
        <f>E309*E173+F309*F173+G309*G173+H309*H173+I309*I173+J309*J173+K309*K173+L309*L173+M309*M173+N309*N173+O309*O173+P309*P173+Q309*Q173+R309*R173+S309*S173+T309*T173+U309*U173+V309*V173+W309*W173+X309*X173+Y309*Y173+Z309*Z173+AA309*AA173+AB309*AB173+AC309*AC173+AD309*AD173+AE309*AE173+AF309*AF173+AG309*AG173+AH309*AH173+AI309*AI173+AJ309*AJ173+AK309*AK173+AL309*AL173+AM309*AM173+AN309*AN173+AO309*AO173+AP309*AP173+AQ309*AQ173+AR309*AR173+AS309*AS173+AT309*AT173+AU309*AU173+AV309*AV173+AW309*AW173+AX309*AX173+AY309*AY173+AZ309*AZ173+BA309*BA173+BB309*BB173+BC309*BC173+BD309*BD173+BE309*BE173+BF309*BF173+BG309*BG173+BH309*BH173+BI309*BI173+BJ309*BJ173+BK309*BK173+BL309*BL173+BM309*BM173+BN309*BN173+BO309*BO173+BP309*BP173+BQ309*BQ173+BR309*BR173+BS309*BS173+BT309*BT173+BU309*BU173+BV309*BV173+BW309*BW173+BX309*BX173+BY309*BY173+BZ309*BZ173+CA309*CA173+CB309*CB173+CC309*CC173+CD309*CD173+CE309*CE173+CF309*CF173+CG309*CG173+CH309*CH173+CI309*CI173+CJ309*CJ173+CK309*CK173+CL309*CL173+CM309*CM173+CN309*CN173+CO309*CO173+CP309*CP173+CQ309*CQ173+CR309*CR173+CS309*CS173+CT309*CT173+CU309*CU173</f>
        <v>0</v>
      </c>
      <c r="DI173" s="2882">
        <f>E310*E173+F310*F173+G310*G173+H310*H173+I310*I173+J310*J173+K310*K173+L310*L173+M310*M173+N310*N173+O310*O173+P310*P173+Q310*Q173+R310*R173+S310*S173+T310*T173+U310*U173+V310*V173+W310*W173+X310*X173+Y310*Y173+Z310*Z173+AA310*AA173+AB310*AB173+AC310*AC173+AD310*AD173+AE310*AE173+AF310*AF173+AG310*AG173+AH310*AH173+AI310*AI173+AJ310*AJ173+AK310*AK173+AL310*AL173+AM310*AM173+AN310*AN173+AO310*AO173+AP310*AP173+AQ310*AQ173+AR310*AR173+AS310*AS173+AT310*AT173+AU310*AU173+AV310*AV173+AW310*AW173+AX310*AX173+AY310*AY173+AZ310*AZ173+BA310*BA173+BB310*BB173+BC310*BC173+BD310*BD173+BE310*BE173+BF310*BF173+BG310*BG173+BH310*BH173+BI310*BI173+BJ310*BJ173+BK310*BK173+BL310*BL173+BM310*BM173+BN310*BN173+BO310*BO173+BP310*BP173+BQ310*BQ173+BR310*BR173+BS310*BS173+BT310*BT173+BU310*BU173+BV310*BV173+BW310*BW173+BX310*BX173+BY310*BY173+BZ310*BZ173+CA310*CA173+CB310*CB173+CC310*CC173+CD310*CD173+CE310*CE173+CF310*CF173+CG310*CG173+CH310*CH173+CI310*CI173+CJ310*CJ173+CK310*CK173+CL310*CL173+CM310*CM173+CN310*CN173+CO310*CO173+CP310*CP173+CQ310*CQ173+CR310*CR173+CS310*CS173+CT310*CT173+CU310*CU173</f>
        <v>0</v>
      </c>
    </row>
    <row r="174" spans="2:113" x14ac:dyDescent="0.45">
      <c r="B174" s="433">
        <v>15</v>
      </c>
      <c r="C174" s="434" t="s">
        <v>238</v>
      </c>
      <c r="D174" s="759" t="s">
        <v>3074</v>
      </c>
      <c r="E174" s="725">
        <f>0</f>
        <v>0</v>
      </c>
      <c r="F174" s="725">
        <f>0</f>
        <v>0</v>
      </c>
      <c r="G174" s="725">
        <f>0</f>
        <v>0</v>
      </c>
      <c r="H174" s="725">
        <f>0</f>
        <v>0</v>
      </c>
      <c r="I174" s="725">
        <f>1-f_E</f>
        <v>0.92</v>
      </c>
      <c r="J174" s="725">
        <f>0</f>
        <v>0</v>
      </c>
      <c r="K174" s="725">
        <f>0</f>
        <v>0</v>
      </c>
      <c r="L174" s="725">
        <f>0</f>
        <v>0</v>
      </c>
      <c r="M174" s="725">
        <f>0</f>
        <v>0</v>
      </c>
      <c r="N174" s="725">
        <f>0</f>
        <v>0</v>
      </c>
      <c r="O174" s="725">
        <f>0</f>
        <v>0</v>
      </c>
      <c r="P174" s="725">
        <f>f_E</f>
        <v>0.08</v>
      </c>
      <c r="Q174" s="725">
        <f>-1</f>
        <v>-1</v>
      </c>
      <c r="R174" s="725">
        <f>0</f>
        <v>0</v>
      </c>
      <c r="S174" s="725">
        <f>0</f>
        <v>0</v>
      </c>
      <c r="T174" s="725">
        <f>0</f>
        <v>0</v>
      </c>
      <c r="U174" s="725">
        <f>0</f>
        <v>0</v>
      </c>
      <c r="V174" s="725">
        <f>0</f>
        <v>0</v>
      </c>
      <c r="W174" s="725">
        <f>0</f>
        <v>0</v>
      </c>
      <c r="X174" s="725">
        <f>0</f>
        <v>0</v>
      </c>
      <c r="Y174" s="725">
        <f>0</f>
        <v>0</v>
      </c>
      <c r="Z174" s="725">
        <f>0</f>
        <v>0</v>
      </c>
      <c r="AA174" s="725">
        <f>0</f>
        <v>0</v>
      </c>
      <c r="AB174" s="724">
        <f>-f_E*(i_N_XE-i_N_BIO)</f>
        <v>8.0000000000000069E-4</v>
      </c>
      <c r="AC174" s="724">
        <f>0</f>
        <v>0</v>
      </c>
      <c r="AD174" s="725">
        <f>0</f>
        <v>0</v>
      </c>
      <c r="AE174" s="725">
        <f>0</f>
        <v>0</v>
      </c>
      <c r="AF174" s="725">
        <f>0</f>
        <v>0</v>
      </c>
      <c r="AG174" s="725">
        <f>0</f>
        <v>0</v>
      </c>
      <c r="AH174" s="725">
        <f>0</f>
        <v>0</v>
      </c>
      <c r="AI174" s="725">
        <f>0</f>
        <v>0</v>
      </c>
      <c r="AJ174" s="725">
        <f>0</f>
        <v>0</v>
      </c>
      <c r="AK174" s="725">
        <f>(1-f_E)*i_N_BIO</f>
        <v>6.4400000000000013E-2</v>
      </c>
      <c r="AL174" s="725">
        <f>0</f>
        <v>0</v>
      </c>
      <c r="AM174" s="725">
        <f>0</f>
        <v>0</v>
      </c>
      <c r="AN174" s="725">
        <f>0</f>
        <v>0</v>
      </c>
      <c r="AO174" s="725">
        <f>0</f>
        <v>0</v>
      </c>
      <c r="AP174" s="725">
        <f>(1-f_E)*i_P_BIO</f>
        <v>1.84E-2</v>
      </c>
      <c r="AQ174" s="725">
        <f>0</f>
        <v>0</v>
      </c>
      <c r="AR174" s="725">
        <f>0</f>
        <v>0</v>
      </c>
      <c r="AS174" s="725">
        <f>0</f>
        <v>0</v>
      </c>
      <c r="AT174" s="725">
        <f>0</f>
        <v>0</v>
      </c>
      <c r="AU174" s="725">
        <f>(1-f_E)*(i_CIT_BIO-i_CIT_SB)</f>
        <v>6.0720000000000003E-2</v>
      </c>
      <c r="AV174" s="725">
        <f>-i_INORG</f>
        <v>-0.11</v>
      </c>
      <c r="AW174" s="724">
        <f>i_INORG*(1-i_Ca_INORG*(A_MCa+2*A_MCl)/A_MCa-i_Mg_INORG*(A_MMg+2*A_MCl)/A_MMg)*f_Na</f>
        <v>2.8804303582798466E-2</v>
      </c>
      <c r="AX174" s="724">
        <f>i_INORG*(i_Ca_INORG*(2*A_MCl)/A_MCa+i_Mg_INORG*(2*A_MCl)/A_MMg)+i_INORG*(1-i_Ca_INORG*(A_MCa+2*A_MCl)/A_MCa-i_Mg_INORG*(A_MMg+2*A_MCl)/A_MMg)*(1-f_Na)</f>
        <v>7.0195696417201539E-2</v>
      </c>
      <c r="AY174" s="724">
        <f>i_INORG*i_Ca_INORG</f>
        <v>5.5000000000000005E-3</v>
      </c>
      <c r="AZ174" s="724">
        <f>i_INORG*i_Mg_INORG</f>
        <v>5.5000000000000005E-3</v>
      </c>
      <c r="BA174" s="724">
        <f>0</f>
        <v>0</v>
      </c>
      <c r="BB174" s="724">
        <f>0</f>
        <v>0</v>
      </c>
      <c r="BC174" s="724">
        <f>(1-f_E)*i_S_BIO-(1-f_E)*i_S_XB</f>
        <v>7.8200000000000006E-3</v>
      </c>
      <c r="BD174" s="724">
        <f>0</f>
        <v>0</v>
      </c>
      <c r="BE174" s="724">
        <f>0</f>
        <v>0</v>
      </c>
      <c r="BF174" s="724">
        <f>0</f>
        <v>0</v>
      </c>
      <c r="BG174" s="724">
        <f>0</f>
        <v>0</v>
      </c>
      <c r="BH174" s="724">
        <f>0</f>
        <v>0</v>
      </c>
      <c r="BI174" s="724">
        <f>0</f>
        <v>0</v>
      </c>
      <c r="BJ174" s="724">
        <f>0</f>
        <v>0</v>
      </c>
      <c r="BK174" s="724">
        <f>0</f>
        <v>0</v>
      </c>
      <c r="BL174" s="724">
        <f>0</f>
        <v>0</v>
      </c>
      <c r="BM174" s="724">
        <f>0</f>
        <v>0</v>
      </c>
      <c r="BN174" s="724">
        <f>0</f>
        <v>0</v>
      </c>
      <c r="BO174" s="724">
        <f>0</f>
        <v>0</v>
      </c>
      <c r="BP174" s="724">
        <f>0</f>
        <v>0</v>
      </c>
      <c r="BQ174" s="724">
        <f>0</f>
        <v>0</v>
      </c>
      <c r="BR174" s="724">
        <f>0</f>
        <v>0</v>
      </c>
      <c r="BS174" s="724">
        <f>0</f>
        <v>0</v>
      </c>
      <c r="BT174" s="724">
        <f>0</f>
        <v>0</v>
      </c>
      <c r="BU174" s="724">
        <f>0</f>
        <v>0</v>
      </c>
      <c r="BV174" s="887">
        <f>0</f>
        <v>0</v>
      </c>
      <c r="BW174" s="724">
        <f>0</f>
        <v>0</v>
      </c>
      <c r="BX174" s="724">
        <f>0</f>
        <v>0</v>
      </c>
      <c r="BY174" s="724">
        <f>0</f>
        <v>0</v>
      </c>
      <c r="BZ174" s="724">
        <f>0</f>
        <v>0</v>
      </c>
      <c r="CA174" s="887">
        <f>0</f>
        <v>0</v>
      </c>
      <c r="CB174" s="724">
        <f>0</f>
        <v>0</v>
      </c>
      <c r="CC174" s="724">
        <f>0</f>
        <v>0</v>
      </c>
      <c r="CD174" s="724">
        <f>0</f>
        <v>0</v>
      </c>
      <c r="CE174" s="724">
        <f>0</f>
        <v>0</v>
      </c>
      <c r="CF174" s="724">
        <f>0</f>
        <v>0</v>
      </c>
      <c r="CG174" s="724">
        <f>0</f>
        <v>0</v>
      </c>
      <c r="CH174" s="724">
        <f>0</f>
        <v>0</v>
      </c>
      <c r="CI174" s="724">
        <f>0</f>
        <v>0</v>
      </c>
      <c r="CJ174" s="724">
        <f>0</f>
        <v>0</v>
      </c>
      <c r="CK174" s="724">
        <f>0</f>
        <v>0</v>
      </c>
      <c r="CL174" s="724">
        <f>0</f>
        <v>0</v>
      </c>
      <c r="CM174" s="724">
        <f>0</f>
        <v>0</v>
      </c>
      <c r="CN174" s="724">
        <f>0</f>
        <v>0</v>
      </c>
      <c r="CO174" s="724">
        <f>0</f>
        <v>0</v>
      </c>
      <c r="CP174" s="724">
        <f>0</f>
        <v>0</v>
      </c>
      <c r="CQ174" s="724">
        <f>0</f>
        <v>0</v>
      </c>
      <c r="CR174" s="724">
        <f>0</f>
        <v>0</v>
      </c>
      <c r="CS174" s="724">
        <f>0</f>
        <v>0</v>
      </c>
      <c r="CT174" s="724">
        <f>0</f>
        <v>0</v>
      </c>
      <c r="CU174" s="724">
        <f>0</f>
        <v>0</v>
      </c>
      <c r="CV174" s="2856">
        <f>b_OHO_T*X_OHO*η_b_ana*M_inhSNO2_KNO2_OHO*M_inhSNO3_KNO3_OHO*M_inhSO2_KO2_OHO</f>
        <v>0.13864042933810375</v>
      </c>
      <c r="CX174" s="2880">
        <f>E299*E174+F299*F174+G299*G174+H299*H174+I299*I174+J299*J174+K299*K174+L299*L174+M299*M174+N299*N174+O299*O174+P299*P174+Q299*Q174+R299*R174+S299*S174+T299*T174+U299*U174+V299*V174+W299*W174+X299*X174+Y299*Y174+Z299*Z174+AA299*AA174+AB299*AB174+AC299*AC174+AD299*AD174+AE299*AE174+AF299*AF174+AG299*AG174+AH299*AH174+AI299*AI174+AJ299*AJ174+AK299*AK174+AL299*AL174+AM299*AM174+AN299*AN174+AO299*AO174+AP299*AP174+AQ299*AQ174+AR299*AR174+AS299*AS174+AT299*AT174+AU299*AU174+AV299*AV174+AW299*AW174+AX299*AX174+AY299*AY174+AZ299*AZ174+BA299*BA174+BB299*BB174+BC299*BC174+BD299*BD174+BE299*BE174+BF299*BF174+BG299*BG174+BH299*BH174+BI299*BI174+BJ299*BJ174+BK299*BK174+BL299*BL174+BM299*BM174+BN299*BN174+BO299*BO174+BP299*BP174+BQ299*BQ174+BR299*BR174+BS299*BS174+BT299*BT174+BU299*BU174+BV299*BV174+BW299*BW174+BX299*BX174+BY299*BY174+BZ299*BZ174+CA299*CA174+CB299*CB174+CC299*CC174+CD299*CD174+CE299*CE174+CF299*CF174+CG299*CG174+CH299*CH174+CI299*CI174+CJ299*CJ174+CK299*CK174+CL299*CL174+CM299*CM174+CN299*CN174+CO299*CO174+CP299*CP174+CQ299*CQ174+CR299*CR174+CS299*CS174+CT299*CT174+CU299*CU174</f>
        <v>0</v>
      </c>
      <c r="CY174" s="2880">
        <f>E300*E174+F300*F174+G300*G174+H300*H174+I300*I174+J300*J174+K300*K174+L300*L174+M300*M174+N300*N174+O300*O174+P300*P174+Q300*Q174+R300*R174+S300*S174+T300*T174+U300*U174+V300*V174+W300*W174+X300*X174+Y300*Y174+Z300*Z174+AA300*AA174+AB300*AB174+AC300*AC174+AD300*AD174+AE300*AE174+AF300*AF174+AG300*AG174+AH300*AH174+AI300*AI174+AJ300*AJ174+AK300*AK174+AL300*AL174+AM300*AM174+AN300*AN174+AO300*AO174+AP300*AP174+AQ300*AQ174+AR300*AR174+AS300*AS174+AT300*AT174+AU300*AU174+AV300*AV174+AW300*AW174+AX300*AX174+AY300*AY174+AZ300*AZ174+BA300*BA174+BB300*BB174+BC300*BC174+BD300*BD174+BE300*BE174+BF300*BF174+BG300*BG174+BH300*BH174+BI300*BI174+BJ300*BJ174+BK300*BK174+BL300*BL174+BM300*BM174+BN300*BN174+BO300*BO174+BP300*BP174+BQ300*BQ174+BR300*BR174+BS300*BS174+BT300*BT174+BU300*BU174+BV300*BV174+BW300*BW174+BX300*BX174+BY300*BY174+BZ300*BZ174+CA300*CA174+CB300*CB174+CC300*CC174+CD300*CD174+CE300*CE174+CF300*CF174+CG300*CG174+CH300*CH174+CI300*CI174+CJ300*CJ174+CK300*CK174+CL300*CL174+CM300*CM174+CN300*CN174+CO300*CO174+CP300*CP174+CQ300*CQ174+CR300*CR174+CS300*CS174+CT300*CT174+CU300*CU174</f>
        <v>6.9388939039072284E-18</v>
      </c>
      <c r="CZ174" s="2881">
        <f>E301*E174+F301*F174+G301*G174+H301*H174+I301*I174+J301*J174+K301*K174+L301*L174+M301*M174+N301*N174+O301*O174+P301*P174+Q301*Q174+R301*R174+S301*S174+T301*T174+U301*U174+V301*V174+W301*W174+X301*X174+Y301*Y174+Z301*Z174+AA301*AA174+AB301*AB174+AC301*AC174+AD301*AD174+AE301*AE174+AF301*AF174+AG301*AG174+AH301*AH174+AI301*AI174+AJ301*AJ174+AK301*AK174+AL301*AL174+AM301*AM174+AN301*AN174+AO301*AO174+AP301*AP174+AQ301*AQ174+AR301*AR174+AS301*AS174+AT301*AT174+AU301*AU174+AV301*AV174+AW301*AW174+AX301*AX174+AY301*AY174+AZ301*AZ174+BA301*BA174+BB301*BB174+BC301*BC174+BD301*BD174+BE301*BE174+BF301*BF174+BG301*BG174+BH301*BH174+BI301*BI174+BJ301*BJ174+BK301*BK174+BL301*BL174+BM301*BM174+BN301*BN174+BO301*BO174+BP301*BP174+BQ301*BQ174+BR301*BR174+BS301*BS174+BT301*BT174+BU301*BU174+BV301*BV174+BW301*BW174+BX301*BX174+BY301*BY174+BZ301*BZ174+CA301*CA174+CB301*CB174+CC301*CC174+CD301*CD174+CE301*CE174+CF301*CF174+CG301*CG174+CH301*CH174+CI301*CI174+CJ301*CJ174+CK301*CK174+CL301*CL174+CM301*CM174+CN301*CN174+CO301*CO174+CP301*CP174+CQ301*CQ174+CR301*CR174+CS301*CS174+CT301*CT174+CU301*CU174</f>
        <v>0</v>
      </c>
      <c r="DA174" s="2882">
        <f>E302*E174+F302*F174+G302*G174+H302*H174+I302*I174+J302*J174+K302*K174+L302*L174+M302*M174+N302*N174+O302*O174+P302*P174+Q302*Q174+R302*R174+S302*S174+T302*T174+U302*U174+V302*V174+W302*W174+X302*X174+Y302*Y174+Z302*Z174+AA302*AA174+AB302*AB174+AC302*AC174+AD302*AD174+AE302*AE174+AF302*AF174+AG302*AG174+AH302*AH174+AI302*AI174+AJ302*AJ174+AK302*AK174+AL302*AL174+AM302*AM174+AN302*AN174+AO302*AO174+AP302*AP174+AQ302*AQ174+AR302*AR174+AS302*AS174+AT302*AT174+AU302*AU174+AV302*AV174+AW302*AW174+AX302*AX174+AY302*AY174+AZ302*AZ174+BA302*BA174+BB302*BB174+BC302*BC174+BD302*BD174+BE302*BE174+BF302*BF174+BG302*BG174+BH302*BH174+BI302*BI174+BJ302*BJ174+BK302*BK174+BL302*BL174+BM302*BM174+BN302*BN174+BO302*BO174+BP302*BP174+BQ302*BQ174+BR302*BR174+BS302*BS174+BT302*BT174+BU302*BU174+BV302*BV174+BW302*BW174+BX302*BX174+BY302*BY174+BZ302*BZ174+CA302*CA174+CB302*CB174+CC302*CC174+CD302*CD174+CE302*CE174+CF302*CF174+CG302*CG174+CH302*CH174+CI302*CI174+CJ302*CJ174+CK302*CK174+CL302*CL174+CM302*CM174+CN302*CN174+CO302*CO174+CP302*CP174+CQ302*CQ174+CR302*CR174+CS302*CS174+CT302*CT174+CU302*CU174</f>
        <v>0</v>
      </c>
      <c r="DB174" s="2882">
        <f>E303*E174+F303*F174+G303*G174+H303*H174+I303*I174+J303*J174+K303*K174+L303*L174+M303*M174+N303*N174+O303*O174+P303*P174+Q303*Q174+R303*R174+S303*S174+T303*T174+U303*U174+V303*V174+W303*W174+X303*X174+Y303*Y174+Z303*Z174+AA303*AA174+AB303*AB174+AC303*AC174+AD303*AD174+AE303*AE174+AF303*AF174+AG303*AG174+AH303*AH174+AI303*AI174+AJ303*AJ174+AK303*AK174+AL303*AL174+AM303*AM174+AN303*AN174+AO303*AO174+AP303*AP174+AQ303*AQ174+AR303*AR174+AS303*AS174+AT303*AT174+AU303*AU174+AV303*AV174+AW303*AW174+AX303*AX174+AY303*AY174+AZ303*AZ174+BA303*BA174+BB303*BB174+BC303*BC174+BD303*BD174+BE303*BE174+BF303*BF174+BG303*BG174+BH303*BH174+BI303*BI174+BJ303*BJ174+BK303*BK174+BL303*BL174+BM303*BM174+BN303*BN174+BO303*BO174+BP303*BP174+BQ303*BQ174+BR303*BR174+BS303*BS174+BT303*BT174+BU303*BU174+BV303*BV174+BW303*BW174+BX303*BX174+BY303*BY174+BZ303*BZ174+CA303*CA174+CB303*CB174+CC303*CC174+CD303*CD174+CE303*CE174+CF303*CF174+CG303*CG174+CH303*CH174+CI303*CI174+CJ303*CJ174+CK303*CK174+CL303*CL174+CM303*CM174+CN303*CN174+CO303*CO174+CP303*CP174+CQ303*CQ174+CR303*CR174+CS303*CS174+CT303*CT174+CU303*CU174</f>
        <v>0</v>
      </c>
      <c r="DC174" s="2882">
        <f>E304*E174+F304*F174+G304*G174+H304*H174+I304*I174+J304*J174+K304*K174+L304*L174+M304*M174+N304*N174+O304*O174+P304*P174+Q304*Q174+R304*R174+S304*S174+T304*T174+U304*U174+V304*V174+W304*W174+X304*X174+Y304*Y174+Z304*Z174+AA304*AA174+AB304*AB174+AC304*AC174+AD304*AD174+AE304*AE174+AF304*AF174+AG304*AG174+AH304*AH174+AI304*AI174+AJ304*AJ174+AK304*AK174+AL304*AL174+AM304*AM174+AN304*AN174+AO304*AO174+AP304*AP174+AQ304*AQ174+AR304*AR174+AS304*AS174+AT304*AT174+AU304*AU174+AV304*AV174+AW304*AW174+AX304*AX174+AY304*AY174+AZ304*AZ174+BA304*BA174+BB304*BB174+BC304*BC174+BD304*BD174+BE304*BE174+BF304*BF174+BG304*BG174+BH304*BH174+BI304*BI174+BJ304*BJ174+BK304*BK174+BL304*BL174+BM304*BM174+BN304*BN174+BO304*BO174+BP304*BP174+BQ304*BQ174+BR304*BR174+BS304*BS174+BT304*BT174+BU304*BU174+BV304*BV174+BW304*BW174+BX304*BX174+BY304*BY174+BZ304*BZ174+CA304*CA174+CB304*CB174+CC304*CC174+CD304*CD174+CE304*CE174+CF304*CF174+CG304*CG174+CH304*CH174+CI304*CI174+CJ304*CJ174+CK304*CK174+CL304*CL174+CM304*CM174+CN304*CN174+CO304*CO174+CP304*CP174+CQ304*CQ174+CR304*CR174+CS304*CS174+CT304*CT174+CU304*CU174</f>
        <v>0</v>
      </c>
      <c r="DD174" s="2882">
        <f>E305*E174+F305*F174+G305*G174+H305*H174+I305*I174+J305*J174+K305*K174+L305*L174+M305*M174+N305*N174+O305*O174+P305*P174+Q305*Q174+R305*R174+S305*S174+T305*T174+U305*U174+V305*V174+W305*W174+X305*X174+Y305*Y174+Z305*Z174+AA305*AA174+AB305*AB174+AC305*AC174+AD305*AD174+AE305*AE174+AF305*AF174+AG305*AG174+AH305*AH174+AI305*AI174+AJ305*AJ174+AK305*AK174+AL305*AL174+AM305*AM174+AN305*AN174+AO305*AO174+AP305*AP174+AQ305*AQ174+AR305*AR174+AS305*AS174+AT305*AT174+AU305*AU174+AV305*AV174+AW305*AW174+AX305*AX174+AY305*AY174+AZ305*AZ174+BA305*BA174+BB305*BB174+BC305*BC174+BD305*BD174+BE305*BE174+BF305*BF174+BG305*BG174+BH305*BH174+BI305*BI174+BJ305*BJ174+BK305*BK174+BL305*BL174+BM305*BM174+BN305*BN174+BO305*BO174+BP305*BP174+BQ305*BQ174+BR305*BR174+BS305*BS174+BT305*BT174+BU305*BU174+BV305*BV174+BW305*BW174+BX305*BX174+BY305*BY174+BZ305*BZ174+CA305*CA174+CB305*CB174+CC305*CC174+CD305*CD174+CE305*CE174+CF305*CF174+CG305*CG174+CH305*CH174+CI305*CI174+CJ305*CJ174+CK305*CK174+CL305*CL174+CM305*CM174+CN305*CN174+CO305*CO174+CP305*CP174+CQ305*CQ174+CR305*CR174+CS305*CS174+CT305*CT174+CU305*CU174</f>
        <v>0</v>
      </c>
      <c r="DE174" s="2882">
        <f>E306*E174+F306*F174+G306*G174+H306*H174+I306*I174+J306*J174+K306*K174+L306*L174+M306*M174+N306*N174+O306*O174+P306*P174+Q306*Q174+R306*R174+S306*S174+T306*T174+U306*U174+V306*V174+W306*W174+X306*X174+Y306*Y174+Z306*Z174+AA306*AA174+AB306*AB174+AC306*AC174+AD306*AD174+AE306*AE174+AF306*AF174+AG306*AG174+AH306*AH174+AI306*AI174+AJ306*AJ174+AK306*AK174+AL306*AL174+AM306*AM174+AN306*AN174+AO306*AO174+AP306*AP174+AQ306*AQ174+AR306*AR174+AS306*AS174+AT306*AT174+AU306*AU174+AV306*AV174+AW306*AW174+AX306*AX174+AY306*AY174+AZ306*AZ174+BA306*BA174+BB306*BB174+BC306*BC174+BD306*BD174+BE306*BE174+BF306*BF174+BG306*BG174+BH306*BH174+BI306*BI174+BJ306*BJ174+BK306*BK174+BL306*BL174+BM306*BM174+BN306*BN174+BO306*BO174+BP306*BP174+BQ306*BQ174+BR306*BR174+BS306*BS174+BT306*BT174+BU306*BU174+BV306*BV174+BW306*BW174+BX306*BX174+BY306*BY174+BZ306*BZ174+CA306*CA174+CB306*CB174+CC306*CC174+CD306*CD174+CE306*CE174+CF306*CF174+CG306*CG174+CH306*CH174+CI306*CI174+CJ306*CJ174+CK306*CK174+CL306*CL174+CM306*CM174+CN306*CN174+CO306*CO174+CP306*CP174+CQ306*CQ174+CR306*CR174+CS306*CS174+CT306*CT174+CU306*CU174</f>
        <v>0</v>
      </c>
      <c r="DF174" s="2882">
        <f>E307*E174+F307*F174+G307*G174+H307*H174+I307*I174+J307*J174+K307*K174+L307*L174+M307*M174+N307*N174+O307*O174+P307*P174+Q307*Q174+R307*R174+S307*S174+T307*T174+U307*U174+V307*V174+W307*W174+X307*X174+Y307*Y174+Z307*Z174+AA307*AA174+AB307*AB174+AC307*AC174+AD307*AD174+AE307*AE174+AF307*AF174+AG307*AG174+AH307*AH174+AI307*AI174+AJ307*AJ174+AK307*AK174+AL307*AL174+AM307*AM174+AN307*AN174+AO307*AO174+AP307*AP174+AQ307*AQ174+AR307*AR174+AS307*AS174+AT307*AT174+AU307*AU174+AV307*AV174+AW307*AW174+AX307*AX174+AY307*AY174+AZ307*AZ174+BA307*BA174+BB307*BB174+BC307*BC174+BD307*BD174+BE307*BE174+BF307*BF174+BG307*BG174+BH307*BH174+BI307*BI174+BJ307*BJ174+BK307*BK174+BL307*BL174+BM307*BM174+BN307*BN174+BO307*BO174+BP307*BP174+BQ307*BQ174+BR307*BR174+BS307*BS174+BT307*BT174+BU307*BU174+BV307*BV174+BW307*BW174+BX307*BX174+BY307*BY174+BZ307*BZ174+CA307*CA174+CB307*CB174+CC307*CC174+CD307*CD174+CE307*CE174+CF307*CF174+CG307*CG174+CH307*CH174+CI307*CI174+CJ307*CJ174+CK307*CK174+CL307*CL174+CM307*CM174+CN307*CN174+CO307*CO174+CP307*CP174+CQ307*CQ174+CR307*CR174+CS307*CS174+CT307*CT174+CU307*CU174</f>
        <v>0</v>
      </c>
      <c r="DG174" s="2882">
        <f>E308*E174+F308*F174+G308*G174+H308*H174+I308*I174+J308*J174+K308*K174+L308*L174+M308*M174+N308*N174+O308*O174+P308*P174+Q308*Q174+R308*R174+S308*S174+T308*T174+U308*U174+V308*V174+W308*W174+X308*X174+Y308*Y174+Z308*Z174+AA308*AA174+AB308*AB174+AC308*AC174+AD308*AD174+AE308*AE174+AF308*AF174+AG308*AG174+AH308*AH174+AI308*AI174+AJ308*AJ174+AK308*AK174+AL308*AL174+AM308*AM174+AN308*AN174+AO308*AO174+AP308*AP174+AQ308*AQ174+AR308*AR174+AS308*AS174+AT308*AT174+AU308*AU174+AV308*AV174+AW308*AW174+AX308*AX174+AY308*AY174+AZ308*AZ174+BA308*BA174+BB308*BB174+BC308*BC174+BD308*BD174+BE308*BE174+BF308*BF174+BG308*BG174+BH308*BH174+BI308*BI174+BJ308*BJ174+BK308*BK174+BL308*BL174+BM308*BM174+BN308*BN174+BO308*BO174+BP308*BP174+BQ308*BQ174+BR308*BR174+BS308*BS174+BT308*BT174+BU308*BU174+BV308*BV174+BW308*BW174+BX308*BX174+BY308*BY174+BZ308*BZ174+CA308*CA174+CB308*CB174+CC308*CC174+CD308*CD174+CE308*CE174+CF308*CF174+CG308*CG174+CH308*CH174+CI308*CI174+CJ308*CJ174+CK308*CK174+CL308*CL174+CM308*CM174+CN308*CN174+CO308*CO174+CP308*CP174+CQ308*CQ174+CR308*CR174+CS308*CS174+CT308*CT174+CU308*CU174</f>
        <v>0</v>
      </c>
      <c r="DH174" s="2882">
        <f>E309*E174+F309*F174+G309*G174+H309*H174+I309*I174+J309*J174+K309*K174+L309*L174+M309*M174+N309*N174+O309*O174+P309*P174+Q309*Q174+R309*R174+S309*S174+T309*T174+U309*U174+V309*V174+W309*W174+X309*X174+Y309*Y174+Z309*Z174+AA309*AA174+AB309*AB174+AC309*AC174+AD309*AD174+AE309*AE174+AF309*AF174+AG309*AG174+AH309*AH174+AI309*AI174+AJ309*AJ174+AK309*AK174+AL309*AL174+AM309*AM174+AN309*AN174+AO309*AO174+AP309*AP174+AQ309*AQ174+AR309*AR174+AS309*AS174+AT309*AT174+AU309*AU174+AV309*AV174+AW309*AW174+AX309*AX174+AY309*AY174+AZ309*AZ174+BA309*BA174+BB309*BB174+BC309*BC174+BD309*BD174+BE309*BE174+BF309*BF174+BG309*BG174+BH309*BH174+BI309*BI174+BJ309*BJ174+BK309*BK174+BL309*BL174+BM309*BM174+BN309*BN174+BO309*BO174+BP309*BP174+BQ309*BQ174+BR309*BR174+BS309*BS174+BT309*BT174+BU309*BU174+BV309*BV174+BW309*BW174+BX309*BX174+BY309*BY174+BZ309*BZ174+CA309*CA174+CB309*CB174+CC309*CC174+CD309*CD174+CE309*CE174+CF309*CF174+CG309*CG174+CH309*CH174+CI309*CI174+CJ309*CJ174+CK309*CK174+CL309*CL174+CM309*CM174+CN309*CN174+CO309*CO174+CP309*CP174+CQ309*CQ174+CR309*CR174+CS309*CS174+CT309*CT174+CU309*CU174</f>
        <v>0</v>
      </c>
      <c r="DI174" s="2882">
        <f>E310*E174+F310*F174+G310*G174+H310*H174+I310*I174+J310*J174+K310*K174+L310*L174+M310*M174+N310*N174+O310*O174+P310*P174+Q310*Q174+R310*R174+S310*S174+T310*T174+U310*U174+V310*V174+W310*W174+X310*X174+Y310*Y174+Z310*Z174+AA310*AA174+AB310*AB174+AC310*AC174+AD310*AD174+AE310*AE174+AF310*AF174+AG310*AG174+AH310*AH174+AI310*AI174+AJ310*AJ174+AK310*AK174+AL310*AL174+AM310*AM174+AN310*AN174+AO310*AO174+AP310*AP174+AQ310*AQ174+AR310*AR174+AS310*AS174+AT310*AT174+AU310*AU174+AV310*AV174+AW310*AW174+AX310*AX174+AY310*AY174+AZ310*AZ174+BA310*BA174+BB310*BB174+BC310*BC174+BD310*BD174+BE310*BE174+BF310*BF174+BG310*BG174+BH310*BH174+BI310*BI174+BJ310*BJ174+BK310*BK174+BL310*BL174+BM310*BM174+BN310*BN174+BO310*BO174+BP310*BP174+BQ310*BQ174+BR310*BR174+BS310*BS174+BT310*BT174+BU310*BU174+BV310*BV174+BW310*BW174+BX310*BX174+BY310*BY174+BZ310*BZ174+CA310*CA174+CB310*CB174+CC310*CC174+CD310*CD174+CE310*CE174+CF310*CF174+CG310*CG174+CH310*CH174+CI310*CI174+CJ310*CJ174+CK310*CK174+CL310*CL174+CM310*CM174+CN310*CN174+CO310*CO174+CP310*CP174+CQ310*CQ174+CR310*CR174+CS310*CS174+CT310*CT174+CU310*CU174</f>
        <v>0</v>
      </c>
    </row>
    <row r="175" spans="2:113" ht="15.75" x14ac:dyDescent="0.55000000000000004">
      <c r="B175" s="762">
        <v>16</v>
      </c>
      <c r="C175" s="763" t="s">
        <v>239</v>
      </c>
      <c r="D175" s="764" t="s">
        <v>2279</v>
      </c>
      <c r="E175" s="727">
        <f>0</f>
        <v>0</v>
      </c>
      <c r="F175" s="727">
        <f>0</f>
        <v>0</v>
      </c>
      <c r="G175" s="765">
        <f>-1/Y_MEOLO</f>
        <v>-2.5</v>
      </c>
      <c r="H175" s="727">
        <f>0</f>
        <v>0</v>
      </c>
      <c r="I175" s="727">
        <f>0</f>
        <v>0</v>
      </c>
      <c r="J175" s="727">
        <f>0</f>
        <v>0</v>
      </c>
      <c r="K175" s="727">
        <f>0</f>
        <v>0</v>
      </c>
      <c r="L175" s="727">
        <f>0</f>
        <v>0</v>
      </c>
      <c r="M175" s="727">
        <f>0</f>
        <v>0</v>
      </c>
      <c r="N175" s="727">
        <f>0</f>
        <v>0</v>
      </c>
      <c r="O175" s="727">
        <f>0</f>
        <v>0</v>
      </c>
      <c r="P175" s="727">
        <f>0</f>
        <v>0</v>
      </c>
      <c r="Q175" s="727">
        <f>0</f>
        <v>0</v>
      </c>
      <c r="R175" s="727">
        <f>0</f>
        <v>0</v>
      </c>
      <c r="S175" s="727">
        <f>1</f>
        <v>1</v>
      </c>
      <c r="T175" s="727">
        <f>0</f>
        <v>0</v>
      </c>
      <c r="U175" s="727">
        <f>0</f>
        <v>0</v>
      </c>
      <c r="V175" s="727">
        <f>0</f>
        <v>0</v>
      </c>
      <c r="W175" s="727">
        <f>0</f>
        <v>0</v>
      </c>
      <c r="X175" s="727">
        <f>0</f>
        <v>0</v>
      </c>
      <c r="Y175" s="727">
        <f>0</f>
        <v>0</v>
      </c>
      <c r="Z175" s="727">
        <f>0</f>
        <v>0</v>
      </c>
      <c r="AA175" s="727">
        <f>0</f>
        <v>0</v>
      </c>
      <c r="AB175" s="727">
        <f>-i_N_BIO</f>
        <v>-7.0000000000000007E-2</v>
      </c>
      <c r="AC175" s="727">
        <f>0</f>
        <v>0</v>
      </c>
      <c r="AD175" s="765">
        <f>0</f>
        <v>0</v>
      </c>
      <c r="AE175" s="765">
        <f>-(1-Y_MEOLO)/(E_EQN2_NO2*Y_MEOLO)</f>
        <v>-0.87545157943422891</v>
      </c>
      <c r="AF175" s="765">
        <f>0</f>
        <v>0</v>
      </c>
      <c r="AG175" s="765">
        <f>0</f>
        <v>0</v>
      </c>
      <c r="AH175" s="765">
        <f>0</f>
        <v>0</v>
      </c>
      <c r="AI175" s="765">
        <f>(1-Y_MEOLO)/(E_EQN2_NO2*Y_MEOLO)</f>
        <v>0.87545157943422891</v>
      </c>
      <c r="AJ175" s="727">
        <f>0</f>
        <v>0</v>
      </c>
      <c r="AK175" s="727">
        <f>0</f>
        <v>0</v>
      </c>
      <c r="AL175" s="727">
        <f>0</f>
        <v>0</v>
      </c>
      <c r="AM175" s="765">
        <f>-i_P_BIO</f>
        <v>-0.02</v>
      </c>
      <c r="AN175" s="727">
        <f>0</f>
        <v>0</v>
      </c>
      <c r="AO175" s="727">
        <f>0</f>
        <v>0</v>
      </c>
      <c r="AP175" s="727">
        <f>0</f>
        <v>0</v>
      </c>
      <c r="AQ175" s="727">
        <f>0</f>
        <v>0</v>
      </c>
      <c r="AR175" s="727">
        <f>0</f>
        <v>0</v>
      </c>
      <c r="AS175" s="727">
        <f>0</f>
        <v>0</v>
      </c>
      <c r="AT175" s="727">
        <f>0</f>
        <v>0</v>
      </c>
      <c r="AU175" s="765">
        <f>i_CIT_MEOL/Y_MEOLO-i_CIT_BIO</f>
        <v>0.27300000000000002</v>
      </c>
      <c r="AV175" s="765">
        <f>i_INORG</f>
        <v>0.11</v>
      </c>
      <c r="AW175" s="765">
        <f>-i_INORG*(1-i_Ca_INORG*(A_MCa+2*A_MCl)/A_MCa-i_Mg_INORG*(A_MMg+2*A_MCl)/A_MMg)*f_Na</f>
        <v>-2.8804303582798466E-2</v>
      </c>
      <c r="AX175" s="765">
        <f>-i_INORG*(i_Ca_INORG*(2*A_MCl)/A_MCa+i_Mg_INORG*(2*A_MCl)/A_MMg)-i_INORG*(1-i_Ca_INORG*(A_MCa+2*A_MCl)/A_MCa-i_Mg_INORG*(A_MMg+2*A_MCl)/A_MMg)*(1-f_Na)</f>
        <v>-7.0195696417201539E-2</v>
      </c>
      <c r="AY175" s="765">
        <f>-i_INORG*i_Ca_INORG</f>
        <v>-5.5000000000000005E-3</v>
      </c>
      <c r="AZ175" s="765">
        <f>-i_INORG*i_Mg_INORG</f>
        <v>-5.5000000000000005E-3</v>
      </c>
      <c r="BA175" s="765">
        <f>0</f>
        <v>0</v>
      </c>
      <c r="BB175" s="765">
        <f>0</f>
        <v>0</v>
      </c>
      <c r="BC175" s="2850">
        <f>-i_S_BIO</f>
        <v>-0.01</v>
      </c>
      <c r="BD175" s="765">
        <f>0</f>
        <v>0</v>
      </c>
      <c r="BE175" s="765">
        <f>0</f>
        <v>0</v>
      </c>
      <c r="BF175" s="765">
        <f>0</f>
        <v>0</v>
      </c>
      <c r="BG175" s="765">
        <f>0</f>
        <v>0</v>
      </c>
      <c r="BH175" s="765">
        <f>0</f>
        <v>0</v>
      </c>
      <c r="BI175" s="765">
        <f>0</f>
        <v>0</v>
      </c>
      <c r="BJ175" s="765">
        <f>0</f>
        <v>0</v>
      </c>
      <c r="BK175" s="765">
        <f>0</f>
        <v>0</v>
      </c>
      <c r="BL175" s="765">
        <f>0</f>
        <v>0</v>
      </c>
      <c r="BM175" s="765">
        <f>0</f>
        <v>0</v>
      </c>
      <c r="BN175" s="765">
        <f>0</f>
        <v>0</v>
      </c>
      <c r="BO175" s="765">
        <f>0</f>
        <v>0</v>
      </c>
      <c r="BP175" s="765">
        <f>0</f>
        <v>0</v>
      </c>
      <c r="BQ175" s="765">
        <f>0</f>
        <v>0</v>
      </c>
      <c r="BR175" s="765">
        <f>0</f>
        <v>0</v>
      </c>
      <c r="BS175" s="765">
        <f>0</f>
        <v>0</v>
      </c>
      <c r="BT175" s="765">
        <f>0</f>
        <v>0</v>
      </c>
      <c r="BU175" s="765">
        <f>0</f>
        <v>0</v>
      </c>
      <c r="BV175" s="888">
        <f>0</f>
        <v>0</v>
      </c>
      <c r="BW175" s="765">
        <f>0</f>
        <v>0</v>
      </c>
      <c r="BX175" s="765">
        <f>0</f>
        <v>0</v>
      </c>
      <c r="BY175" s="765">
        <f>0</f>
        <v>0</v>
      </c>
      <c r="BZ175" s="765">
        <f>0</f>
        <v>0</v>
      </c>
      <c r="CA175" s="888">
        <f>0</f>
        <v>0</v>
      </c>
      <c r="CB175" s="765">
        <f>0</f>
        <v>0</v>
      </c>
      <c r="CC175" s="765">
        <f>0</f>
        <v>0</v>
      </c>
      <c r="CD175" s="765">
        <f>0</f>
        <v>0</v>
      </c>
      <c r="CE175" s="765">
        <f>0</f>
        <v>0</v>
      </c>
      <c r="CF175" s="765">
        <f>0</f>
        <v>0</v>
      </c>
      <c r="CG175" s="765">
        <f>0</f>
        <v>0</v>
      </c>
      <c r="CH175" s="765">
        <f>0</f>
        <v>0</v>
      </c>
      <c r="CI175" s="765">
        <f>0</f>
        <v>0</v>
      </c>
      <c r="CJ175" s="765">
        <f>0</f>
        <v>0</v>
      </c>
      <c r="CK175" s="765">
        <f>0</f>
        <v>0</v>
      </c>
      <c r="CL175" s="765">
        <f>0</f>
        <v>0</v>
      </c>
      <c r="CM175" s="765">
        <f>0</f>
        <v>0</v>
      </c>
      <c r="CN175" s="765">
        <f>0</f>
        <v>0</v>
      </c>
      <c r="CO175" s="765">
        <f>0</f>
        <v>0</v>
      </c>
      <c r="CP175" s="765">
        <f>0</f>
        <v>0</v>
      </c>
      <c r="CQ175" s="765">
        <f>0</f>
        <v>0</v>
      </c>
      <c r="CR175" s="765">
        <f>0</f>
        <v>0</v>
      </c>
      <c r="CS175" s="765">
        <f>0</f>
        <v>0</v>
      </c>
      <c r="CT175" s="765">
        <f>0</f>
        <v>0</v>
      </c>
      <c r="CU175" s="765">
        <f>0</f>
        <v>0</v>
      </c>
      <c r="CV175" s="2857">
        <f>µ_MEOLO_T*X_MEOLO*M_satSMEOL_KMEOL*M_satSNO2_KNO2_MEOLO*M_inhSO2_KiO2_MEOLO*M_satSNHx_KNHx_BIO*M_satSPO4_KPO4_BIO*M_satSCAT_KCAT*M_satSAN_KAN*M_satSCa_KCa*M_satSMg_KMg*B_ellinhpH</f>
        <v>5.2187609999807366E-52</v>
      </c>
      <c r="CX175" s="2880">
        <f>E299*E175+F299*F175+G299*G175+H299*H175+I299*I175+J299*J175+K299*K175+L299*L175+M299*M175+N299*N175+O299*O175+P299*P175+Q299*Q175+R299*R175+S299*S175+T299*T175+U299*U175+V299*V175+W299*W175+X299*X175+Y299*Y175+Z299*Z175+AA299*AA175+AB299*AB175+AC299*AC175+AD299*AD175+AE299*AE175+AF299*AF175+AG299*AG175+AH299*AH175+AI299*AI175+AJ299*AJ175+AK299*AK175+AL299*AL175+AM299*AM175+AN299*AN175+AO299*AO175+AP299*AP175+AQ299*AQ175+AR299*AR175+AS299*AS175+AT299*AT175+AU299*AU175+AV299*AV175+AW299*AW175+AX299*AX175+AY299*AY175+AZ299*AZ175+BA299*BA175+BB299*BB175+BC299*BC175+BD299*BD175+BE299*BE175+BF299*BF175+BG299*BG175+BH299*BH175+BI299*BI175+BJ299*BJ175+BK299*BK175+BL299*BL175+BM299*BM175+BN299*BN175+BO299*BO175+BP299*BP175+BQ299*BQ175+BR299*BR175+BS299*BS175+BT299*BT175+BU299*BU175+BV299*BV175+BW299*BW175+BX299*BX175+BY299*BY175+BZ299*BZ175+CA299*CA175+CB299*CB175+CC299*CC175+CD299*CD175+CE299*CE175+CF299*CF175+CG299*CG175+CH299*CH175+CI299*CI175+CJ299*CJ175+CK299*CK175+CL299*CL175+CM299*CM175+CN299*CN175+CO299*CO175+CP299*CP175+CQ299*CQ175+CR299*CR175+CS299*CS175+CT299*CT175+CU299*CU175</f>
        <v>0</v>
      </c>
      <c r="CY175" s="2880">
        <f>E300*E175+F300*F175+G300*G175+H300*H175+I300*I175+J300*J175+K300*K175+L300*L175+M300*M175+N300*N175+O300*O175+P300*P175+Q300*Q175+R300*R175+S300*S175+T300*T175+U300*U175+V300*V175+W300*W175+X300*X175+Y300*Y175+Z300*Z175+AA300*AA175+AB300*AB175+AC300*AC175+AD300*AD175+AE300*AE175+AF300*AF175+AG300*AG175+AH300*AH175+AI300*AI175+AJ300*AJ175+AK300*AK175+AL300*AL175+AM300*AM175+AN300*AN175+AO300*AO175+AP300*AP175+AQ300*AQ175+AR300*AR175+AS300*AS175+AT300*AT175+AU300*AU175+AV300*AV175+AW300*AW175+AX300*AX175+AY300*AY175+AZ300*AZ175+BA300*BA175+BB300*BB175+BC300*BC175+BD300*BD175+BE300*BE175+BF300*BF175+BG300*BG175+BH300*BH175+BI300*BI175+BJ300*BJ175+BK300*BK175+BL300*BL175+BM300*BM175+BN300*BN175+BO300*BO175+BP300*BP175+BQ300*BQ175+BR300*BR175+BS300*BS175+BT300*BT175+BU300*BU175+BV300*BV175+BW300*BW175+BX300*BX175+BY300*BY175+BZ300*BZ175+CA300*CA175+CB300*CB175+CC300*CC175+CD300*CD175+CE300*CE175+CF300*CF175+CG300*CG175+CH300*CH175+CI300*CI175+CJ300*CJ175+CK300*CK175+CL300*CL175+CM300*CM175+CN300*CN175+CO300*CO175+CP300*CP175+CQ300*CQ175+CR300*CR175+CS300*CS175+CT300*CT175+CU300*CU175</f>
        <v>0</v>
      </c>
      <c r="CZ175" s="2881">
        <f>E301*E175+F301*F175+G301*G175+H301*H175+I301*I175+J301*J175+K301*K175+L301*L175+M301*M175+N301*N175+O301*O175+P301*P175+Q301*Q175+R301*R175+S301*S175+T301*T175+U301*U175+V301*V175+W301*W175+X301*X175+Y301*Y175+Z301*Z175+AA301*AA175+AB301*AB175+AC301*AC175+AD301*AD175+AE301*AE175+AF301*AF175+AG301*AG175+AH301*AH175+AI301*AI175+AJ301*AJ175+AK301*AK175+AL301*AL175+AM301*AM175+AN301*AN175+AO301*AO175+AP301*AP175+AQ301*AQ175+AR301*AR175+AS301*AS175+AT301*AT175+AU301*AU175+AV301*AV175+AW301*AW175+AX301*AX175+AY301*AY175+AZ301*AZ175+BA301*BA175+BB301*BB175+BC301*BC175+BD301*BD175+BE301*BE175+BF301*BF175+BG301*BG175+BH301*BH175+BI301*BI175+BJ301*BJ175+BK301*BK175+BL301*BL175+BM301*BM175+BN301*BN175+BO301*BO175+BP301*BP175+BQ301*BQ175+BR301*BR175+BS301*BS175+BT301*BT175+BU301*BU175+BV301*BV175+BW301*BW175+BX301*BX175+BY301*BY175+BZ301*BZ175+CA301*CA175+CB301*CB175+CC301*CC175+CD301*CD175+CE301*CE175+CF301*CF175+CG301*CG175+CH301*CH175+CI301*CI175+CJ301*CJ175+CK301*CK175+CL301*CL175+CM301*CM175+CN301*CN175+CO301*CO175+CP301*CP175+CQ301*CQ175+CR301*CR175+CS301*CS175+CT301*CT175+CU301*CU175</f>
        <v>0</v>
      </c>
      <c r="DA175" s="2882">
        <f>E302*E175+F302*F175+G302*G175+H302*H175+I302*I175+J302*J175+K302*K175+L302*L175+M302*M175+N302*N175+O302*O175+P302*P175+Q302*Q175+R302*R175+S302*S175+T302*T175+U302*U175+V302*V175+W302*W175+X302*X175+Y302*Y175+Z302*Z175+AA302*AA175+AB302*AB175+AC302*AC175+AD302*AD175+AE302*AE175+AF302*AF175+AG302*AG175+AH302*AH175+AI302*AI175+AJ302*AJ175+AK302*AK175+AL302*AL175+AM302*AM175+AN302*AN175+AO302*AO175+AP302*AP175+AQ302*AQ175+AR302*AR175+AS302*AS175+AT302*AT175+AU302*AU175+AV302*AV175+AW302*AW175+AX302*AX175+AY302*AY175+AZ302*AZ175+BA302*BA175+BB302*BB175+BC302*BC175+BD302*BD175+BE302*BE175+BF302*BF175+BG302*BG175+BH302*BH175+BI302*BI175+BJ302*BJ175+BK302*BK175+BL302*BL175+BM302*BM175+BN302*BN175+BO302*BO175+BP302*BP175+BQ302*BQ175+BR302*BR175+BS302*BS175+BT302*BT175+BU302*BU175+BV302*BV175+BW302*BW175+BX302*BX175+BY302*BY175+BZ302*BZ175+CA302*CA175+CB302*CB175+CC302*CC175+CD302*CD175+CE302*CE175+CF302*CF175+CG302*CG175+CH302*CH175+CI302*CI175+CJ302*CJ175+CK302*CK175+CL302*CL175+CM302*CM175+CN302*CN175+CO302*CO175+CP302*CP175+CQ302*CQ175+CR302*CR175+CS302*CS175+CT302*CT175+CU302*CU175</f>
        <v>0</v>
      </c>
      <c r="DB175" s="2882">
        <f>E303*E175+F303*F175+G303*G175+H303*H175+I303*I175+J303*J175+K303*K175+L303*L175+M303*M175+N303*N175+O303*O175+P303*P175+Q303*Q175+R303*R175+S303*S175+T303*T175+U303*U175+V303*V175+W303*W175+X303*X175+Y303*Y175+Z303*Z175+AA303*AA175+AB303*AB175+AC303*AC175+AD303*AD175+AE303*AE175+AF303*AF175+AG303*AG175+AH303*AH175+AI303*AI175+AJ303*AJ175+AK303*AK175+AL303*AL175+AM303*AM175+AN303*AN175+AO303*AO175+AP303*AP175+AQ303*AQ175+AR303*AR175+AS303*AS175+AT303*AT175+AU303*AU175+AV303*AV175+AW303*AW175+AX303*AX175+AY303*AY175+AZ303*AZ175+BA303*BA175+BB303*BB175+BC303*BC175+BD303*BD175+BE303*BE175+BF303*BF175+BG303*BG175+BH303*BH175+BI303*BI175+BJ303*BJ175+BK303*BK175+BL303*BL175+BM303*BM175+BN303*BN175+BO303*BO175+BP303*BP175+BQ303*BQ175+BR303*BR175+BS303*BS175+BT303*BT175+BU303*BU175+BV303*BV175+BW303*BW175+BX303*BX175+BY303*BY175+BZ303*BZ175+CA303*CA175+CB303*CB175+CC303*CC175+CD303*CD175+CE303*CE175+CF303*CF175+CG303*CG175+CH303*CH175+CI303*CI175+CJ303*CJ175+CK303*CK175+CL303*CL175+CM303*CM175+CN303*CN175+CO303*CO175+CP303*CP175+CQ303*CQ175+CR303*CR175+CS303*CS175+CT303*CT175+CU303*CU175</f>
        <v>0</v>
      </c>
      <c r="DC175" s="2882">
        <f>E304*E175+F304*F175+G304*G175+H304*H175+I304*I175+J304*J175+K304*K175+L304*L175+M304*M175+N304*N175+O304*O175+P304*P175+Q304*Q175+R304*R175+S304*S175+T304*T175+U304*U175+V304*V175+W304*W175+X304*X175+Y304*Y175+Z304*Z175+AA304*AA175+AB304*AB175+AC304*AC175+AD304*AD175+AE304*AE175+AF304*AF175+AG304*AG175+AH304*AH175+AI304*AI175+AJ304*AJ175+AK304*AK175+AL304*AL175+AM304*AM175+AN304*AN175+AO304*AO175+AP304*AP175+AQ304*AQ175+AR304*AR175+AS304*AS175+AT304*AT175+AU304*AU175+AV304*AV175+AW304*AW175+AX304*AX175+AY304*AY175+AZ304*AZ175+BA304*BA175+BB304*BB175+BC304*BC175+BD304*BD175+BE304*BE175+BF304*BF175+BG304*BG175+BH304*BH175+BI304*BI175+BJ304*BJ175+BK304*BK175+BL304*BL175+BM304*BM175+BN304*BN175+BO304*BO175+BP304*BP175+BQ304*BQ175+BR304*BR175+BS304*BS175+BT304*BT175+BU304*BU175+BV304*BV175+BW304*BW175+BX304*BX175+BY304*BY175+BZ304*BZ175+CA304*CA175+CB304*CB175+CC304*CC175+CD304*CD175+CE304*CE175+CF304*CF175+CG304*CG175+CH304*CH175+CI304*CI175+CJ304*CJ175+CK304*CK175+CL304*CL175+CM304*CM175+CN304*CN175+CO304*CO175+CP304*CP175+CQ304*CQ175+CR304*CR175+CS304*CS175+CT304*CT175+CU304*CU175</f>
        <v>0</v>
      </c>
      <c r="DD175" s="2882">
        <f>E305*E175+F305*F175+G305*G175+H305*H175+I305*I175+J305*J175+K305*K175+L305*L175+M305*M175+N305*N175+O305*O175+P305*P175+Q305*Q175+R305*R175+S305*S175+T305*T175+U305*U175+V305*V175+W305*W175+X305*X175+Y305*Y175+Z305*Z175+AA305*AA175+AB305*AB175+AC305*AC175+AD305*AD175+AE305*AE175+AF305*AF175+AG305*AG175+AH305*AH175+AI305*AI175+AJ305*AJ175+AK305*AK175+AL305*AL175+AM305*AM175+AN305*AN175+AO305*AO175+AP305*AP175+AQ305*AQ175+AR305*AR175+AS305*AS175+AT305*AT175+AU305*AU175+AV305*AV175+AW305*AW175+AX305*AX175+AY305*AY175+AZ305*AZ175+BA305*BA175+BB305*BB175+BC305*BC175+BD305*BD175+BE305*BE175+BF305*BF175+BG305*BG175+BH305*BH175+BI305*BI175+BJ305*BJ175+BK305*BK175+BL305*BL175+BM305*BM175+BN305*BN175+BO305*BO175+BP305*BP175+BQ305*BQ175+BR305*BR175+BS305*BS175+BT305*BT175+BU305*BU175+BV305*BV175+BW305*BW175+BX305*BX175+BY305*BY175+BZ305*BZ175+CA305*CA175+CB305*CB175+CC305*CC175+CD305*CD175+CE305*CE175+CF305*CF175+CG305*CG175+CH305*CH175+CI305*CI175+CJ305*CJ175+CK305*CK175+CL305*CL175+CM305*CM175+CN305*CN175+CO305*CO175+CP305*CP175+CQ305*CQ175+CR305*CR175+CS305*CS175+CT305*CT175+CU305*CU175</f>
        <v>0</v>
      </c>
      <c r="DE175" s="2882">
        <f>E306*E175+F306*F175+G306*G175+H306*H175+I306*I175+J306*J175+K306*K175+L306*L175+M306*M175+N306*N175+O306*O175+P306*P175+Q306*Q175+R306*R175+S306*S175+T306*T175+U306*U175+V306*V175+W306*W175+X306*X175+Y306*Y175+Z306*Z175+AA306*AA175+AB306*AB175+AC306*AC175+AD306*AD175+AE306*AE175+AF306*AF175+AG306*AG175+AH306*AH175+AI306*AI175+AJ306*AJ175+AK306*AK175+AL306*AL175+AM306*AM175+AN306*AN175+AO306*AO175+AP306*AP175+AQ306*AQ175+AR306*AR175+AS306*AS175+AT306*AT175+AU306*AU175+AV306*AV175+AW306*AW175+AX306*AX175+AY306*AY175+AZ306*AZ175+BA306*BA175+BB306*BB175+BC306*BC175+BD306*BD175+BE306*BE175+BF306*BF175+BG306*BG175+BH306*BH175+BI306*BI175+BJ306*BJ175+BK306*BK175+BL306*BL175+BM306*BM175+BN306*BN175+BO306*BO175+BP306*BP175+BQ306*BQ175+BR306*BR175+BS306*BS175+BT306*BT175+BU306*BU175+BV306*BV175+BW306*BW175+BX306*BX175+BY306*BY175+BZ306*BZ175+CA306*CA175+CB306*CB175+CC306*CC175+CD306*CD175+CE306*CE175+CF306*CF175+CG306*CG175+CH306*CH175+CI306*CI175+CJ306*CJ175+CK306*CK175+CL306*CL175+CM306*CM175+CN306*CN175+CO306*CO175+CP306*CP175+CQ306*CQ175+CR306*CR175+CS306*CS175+CT306*CT175+CU306*CU175</f>
        <v>0</v>
      </c>
      <c r="DF175" s="2882">
        <f>E307*E175+F307*F175+G307*G175+H307*H175+I307*I175+J307*J175+K307*K175+L307*L175+M307*M175+N307*N175+O307*O175+P307*P175+Q307*Q175+R307*R175+S307*S175+T307*T175+U307*U175+V307*V175+W307*W175+X307*X175+Y307*Y175+Z307*Z175+AA307*AA175+AB307*AB175+AC307*AC175+AD307*AD175+AE307*AE175+AF307*AF175+AG307*AG175+AH307*AH175+AI307*AI175+AJ307*AJ175+AK307*AK175+AL307*AL175+AM307*AM175+AN307*AN175+AO307*AO175+AP307*AP175+AQ307*AQ175+AR307*AR175+AS307*AS175+AT307*AT175+AU307*AU175+AV307*AV175+AW307*AW175+AX307*AX175+AY307*AY175+AZ307*AZ175+BA307*BA175+BB307*BB175+BC307*BC175+BD307*BD175+BE307*BE175+BF307*BF175+BG307*BG175+BH307*BH175+BI307*BI175+BJ307*BJ175+BK307*BK175+BL307*BL175+BM307*BM175+BN307*BN175+BO307*BO175+BP307*BP175+BQ307*BQ175+BR307*BR175+BS307*BS175+BT307*BT175+BU307*BU175+BV307*BV175+BW307*BW175+BX307*BX175+BY307*BY175+BZ307*BZ175+CA307*CA175+CB307*CB175+CC307*CC175+CD307*CD175+CE307*CE175+CF307*CF175+CG307*CG175+CH307*CH175+CI307*CI175+CJ307*CJ175+CK307*CK175+CL307*CL175+CM307*CM175+CN307*CN175+CO307*CO175+CP307*CP175+CQ307*CQ175+CR307*CR175+CS307*CS175+CT307*CT175+CU307*CU175</f>
        <v>0</v>
      </c>
      <c r="DG175" s="2882">
        <f>E308*E175+F308*F175+G308*G175+H308*H175+I308*I175+J308*J175+K308*K175+L308*L175+M308*M175+N308*N175+O308*O175+P308*P175+Q308*Q175+R308*R175+S308*S175+T308*T175+U308*U175+V308*V175+W308*W175+X308*X175+Y308*Y175+Z308*Z175+AA308*AA175+AB308*AB175+AC308*AC175+AD308*AD175+AE308*AE175+AF308*AF175+AG308*AG175+AH308*AH175+AI308*AI175+AJ308*AJ175+AK308*AK175+AL308*AL175+AM308*AM175+AN308*AN175+AO308*AO175+AP308*AP175+AQ308*AQ175+AR308*AR175+AS308*AS175+AT308*AT175+AU308*AU175+AV308*AV175+AW308*AW175+AX308*AX175+AY308*AY175+AZ308*AZ175+BA308*BA175+BB308*BB175+BC308*BC175+BD308*BD175+BE308*BE175+BF308*BF175+BG308*BG175+BH308*BH175+BI308*BI175+BJ308*BJ175+BK308*BK175+BL308*BL175+BM308*BM175+BN308*BN175+BO308*BO175+BP308*BP175+BQ308*BQ175+BR308*BR175+BS308*BS175+BT308*BT175+BU308*BU175+BV308*BV175+BW308*BW175+BX308*BX175+BY308*BY175+BZ308*BZ175+CA308*CA175+CB308*CB175+CC308*CC175+CD308*CD175+CE308*CE175+CF308*CF175+CG308*CG175+CH308*CH175+CI308*CI175+CJ308*CJ175+CK308*CK175+CL308*CL175+CM308*CM175+CN308*CN175+CO308*CO175+CP308*CP175+CQ308*CQ175+CR308*CR175+CS308*CS175+CT308*CT175+CU308*CU175</f>
        <v>0</v>
      </c>
      <c r="DH175" s="2882">
        <f>E309*E175+F309*F175+G309*G175+H309*H175+I309*I175+J309*J175+K309*K175+L309*L175+M309*M175+N309*N175+O309*O175+P309*P175+Q309*Q175+R309*R175+S309*S175+T309*T175+U309*U175+V309*V175+W309*W175+X309*X175+Y309*Y175+Z309*Z175+AA309*AA175+AB309*AB175+AC309*AC175+AD309*AD175+AE309*AE175+AF309*AF175+AG309*AG175+AH309*AH175+AI309*AI175+AJ309*AJ175+AK309*AK175+AL309*AL175+AM309*AM175+AN309*AN175+AO309*AO175+AP309*AP175+AQ309*AQ175+AR309*AR175+AS309*AS175+AT309*AT175+AU309*AU175+AV309*AV175+AW309*AW175+AX309*AX175+AY309*AY175+AZ309*AZ175+BA309*BA175+BB309*BB175+BC309*BC175+BD309*BD175+BE309*BE175+BF309*BF175+BG309*BG175+BH309*BH175+BI309*BI175+BJ309*BJ175+BK309*BK175+BL309*BL175+BM309*BM175+BN309*BN175+BO309*BO175+BP309*BP175+BQ309*BQ175+BR309*BR175+BS309*BS175+BT309*BT175+BU309*BU175+BV309*BV175+BW309*BW175+BX309*BX175+BY309*BY175+BZ309*BZ175+CA309*CA175+CB309*CB175+CC309*CC175+CD309*CD175+CE309*CE175+CF309*CF175+CG309*CG175+CH309*CH175+CI309*CI175+CJ309*CJ175+CK309*CK175+CL309*CL175+CM309*CM175+CN309*CN175+CO309*CO175+CP309*CP175+CQ309*CQ175+CR309*CR175+CS309*CS175+CT309*CT175+CU309*CU175</f>
        <v>0</v>
      </c>
      <c r="DI175" s="2882">
        <f>E310*E175+F310*F175+G310*G175+H310*H175+I310*I175+J310*J175+K310*K175+L310*L175+M310*M175+N310*N175+O310*O175+P310*P175+Q310*Q175+R310*R175+S310*S175+T310*T175+U310*U175+V310*V175+W310*W175+X310*X175+Y310*Y175+Z310*Z175+AA310*AA175+AB310*AB175+AC310*AC175+AD310*AD175+AE310*AE175+AF310*AF175+AG310*AG175+AH310*AH175+AI310*AI175+AJ310*AJ175+AK310*AK175+AL310*AL175+AM310*AM175+AN310*AN175+AO310*AO175+AP310*AP175+AQ310*AQ175+AR310*AR175+AS310*AS175+AT310*AT175+AU310*AU175+AV310*AV175+AW310*AW175+AX310*AX175+AY310*AY175+AZ310*AZ175+BA310*BA175+BB310*BB175+BC310*BC175+BD310*BD175+BE310*BE175+BF310*BF175+BG310*BG175+BH310*BH175+BI310*BI175+BJ310*BJ175+BK310*BK175+BL310*BL175+BM310*BM175+BN310*BN175+BO310*BO175+BP310*BP175+BQ310*BQ175+BR310*BR175+BS310*BS175+BT310*BT175+BU310*BU175+BV310*BV175+BW310*BW175+BX310*BX175+BY310*BY175+BZ310*BZ175+CA310*CA175+CB310*CB175+CC310*CC175+CD310*CD175+CE310*CE175+CF310*CF175+CG310*CG175+CH310*CH175+CI310*CI175+CJ310*CJ175+CK310*CK175+CL310*CL175+CM310*CM175+CN310*CN175+CO310*CO175+CP310*CP175+CQ310*CQ175+CR310*CR175+CS310*CS175+CT310*CT175+CU310*CU175</f>
        <v>0</v>
      </c>
    </row>
    <row r="176" spans="2:113" ht="15.75" x14ac:dyDescent="0.55000000000000004">
      <c r="B176" s="762">
        <v>17</v>
      </c>
      <c r="C176" s="763" t="s">
        <v>240</v>
      </c>
      <c r="D176" s="764" t="s">
        <v>1666</v>
      </c>
      <c r="E176" s="727">
        <f>0</f>
        <v>0</v>
      </c>
      <c r="F176" s="727">
        <f>0</f>
        <v>0</v>
      </c>
      <c r="G176" s="765">
        <f>-1/Y_MEOLO</f>
        <v>-2.5</v>
      </c>
      <c r="H176" s="727">
        <f>0</f>
        <v>0</v>
      </c>
      <c r="I176" s="727">
        <f>0</f>
        <v>0</v>
      </c>
      <c r="J176" s="727">
        <f>0</f>
        <v>0</v>
      </c>
      <c r="K176" s="727">
        <f>0</f>
        <v>0</v>
      </c>
      <c r="L176" s="727">
        <f>0</f>
        <v>0</v>
      </c>
      <c r="M176" s="727">
        <f>0</f>
        <v>0</v>
      </c>
      <c r="N176" s="727">
        <f>0</f>
        <v>0</v>
      </c>
      <c r="O176" s="727">
        <f>0</f>
        <v>0</v>
      </c>
      <c r="P176" s="727">
        <f>0</f>
        <v>0</v>
      </c>
      <c r="Q176" s="727">
        <f>0</f>
        <v>0</v>
      </c>
      <c r="R176" s="727">
        <f>0</f>
        <v>0</v>
      </c>
      <c r="S176" s="727">
        <f>1</f>
        <v>1</v>
      </c>
      <c r="T176" s="727">
        <f>0</f>
        <v>0</v>
      </c>
      <c r="U176" s="727">
        <f>0</f>
        <v>0</v>
      </c>
      <c r="V176" s="727">
        <f>0</f>
        <v>0</v>
      </c>
      <c r="W176" s="727">
        <f>0</f>
        <v>0</v>
      </c>
      <c r="X176" s="727">
        <f>0</f>
        <v>0</v>
      </c>
      <c r="Y176" s="727">
        <f>0</f>
        <v>0</v>
      </c>
      <c r="Z176" s="727">
        <f>0</f>
        <v>0</v>
      </c>
      <c r="AA176" s="727">
        <f>0</f>
        <v>0</v>
      </c>
      <c r="AB176" s="727">
        <f>-i_N_BIO</f>
        <v>-7.0000000000000007E-2</v>
      </c>
      <c r="AC176" s="727">
        <f>0</f>
        <v>0</v>
      </c>
      <c r="AD176" s="765">
        <f>-(1-Y_MEOLO)/(E_EQNO2_NO3*Y_MEOLO)</f>
        <v>-1.3131773691513433</v>
      </c>
      <c r="AE176" s="765">
        <f>(1-Y_MEOLO)/(E_EQNO2_NO3*Y_MEOLO)</f>
        <v>1.3131773691513433</v>
      </c>
      <c r="AF176" s="765">
        <f>0</f>
        <v>0</v>
      </c>
      <c r="AG176" s="765">
        <f>0</f>
        <v>0</v>
      </c>
      <c r="AH176" s="765">
        <f>0</f>
        <v>0</v>
      </c>
      <c r="AI176" s="765">
        <f>0</f>
        <v>0</v>
      </c>
      <c r="AJ176" s="727">
        <f>0</f>
        <v>0</v>
      </c>
      <c r="AK176" s="727">
        <f>0</f>
        <v>0</v>
      </c>
      <c r="AL176" s="727">
        <f>0</f>
        <v>0</v>
      </c>
      <c r="AM176" s="765">
        <f>-i_P_BIO</f>
        <v>-0.02</v>
      </c>
      <c r="AN176" s="727">
        <f>0</f>
        <v>0</v>
      </c>
      <c r="AO176" s="727">
        <f>0</f>
        <v>0</v>
      </c>
      <c r="AP176" s="727">
        <f>0</f>
        <v>0</v>
      </c>
      <c r="AQ176" s="727">
        <f>0</f>
        <v>0</v>
      </c>
      <c r="AR176" s="727">
        <f>0</f>
        <v>0</v>
      </c>
      <c r="AS176" s="727">
        <f>0</f>
        <v>0</v>
      </c>
      <c r="AT176" s="727">
        <f>0</f>
        <v>0</v>
      </c>
      <c r="AU176" s="765">
        <f>i_CIT_MEOL/Y_MEOLO-i_CIT_BIO</f>
        <v>0.27300000000000002</v>
      </c>
      <c r="AV176" s="765">
        <f>i_INORG</f>
        <v>0.11</v>
      </c>
      <c r="AW176" s="765">
        <f>-i_INORG*(1-i_Ca_INORG*(A_MCa+2*A_MCl)/A_MCa-i_Mg_INORG*(A_MMg+2*A_MCl)/A_MMg)*f_Na</f>
        <v>-2.8804303582798466E-2</v>
      </c>
      <c r="AX176" s="765">
        <f>-i_INORG*(i_Ca_INORG*(2*A_MCl)/A_MCa+i_Mg_INORG*(2*A_MCl)/A_MMg)-i_INORG*(1-i_Ca_INORG*(A_MCa+2*A_MCl)/A_MCa-i_Mg_INORG*(A_MMg+2*A_MCl)/A_MMg)*(1-f_Na)</f>
        <v>-7.0195696417201539E-2</v>
      </c>
      <c r="AY176" s="765">
        <f>-i_INORG*i_Ca_INORG</f>
        <v>-5.5000000000000005E-3</v>
      </c>
      <c r="AZ176" s="765">
        <f>-i_INORG*i_Mg_INORG</f>
        <v>-5.5000000000000005E-3</v>
      </c>
      <c r="BA176" s="765">
        <f>0</f>
        <v>0</v>
      </c>
      <c r="BB176" s="765">
        <f>0</f>
        <v>0</v>
      </c>
      <c r="BC176" s="2850">
        <f>-i_S_BIO</f>
        <v>-0.01</v>
      </c>
      <c r="BD176" s="765">
        <f>0</f>
        <v>0</v>
      </c>
      <c r="BE176" s="765">
        <f>0</f>
        <v>0</v>
      </c>
      <c r="BF176" s="765">
        <f>0</f>
        <v>0</v>
      </c>
      <c r="BG176" s="765">
        <f>0</f>
        <v>0</v>
      </c>
      <c r="BH176" s="765">
        <f>0</f>
        <v>0</v>
      </c>
      <c r="BI176" s="765">
        <f>0</f>
        <v>0</v>
      </c>
      <c r="BJ176" s="765">
        <f>0</f>
        <v>0</v>
      </c>
      <c r="BK176" s="765">
        <f>0</f>
        <v>0</v>
      </c>
      <c r="BL176" s="765">
        <f>0</f>
        <v>0</v>
      </c>
      <c r="BM176" s="765">
        <f>0</f>
        <v>0</v>
      </c>
      <c r="BN176" s="765">
        <f>0</f>
        <v>0</v>
      </c>
      <c r="BO176" s="765">
        <f>0</f>
        <v>0</v>
      </c>
      <c r="BP176" s="765">
        <f>0</f>
        <v>0</v>
      </c>
      <c r="BQ176" s="765">
        <f>0</f>
        <v>0</v>
      </c>
      <c r="BR176" s="765">
        <f>0</f>
        <v>0</v>
      </c>
      <c r="BS176" s="765">
        <f>0</f>
        <v>0</v>
      </c>
      <c r="BT176" s="765">
        <f>0</f>
        <v>0</v>
      </c>
      <c r="BU176" s="765">
        <f>0</f>
        <v>0</v>
      </c>
      <c r="BV176" s="888">
        <f>0</f>
        <v>0</v>
      </c>
      <c r="BW176" s="765">
        <f>0</f>
        <v>0</v>
      </c>
      <c r="BX176" s="765">
        <f>0</f>
        <v>0</v>
      </c>
      <c r="BY176" s="765">
        <f>0</f>
        <v>0</v>
      </c>
      <c r="BZ176" s="765">
        <f>0</f>
        <v>0</v>
      </c>
      <c r="CA176" s="888">
        <f>0</f>
        <v>0</v>
      </c>
      <c r="CB176" s="765">
        <f>0</f>
        <v>0</v>
      </c>
      <c r="CC176" s="765">
        <f>0</f>
        <v>0</v>
      </c>
      <c r="CD176" s="765">
        <f>0</f>
        <v>0</v>
      </c>
      <c r="CE176" s="765">
        <f>0</f>
        <v>0</v>
      </c>
      <c r="CF176" s="765">
        <f>0</f>
        <v>0</v>
      </c>
      <c r="CG176" s="765">
        <f>0</f>
        <v>0</v>
      </c>
      <c r="CH176" s="765">
        <f>0</f>
        <v>0</v>
      </c>
      <c r="CI176" s="765">
        <f>0</f>
        <v>0</v>
      </c>
      <c r="CJ176" s="765">
        <f>0</f>
        <v>0</v>
      </c>
      <c r="CK176" s="765">
        <f>0</f>
        <v>0</v>
      </c>
      <c r="CL176" s="765">
        <f>0</f>
        <v>0</v>
      </c>
      <c r="CM176" s="765">
        <f>0</f>
        <v>0</v>
      </c>
      <c r="CN176" s="765">
        <f>0</f>
        <v>0</v>
      </c>
      <c r="CO176" s="765">
        <f>0</f>
        <v>0</v>
      </c>
      <c r="CP176" s="765">
        <f>0</f>
        <v>0</v>
      </c>
      <c r="CQ176" s="765">
        <f>0</f>
        <v>0</v>
      </c>
      <c r="CR176" s="765">
        <f>0</f>
        <v>0</v>
      </c>
      <c r="CS176" s="765">
        <f>0</f>
        <v>0</v>
      </c>
      <c r="CT176" s="765">
        <f>0</f>
        <v>0</v>
      </c>
      <c r="CU176" s="765">
        <f>0</f>
        <v>0</v>
      </c>
      <c r="CV176" s="2857">
        <f>µ_MEOLO_T*X_MEOLO*M_satSMEOL_KMEOL*M_satSNO3_KNO3_MEOLO*M_inhSNO2_KNO2_MEOLO*M_inhSO2_KiO2_MEOLO*M_satSNHx_KNHx_BIO*M_satSPO4_KPO4_BIO*M_satSCAT_KCAT*M_satSAN_KAN*M_satSCa_KCa*M_satSMg_KMg*B_ellinhpH</f>
        <v>1.0334180197981658E-52</v>
      </c>
      <c r="CX176" s="2880">
        <f>E299*E176+F299*F176+G299*G176+H299*H176+I299*I176+J299*J176+K299*K176+L299*L176+M299*M176+N299*N176+O299*O176+P299*P176+Q299*Q176+R299*R176+S299*S176+T299*T176+U299*U176+V299*V176+W299*W176+X299*X176+Y299*Y176+Z299*Z176+AA299*AA176+AB299*AB176+AC299*AC176+AD299*AD176+AE299*AE176+AF299*AF176+AG299*AG176+AH299*AH176+AI299*AI176+AJ299*AJ176+AK299*AK176+AL299*AL176+AM299*AM176+AN299*AN176+AO299*AO176+AP299*AP176+AQ299*AQ176+AR299*AR176+AS299*AS176+AT299*AT176+AU299*AU176+AV299*AV176+AW299*AW176+AX299*AX176+AY299*AY176+AZ299*AZ176+BA299*BA176+BB299*BB176+BC299*BC176+BD299*BD176+BE299*BE176+BF299*BF176+BG299*BG176+BH299*BH176+BI299*BI176+BJ299*BJ176+BK299*BK176+BL299*BL176+BM299*BM176+BN299*BN176+BO299*BO176+BP299*BP176+BQ299*BQ176+BR299*BR176+BS299*BS176+BT299*BT176+BU299*BU176+BV299*BV176+BW299*BW176+BX299*BX176+BY299*BY176+BZ299*BZ176+CA299*CA176+CB299*CB176+CC299*CC176+CD299*CD176+CE299*CE176+CF299*CF176+CG299*CG176+CH299*CH176+CI299*CI176+CJ299*CJ176+CK299*CK176+CL299*CL176+CM299*CM176+CN299*CN176+CO299*CO176+CP299*CP176+CQ299*CQ176+CR299*CR176+CS299*CS176+CT299*CT176+CU299*CU176</f>
        <v>0</v>
      </c>
      <c r="CY176" s="2880">
        <f>E300*E176+F300*F176+G300*G176+H300*H176+I300*I176+J300*J176+K300*K176+L300*L176+M300*M176+N300*N176+O300*O176+P300*P176+Q300*Q176+R300*R176+S300*S176+T300*T176+U300*U176+V300*V176+W300*W176+X300*X176+Y300*Y176+Z300*Z176+AA300*AA176+AB300*AB176+AC300*AC176+AD300*AD176+AE300*AE176+AF300*AF176+AG300*AG176+AH300*AH176+AI300*AI176+AJ300*AJ176+AK300*AK176+AL300*AL176+AM300*AM176+AN300*AN176+AO300*AO176+AP300*AP176+AQ300*AQ176+AR300*AR176+AS300*AS176+AT300*AT176+AU300*AU176+AV300*AV176+AW300*AW176+AX300*AX176+AY300*AY176+AZ300*AZ176+BA300*BA176+BB300*BB176+BC300*BC176+BD300*BD176+BE300*BE176+BF300*BF176+BG300*BG176+BH300*BH176+BI300*BI176+BJ300*BJ176+BK300*BK176+BL300*BL176+BM300*BM176+BN300*BN176+BO300*BO176+BP300*BP176+BQ300*BQ176+BR300*BR176+BS300*BS176+BT300*BT176+BU300*BU176+BV300*BV176+BW300*BW176+BX300*BX176+BY300*BY176+BZ300*BZ176+CA300*CA176+CB300*CB176+CC300*CC176+CD300*CD176+CE300*CE176+CF300*CF176+CG300*CG176+CH300*CH176+CI300*CI176+CJ300*CJ176+CK300*CK176+CL300*CL176+CM300*CM176+CN300*CN176+CO300*CO176+CP300*CP176+CQ300*CQ176+CR300*CR176+CS300*CS176+CT300*CT176+CU300*CU176</f>
        <v>0</v>
      </c>
      <c r="CZ176" s="2881">
        <f>E301*E176+F301*F176+G301*G176+H301*H176+I301*I176+J301*J176+K301*K176+L301*L176+M301*M176+N301*N176+O301*O176+P301*P176+Q301*Q176+R301*R176+S301*S176+T301*T176+U301*U176+V301*V176+W301*W176+X301*X176+Y301*Y176+Z301*Z176+AA301*AA176+AB301*AB176+AC301*AC176+AD301*AD176+AE301*AE176+AF301*AF176+AG301*AG176+AH301*AH176+AI301*AI176+AJ301*AJ176+AK301*AK176+AL301*AL176+AM301*AM176+AN301*AN176+AO301*AO176+AP301*AP176+AQ301*AQ176+AR301*AR176+AS301*AS176+AT301*AT176+AU301*AU176+AV301*AV176+AW301*AW176+AX301*AX176+AY301*AY176+AZ301*AZ176+BA301*BA176+BB301*BB176+BC301*BC176+BD301*BD176+BE301*BE176+BF301*BF176+BG301*BG176+BH301*BH176+BI301*BI176+BJ301*BJ176+BK301*BK176+BL301*BL176+BM301*BM176+BN301*BN176+BO301*BO176+BP301*BP176+BQ301*BQ176+BR301*BR176+BS301*BS176+BT301*BT176+BU301*BU176+BV301*BV176+BW301*BW176+BX301*BX176+BY301*BY176+BZ301*BZ176+CA301*CA176+CB301*CB176+CC301*CC176+CD301*CD176+CE301*CE176+CF301*CF176+CG301*CG176+CH301*CH176+CI301*CI176+CJ301*CJ176+CK301*CK176+CL301*CL176+CM301*CM176+CN301*CN176+CO301*CO176+CP301*CP176+CQ301*CQ176+CR301*CR176+CS301*CS176+CT301*CT176+CU301*CU176</f>
        <v>0</v>
      </c>
      <c r="DA176" s="2882">
        <f>E302*E176+F302*F176+G302*G176+H302*H176+I302*I176+J302*J176+K302*K176+L302*L176+M302*M176+N302*N176+O302*O176+P302*P176+Q302*Q176+R302*R176+S302*S176+T302*T176+U302*U176+V302*V176+W302*W176+X302*X176+Y302*Y176+Z302*Z176+AA302*AA176+AB302*AB176+AC302*AC176+AD302*AD176+AE302*AE176+AF302*AF176+AG302*AG176+AH302*AH176+AI302*AI176+AJ302*AJ176+AK302*AK176+AL302*AL176+AM302*AM176+AN302*AN176+AO302*AO176+AP302*AP176+AQ302*AQ176+AR302*AR176+AS302*AS176+AT302*AT176+AU302*AU176+AV302*AV176+AW302*AW176+AX302*AX176+AY302*AY176+AZ302*AZ176+BA302*BA176+BB302*BB176+BC302*BC176+BD302*BD176+BE302*BE176+BF302*BF176+BG302*BG176+BH302*BH176+BI302*BI176+BJ302*BJ176+BK302*BK176+BL302*BL176+BM302*BM176+BN302*BN176+BO302*BO176+BP302*BP176+BQ302*BQ176+BR302*BR176+BS302*BS176+BT302*BT176+BU302*BU176+BV302*BV176+BW302*BW176+BX302*BX176+BY302*BY176+BZ302*BZ176+CA302*CA176+CB302*CB176+CC302*CC176+CD302*CD176+CE302*CE176+CF302*CF176+CG302*CG176+CH302*CH176+CI302*CI176+CJ302*CJ176+CK302*CK176+CL302*CL176+CM302*CM176+CN302*CN176+CO302*CO176+CP302*CP176+CQ302*CQ176+CR302*CR176+CS302*CS176+CT302*CT176+CU302*CU176</f>
        <v>0</v>
      </c>
      <c r="DB176" s="2882">
        <f>E303*E176+F303*F176+G303*G176+H303*H176+I303*I176+J303*J176+K303*K176+L303*L176+M303*M176+N303*N176+O303*O176+P303*P176+Q303*Q176+R303*R176+S303*S176+T303*T176+U303*U176+V303*V176+W303*W176+X303*X176+Y303*Y176+Z303*Z176+AA303*AA176+AB303*AB176+AC303*AC176+AD303*AD176+AE303*AE176+AF303*AF176+AG303*AG176+AH303*AH176+AI303*AI176+AJ303*AJ176+AK303*AK176+AL303*AL176+AM303*AM176+AN303*AN176+AO303*AO176+AP303*AP176+AQ303*AQ176+AR303*AR176+AS303*AS176+AT303*AT176+AU303*AU176+AV303*AV176+AW303*AW176+AX303*AX176+AY303*AY176+AZ303*AZ176+BA303*BA176+BB303*BB176+BC303*BC176+BD303*BD176+BE303*BE176+BF303*BF176+BG303*BG176+BH303*BH176+BI303*BI176+BJ303*BJ176+BK303*BK176+BL303*BL176+BM303*BM176+BN303*BN176+BO303*BO176+BP303*BP176+BQ303*BQ176+BR303*BR176+BS303*BS176+BT303*BT176+BU303*BU176+BV303*BV176+BW303*BW176+BX303*BX176+BY303*BY176+BZ303*BZ176+CA303*CA176+CB303*CB176+CC303*CC176+CD303*CD176+CE303*CE176+CF303*CF176+CG303*CG176+CH303*CH176+CI303*CI176+CJ303*CJ176+CK303*CK176+CL303*CL176+CM303*CM176+CN303*CN176+CO303*CO176+CP303*CP176+CQ303*CQ176+CR303*CR176+CS303*CS176+CT303*CT176+CU303*CU176</f>
        <v>0</v>
      </c>
      <c r="DC176" s="2882">
        <f>E304*E176+F304*F176+G304*G176+H304*H176+I304*I176+J304*J176+K304*K176+L304*L176+M304*M176+N304*N176+O304*O176+P304*P176+Q304*Q176+R304*R176+S304*S176+T304*T176+U304*U176+V304*V176+W304*W176+X304*X176+Y304*Y176+Z304*Z176+AA304*AA176+AB304*AB176+AC304*AC176+AD304*AD176+AE304*AE176+AF304*AF176+AG304*AG176+AH304*AH176+AI304*AI176+AJ304*AJ176+AK304*AK176+AL304*AL176+AM304*AM176+AN304*AN176+AO304*AO176+AP304*AP176+AQ304*AQ176+AR304*AR176+AS304*AS176+AT304*AT176+AU304*AU176+AV304*AV176+AW304*AW176+AX304*AX176+AY304*AY176+AZ304*AZ176+BA304*BA176+BB304*BB176+BC304*BC176+BD304*BD176+BE304*BE176+BF304*BF176+BG304*BG176+BH304*BH176+BI304*BI176+BJ304*BJ176+BK304*BK176+BL304*BL176+BM304*BM176+BN304*BN176+BO304*BO176+BP304*BP176+BQ304*BQ176+BR304*BR176+BS304*BS176+BT304*BT176+BU304*BU176+BV304*BV176+BW304*BW176+BX304*BX176+BY304*BY176+BZ304*BZ176+CA304*CA176+CB304*CB176+CC304*CC176+CD304*CD176+CE304*CE176+CF304*CF176+CG304*CG176+CH304*CH176+CI304*CI176+CJ304*CJ176+CK304*CK176+CL304*CL176+CM304*CM176+CN304*CN176+CO304*CO176+CP304*CP176+CQ304*CQ176+CR304*CR176+CS304*CS176+CT304*CT176+CU304*CU176</f>
        <v>0</v>
      </c>
      <c r="DD176" s="2882">
        <f>E305*E176+F305*F176+G305*G176+H305*H176+I305*I176+J305*J176+K305*K176+L305*L176+M305*M176+N305*N176+O305*O176+P305*P176+Q305*Q176+R305*R176+S305*S176+T305*T176+U305*U176+V305*V176+W305*W176+X305*X176+Y305*Y176+Z305*Z176+AA305*AA176+AB305*AB176+AC305*AC176+AD305*AD176+AE305*AE176+AF305*AF176+AG305*AG176+AH305*AH176+AI305*AI176+AJ305*AJ176+AK305*AK176+AL305*AL176+AM305*AM176+AN305*AN176+AO305*AO176+AP305*AP176+AQ305*AQ176+AR305*AR176+AS305*AS176+AT305*AT176+AU305*AU176+AV305*AV176+AW305*AW176+AX305*AX176+AY305*AY176+AZ305*AZ176+BA305*BA176+BB305*BB176+BC305*BC176+BD305*BD176+BE305*BE176+BF305*BF176+BG305*BG176+BH305*BH176+BI305*BI176+BJ305*BJ176+BK305*BK176+BL305*BL176+BM305*BM176+BN305*BN176+BO305*BO176+BP305*BP176+BQ305*BQ176+BR305*BR176+BS305*BS176+BT305*BT176+BU305*BU176+BV305*BV176+BW305*BW176+BX305*BX176+BY305*BY176+BZ305*BZ176+CA305*CA176+CB305*CB176+CC305*CC176+CD305*CD176+CE305*CE176+CF305*CF176+CG305*CG176+CH305*CH176+CI305*CI176+CJ305*CJ176+CK305*CK176+CL305*CL176+CM305*CM176+CN305*CN176+CO305*CO176+CP305*CP176+CQ305*CQ176+CR305*CR176+CS305*CS176+CT305*CT176+CU305*CU176</f>
        <v>0</v>
      </c>
      <c r="DE176" s="2882">
        <f>E306*E176+F306*F176+G306*G176+H306*H176+I306*I176+J306*J176+K306*K176+L306*L176+M306*M176+N306*N176+O306*O176+P306*P176+Q306*Q176+R306*R176+S306*S176+T306*T176+U306*U176+V306*V176+W306*W176+X306*X176+Y306*Y176+Z306*Z176+AA306*AA176+AB306*AB176+AC306*AC176+AD306*AD176+AE306*AE176+AF306*AF176+AG306*AG176+AH306*AH176+AI306*AI176+AJ306*AJ176+AK306*AK176+AL306*AL176+AM306*AM176+AN306*AN176+AO306*AO176+AP306*AP176+AQ306*AQ176+AR306*AR176+AS306*AS176+AT306*AT176+AU306*AU176+AV306*AV176+AW306*AW176+AX306*AX176+AY306*AY176+AZ306*AZ176+BA306*BA176+BB306*BB176+BC306*BC176+BD306*BD176+BE306*BE176+BF306*BF176+BG306*BG176+BH306*BH176+BI306*BI176+BJ306*BJ176+BK306*BK176+BL306*BL176+BM306*BM176+BN306*BN176+BO306*BO176+BP306*BP176+BQ306*BQ176+BR306*BR176+BS306*BS176+BT306*BT176+BU306*BU176+BV306*BV176+BW306*BW176+BX306*BX176+BY306*BY176+BZ306*BZ176+CA306*CA176+CB306*CB176+CC306*CC176+CD306*CD176+CE306*CE176+CF306*CF176+CG306*CG176+CH306*CH176+CI306*CI176+CJ306*CJ176+CK306*CK176+CL306*CL176+CM306*CM176+CN306*CN176+CO306*CO176+CP306*CP176+CQ306*CQ176+CR306*CR176+CS306*CS176+CT306*CT176+CU306*CU176</f>
        <v>0</v>
      </c>
      <c r="DF176" s="2882">
        <f>E307*E176+F307*F176+G307*G176+H307*H176+I307*I176+J307*J176+K307*K176+L307*L176+M307*M176+N307*N176+O307*O176+P307*P176+Q307*Q176+R307*R176+S307*S176+T307*T176+U307*U176+V307*V176+W307*W176+X307*X176+Y307*Y176+Z307*Z176+AA307*AA176+AB307*AB176+AC307*AC176+AD307*AD176+AE307*AE176+AF307*AF176+AG307*AG176+AH307*AH176+AI307*AI176+AJ307*AJ176+AK307*AK176+AL307*AL176+AM307*AM176+AN307*AN176+AO307*AO176+AP307*AP176+AQ307*AQ176+AR307*AR176+AS307*AS176+AT307*AT176+AU307*AU176+AV307*AV176+AW307*AW176+AX307*AX176+AY307*AY176+AZ307*AZ176+BA307*BA176+BB307*BB176+BC307*BC176+BD307*BD176+BE307*BE176+BF307*BF176+BG307*BG176+BH307*BH176+BI307*BI176+BJ307*BJ176+BK307*BK176+BL307*BL176+BM307*BM176+BN307*BN176+BO307*BO176+BP307*BP176+BQ307*BQ176+BR307*BR176+BS307*BS176+BT307*BT176+BU307*BU176+BV307*BV176+BW307*BW176+BX307*BX176+BY307*BY176+BZ307*BZ176+CA307*CA176+CB307*CB176+CC307*CC176+CD307*CD176+CE307*CE176+CF307*CF176+CG307*CG176+CH307*CH176+CI307*CI176+CJ307*CJ176+CK307*CK176+CL307*CL176+CM307*CM176+CN307*CN176+CO307*CO176+CP307*CP176+CQ307*CQ176+CR307*CR176+CS307*CS176+CT307*CT176+CU307*CU176</f>
        <v>0</v>
      </c>
      <c r="DG176" s="2882">
        <f>E308*E176+F308*F176+G308*G176+H308*H176+I308*I176+J308*J176+K308*K176+L308*L176+M308*M176+N308*N176+O308*O176+P308*P176+Q308*Q176+R308*R176+S308*S176+T308*T176+U308*U176+V308*V176+W308*W176+X308*X176+Y308*Y176+Z308*Z176+AA308*AA176+AB308*AB176+AC308*AC176+AD308*AD176+AE308*AE176+AF308*AF176+AG308*AG176+AH308*AH176+AI308*AI176+AJ308*AJ176+AK308*AK176+AL308*AL176+AM308*AM176+AN308*AN176+AO308*AO176+AP308*AP176+AQ308*AQ176+AR308*AR176+AS308*AS176+AT308*AT176+AU308*AU176+AV308*AV176+AW308*AW176+AX308*AX176+AY308*AY176+AZ308*AZ176+BA308*BA176+BB308*BB176+BC308*BC176+BD308*BD176+BE308*BE176+BF308*BF176+BG308*BG176+BH308*BH176+BI308*BI176+BJ308*BJ176+BK308*BK176+BL308*BL176+BM308*BM176+BN308*BN176+BO308*BO176+BP308*BP176+BQ308*BQ176+BR308*BR176+BS308*BS176+BT308*BT176+BU308*BU176+BV308*BV176+BW308*BW176+BX308*BX176+BY308*BY176+BZ308*BZ176+CA308*CA176+CB308*CB176+CC308*CC176+CD308*CD176+CE308*CE176+CF308*CF176+CG308*CG176+CH308*CH176+CI308*CI176+CJ308*CJ176+CK308*CK176+CL308*CL176+CM308*CM176+CN308*CN176+CO308*CO176+CP308*CP176+CQ308*CQ176+CR308*CR176+CS308*CS176+CT308*CT176+CU308*CU176</f>
        <v>0</v>
      </c>
      <c r="DH176" s="2882">
        <f>E309*E176+F309*F176+G309*G176+H309*H176+I309*I176+J309*J176+K309*K176+L309*L176+M309*M176+N309*N176+O309*O176+P309*P176+Q309*Q176+R309*R176+S309*S176+T309*T176+U309*U176+V309*V176+W309*W176+X309*X176+Y309*Y176+Z309*Z176+AA309*AA176+AB309*AB176+AC309*AC176+AD309*AD176+AE309*AE176+AF309*AF176+AG309*AG176+AH309*AH176+AI309*AI176+AJ309*AJ176+AK309*AK176+AL309*AL176+AM309*AM176+AN309*AN176+AO309*AO176+AP309*AP176+AQ309*AQ176+AR309*AR176+AS309*AS176+AT309*AT176+AU309*AU176+AV309*AV176+AW309*AW176+AX309*AX176+AY309*AY176+AZ309*AZ176+BA309*BA176+BB309*BB176+BC309*BC176+BD309*BD176+BE309*BE176+BF309*BF176+BG309*BG176+BH309*BH176+BI309*BI176+BJ309*BJ176+BK309*BK176+BL309*BL176+BM309*BM176+BN309*BN176+BO309*BO176+BP309*BP176+BQ309*BQ176+BR309*BR176+BS309*BS176+BT309*BT176+BU309*BU176+BV309*BV176+BW309*BW176+BX309*BX176+BY309*BY176+BZ309*BZ176+CA309*CA176+CB309*CB176+CC309*CC176+CD309*CD176+CE309*CE176+CF309*CF176+CG309*CG176+CH309*CH176+CI309*CI176+CJ309*CJ176+CK309*CK176+CL309*CL176+CM309*CM176+CN309*CN176+CO309*CO176+CP309*CP176+CQ309*CQ176+CR309*CR176+CS309*CS176+CT309*CT176+CU309*CU176</f>
        <v>0</v>
      </c>
      <c r="DI176" s="2882">
        <f>E310*E176+F310*F176+G310*G176+H310*H176+I310*I176+J310*J176+K310*K176+L310*L176+M310*M176+N310*N176+O310*O176+P310*P176+Q310*Q176+R310*R176+S310*S176+T310*T176+U310*U176+V310*V176+W310*W176+X310*X176+Y310*Y176+Z310*Z176+AA310*AA176+AB310*AB176+AC310*AC176+AD310*AD176+AE310*AE176+AF310*AF176+AG310*AG176+AH310*AH176+AI310*AI176+AJ310*AJ176+AK310*AK176+AL310*AL176+AM310*AM176+AN310*AN176+AO310*AO176+AP310*AP176+AQ310*AQ176+AR310*AR176+AS310*AS176+AT310*AT176+AU310*AU176+AV310*AV176+AW310*AW176+AX310*AX176+AY310*AY176+AZ310*AZ176+BA310*BA176+BB310*BB176+BC310*BC176+BD310*BD176+BE310*BE176+BF310*BF176+BG310*BG176+BH310*BH176+BI310*BI176+BJ310*BJ176+BK310*BK176+BL310*BL176+BM310*BM176+BN310*BN176+BO310*BO176+BP310*BP176+BQ310*BQ176+BR310*BR176+BS310*BS176+BT310*BT176+BU310*BU176+BV310*BV176+BW310*BW176+BX310*BX176+BY310*BY176+BZ310*BZ176+CA310*CA176+CB310*CB176+CC310*CC176+CD310*CD176+CE310*CE176+CF310*CF176+CG310*CG176+CH310*CH176+CI310*CI176+CJ310*CJ176+CK310*CK176+CL310*CL176+CM310*CM176+CN310*CN176+CO310*CO176+CP310*CP176+CQ310*CQ176+CR310*CR176+CS310*CS176+CT310*CT176+CU310*CU176</f>
        <v>0</v>
      </c>
    </row>
    <row r="177" spans="2:113" x14ac:dyDescent="0.45">
      <c r="B177" s="762">
        <v>18</v>
      </c>
      <c r="C177" s="763" t="s">
        <v>241</v>
      </c>
      <c r="D177" s="764" t="s">
        <v>290</v>
      </c>
      <c r="E177" s="727">
        <f>0</f>
        <v>0</v>
      </c>
      <c r="F177" s="727">
        <f>0</f>
        <v>0</v>
      </c>
      <c r="G177" s="727">
        <f>0</f>
        <v>0</v>
      </c>
      <c r="H177" s="727">
        <f>0</f>
        <v>0</v>
      </c>
      <c r="I177" s="727">
        <f>1-f_E</f>
        <v>0.92</v>
      </c>
      <c r="J177" s="727">
        <f>0</f>
        <v>0</v>
      </c>
      <c r="K177" s="727">
        <f>0</f>
        <v>0</v>
      </c>
      <c r="L177" s="727">
        <f>0</f>
        <v>0</v>
      </c>
      <c r="M177" s="727">
        <f>0</f>
        <v>0</v>
      </c>
      <c r="N177" s="727">
        <f>0</f>
        <v>0</v>
      </c>
      <c r="O177" s="727">
        <f>f_E</f>
        <v>0.08</v>
      </c>
      <c r="P177" s="727">
        <f>0</f>
        <v>0</v>
      </c>
      <c r="Q177" s="727">
        <f>0</f>
        <v>0</v>
      </c>
      <c r="R177" s="727">
        <f>0</f>
        <v>0</v>
      </c>
      <c r="S177" s="727">
        <f>-1</f>
        <v>-1</v>
      </c>
      <c r="T177" s="727">
        <f>0</f>
        <v>0</v>
      </c>
      <c r="U177" s="727">
        <f>0</f>
        <v>0</v>
      </c>
      <c r="V177" s="727">
        <f>0</f>
        <v>0</v>
      </c>
      <c r="W177" s="727">
        <f>0</f>
        <v>0</v>
      </c>
      <c r="X177" s="727">
        <f>0</f>
        <v>0</v>
      </c>
      <c r="Y177" s="727">
        <f>0</f>
        <v>0</v>
      </c>
      <c r="Z177" s="727">
        <f>0</f>
        <v>0</v>
      </c>
      <c r="AA177" s="727">
        <f>0</f>
        <v>0</v>
      </c>
      <c r="AB177" s="727">
        <f>-f_E*(i_N_XE-i_N_BIO)</f>
        <v>8.0000000000000069E-4</v>
      </c>
      <c r="AC177" s="727">
        <f>0</f>
        <v>0</v>
      </c>
      <c r="AD177" s="727">
        <f>0</f>
        <v>0</v>
      </c>
      <c r="AE177" s="727">
        <f>0</f>
        <v>0</v>
      </c>
      <c r="AF177" s="727">
        <f>0</f>
        <v>0</v>
      </c>
      <c r="AG177" s="727">
        <f>0</f>
        <v>0</v>
      </c>
      <c r="AH177" s="727">
        <f>0</f>
        <v>0</v>
      </c>
      <c r="AI177" s="727">
        <f>0</f>
        <v>0</v>
      </c>
      <c r="AJ177" s="727">
        <f>0</f>
        <v>0</v>
      </c>
      <c r="AK177" s="727">
        <f>(1-f_E)*i_N_BIO</f>
        <v>6.4400000000000013E-2</v>
      </c>
      <c r="AL177" s="727">
        <f>0</f>
        <v>0</v>
      </c>
      <c r="AM177" s="727">
        <f>0</f>
        <v>0</v>
      </c>
      <c r="AN177" s="727">
        <f>0</f>
        <v>0</v>
      </c>
      <c r="AO177" s="727">
        <f>0</f>
        <v>0</v>
      </c>
      <c r="AP177" s="727">
        <f>(1-f_E)*i_P_BIO</f>
        <v>1.84E-2</v>
      </c>
      <c r="AQ177" s="727">
        <f>0</f>
        <v>0</v>
      </c>
      <c r="AR177" s="727">
        <f>0</f>
        <v>0</v>
      </c>
      <c r="AS177" s="727">
        <f>0</f>
        <v>0</v>
      </c>
      <c r="AT177" s="727">
        <f>0</f>
        <v>0</v>
      </c>
      <c r="AU177" s="727">
        <f>(1-f_E)*(i_CIT_BIO-i_CIT_SB)</f>
        <v>6.0720000000000003E-2</v>
      </c>
      <c r="AV177" s="727">
        <f>-i_INORG</f>
        <v>-0.11</v>
      </c>
      <c r="AW177" s="765">
        <f>i_INORG*(1-i_Ca_INORG*(A_MCa+2*A_MCl)/A_MCa-i_Mg_INORG*(A_MMg+2*A_MCl)/A_MMg)*f_Na</f>
        <v>2.8804303582798466E-2</v>
      </c>
      <c r="AX177" s="765">
        <f>i_INORG*(i_Ca_INORG*(2*A_MCl)/A_MCa+i_Mg_INORG*(2*A_MCl)/A_MMg)+i_INORG*(1-i_Ca_INORG*(A_MCa+2*A_MCl)/A_MCa-i_Mg_INORG*(A_MMg+2*A_MCl)/A_MMg)*(1-f_Na)</f>
        <v>7.0195696417201539E-2</v>
      </c>
      <c r="AY177" s="765">
        <f>i_INORG*i_Ca_INORG</f>
        <v>5.5000000000000005E-3</v>
      </c>
      <c r="AZ177" s="765">
        <f>i_INORG*i_Mg_INORG</f>
        <v>5.5000000000000005E-3</v>
      </c>
      <c r="BA177" s="765">
        <f>0</f>
        <v>0</v>
      </c>
      <c r="BB177" s="765">
        <f>0</f>
        <v>0</v>
      </c>
      <c r="BC177" s="765">
        <f>(1-f_E)*i_S_BIO-(1-f_E)*i_S_XB</f>
        <v>7.8200000000000006E-3</v>
      </c>
      <c r="BD177" s="765">
        <f>0</f>
        <v>0</v>
      </c>
      <c r="BE177" s="765">
        <f>0</f>
        <v>0</v>
      </c>
      <c r="BF177" s="765">
        <f>0</f>
        <v>0</v>
      </c>
      <c r="BG177" s="765">
        <f>0</f>
        <v>0</v>
      </c>
      <c r="BH177" s="765">
        <f>0</f>
        <v>0</v>
      </c>
      <c r="BI177" s="765">
        <f>0</f>
        <v>0</v>
      </c>
      <c r="BJ177" s="765">
        <f>0</f>
        <v>0</v>
      </c>
      <c r="BK177" s="765">
        <f>0</f>
        <v>0</v>
      </c>
      <c r="BL177" s="765">
        <f>0</f>
        <v>0</v>
      </c>
      <c r="BM177" s="765">
        <f>0</f>
        <v>0</v>
      </c>
      <c r="BN177" s="765">
        <f>0</f>
        <v>0</v>
      </c>
      <c r="BO177" s="765">
        <f>0</f>
        <v>0</v>
      </c>
      <c r="BP177" s="765">
        <f>0</f>
        <v>0</v>
      </c>
      <c r="BQ177" s="765">
        <f>0</f>
        <v>0</v>
      </c>
      <c r="BR177" s="765">
        <f>0</f>
        <v>0</v>
      </c>
      <c r="BS177" s="765">
        <f>0</f>
        <v>0</v>
      </c>
      <c r="BT177" s="765">
        <f>0</f>
        <v>0</v>
      </c>
      <c r="BU177" s="765">
        <f>0</f>
        <v>0</v>
      </c>
      <c r="BV177" s="888">
        <f>0</f>
        <v>0</v>
      </c>
      <c r="BW177" s="765">
        <f>0</f>
        <v>0</v>
      </c>
      <c r="BX177" s="765">
        <f>0</f>
        <v>0</v>
      </c>
      <c r="BY177" s="765">
        <f>0</f>
        <v>0</v>
      </c>
      <c r="BZ177" s="765">
        <f>0</f>
        <v>0</v>
      </c>
      <c r="CA177" s="888">
        <f>0</f>
        <v>0</v>
      </c>
      <c r="CB177" s="765">
        <f>0</f>
        <v>0</v>
      </c>
      <c r="CC177" s="765">
        <f>0</f>
        <v>0</v>
      </c>
      <c r="CD177" s="765">
        <f>0</f>
        <v>0</v>
      </c>
      <c r="CE177" s="765">
        <f>0</f>
        <v>0</v>
      </c>
      <c r="CF177" s="765">
        <f>0</f>
        <v>0</v>
      </c>
      <c r="CG177" s="765">
        <f>0</f>
        <v>0</v>
      </c>
      <c r="CH177" s="765">
        <f>0</f>
        <v>0</v>
      </c>
      <c r="CI177" s="765">
        <f>0</f>
        <v>0</v>
      </c>
      <c r="CJ177" s="765">
        <f>0</f>
        <v>0</v>
      </c>
      <c r="CK177" s="765">
        <f>0</f>
        <v>0</v>
      </c>
      <c r="CL177" s="765">
        <f>0</f>
        <v>0</v>
      </c>
      <c r="CM177" s="765">
        <f>0</f>
        <v>0</v>
      </c>
      <c r="CN177" s="765">
        <f>0</f>
        <v>0</v>
      </c>
      <c r="CO177" s="765">
        <f>0</f>
        <v>0</v>
      </c>
      <c r="CP177" s="765">
        <f>0</f>
        <v>0</v>
      </c>
      <c r="CQ177" s="765">
        <f>0</f>
        <v>0</v>
      </c>
      <c r="CR177" s="765">
        <f>0</f>
        <v>0</v>
      </c>
      <c r="CS177" s="765">
        <f>0</f>
        <v>0</v>
      </c>
      <c r="CT177" s="765">
        <f>0</f>
        <v>0</v>
      </c>
      <c r="CU177" s="765">
        <f>0</f>
        <v>0</v>
      </c>
      <c r="CV177" s="2857">
        <f>b_MEOLO_T*X_MEOLO*(M_satSO2_KiO2_MEOLO+η_b_anox*M_satSNO2_KNO2_MEOLO*M_inhSO2_KiO2_MEOLO+m_tox_anox*M_satSNO3_KNO3_MEOLO*M_inhSNO2_KNO2_MEOLO*M_inhSO2_KiO2_MEOLO)</f>
        <v>5.0294816066972559E-2</v>
      </c>
      <c r="CX177" s="2880">
        <f>E299*E177+F299*F177+G299*G177+H299*H177+I299*I177+J299*J177+K299*K177+L299*L177+M299*M177+N299*N177+O299*O177+P299*P177+Q299*Q177+R299*R177+S299*S177+T299*T177+U299*U177+V299*V177+W299*W177+X299*X177+Y299*Y177+Z299*Z177+AA299*AA177+AB299*AB177+AC299*AC177+AD299*AD177+AE299*AE177+AF299*AF177+AG299*AG177+AH299*AH177+AI299*AI177+AJ299*AJ177+AK299*AK177+AL299*AL177+AM299*AM177+AN299*AN177+AO299*AO177+AP299*AP177+AQ299*AQ177+AR299*AR177+AS299*AS177+AT299*AT177+AU299*AU177+AV299*AV177+AW299*AW177+AX299*AX177+AY299*AY177+AZ299*AZ177+BA299*BA177+BB299*BB177+BC299*BC177+BD299*BD177+BE299*BE177+BF299*BF177+BG299*BG177+BH299*BH177+BI299*BI177+BJ299*BJ177+BK299*BK177+BL299*BL177+BM299*BM177+BN299*BN177+BO299*BO177+BP299*BP177+BQ299*BQ177+BR299*BR177+BS299*BS177+BT299*BT177+BU299*BU177+BV299*BV177+BW299*BW177+BX299*BX177+BY299*BY177+BZ299*BZ177+CA299*CA177+CB299*CB177+CC299*CC177+CD299*CD177+CE299*CE177+CF299*CF177+CG299*CG177+CH299*CH177+CI299*CI177+CJ299*CJ177+CK299*CK177+CL299*CL177+CM299*CM177+CN299*CN177+CO299*CO177+CP299*CP177+CQ299*CQ177+CR299*CR177+CS299*CS177+CT299*CT177+CU299*CU177</f>
        <v>0</v>
      </c>
      <c r="CY177" s="2880">
        <f>E300*E177+F300*F177+G300*G177+H300*H177+I300*I177+J300*J177+K300*K177+L300*L177+M300*M177+N300*N177+O300*O177+P300*P177+Q300*Q177+R300*R177+S300*S177+T300*T177+U300*U177+V300*V177+W300*W177+X300*X177+Y300*Y177+Z300*Z177+AA300*AA177+AB300*AB177+AC300*AC177+AD300*AD177+AE300*AE177+AF300*AF177+AG300*AG177+AH300*AH177+AI300*AI177+AJ300*AJ177+AK300*AK177+AL300*AL177+AM300*AM177+AN300*AN177+AO300*AO177+AP300*AP177+AQ300*AQ177+AR300*AR177+AS300*AS177+AT300*AT177+AU300*AU177+AV300*AV177+AW300*AW177+AX300*AX177+AY300*AY177+AZ300*AZ177+BA300*BA177+BB300*BB177+BC300*BC177+BD300*BD177+BE300*BE177+BF300*BF177+BG300*BG177+BH300*BH177+BI300*BI177+BJ300*BJ177+BK300*BK177+BL300*BL177+BM300*BM177+BN300*BN177+BO300*BO177+BP300*BP177+BQ300*BQ177+BR300*BR177+BS300*BS177+BT300*BT177+BU300*BU177+BV300*BV177+BW300*BW177+BX300*BX177+BY300*BY177+BZ300*BZ177+CA300*CA177+CB300*CB177+CC300*CC177+CD300*CD177+CE300*CE177+CF300*CF177+CG300*CG177+CH300*CH177+CI300*CI177+CJ300*CJ177+CK300*CK177+CL300*CL177+CM300*CM177+CN300*CN177+CO300*CO177+CP300*CP177+CQ300*CQ177+CR300*CR177+CS300*CS177+CT300*CT177+CU300*CU177</f>
        <v>6.9388939039072284E-18</v>
      </c>
      <c r="CZ177" s="2881">
        <f>E301*E177+F301*F177+G301*G177+H301*H177+I301*I177+J301*J177+K301*K177+L301*L177+M301*M177+N301*N177+O301*O177+P301*P177+Q301*Q177+R301*R177+S301*S177+T301*T177+U301*U177+V301*V177+W301*W177+X301*X177+Y301*Y177+Z301*Z177+AA301*AA177+AB301*AB177+AC301*AC177+AD301*AD177+AE301*AE177+AF301*AF177+AG301*AG177+AH301*AH177+AI301*AI177+AJ301*AJ177+AK301*AK177+AL301*AL177+AM301*AM177+AN301*AN177+AO301*AO177+AP301*AP177+AQ301*AQ177+AR301*AR177+AS301*AS177+AT301*AT177+AU301*AU177+AV301*AV177+AW301*AW177+AX301*AX177+AY301*AY177+AZ301*AZ177+BA301*BA177+BB301*BB177+BC301*BC177+BD301*BD177+BE301*BE177+BF301*BF177+BG301*BG177+BH301*BH177+BI301*BI177+BJ301*BJ177+BK301*BK177+BL301*BL177+BM301*BM177+BN301*BN177+BO301*BO177+BP301*BP177+BQ301*BQ177+BR301*BR177+BS301*BS177+BT301*BT177+BU301*BU177+BV301*BV177+BW301*BW177+BX301*BX177+BY301*BY177+BZ301*BZ177+CA301*CA177+CB301*CB177+CC301*CC177+CD301*CD177+CE301*CE177+CF301*CF177+CG301*CG177+CH301*CH177+CI301*CI177+CJ301*CJ177+CK301*CK177+CL301*CL177+CM301*CM177+CN301*CN177+CO301*CO177+CP301*CP177+CQ301*CQ177+CR301*CR177+CS301*CS177+CT301*CT177+CU301*CU177</f>
        <v>0</v>
      </c>
      <c r="DA177" s="2882">
        <f>E302*E177+F302*F177+G302*G177+H302*H177+I302*I177+J302*J177+K302*K177+L302*L177+M302*M177+N302*N177+O302*O177+P302*P177+Q302*Q177+R302*R177+S302*S177+T302*T177+U302*U177+V302*V177+W302*W177+X302*X177+Y302*Y177+Z302*Z177+AA302*AA177+AB302*AB177+AC302*AC177+AD302*AD177+AE302*AE177+AF302*AF177+AG302*AG177+AH302*AH177+AI302*AI177+AJ302*AJ177+AK302*AK177+AL302*AL177+AM302*AM177+AN302*AN177+AO302*AO177+AP302*AP177+AQ302*AQ177+AR302*AR177+AS302*AS177+AT302*AT177+AU302*AU177+AV302*AV177+AW302*AW177+AX302*AX177+AY302*AY177+AZ302*AZ177+BA302*BA177+BB302*BB177+BC302*BC177+BD302*BD177+BE302*BE177+BF302*BF177+BG302*BG177+BH302*BH177+BI302*BI177+BJ302*BJ177+BK302*BK177+BL302*BL177+BM302*BM177+BN302*BN177+BO302*BO177+BP302*BP177+BQ302*BQ177+BR302*BR177+BS302*BS177+BT302*BT177+BU302*BU177+BV302*BV177+BW302*BW177+BX302*BX177+BY302*BY177+BZ302*BZ177+CA302*CA177+CB302*CB177+CC302*CC177+CD302*CD177+CE302*CE177+CF302*CF177+CG302*CG177+CH302*CH177+CI302*CI177+CJ302*CJ177+CK302*CK177+CL302*CL177+CM302*CM177+CN302*CN177+CO302*CO177+CP302*CP177+CQ302*CQ177+CR302*CR177+CS302*CS177+CT302*CT177+CU302*CU177</f>
        <v>0</v>
      </c>
      <c r="DB177" s="2882">
        <f>E303*E177+F303*F177+G303*G177+H303*H177+I303*I177+J303*J177+K303*K177+L303*L177+M303*M177+N303*N177+O303*O177+P303*P177+Q303*Q177+R303*R177+S303*S177+T303*T177+U303*U177+V303*V177+W303*W177+X303*X177+Y303*Y177+Z303*Z177+AA303*AA177+AB303*AB177+AC303*AC177+AD303*AD177+AE303*AE177+AF303*AF177+AG303*AG177+AH303*AH177+AI303*AI177+AJ303*AJ177+AK303*AK177+AL303*AL177+AM303*AM177+AN303*AN177+AO303*AO177+AP303*AP177+AQ303*AQ177+AR303*AR177+AS303*AS177+AT303*AT177+AU303*AU177+AV303*AV177+AW303*AW177+AX303*AX177+AY303*AY177+AZ303*AZ177+BA303*BA177+BB303*BB177+BC303*BC177+BD303*BD177+BE303*BE177+BF303*BF177+BG303*BG177+BH303*BH177+BI303*BI177+BJ303*BJ177+BK303*BK177+BL303*BL177+BM303*BM177+BN303*BN177+BO303*BO177+BP303*BP177+BQ303*BQ177+BR303*BR177+BS303*BS177+BT303*BT177+BU303*BU177+BV303*BV177+BW303*BW177+BX303*BX177+BY303*BY177+BZ303*BZ177+CA303*CA177+CB303*CB177+CC303*CC177+CD303*CD177+CE303*CE177+CF303*CF177+CG303*CG177+CH303*CH177+CI303*CI177+CJ303*CJ177+CK303*CK177+CL303*CL177+CM303*CM177+CN303*CN177+CO303*CO177+CP303*CP177+CQ303*CQ177+CR303*CR177+CS303*CS177+CT303*CT177+CU303*CU177</f>
        <v>0</v>
      </c>
      <c r="DC177" s="2882">
        <f>E304*E177+F304*F177+G304*G177+H304*H177+I304*I177+J304*J177+K304*K177+L304*L177+M304*M177+N304*N177+O304*O177+P304*P177+Q304*Q177+R304*R177+S304*S177+T304*T177+U304*U177+V304*V177+W304*W177+X304*X177+Y304*Y177+Z304*Z177+AA304*AA177+AB304*AB177+AC304*AC177+AD304*AD177+AE304*AE177+AF304*AF177+AG304*AG177+AH304*AH177+AI304*AI177+AJ304*AJ177+AK304*AK177+AL304*AL177+AM304*AM177+AN304*AN177+AO304*AO177+AP304*AP177+AQ304*AQ177+AR304*AR177+AS304*AS177+AT304*AT177+AU304*AU177+AV304*AV177+AW304*AW177+AX304*AX177+AY304*AY177+AZ304*AZ177+BA304*BA177+BB304*BB177+BC304*BC177+BD304*BD177+BE304*BE177+BF304*BF177+BG304*BG177+BH304*BH177+BI304*BI177+BJ304*BJ177+BK304*BK177+BL304*BL177+BM304*BM177+BN304*BN177+BO304*BO177+BP304*BP177+BQ304*BQ177+BR304*BR177+BS304*BS177+BT304*BT177+BU304*BU177+BV304*BV177+BW304*BW177+BX304*BX177+BY304*BY177+BZ304*BZ177+CA304*CA177+CB304*CB177+CC304*CC177+CD304*CD177+CE304*CE177+CF304*CF177+CG304*CG177+CH304*CH177+CI304*CI177+CJ304*CJ177+CK304*CK177+CL304*CL177+CM304*CM177+CN304*CN177+CO304*CO177+CP304*CP177+CQ304*CQ177+CR304*CR177+CS304*CS177+CT304*CT177+CU304*CU177</f>
        <v>0</v>
      </c>
      <c r="DD177" s="2882">
        <f>E305*E177+F305*F177+G305*G177+H305*H177+I305*I177+J305*J177+K305*K177+L305*L177+M305*M177+N305*N177+O305*O177+P305*P177+Q305*Q177+R305*R177+S305*S177+T305*T177+U305*U177+V305*V177+W305*W177+X305*X177+Y305*Y177+Z305*Z177+AA305*AA177+AB305*AB177+AC305*AC177+AD305*AD177+AE305*AE177+AF305*AF177+AG305*AG177+AH305*AH177+AI305*AI177+AJ305*AJ177+AK305*AK177+AL305*AL177+AM305*AM177+AN305*AN177+AO305*AO177+AP305*AP177+AQ305*AQ177+AR305*AR177+AS305*AS177+AT305*AT177+AU305*AU177+AV305*AV177+AW305*AW177+AX305*AX177+AY305*AY177+AZ305*AZ177+BA305*BA177+BB305*BB177+BC305*BC177+BD305*BD177+BE305*BE177+BF305*BF177+BG305*BG177+BH305*BH177+BI305*BI177+BJ305*BJ177+BK305*BK177+BL305*BL177+BM305*BM177+BN305*BN177+BO305*BO177+BP305*BP177+BQ305*BQ177+BR305*BR177+BS305*BS177+BT305*BT177+BU305*BU177+BV305*BV177+BW305*BW177+BX305*BX177+BY305*BY177+BZ305*BZ177+CA305*CA177+CB305*CB177+CC305*CC177+CD305*CD177+CE305*CE177+CF305*CF177+CG305*CG177+CH305*CH177+CI305*CI177+CJ305*CJ177+CK305*CK177+CL305*CL177+CM305*CM177+CN305*CN177+CO305*CO177+CP305*CP177+CQ305*CQ177+CR305*CR177+CS305*CS177+CT305*CT177+CU305*CU177</f>
        <v>0</v>
      </c>
      <c r="DE177" s="2882">
        <f>E306*E177+F306*F177+G306*G177+H306*H177+I306*I177+J306*J177+K306*K177+L306*L177+M306*M177+N306*N177+O306*O177+P306*P177+Q306*Q177+R306*R177+S306*S177+T306*T177+U306*U177+V306*V177+W306*W177+X306*X177+Y306*Y177+Z306*Z177+AA306*AA177+AB306*AB177+AC306*AC177+AD306*AD177+AE306*AE177+AF306*AF177+AG306*AG177+AH306*AH177+AI306*AI177+AJ306*AJ177+AK306*AK177+AL306*AL177+AM306*AM177+AN306*AN177+AO306*AO177+AP306*AP177+AQ306*AQ177+AR306*AR177+AS306*AS177+AT306*AT177+AU306*AU177+AV306*AV177+AW306*AW177+AX306*AX177+AY306*AY177+AZ306*AZ177+BA306*BA177+BB306*BB177+BC306*BC177+BD306*BD177+BE306*BE177+BF306*BF177+BG306*BG177+BH306*BH177+BI306*BI177+BJ306*BJ177+BK306*BK177+BL306*BL177+BM306*BM177+BN306*BN177+BO306*BO177+BP306*BP177+BQ306*BQ177+BR306*BR177+BS306*BS177+BT306*BT177+BU306*BU177+BV306*BV177+BW306*BW177+BX306*BX177+BY306*BY177+BZ306*BZ177+CA306*CA177+CB306*CB177+CC306*CC177+CD306*CD177+CE306*CE177+CF306*CF177+CG306*CG177+CH306*CH177+CI306*CI177+CJ306*CJ177+CK306*CK177+CL306*CL177+CM306*CM177+CN306*CN177+CO306*CO177+CP306*CP177+CQ306*CQ177+CR306*CR177+CS306*CS177+CT306*CT177+CU306*CU177</f>
        <v>0</v>
      </c>
      <c r="DF177" s="2882">
        <f>E307*E177+F307*F177+G307*G177+H307*H177+I307*I177+J307*J177+K307*K177+L307*L177+M307*M177+N307*N177+O307*O177+P307*P177+Q307*Q177+R307*R177+S307*S177+T307*T177+U307*U177+V307*V177+W307*W177+X307*X177+Y307*Y177+Z307*Z177+AA307*AA177+AB307*AB177+AC307*AC177+AD307*AD177+AE307*AE177+AF307*AF177+AG307*AG177+AH307*AH177+AI307*AI177+AJ307*AJ177+AK307*AK177+AL307*AL177+AM307*AM177+AN307*AN177+AO307*AO177+AP307*AP177+AQ307*AQ177+AR307*AR177+AS307*AS177+AT307*AT177+AU307*AU177+AV307*AV177+AW307*AW177+AX307*AX177+AY307*AY177+AZ307*AZ177+BA307*BA177+BB307*BB177+BC307*BC177+BD307*BD177+BE307*BE177+BF307*BF177+BG307*BG177+BH307*BH177+BI307*BI177+BJ307*BJ177+BK307*BK177+BL307*BL177+BM307*BM177+BN307*BN177+BO307*BO177+BP307*BP177+BQ307*BQ177+BR307*BR177+BS307*BS177+BT307*BT177+BU307*BU177+BV307*BV177+BW307*BW177+BX307*BX177+BY307*BY177+BZ307*BZ177+CA307*CA177+CB307*CB177+CC307*CC177+CD307*CD177+CE307*CE177+CF307*CF177+CG307*CG177+CH307*CH177+CI307*CI177+CJ307*CJ177+CK307*CK177+CL307*CL177+CM307*CM177+CN307*CN177+CO307*CO177+CP307*CP177+CQ307*CQ177+CR307*CR177+CS307*CS177+CT307*CT177+CU307*CU177</f>
        <v>0</v>
      </c>
      <c r="DG177" s="2882">
        <f>E308*E177+F308*F177+G308*G177+H308*H177+I308*I177+J308*J177+K308*K177+L308*L177+M308*M177+N308*N177+O308*O177+P308*P177+Q308*Q177+R308*R177+S308*S177+T308*T177+U308*U177+V308*V177+W308*W177+X308*X177+Y308*Y177+Z308*Z177+AA308*AA177+AB308*AB177+AC308*AC177+AD308*AD177+AE308*AE177+AF308*AF177+AG308*AG177+AH308*AH177+AI308*AI177+AJ308*AJ177+AK308*AK177+AL308*AL177+AM308*AM177+AN308*AN177+AO308*AO177+AP308*AP177+AQ308*AQ177+AR308*AR177+AS308*AS177+AT308*AT177+AU308*AU177+AV308*AV177+AW308*AW177+AX308*AX177+AY308*AY177+AZ308*AZ177+BA308*BA177+BB308*BB177+BC308*BC177+BD308*BD177+BE308*BE177+BF308*BF177+BG308*BG177+BH308*BH177+BI308*BI177+BJ308*BJ177+BK308*BK177+BL308*BL177+BM308*BM177+BN308*BN177+BO308*BO177+BP308*BP177+BQ308*BQ177+BR308*BR177+BS308*BS177+BT308*BT177+BU308*BU177+BV308*BV177+BW308*BW177+BX308*BX177+BY308*BY177+BZ308*BZ177+CA308*CA177+CB308*CB177+CC308*CC177+CD308*CD177+CE308*CE177+CF308*CF177+CG308*CG177+CH308*CH177+CI308*CI177+CJ308*CJ177+CK308*CK177+CL308*CL177+CM308*CM177+CN308*CN177+CO308*CO177+CP308*CP177+CQ308*CQ177+CR308*CR177+CS308*CS177+CT308*CT177+CU308*CU177</f>
        <v>0</v>
      </c>
      <c r="DH177" s="2882">
        <f>E309*E177+F309*F177+G309*G177+H309*H177+I309*I177+J309*J177+K309*K177+L309*L177+M309*M177+N309*N177+O309*O177+P309*P177+Q309*Q177+R309*R177+S309*S177+T309*T177+U309*U177+V309*V177+W309*W177+X309*X177+Y309*Y177+Z309*Z177+AA309*AA177+AB309*AB177+AC309*AC177+AD309*AD177+AE309*AE177+AF309*AF177+AG309*AG177+AH309*AH177+AI309*AI177+AJ309*AJ177+AK309*AK177+AL309*AL177+AM309*AM177+AN309*AN177+AO309*AO177+AP309*AP177+AQ309*AQ177+AR309*AR177+AS309*AS177+AT309*AT177+AU309*AU177+AV309*AV177+AW309*AW177+AX309*AX177+AY309*AY177+AZ309*AZ177+BA309*BA177+BB309*BB177+BC309*BC177+BD309*BD177+BE309*BE177+BF309*BF177+BG309*BG177+BH309*BH177+BI309*BI177+BJ309*BJ177+BK309*BK177+BL309*BL177+BM309*BM177+BN309*BN177+BO309*BO177+BP309*BP177+BQ309*BQ177+BR309*BR177+BS309*BS177+BT309*BT177+BU309*BU177+BV309*BV177+BW309*BW177+BX309*BX177+BY309*BY177+BZ309*BZ177+CA309*CA177+CB309*CB177+CC309*CC177+CD309*CD177+CE309*CE177+CF309*CF177+CG309*CG177+CH309*CH177+CI309*CI177+CJ309*CJ177+CK309*CK177+CL309*CL177+CM309*CM177+CN309*CN177+CO309*CO177+CP309*CP177+CQ309*CQ177+CR309*CR177+CS309*CS177+CT309*CT177+CU309*CU177</f>
        <v>0</v>
      </c>
      <c r="DI177" s="2882">
        <f>E310*E177+F310*F177+G310*G177+H310*H177+I310*I177+J310*J177+K310*K177+L310*L177+M310*M177+N310*N177+O310*O177+P310*P177+Q310*Q177+R310*R177+S310*S177+T310*T177+U310*U177+V310*V177+W310*W177+X310*X177+Y310*Y177+Z310*Z177+AA310*AA177+AB310*AB177+AC310*AC177+AD310*AD177+AE310*AE177+AF310*AF177+AG310*AG177+AH310*AH177+AI310*AI177+AJ310*AJ177+AK310*AK177+AL310*AL177+AM310*AM177+AN310*AN177+AO310*AO177+AP310*AP177+AQ310*AQ177+AR310*AR177+AS310*AS177+AT310*AT177+AU310*AU177+AV310*AV177+AW310*AW177+AX310*AX177+AY310*AY177+AZ310*AZ177+BA310*BA177+BB310*BB177+BC310*BC177+BD310*BD177+BE310*BE177+BF310*BF177+BG310*BG177+BH310*BH177+BI310*BI177+BJ310*BJ177+BK310*BK177+BL310*BL177+BM310*BM177+BN310*BN177+BO310*BO177+BP310*BP177+BQ310*BQ177+BR310*BR177+BS310*BS177+BT310*BT177+BU310*BU177+BV310*BV177+BW310*BW177+BX310*BX177+BY310*BY177+BZ310*BZ177+CA310*CA177+CB310*CB177+CC310*CC177+CD310*CD177+CE310*CE177+CF310*CF177+CG310*CG177+CH310*CH177+CI310*CI177+CJ310*CJ177+CK310*CK177+CL310*CL177+CM310*CM177+CN310*CN177+CO310*CO177+CP310*CP177+CQ310*CQ177+CR310*CR177+CS310*CS177+CT310*CT177+CU310*CU177</f>
        <v>0</v>
      </c>
    </row>
    <row r="178" spans="2:113" x14ac:dyDescent="0.45">
      <c r="B178" s="762">
        <v>19</v>
      </c>
      <c r="C178" s="763" t="s">
        <v>242</v>
      </c>
      <c r="D178" s="764" t="s">
        <v>3075</v>
      </c>
      <c r="E178" s="727">
        <f>0</f>
        <v>0</v>
      </c>
      <c r="F178" s="727">
        <f>0</f>
        <v>0</v>
      </c>
      <c r="G178" s="727">
        <f>0</f>
        <v>0</v>
      </c>
      <c r="H178" s="727">
        <f>0</f>
        <v>0</v>
      </c>
      <c r="I178" s="727">
        <f>1-f_E</f>
        <v>0.92</v>
      </c>
      <c r="J178" s="727">
        <f>0</f>
        <v>0</v>
      </c>
      <c r="K178" s="727">
        <f>0</f>
        <v>0</v>
      </c>
      <c r="L178" s="727">
        <f>0</f>
        <v>0</v>
      </c>
      <c r="M178" s="727">
        <f>0</f>
        <v>0</v>
      </c>
      <c r="N178" s="727">
        <f>0</f>
        <v>0</v>
      </c>
      <c r="O178" s="727">
        <f>0</f>
        <v>0</v>
      </c>
      <c r="P178" s="727">
        <f>f_E</f>
        <v>0.08</v>
      </c>
      <c r="Q178" s="727">
        <f>0</f>
        <v>0</v>
      </c>
      <c r="R178" s="727">
        <f>0</f>
        <v>0</v>
      </c>
      <c r="S178" s="727">
        <f>-1</f>
        <v>-1</v>
      </c>
      <c r="T178" s="727">
        <f>0</f>
        <v>0</v>
      </c>
      <c r="U178" s="727">
        <f>0</f>
        <v>0</v>
      </c>
      <c r="V178" s="727">
        <f>0</f>
        <v>0</v>
      </c>
      <c r="W178" s="727">
        <f>0</f>
        <v>0</v>
      </c>
      <c r="X178" s="727">
        <f>0</f>
        <v>0</v>
      </c>
      <c r="Y178" s="727">
        <f>0</f>
        <v>0</v>
      </c>
      <c r="Z178" s="727">
        <f>0</f>
        <v>0</v>
      </c>
      <c r="AA178" s="727">
        <f>0</f>
        <v>0</v>
      </c>
      <c r="AB178" s="727">
        <f>-f_E*(i_N_XE-i_N_BIO)</f>
        <v>8.0000000000000069E-4</v>
      </c>
      <c r="AC178" s="727">
        <f>0</f>
        <v>0</v>
      </c>
      <c r="AD178" s="727">
        <f>0</f>
        <v>0</v>
      </c>
      <c r="AE178" s="727">
        <f>0</f>
        <v>0</v>
      </c>
      <c r="AF178" s="727">
        <f>0</f>
        <v>0</v>
      </c>
      <c r="AG178" s="727">
        <f>0</f>
        <v>0</v>
      </c>
      <c r="AH178" s="727">
        <f>0</f>
        <v>0</v>
      </c>
      <c r="AI178" s="727">
        <f>0</f>
        <v>0</v>
      </c>
      <c r="AJ178" s="727">
        <f>0</f>
        <v>0</v>
      </c>
      <c r="AK178" s="727">
        <f>(1-f_E)*i_N_BIO</f>
        <v>6.4400000000000013E-2</v>
      </c>
      <c r="AL178" s="727">
        <f>0</f>
        <v>0</v>
      </c>
      <c r="AM178" s="727">
        <f>0</f>
        <v>0</v>
      </c>
      <c r="AN178" s="727">
        <f>0</f>
        <v>0</v>
      </c>
      <c r="AO178" s="727">
        <f>0</f>
        <v>0</v>
      </c>
      <c r="AP178" s="727">
        <f>(1-f_E)*i_P_BIO</f>
        <v>1.84E-2</v>
      </c>
      <c r="AQ178" s="727">
        <f>0</f>
        <v>0</v>
      </c>
      <c r="AR178" s="727">
        <f>0</f>
        <v>0</v>
      </c>
      <c r="AS178" s="727">
        <f>0</f>
        <v>0</v>
      </c>
      <c r="AT178" s="727">
        <f>0</f>
        <v>0</v>
      </c>
      <c r="AU178" s="727">
        <f>(1-f_E)*(i_CIT_BIO-i_CIT_SB)</f>
        <v>6.0720000000000003E-2</v>
      </c>
      <c r="AV178" s="727">
        <f>-i_INORG</f>
        <v>-0.11</v>
      </c>
      <c r="AW178" s="765">
        <f>i_INORG*(1-i_Ca_INORG*(A_MCa+2*A_MCl)/A_MCa-i_Mg_INORG*(A_MMg+2*A_MCl)/A_MMg)*f_Na</f>
        <v>2.8804303582798466E-2</v>
      </c>
      <c r="AX178" s="765">
        <f>i_INORG*(i_Ca_INORG*(2*A_MCl)/A_MCa+i_Mg_INORG*(2*A_MCl)/A_MMg)+i_INORG*(1-i_Ca_INORG*(A_MCa+2*A_MCl)/A_MCa-i_Mg_INORG*(A_MMg+2*A_MCl)/A_MMg)*(1-f_Na)</f>
        <v>7.0195696417201539E-2</v>
      </c>
      <c r="AY178" s="765">
        <f>i_INORG*i_Ca_INORG</f>
        <v>5.5000000000000005E-3</v>
      </c>
      <c r="AZ178" s="765">
        <f>i_INORG*i_Mg_INORG</f>
        <v>5.5000000000000005E-3</v>
      </c>
      <c r="BA178" s="765">
        <f>0</f>
        <v>0</v>
      </c>
      <c r="BB178" s="765">
        <f>0</f>
        <v>0</v>
      </c>
      <c r="BC178" s="765">
        <f>(1-f_E)*i_S_BIO-(1-f_E)*i_S_XB</f>
        <v>7.8200000000000006E-3</v>
      </c>
      <c r="BD178" s="765">
        <f>0</f>
        <v>0</v>
      </c>
      <c r="BE178" s="765">
        <f>0</f>
        <v>0</v>
      </c>
      <c r="BF178" s="765">
        <f>0</f>
        <v>0</v>
      </c>
      <c r="BG178" s="765">
        <f>0</f>
        <v>0</v>
      </c>
      <c r="BH178" s="765">
        <f>0</f>
        <v>0</v>
      </c>
      <c r="BI178" s="765">
        <f>0</f>
        <v>0</v>
      </c>
      <c r="BJ178" s="765">
        <f>0</f>
        <v>0</v>
      </c>
      <c r="BK178" s="765">
        <f>0</f>
        <v>0</v>
      </c>
      <c r="BL178" s="765">
        <f>0</f>
        <v>0</v>
      </c>
      <c r="BM178" s="765">
        <f>0</f>
        <v>0</v>
      </c>
      <c r="BN178" s="765">
        <f>0</f>
        <v>0</v>
      </c>
      <c r="BO178" s="765">
        <f>0</f>
        <v>0</v>
      </c>
      <c r="BP178" s="765">
        <f>0</f>
        <v>0</v>
      </c>
      <c r="BQ178" s="765">
        <f>0</f>
        <v>0</v>
      </c>
      <c r="BR178" s="765">
        <f>0</f>
        <v>0</v>
      </c>
      <c r="BS178" s="765">
        <f>0</f>
        <v>0</v>
      </c>
      <c r="BT178" s="765">
        <f>0</f>
        <v>0</v>
      </c>
      <c r="BU178" s="765">
        <f>0</f>
        <v>0</v>
      </c>
      <c r="BV178" s="888">
        <f>0</f>
        <v>0</v>
      </c>
      <c r="BW178" s="765">
        <f>0</f>
        <v>0</v>
      </c>
      <c r="BX178" s="765">
        <f>0</f>
        <v>0</v>
      </c>
      <c r="BY178" s="765">
        <f>0</f>
        <v>0</v>
      </c>
      <c r="BZ178" s="765">
        <f>0</f>
        <v>0</v>
      </c>
      <c r="CA178" s="888">
        <f>0</f>
        <v>0</v>
      </c>
      <c r="CB178" s="765">
        <f>0</f>
        <v>0</v>
      </c>
      <c r="CC178" s="765">
        <f>0</f>
        <v>0</v>
      </c>
      <c r="CD178" s="765">
        <f>0</f>
        <v>0</v>
      </c>
      <c r="CE178" s="765">
        <f>0</f>
        <v>0</v>
      </c>
      <c r="CF178" s="765">
        <f>0</f>
        <v>0</v>
      </c>
      <c r="CG178" s="765">
        <f>0</f>
        <v>0</v>
      </c>
      <c r="CH178" s="765">
        <f>0</f>
        <v>0</v>
      </c>
      <c r="CI178" s="765">
        <f>0</f>
        <v>0</v>
      </c>
      <c r="CJ178" s="765">
        <f>0</f>
        <v>0</v>
      </c>
      <c r="CK178" s="765">
        <f>0</f>
        <v>0</v>
      </c>
      <c r="CL178" s="765">
        <f>0</f>
        <v>0</v>
      </c>
      <c r="CM178" s="765">
        <f>0</f>
        <v>0</v>
      </c>
      <c r="CN178" s="765">
        <f>0</f>
        <v>0</v>
      </c>
      <c r="CO178" s="765">
        <f>0</f>
        <v>0</v>
      </c>
      <c r="CP178" s="765">
        <f>0</f>
        <v>0</v>
      </c>
      <c r="CQ178" s="765">
        <f>0</f>
        <v>0</v>
      </c>
      <c r="CR178" s="765">
        <f>0</f>
        <v>0</v>
      </c>
      <c r="CS178" s="765">
        <f>0</f>
        <v>0</v>
      </c>
      <c r="CT178" s="765">
        <f>0</f>
        <v>0</v>
      </c>
      <c r="CU178" s="765">
        <f>0</f>
        <v>0</v>
      </c>
      <c r="CV178" s="2857">
        <f>b_MEOLO_T*X_MEOLO*(η_b_ana*M_inhSNO2_KNO2_MEOLO*M_inhSNO3_KNO3_MEOLO*M_inhSO2_KiO2_MEOLO+m_tox_ana)</f>
        <v>5.0309909039684476E-7</v>
      </c>
      <c r="CX178" s="2880">
        <f>E299*E178+F299*F178+G299*G178+H299*H178+I299*I178+J299*J178+K299*K178+L299*L178+M299*M178+N299*N178+O299*O178+P299*P178+Q299*Q178+R299*R178+S299*S178+T299*T178+U299*U178+V299*V178+W299*W178+X299*X178+Y299*Y178+Z299*Z178+AA299*AA178+AB299*AB178+AC299*AC178+AD299*AD178+AE299*AE178+AF299*AF178+AG299*AG178+AH299*AH178+AI299*AI178+AJ299*AJ178+AK299*AK178+AL299*AL178+AM299*AM178+AN299*AN178+AO299*AO178+AP299*AP178+AQ299*AQ178+AR299*AR178+AS299*AS178+AT299*AT178+AU299*AU178+AV299*AV178+AW299*AW178+AX299*AX178+AY299*AY178+AZ299*AZ178+BA299*BA178+BB299*BB178+BC299*BC178+BD299*BD178+BE299*BE178+BF299*BF178+BG299*BG178+BH299*BH178+BI299*BI178+BJ299*BJ178+BK299*BK178+BL299*BL178+BM299*BM178+BN299*BN178+BO299*BO178+BP299*BP178+BQ299*BQ178+BR299*BR178+BS299*BS178+BT299*BT178+BU299*BU178+BV299*BV178+BW299*BW178+BX299*BX178+BY299*BY178+BZ299*BZ178+CA299*CA178+CB299*CB178+CC299*CC178+CD299*CD178+CE299*CE178+CF299*CF178+CG299*CG178+CH299*CH178+CI299*CI178+CJ299*CJ178+CK299*CK178+CL299*CL178+CM299*CM178+CN299*CN178+CO299*CO178+CP299*CP178+CQ299*CQ178+CR299*CR178+CS299*CS178+CT299*CT178+CU299*CU178</f>
        <v>0</v>
      </c>
      <c r="CY178" s="2880">
        <f>E300*E178+F300*F178+G300*G178+H300*H178+I300*I178+J300*J178+K300*K178+L300*L178+M300*M178+N300*N178+O300*O178+P300*P178+Q300*Q178+R300*R178+S300*S178+T300*T178+U300*U178+V300*V178+W300*W178+X300*X178+Y300*Y178+Z300*Z178+AA300*AA178+AB300*AB178+AC300*AC178+AD300*AD178+AE300*AE178+AF300*AF178+AG300*AG178+AH300*AH178+AI300*AI178+AJ300*AJ178+AK300*AK178+AL300*AL178+AM300*AM178+AN300*AN178+AO300*AO178+AP300*AP178+AQ300*AQ178+AR300*AR178+AS300*AS178+AT300*AT178+AU300*AU178+AV300*AV178+AW300*AW178+AX300*AX178+AY300*AY178+AZ300*AZ178+BA300*BA178+BB300*BB178+BC300*BC178+BD300*BD178+BE300*BE178+BF300*BF178+BG300*BG178+BH300*BH178+BI300*BI178+BJ300*BJ178+BK300*BK178+BL300*BL178+BM300*BM178+BN300*BN178+BO300*BO178+BP300*BP178+BQ300*BQ178+BR300*BR178+BS300*BS178+BT300*BT178+BU300*BU178+BV300*BV178+BW300*BW178+BX300*BX178+BY300*BY178+BZ300*BZ178+CA300*CA178+CB300*CB178+CC300*CC178+CD300*CD178+CE300*CE178+CF300*CF178+CG300*CG178+CH300*CH178+CI300*CI178+CJ300*CJ178+CK300*CK178+CL300*CL178+CM300*CM178+CN300*CN178+CO300*CO178+CP300*CP178+CQ300*CQ178+CR300*CR178+CS300*CS178+CT300*CT178+CU300*CU178</f>
        <v>6.9388939039072284E-18</v>
      </c>
      <c r="CZ178" s="2881">
        <f>E301*E178+F301*F178+G301*G178+H301*H178+I301*I178+J301*J178+K301*K178+L301*L178+M301*M178+N301*N178+O301*O178+P301*P178+Q301*Q178+R301*R178+S301*S178+T301*T178+U301*U178+V301*V178+W301*W178+X301*X178+Y301*Y178+Z301*Z178+AA301*AA178+AB301*AB178+AC301*AC178+AD301*AD178+AE301*AE178+AF301*AF178+AG301*AG178+AH301*AH178+AI301*AI178+AJ301*AJ178+AK301*AK178+AL301*AL178+AM301*AM178+AN301*AN178+AO301*AO178+AP301*AP178+AQ301*AQ178+AR301*AR178+AS301*AS178+AT301*AT178+AU301*AU178+AV301*AV178+AW301*AW178+AX301*AX178+AY301*AY178+AZ301*AZ178+BA301*BA178+BB301*BB178+BC301*BC178+BD301*BD178+BE301*BE178+BF301*BF178+BG301*BG178+BH301*BH178+BI301*BI178+BJ301*BJ178+BK301*BK178+BL301*BL178+BM301*BM178+BN301*BN178+BO301*BO178+BP301*BP178+BQ301*BQ178+BR301*BR178+BS301*BS178+BT301*BT178+BU301*BU178+BV301*BV178+BW301*BW178+BX301*BX178+BY301*BY178+BZ301*BZ178+CA301*CA178+CB301*CB178+CC301*CC178+CD301*CD178+CE301*CE178+CF301*CF178+CG301*CG178+CH301*CH178+CI301*CI178+CJ301*CJ178+CK301*CK178+CL301*CL178+CM301*CM178+CN301*CN178+CO301*CO178+CP301*CP178+CQ301*CQ178+CR301*CR178+CS301*CS178+CT301*CT178+CU301*CU178</f>
        <v>0</v>
      </c>
      <c r="DA178" s="2882">
        <f>E302*E178+F302*F178+G302*G178+H302*H178+I302*I178+J302*J178+K302*K178+L302*L178+M302*M178+N302*N178+O302*O178+P302*P178+Q302*Q178+R302*R178+S302*S178+T302*T178+U302*U178+V302*V178+W302*W178+X302*X178+Y302*Y178+Z302*Z178+AA302*AA178+AB302*AB178+AC302*AC178+AD302*AD178+AE302*AE178+AF302*AF178+AG302*AG178+AH302*AH178+AI302*AI178+AJ302*AJ178+AK302*AK178+AL302*AL178+AM302*AM178+AN302*AN178+AO302*AO178+AP302*AP178+AQ302*AQ178+AR302*AR178+AS302*AS178+AT302*AT178+AU302*AU178+AV302*AV178+AW302*AW178+AX302*AX178+AY302*AY178+AZ302*AZ178+BA302*BA178+BB302*BB178+BC302*BC178+BD302*BD178+BE302*BE178+BF302*BF178+BG302*BG178+BH302*BH178+BI302*BI178+BJ302*BJ178+BK302*BK178+BL302*BL178+BM302*BM178+BN302*BN178+BO302*BO178+BP302*BP178+BQ302*BQ178+BR302*BR178+BS302*BS178+BT302*BT178+BU302*BU178+BV302*BV178+BW302*BW178+BX302*BX178+BY302*BY178+BZ302*BZ178+CA302*CA178+CB302*CB178+CC302*CC178+CD302*CD178+CE302*CE178+CF302*CF178+CG302*CG178+CH302*CH178+CI302*CI178+CJ302*CJ178+CK302*CK178+CL302*CL178+CM302*CM178+CN302*CN178+CO302*CO178+CP302*CP178+CQ302*CQ178+CR302*CR178+CS302*CS178+CT302*CT178+CU302*CU178</f>
        <v>0</v>
      </c>
      <c r="DB178" s="2882">
        <f>E303*E178+F303*F178+G303*G178+H303*H178+I303*I178+J303*J178+K303*K178+L303*L178+M303*M178+N303*N178+O303*O178+P303*P178+Q303*Q178+R303*R178+S303*S178+T303*T178+U303*U178+V303*V178+W303*W178+X303*X178+Y303*Y178+Z303*Z178+AA303*AA178+AB303*AB178+AC303*AC178+AD303*AD178+AE303*AE178+AF303*AF178+AG303*AG178+AH303*AH178+AI303*AI178+AJ303*AJ178+AK303*AK178+AL303*AL178+AM303*AM178+AN303*AN178+AO303*AO178+AP303*AP178+AQ303*AQ178+AR303*AR178+AS303*AS178+AT303*AT178+AU303*AU178+AV303*AV178+AW303*AW178+AX303*AX178+AY303*AY178+AZ303*AZ178+BA303*BA178+BB303*BB178+BC303*BC178+BD303*BD178+BE303*BE178+BF303*BF178+BG303*BG178+BH303*BH178+BI303*BI178+BJ303*BJ178+BK303*BK178+BL303*BL178+BM303*BM178+BN303*BN178+BO303*BO178+BP303*BP178+BQ303*BQ178+BR303*BR178+BS303*BS178+BT303*BT178+BU303*BU178+BV303*BV178+BW303*BW178+BX303*BX178+BY303*BY178+BZ303*BZ178+CA303*CA178+CB303*CB178+CC303*CC178+CD303*CD178+CE303*CE178+CF303*CF178+CG303*CG178+CH303*CH178+CI303*CI178+CJ303*CJ178+CK303*CK178+CL303*CL178+CM303*CM178+CN303*CN178+CO303*CO178+CP303*CP178+CQ303*CQ178+CR303*CR178+CS303*CS178+CT303*CT178+CU303*CU178</f>
        <v>0</v>
      </c>
      <c r="DC178" s="2882">
        <f>E304*E178+F304*F178+G304*G178+H304*H178+I304*I178+J304*J178+K304*K178+L304*L178+M304*M178+N304*N178+O304*O178+P304*P178+Q304*Q178+R304*R178+S304*S178+T304*T178+U304*U178+V304*V178+W304*W178+X304*X178+Y304*Y178+Z304*Z178+AA304*AA178+AB304*AB178+AC304*AC178+AD304*AD178+AE304*AE178+AF304*AF178+AG304*AG178+AH304*AH178+AI304*AI178+AJ304*AJ178+AK304*AK178+AL304*AL178+AM304*AM178+AN304*AN178+AO304*AO178+AP304*AP178+AQ304*AQ178+AR304*AR178+AS304*AS178+AT304*AT178+AU304*AU178+AV304*AV178+AW304*AW178+AX304*AX178+AY304*AY178+AZ304*AZ178+BA304*BA178+BB304*BB178+BC304*BC178+BD304*BD178+BE304*BE178+BF304*BF178+BG304*BG178+BH304*BH178+BI304*BI178+BJ304*BJ178+BK304*BK178+BL304*BL178+BM304*BM178+BN304*BN178+BO304*BO178+BP304*BP178+BQ304*BQ178+BR304*BR178+BS304*BS178+BT304*BT178+BU304*BU178+BV304*BV178+BW304*BW178+BX304*BX178+BY304*BY178+BZ304*BZ178+CA304*CA178+CB304*CB178+CC304*CC178+CD304*CD178+CE304*CE178+CF304*CF178+CG304*CG178+CH304*CH178+CI304*CI178+CJ304*CJ178+CK304*CK178+CL304*CL178+CM304*CM178+CN304*CN178+CO304*CO178+CP304*CP178+CQ304*CQ178+CR304*CR178+CS304*CS178+CT304*CT178+CU304*CU178</f>
        <v>0</v>
      </c>
      <c r="DD178" s="2882">
        <f>E305*E178+F305*F178+G305*G178+H305*H178+I305*I178+J305*J178+K305*K178+L305*L178+M305*M178+N305*N178+O305*O178+P305*P178+Q305*Q178+R305*R178+S305*S178+T305*T178+U305*U178+V305*V178+W305*W178+X305*X178+Y305*Y178+Z305*Z178+AA305*AA178+AB305*AB178+AC305*AC178+AD305*AD178+AE305*AE178+AF305*AF178+AG305*AG178+AH305*AH178+AI305*AI178+AJ305*AJ178+AK305*AK178+AL305*AL178+AM305*AM178+AN305*AN178+AO305*AO178+AP305*AP178+AQ305*AQ178+AR305*AR178+AS305*AS178+AT305*AT178+AU305*AU178+AV305*AV178+AW305*AW178+AX305*AX178+AY305*AY178+AZ305*AZ178+BA305*BA178+BB305*BB178+BC305*BC178+BD305*BD178+BE305*BE178+BF305*BF178+BG305*BG178+BH305*BH178+BI305*BI178+BJ305*BJ178+BK305*BK178+BL305*BL178+BM305*BM178+BN305*BN178+BO305*BO178+BP305*BP178+BQ305*BQ178+BR305*BR178+BS305*BS178+BT305*BT178+BU305*BU178+BV305*BV178+BW305*BW178+BX305*BX178+BY305*BY178+BZ305*BZ178+CA305*CA178+CB305*CB178+CC305*CC178+CD305*CD178+CE305*CE178+CF305*CF178+CG305*CG178+CH305*CH178+CI305*CI178+CJ305*CJ178+CK305*CK178+CL305*CL178+CM305*CM178+CN305*CN178+CO305*CO178+CP305*CP178+CQ305*CQ178+CR305*CR178+CS305*CS178+CT305*CT178+CU305*CU178</f>
        <v>0</v>
      </c>
      <c r="DE178" s="2882">
        <f>E306*E178+F306*F178+G306*G178+H306*H178+I306*I178+J306*J178+K306*K178+L306*L178+M306*M178+N306*N178+O306*O178+P306*P178+Q306*Q178+R306*R178+S306*S178+T306*T178+U306*U178+V306*V178+W306*W178+X306*X178+Y306*Y178+Z306*Z178+AA306*AA178+AB306*AB178+AC306*AC178+AD306*AD178+AE306*AE178+AF306*AF178+AG306*AG178+AH306*AH178+AI306*AI178+AJ306*AJ178+AK306*AK178+AL306*AL178+AM306*AM178+AN306*AN178+AO306*AO178+AP306*AP178+AQ306*AQ178+AR306*AR178+AS306*AS178+AT306*AT178+AU306*AU178+AV306*AV178+AW306*AW178+AX306*AX178+AY306*AY178+AZ306*AZ178+BA306*BA178+BB306*BB178+BC306*BC178+BD306*BD178+BE306*BE178+BF306*BF178+BG306*BG178+BH306*BH178+BI306*BI178+BJ306*BJ178+BK306*BK178+BL306*BL178+BM306*BM178+BN306*BN178+BO306*BO178+BP306*BP178+BQ306*BQ178+BR306*BR178+BS306*BS178+BT306*BT178+BU306*BU178+BV306*BV178+BW306*BW178+BX306*BX178+BY306*BY178+BZ306*BZ178+CA306*CA178+CB306*CB178+CC306*CC178+CD306*CD178+CE306*CE178+CF306*CF178+CG306*CG178+CH306*CH178+CI306*CI178+CJ306*CJ178+CK306*CK178+CL306*CL178+CM306*CM178+CN306*CN178+CO306*CO178+CP306*CP178+CQ306*CQ178+CR306*CR178+CS306*CS178+CT306*CT178+CU306*CU178</f>
        <v>0</v>
      </c>
      <c r="DF178" s="2882">
        <f>E307*E178+F307*F178+G307*G178+H307*H178+I307*I178+J307*J178+K307*K178+L307*L178+M307*M178+N307*N178+O307*O178+P307*P178+Q307*Q178+R307*R178+S307*S178+T307*T178+U307*U178+V307*V178+W307*W178+X307*X178+Y307*Y178+Z307*Z178+AA307*AA178+AB307*AB178+AC307*AC178+AD307*AD178+AE307*AE178+AF307*AF178+AG307*AG178+AH307*AH178+AI307*AI178+AJ307*AJ178+AK307*AK178+AL307*AL178+AM307*AM178+AN307*AN178+AO307*AO178+AP307*AP178+AQ307*AQ178+AR307*AR178+AS307*AS178+AT307*AT178+AU307*AU178+AV307*AV178+AW307*AW178+AX307*AX178+AY307*AY178+AZ307*AZ178+BA307*BA178+BB307*BB178+BC307*BC178+BD307*BD178+BE307*BE178+BF307*BF178+BG307*BG178+BH307*BH178+BI307*BI178+BJ307*BJ178+BK307*BK178+BL307*BL178+BM307*BM178+BN307*BN178+BO307*BO178+BP307*BP178+BQ307*BQ178+BR307*BR178+BS307*BS178+BT307*BT178+BU307*BU178+BV307*BV178+BW307*BW178+BX307*BX178+BY307*BY178+BZ307*BZ178+CA307*CA178+CB307*CB178+CC307*CC178+CD307*CD178+CE307*CE178+CF307*CF178+CG307*CG178+CH307*CH178+CI307*CI178+CJ307*CJ178+CK307*CK178+CL307*CL178+CM307*CM178+CN307*CN178+CO307*CO178+CP307*CP178+CQ307*CQ178+CR307*CR178+CS307*CS178+CT307*CT178+CU307*CU178</f>
        <v>0</v>
      </c>
      <c r="DG178" s="2882">
        <f>E308*E178+F308*F178+G308*G178+H308*H178+I308*I178+J308*J178+K308*K178+L308*L178+M308*M178+N308*N178+O308*O178+P308*P178+Q308*Q178+R308*R178+S308*S178+T308*T178+U308*U178+V308*V178+W308*W178+X308*X178+Y308*Y178+Z308*Z178+AA308*AA178+AB308*AB178+AC308*AC178+AD308*AD178+AE308*AE178+AF308*AF178+AG308*AG178+AH308*AH178+AI308*AI178+AJ308*AJ178+AK308*AK178+AL308*AL178+AM308*AM178+AN308*AN178+AO308*AO178+AP308*AP178+AQ308*AQ178+AR308*AR178+AS308*AS178+AT308*AT178+AU308*AU178+AV308*AV178+AW308*AW178+AX308*AX178+AY308*AY178+AZ308*AZ178+BA308*BA178+BB308*BB178+BC308*BC178+BD308*BD178+BE308*BE178+BF308*BF178+BG308*BG178+BH308*BH178+BI308*BI178+BJ308*BJ178+BK308*BK178+BL308*BL178+BM308*BM178+BN308*BN178+BO308*BO178+BP308*BP178+BQ308*BQ178+BR308*BR178+BS308*BS178+BT308*BT178+BU308*BU178+BV308*BV178+BW308*BW178+BX308*BX178+BY308*BY178+BZ308*BZ178+CA308*CA178+CB308*CB178+CC308*CC178+CD308*CD178+CE308*CE178+CF308*CF178+CG308*CG178+CH308*CH178+CI308*CI178+CJ308*CJ178+CK308*CK178+CL308*CL178+CM308*CM178+CN308*CN178+CO308*CO178+CP308*CP178+CQ308*CQ178+CR308*CR178+CS308*CS178+CT308*CT178+CU308*CU178</f>
        <v>0</v>
      </c>
      <c r="DH178" s="2882">
        <f>E309*E178+F309*F178+G309*G178+H309*H178+I309*I178+J309*J178+K309*K178+L309*L178+M309*M178+N309*N178+O309*O178+P309*P178+Q309*Q178+R309*R178+S309*S178+T309*T178+U309*U178+V309*V178+W309*W178+X309*X178+Y309*Y178+Z309*Z178+AA309*AA178+AB309*AB178+AC309*AC178+AD309*AD178+AE309*AE178+AF309*AF178+AG309*AG178+AH309*AH178+AI309*AI178+AJ309*AJ178+AK309*AK178+AL309*AL178+AM309*AM178+AN309*AN178+AO309*AO178+AP309*AP178+AQ309*AQ178+AR309*AR178+AS309*AS178+AT309*AT178+AU309*AU178+AV309*AV178+AW309*AW178+AX309*AX178+AY309*AY178+AZ309*AZ178+BA309*BA178+BB309*BB178+BC309*BC178+BD309*BD178+BE309*BE178+BF309*BF178+BG309*BG178+BH309*BH178+BI309*BI178+BJ309*BJ178+BK309*BK178+BL309*BL178+BM309*BM178+BN309*BN178+BO309*BO178+BP309*BP178+BQ309*BQ178+BR309*BR178+BS309*BS178+BT309*BT178+BU309*BU178+BV309*BV178+BW309*BW178+BX309*BX178+BY309*BY178+BZ309*BZ178+CA309*CA178+CB309*CB178+CC309*CC178+CD309*CD178+CE309*CE178+CF309*CF178+CG309*CG178+CH309*CH178+CI309*CI178+CJ309*CJ178+CK309*CK178+CL309*CL178+CM309*CM178+CN309*CN178+CO309*CO178+CP309*CP178+CQ309*CQ178+CR309*CR178+CS309*CS178+CT309*CT178+CU309*CU178</f>
        <v>0</v>
      </c>
      <c r="DI178" s="2882">
        <f>E310*E178+F310*F178+G310*G178+H310*H178+I310*I178+J310*J178+K310*K178+L310*L178+M310*M178+N310*N178+O310*O178+P310*P178+Q310*Q178+R310*R178+S310*S178+T310*T178+U310*U178+V310*V178+W310*W178+X310*X178+Y310*Y178+Z310*Z178+AA310*AA178+AB310*AB178+AC310*AC178+AD310*AD178+AE310*AE178+AF310*AF178+AG310*AG178+AH310*AH178+AI310*AI178+AJ310*AJ178+AK310*AK178+AL310*AL178+AM310*AM178+AN310*AN178+AO310*AO178+AP310*AP178+AQ310*AQ178+AR310*AR178+AS310*AS178+AT310*AT178+AU310*AU178+AV310*AV178+AW310*AW178+AX310*AX178+AY310*AY178+AZ310*AZ178+BA310*BA178+BB310*BB178+BC310*BC178+BD310*BD178+BE310*BE178+BF310*BF178+BG310*BG178+BH310*BH178+BI310*BI178+BJ310*BJ178+BK310*BK178+BL310*BL178+BM310*BM178+BN310*BN178+BO310*BO178+BP310*BP178+BQ310*BQ178+BR310*BR178+BS310*BS178+BT310*BT178+BU310*BU178+BV310*BV178+BW310*BW178+BX310*BX178+BY310*BY178+BZ310*BZ178+CA310*CA178+CB310*CB178+CC310*CC178+CD310*CD178+CE310*CE178+CF310*CF178+CG310*CG178+CH310*CH178+CI310*CI178+CJ310*CJ178+CK310*CK178+CL310*CL178+CM310*CM178+CN310*CN178+CO310*CO178+CP310*CP178+CQ310*CQ178+CR310*CR178+CS310*CS178+CT310*CT178+CU310*CU178</f>
        <v>0</v>
      </c>
    </row>
    <row r="179" spans="2:113" ht="15.75" x14ac:dyDescent="0.45">
      <c r="B179" s="915">
        <v>20</v>
      </c>
      <c r="C179" s="915" t="s">
        <v>243</v>
      </c>
      <c r="D179" s="916" t="s">
        <v>4352</v>
      </c>
      <c r="E179" s="890">
        <f>0</f>
        <v>0</v>
      </c>
      <c r="F179" s="890">
        <f>0</f>
        <v>0</v>
      </c>
      <c r="G179" s="890">
        <f>0</f>
        <v>0</v>
      </c>
      <c r="H179" s="890">
        <f>0</f>
        <v>0</v>
      </c>
      <c r="I179" s="890">
        <f>0</f>
        <v>0</v>
      </c>
      <c r="J179" s="890">
        <f>0</f>
        <v>0</v>
      </c>
      <c r="K179" s="890">
        <f>0</f>
        <v>0</v>
      </c>
      <c r="L179" s="890">
        <f>0</f>
        <v>0</v>
      </c>
      <c r="M179" s="889">
        <f>-(X_PHA/X_STC)/Y_CASTO_STC_ox</f>
        <v>-1.371742112482853</v>
      </c>
      <c r="N179" s="889">
        <f>-(X_GLY/X_STC)/Y_CASTO_STC_ox</f>
        <v>-0.20576131687242796</v>
      </c>
      <c r="O179" s="890">
        <f>0</f>
        <v>0</v>
      </c>
      <c r="P179" s="890">
        <f>0</f>
        <v>0</v>
      </c>
      <c r="Q179" s="890">
        <f>0</f>
        <v>0</v>
      </c>
      <c r="R179" s="890">
        <f>1</f>
        <v>1</v>
      </c>
      <c r="S179" s="890">
        <f>0</f>
        <v>0</v>
      </c>
      <c r="T179" s="890">
        <f>0</f>
        <v>0</v>
      </c>
      <c r="U179" s="890">
        <f>0</f>
        <v>0</v>
      </c>
      <c r="V179" s="890">
        <f>0</f>
        <v>0</v>
      </c>
      <c r="W179" s="890">
        <f>0</f>
        <v>0</v>
      </c>
      <c r="X179" s="890">
        <f>0</f>
        <v>0</v>
      </c>
      <c r="Y179" s="2546">
        <f>0</f>
        <v>0</v>
      </c>
      <c r="Z179" s="2546">
        <f>0</f>
        <v>0</v>
      </c>
      <c r="AA179" s="2546">
        <f>0</f>
        <v>0</v>
      </c>
      <c r="AB179" s="890">
        <f>-i_N_BIO</f>
        <v>-7.0000000000000007E-2</v>
      </c>
      <c r="AC179" s="890">
        <f>0</f>
        <v>0</v>
      </c>
      <c r="AD179" s="890">
        <f>0</f>
        <v>0</v>
      </c>
      <c r="AE179" s="890">
        <f>0</f>
        <v>0</v>
      </c>
      <c r="AF179" s="890">
        <f>0</f>
        <v>0</v>
      </c>
      <c r="AG179" s="890">
        <f>0</f>
        <v>0</v>
      </c>
      <c r="AH179" s="890">
        <f>0</f>
        <v>0</v>
      </c>
      <c r="AI179" s="890">
        <f>0</f>
        <v>0</v>
      </c>
      <c r="AJ179" s="890">
        <f>0</f>
        <v>0</v>
      </c>
      <c r="AK179" s="890">
        <f>0</f>
        <v>0</v>
      </c>
      <c r="AL179" s="890">
        <f>0</f>
        <v>0</v>
      </c>
      <c r="AM179" s="889">
        <f>-i_P_BIO</f>
        <v>-0.02</v>
      </c>
      <c r="AN179" s="890">
        <f>0</f>
        <v>0</v>
      </c>
      <c r="AO179" s="890">
        <f>0</f>
        <v>0</v>
      </c>
      <c r="AP179" s="890">
        <f>0</f>
        <v>0</v>
      </c>
      <c r="AQ179" s="890">
        <f>0</f>
        <v>0</v>
      </c>
      <c r="AR179" s="889">
        <f>-(1-Y_CASTO_STC_ox)/Y_CASTO_STC_ox</f>
        <v>-0.57750342935528098</v>
      </c>
      <c r="AS179" s="889">
        <f>0</f>
        <v>0</v>
      </c>
      <c r="AT179" s="889">
        <f>0</f>
        <v>0</v>
      </c>
      <c r="AU179" s="889">
        <f>(i_CIT_STC/Y_CASTO_STC_ox)-i_CIT_BIO</f>
        <v>0.18195061728395057</v>
      </c>
      <c r="AV179" s="889">
        <f>i_INORG</f>
        <v>0.11</v>
      </c>
      <c r="AW179" s="889">
        <f>-i_INORG*(1-i_Ca_INORG*(A_MCa+2*A_MCl)/A_MCa-i_Mg_INORG*(A_MMg+2*A_MCl)/A_MMg)*f_Na</f>
        <v>-2.8804303582798466E-2</v>
      </c>
      <c r="AX179" s="889">
        <f>-i_INORG*(i_Ca_INORG*(2*A_MCl)/A_MCa+i_Mg_INORG*(2*A_MCl)/A_MMg)-i_INORG*(1-i_Ca_INORG*(A_MCa+2*A_MCl)/A_MCa-i_Mg_INORG*(A_MMg+2*A_MCl)/A_MMg)*(1-f_Na)</f>
        <v>-7.0195696417201539E-2</v>
      </c>
      <c r="AY179" s="889">
        <f>-i_INORG*i_Ca_INORG</f>
        <v>-5.5000000000000005E-3</v>
      </c>
      <c r="AZ179" s="889">
        <f>-i_INORG*i_Mg_INORG</f>
        <v>-5.5000000000000005E-3</v>
      </c>
      <c r="BA179" s="889">
        <f>0</f>
        <v>0</v>
      </c>
      <c r="BB179" s="2557">
        <f>0</f>
        <v>0</v>
      </c>
      <c r="BC179" s="2851">
        <f>-i_S_BIO</f>
        <v>-0.01</v>
      </c>
      <c r="BD179" s="2557">
        <f>0</f>
        <v>0</v>
      </c>
      <c r="BE179" s="889">
        <f>0</f>
        <v>0</v>
      </c>
      <c r="BF179" s="889">
        <f>0</f>
        <v>0</v>
      </c>
      <c r="BG179" s="889">
        <f>0</f>
        <v>0</v>
      </c>
      <c r="BH179" s="889">
        <f>0</f>
        <v>0</v>
      </c>
      <c r="BI179" s="889">
        <f>0</f>
        <v>0</v>
      </c>
      <c r="BJ179" s="889">
        <f>0</f>
        <v>0</v>
      </c>
      <c r="BK179" s="889">
        <f>0</f>
        <v>0</v>
      </c>
      <c r="BL179" s="889">
        <f>0</f>
        <v>0</v>
      </c>
      <c r="BM179" s="889">
        <f>0</f>
        <v>0</v>
      </c>
      <c r="BN179" s="889">
        <f>0</f>
        <v>0</v>
      </c>
      <c r="BO179" s="889">
        <f>0</f>
        <v>0</v>
      </c>
      <c r="BP179" s="889">
        <f>0</f>
        <v>0</v>
      </c>
      <c r="BQ179" s="889">
        <f>0</f>
        <v>0</v>
      </c>
      <c r="BR179" s="889">
        <f>0</f>
        <v>0</v>
      </c>
      <c r="BS179" s="889">
        <f>0</f>
        <v>0</v>
      </c>
      <c r="BT179" s="889">
        <f>0</f>
        <v>0</v>
      </c>
      <c r="BU179" s="889">
        <f>0</f>
        <v>0</v>
      </c>
      <c r="BV179" s="889">
        <f>0</f>
        <v>0</v>
      </c>
      <c r="BW179" s="889">
        <f>0</f>
        <v>0</v>
      </c>
      <c r="BX179" s="889">
        <f>0</f>
        <v>0</v>
      </c>
      <c r="BY179" s="2557">
        <f>0</f>
        <v>0</v>
      </c>
      <c r="BZ179" s="889">
        <f>0</f>
        <v>0</v>
      </c>
      <c r="CA179" s="889">
        <f>0</f>
        <v>0</v>
      </c>
      <c r="CB179" s="889">
        <f>0</f>
        <v>0</v>
      </c>
      <c r="CC179" s="889">
        <f>0</f>
        <v>0</v>
      </c>
      <c r="CD179" s="889">
        <f>0</f>
        <v>0</v>
      </c>
      <c r="CE179" s="889">
        <f>0</f>
        <v>0</v>
      </c>
      <c r="CF179" s="889">
        <f>0</f>
        <v>0</v>
      </c>
      <c r="CG179" s="889">
        <f>0</f>
        <v>0</v>
      </c>
      <c r="CH179" s="889">
        <f>0</f>
        <v>0</v>
      </c>
      <c r="CI179" s="889">
        <f>0</f>
        <v>0</v>
      </c>
      <c r="CJ179" s="2557">
        <f>0</f>
        <v>0</v>
      </c>
      <c r="CK179" s="889">
        <f>0</f>
        <v>0</v>
      </c>
      <c r="CL179" s="889">
        <f>0</f>
        <v>0</v>
      </c>
      <c r="CM179" s="889">
        <f>0</f>
        <v>0</v>
      </c>
      <c r="CN179" s="889">
        <f>0</f>
        <v>0</v>
      </c>
      <c r="CO179" s="889">
        <f>0</f>
        <v>0</v>
      </c>
      <c r="CP179" s="889">
        <f>0</f>
        <v>0</v>
      </c>
      <c r="CQ179" s="889">
        <f>0</f>
        <v>0</v>
      </c>
      <c r="CR179" s="889">
        <f>0</f>
        <v>0</v>
      </c>
      <c r="CS179" s="2557">
        <f>0</f>
        <v>0</v>
      </c>
      <c r="CT179" s="2557">
        <f>0</f>
        <v>0</v>
      </c>
      <c r="CU179" s="2557">
        <f>0</f>
        <v>0</v>
      </c>
      <c r="CV179" s="2858">
        <f>µ_CASTO_T*X_CASTO*M_RsatXSTC_XCASTO_KSTC*M_satSO2_KO2_CASTO*M_satSNHx_KNHx_BIO*M_satSPO4_KPO4_BIO*M_satSCAT_KCAT*M_satSAN_KAN*M_satSCa_KCa_PAO*M_satSMg_KMg_PAO*B_ellinhpH</f>
        <v>151.76849076728641</v>
      </c>
      <c r="CX179" s="2880">
        <f>E299*E179+F299*F179+G299*G179+H299*H179+I299*I179+J299*J179+K299*K179+L299*L179+M299*M179+N299*N179+O299*O179+P299*P179+Q299*Q179+R299*R179+S299*S179+T299*T179+U299*U179+V299*V179+W299*W179+X299*X179+Y299*Y179+Z299*Z179+AA299*AA179+AB299*AB179+AC299*AC179+AD299*AD179+AE299*AE179+AF299*AF179+AG299*AG179+AH299*AH179+AI299*AI179+AJ299*AJ179+AK299*AK179+AL299*AL179+AM299*AM179+AN299*AN179+AO299*AO179+AP299*AP179+AQ299*AQ179+AR299*AR179+AS299*AS179+AT299*AT179+AU299*AU179+AV299*AV179+AW299*AW179+AX299*AX179+AY299*AY179+AZ299*AZ179+BA299*BA179+BB299*BB179+BC299*BC179+BD299*BD179+BE299*BE179+BF299*BF179+BG299*BG179+BH299*BH179+BI299*BI179+BJ299*BJ179+BK299*BK179+BL299*BL179+BM299*BM179+BN299*BN179+BO299*BO179+BP299*BP179+BQ299*BQ179+BR299*BR179+BS299*BS179+BT299*BT179+BU299*BU179+BV299*BV179+BW299*BW179+BX299*BX179+BY299*BY179+BZ299*BZ179+CA299*CA179+CB299*CB179+CC299*CC179+CD299*CD179+CE299*CE179+CF299*CF179+CG299*CG179+CH299*CH179+CI299*CI179+CJ299*CJ179+CK299*CK179+CL299*CL179+CM299*CM179+CN299*CN179+CO299*CO179+CP299*CP179+CQ299*CQ179+CR299*CR179+CS299*CS179+CT299*CT179+CU299*CU179</f>
        <v>0</v>
      </c>
      <c r="CY179" s="2880">
        <f>E300*E179+F300*F179+G300*G179+H300*H179+I300*I179+J300*J179+K300*K179+L300*L179+M300*M179+N300*N179+O300*O179+P300*P179+Q300*Q179+R300*R179+S300*S179+T300*T179+U300*U179+V300*V179+W300*W179+X300*X179+Y300*Y179+Z300*Z179+AA300*AA179+AB300*AB179+AC300*AC179+AD300*AD179+AE300*AE179+AF300*AF179+AG300*AG179+AH300*AH179+AI300*AI179+AJ300*AJ179+AK300*AK179+AL300*AL179+AM300*AM179+AN300*AN179+AO300*AO179+AP300*AP179+AQ300*AQ179+AR300*AR179+AS300*AS179+AT300*AT179+AU300*AU179+AV300*AV179+AW300*AW179+AX300*AX179+AY300*AY179+AZ300*AZ179+BA300*BA179+BB300*BB179+BC300*BC179+BD300*BD179+BE300*BE179+BF300*BF179+BG300*BG179+BH300*BH179+BI300*BI179+BJ300*BJ179+BK300*BK179+BL300*BL179+BM300*BM179+BN300*BN179+BO300*BO179+BP300*BP179+BQ300*BQ179+BR300*BR179+BS300*BS179+BT300*BT179+BU300*BU179+BV300*BV179+BW300*BW179+BX300*BX179+BY300*BY179+BZ300*BZ179+CA300*CA179+CB300*CB179+CC300*CC179+CD300*CD179+CE300*CE179+CF300*CF179+CG300*CG179+CH300*CH179+CI300*CI179+CJ300*CJ179+CK300*CK179+CL300*CL179+CM300*CM179+CN300*CN179+CO300*CO179+CP300*CP179+CQ300*CQ179+CR300*CR179+CS300*CS179+CT300*CT179+CU300*CU179</f>
        <v>0</v>
      </c>
      <c r="CZ179" s="2881">
        <f>E301*E179+F301*F179+G301*G179+H301*H179+I301*I179+J301*J179+K301*K179+L301*L179+M301*M179+N301*N179+O301*O179+P301*P179+Q301*Q179+R301*R179+S301*S179+T301*T179+U301*U179+V301*V179+W301*W179+X301*X179+Y301*Y179+Z301*Z179+AA301*AA179+AB301*AB179+AC301*AC179+AD301*AD179+AE301*AE179+AF301*AF179+AG301*AG179+AH301*AH179+AI301*AI179+AJ301*AJ179+AK301*AK179+AL301*AL179+AM301*AM179+AN301*AN179+AO301*AO179+AP301*AP179+AQ301*AQ179+AR301*AR179+AS301*AS179+AT301*AT179+AU301*AU179+AV301*AV179+AW301*AW179+AX301*AX179+AY301*AY179+AZ301*AZ179+BA301*BA179+BB301*BB179+BC301*BC179+BD301*BD179+BE301*BE179+BF301*BF179+BG301*BG179+BH301*BH179+BI301*BI179+BJ301*BJ179+BK301*BK179+BL301*BL179+BM301*BM179+BN301*BN179+BO301*BO179+BP301*BP179+BQ301*BQ179+BR301*BR179+BS301*BS179+BT301*BT179+BU301*BU179+BV301*BV179+BW301*BW179+BX301*BX179+BY301*BY179+BZ301*BZ179+CA301*CA179+CB301*CB179+CC301*CC179+CD301*CD179+CE301*CE179+CF301*CF179+CG301*CG179+CH301*CH179+CI301*CI179+CJ301*CJ179+CK301*CK179+CL301*CL179+CM301*CM179+CN301*CN179+CO301*CO179+CP301*CP179+CQ301*CQ179+CR301*CR179+CS301*CS179+CT301*CT179+CU301*CU179</f>
        <v>0</v>
      </c>
      <c r="DA179" s="2882">
        <f>E302*E179+F302*F179+G302*G179+H302*H179+I302*I179+J302*J179+K302*K179+L302*L179+M302*M179+N302*N179+O302*O179+P302*P179+Q302*Q179+R302*R179+S302*S179+T302*T179+U302*U179+V302*V179+W302*W179+X302*X179+Y302*Y179+Z302*Z179+AA302*AA179+AB302*AB179+AC302*AC179+AD302*AD179+AE302*AE179+AF302*AF179+AG302*AG179+AH302*AH179+AI302*AI179+AJ302*AJ179+AK302*AK179+AL302*AL179+AM302*AM179+AN302*AN179+AO302*AO179+AP302*AP179+AQ302*AQ179+AR302*AR179+AS302*AS179+AT302*AT179+AU302*AU179+AV302*AV179+AW302*AW179+AX302*AX179+AY302*AY179+AZ302*AZ179+BA302*BA179+BB302*BB179+BC302*BC179+BD302*BD179+BE302*BE179+BF302*BF179+BG302*BG179+BH302*BH179+BI302*BI179+BJ302*BJ179+BK302*BK179+BL302*BL179+BM302*BM179+BN302*BN179+BO302*BO179+BP302*BP179+BQ302*BQ179+BR302*BR179+BS302*BS179+BT302*BT179+BU302*BU179+BV302*BV179+BW302*BW179+BX302*BX179+BY302*BY179+BZ302*BZ179+CA302*CA179+CB302*CB179+CC302*CC179+CD302*CD179+CE302*CE179+CF302*CF179+CG302*CG179+CH302*CH179+CI302*CI179+CJ302*CJ179+CK302*CK179+CL302*CL179+CM302*CM179+CN302*CN179+CO302*CO179+CP302*CP179+CQ302*CQ179+CR302*CR179+CS302*CS179+CT302*CT179+CU302*CU179</f>
        <v>0</v>
      </c>
      <c r="DB179" s="2882">
        <f>E303*E179+F303*F179+G303*G179+H303*H179+I303*I179+J303*J179+K303*K179+L303*L179+M303*M179+N303*N179+O303*O179+P303*P179+Q303*Q179+R303*R179+S303*S179+T303*T179+U303*U179+V303*V179+W303*W179+X303*X179+Y303*Y179+Z303*Z179+AA303*AA179+AB303*AB179+AC303*AC179+AD303*AD179+AE303*AE179+AF303*AF179+AG303*AG179+AH303*AH179+AI303*AI179+AJ303*AJ179+AK303*AK179+AL303*AL179+AM303*AM179+AN303*AN179+AO303*AO179+AP303*AP179+AQ303*AQ179+AR303*AR179+AS303*AS179+AT303*AT179+AU303*AU179+AV303*AV179+AW303*AW179+AX303*AX179+AY303*AY179+AZ303*AZ179+BA303*BA179+BB303*BB179+BC303*BC179+BD303*BD179+BE303*BE179+BF303*BF179+BG303*BG179+BH303*BH179+BI303*BI179+BJ303*BJ179+BK303*BK179+BL303*BL179+BM303*BM179+BN303*BN179+BO303*BO179+BP303*BP179+BQ303*BQ179+BR303*BR179+BS303*BS179+BT303*BT179+BU303*BU179+BV303*BV179+BW303*BW179+BX303*BX179+BY303*BY179+BZ303*BZ179+CA303*CA179+CB303*CB179+CC303*CC179+CD303*CD179+CE303*CE179+CF303*CF179+CG303*CG179+CH303*CH179+CI303*CI179+CJ303*CJ179+CK303*CK179+CL303*CL179+CM303*CM179+CN303*CN179+CO303*CO179+CP303*CP179+CQ303*CQ179+CR303*CR179+CS303*CS179+CT303*CT179+CU303*CU179</f>
        <v>0</v>
      </c>
      <c r="DC179" s="2882">
        <f>E304*E179+F304*F179+G304*G179+H304*H179+I304*I179+J304*J179+K304*K179+L304*L179+M304*M179+N304*N179+O304*O179+P304*P179+Q304*Q179+R304*R179+S304*S179+T304*T179+U304*U179+V304*V179+W304*W179+X304*X179+Y304*Y179+Z304*Z179+AA304*AA179+AB304*AB179+AC304*AC179+AD304*AD179+AE304*AE179+AF304*AF179+AG304*AG179+AH304*AH179+AI304*AI179+AJ304*AJ179+AK304*AK179+AL304*AL179+AM304*AM179+AN304*AN179+AO304*AO179+AP304*AP179+AQ304*AQ179+AR304*AR179+AS304*AS179+AT304*AT179+AU304*AU179+AV304*AV179+AW304*AW179+AX304*AX179+AY304*AY179+AZ304*AZ179+BA304*BA179+BB304*BB179+BC304*BC179+BD304*BD179+BE304*BE179+BF304*BF179+BG304*BG179+BH304*BH179+BI304*BI179+BJ304*BJ179+BK304*BK179+BL304*BL179+BM304*BM179+BN304*BN179+BO304*BO179+BP304*BP179+BQ304*BQ179+BR304*BR179+BS304*BS179+BT304*BT179+BU304*BU179+BV304*BV179+BW304*BW179+BX304*BX179+BY304*BY179+BZ304*BZ179+CA304*CA179+CB304*CB179+CC304*CC179+CD304*CD179+CE304*CE179+CF304*CF179+CG304*CG179+CH304*CH179+CI304*CI179+CJ304*CJ179+CK304*CK179+CL304*CL179+CM304*CM179+CN304*CN179+CO304*CO179+CP304*CP179+CQ304*CQ179+CR304*CR179+CS304*CS179+CT304*CT179+CU304*CU179</f>
        <v>0</v>
      </c>
      <c r="DD179" s="2882">
        <f>E305*E179+F305*F179+G305*G179+H305*H179+I305*I179+J305*J179+K305*K179+L305*L179+M305*M179+N305*N179+O305*O179+P305*P179+Q305*Q179+R305*R179+S305*S179+T305*T179+U305*U179+V305*V179+W305*W179+X305*X179+Y305*Y179+Z305*Z179+AA305*AA179+AB305*AB179+AC305*AC179+AD305*AD179+AE305*AE179+AF305*AF179+AG305*AG179+AH305*AH179+AI305*AI179+AJ305*AJ179+AK305*AK179+AL305*AL179+AM305*AM179+AN305*AN179+AO305*AO179+AP305*AP179+AQ305*AQ179+AR305*AR179+AS305*AS179+AT305*AT179+AU305*AU179+AV305*AV179+AW305*AW179+AX305*AX179+AY305*AY179+AZ305*AZ179+BA305*BA179+BB305*BB179+BC305*BC179+BD305*BD179+BE305*BE179+BF305*BF179+BG305*BG179+BH305*BH179+BI305*BI179+BJ305*BJ179+BK305*BK179+BL305*BL179+BM305*BM179+BN305*BN179+BO305*BO179+BP305*BP179+BQ305*BQ179+BR305*BR179+BS305*BS179+BT305*BT179+BU305*BU179+BV305*BV179+BW305*BW179+BX305*BX179+BY305*BY179+BZ305*BZ179+CA305*CA179+CB305*CB179+CC305*CC179+CD305*CD179+CE305*CE179+CF305*CF179+CG305*CG179+CH305*CH179+CI305*CI179+CJ305*CJ179+CK305*CK179+CL305*CL179+CM305*CM179+CN305*CN179+CO305*CO179+CP305*CP179+CQ305*CQ179+CR305*CR179+CS305*CS179+CT305*CT179+CU305*CU179</f>
        <v>0</v>
      </c>
      <c r="DE179" s="2882">
        <f>E306*E179+F306*F179+G306*G179+H306*H179+I306*I179+J306*J179+K306*K179+L306*L179+M306*M179+N306*N179+O306*O179+P306*P179+Q306*Q179+R306*R179+S306*S179+T306*T179+U306*U179+V306*V179+W306*W179+X306*X179+Y306*Y179+Z306*Z179+AA306*AA179+AB306*AB179+AC306*AC179+AD306*AD179+AE306*AE179+AF306*AF179+AG306*AG179+AH306*AH179+AI306*AI179+AJ306*AJ179+AK306*AK179+AL306*AL179+AM306*AM179+AN306*AN179+AO306*AO179+AP306*AP179+AQ306*AQ179+AR306*AR179+AS306*AS179+AT306*AT179+AU306*AU179+AV306*AV179+AW306*AW179+AX306*AX179+AY306*AY179+AZ306*AZ179+BA306*BA179+BB306*BB179+BC306*BC179+BD306*BD179+BE306*BE179+BF306*BF179+BG306*BG179+BH306*BH179+BI306*BI179+BJ306*BJ179+BK306*BK179+BL306*BL179+BM306*BM179+BN306*BN179+BO306*BO179+BP306*BP179+BQ306*BQ179+BR306*BR179+BS306*BS179+BT306*BT179+BU306*BU179+BV306*BV179+BW306*BW179+BX306*BX179+BY306*BY179+BZ306*BZ179+CA306*CA179+CB306*CB179+CC306*CC179+CD306*CD179+CE306*CE179+CF306*CF179+CG306*CG179+CH306*CH179+CI306*CI179+CJ306*CJ179+CK306*CK179+CL306*CL179+CM306*CM179+CN306*CN179+CO306*CO179+CP306*CP179+CQ306*CQ179+CR306*CR179+CS306*CS179+CT306*CT179+CU306*CU179</f>
        <v>0</v>
      </c>
      <c r="DF179" s="2882">
        <f>E307*E179+F307*F179+G307*G179+H307*H179+I307*I179+J307*J179+K307*K179+L307*L179+M307*M179+N307*N179+O307*O179+P307*P179+Q307*Q179+R307*R179+S307*S179+T307*T179+U307*U179+V307*V179+W307*W179+X307*X179+Y307*Y179+Z307*Z179+AA307*AA179+AB307*AB179+AC307*AC179+AD307*AD179+AE307*AE179+AF307*AF179+AG307*AG179+AH307*AH179+AI307*AI179+AJ307*AJ179+AK307*AK179+AL307*AL179+AM307*AM179+AN307*AN179+AO307*AO179+AP307*AP179+AQ307*AQ179+AR307*AR179+AS307*AS179+AT307*AT179+AU307*AU179+AV307*AV179+AW307*AW179+AX307*AX179+AY307*AY179+AZ307*AZ179+BA307*BA179+BB307*BB179+BC307*BC179+BD307*BD179+BE307*BE179+BF307*BF179+BG307*BG179+BH307*BH179+BI307*BI179+BJ307*BJ179+BK307*BK179+BL307*BL179+BM307*BM179+BN307*BN179+BO307*BO179+BP307*BP179+BQ307*BQ179+BR307*BR179+BS307*BS179+BT307*BT179+BU307*BU179+BV307*BV179+BW307*BW179+BX307*BX179+BY307*BY179+BZ307*BZ179+CA307*CA179+CB307*CB179+CC307*CC179+CD307*CD179+CE307*CE179+CF307*CF179+CG307*CG179+CH307*CH179+CI307*CI179+CJ307*CJ179+CK307*CK179+CL307*CL179+CM307*CM179+CN307*CN179+CO307*CO179+CP307*CP179+CQ307*CQ179+CR307*CR179+CS307*CS179+CT307*CT179+CU307*CU179</f>
        <v>0</v>
      </c>
      <c r="DG179" s="2882">
        <f>E308*E179+F308*F179+G308*G179+H308*H179+I308*I179+J308*J179+K308*K179+L308*L179+M308*M179+N308*N179+O308*O179+P308*P179+Q308*Q179+R308*R179+S308*S179+T308*T179+U308*U179+V308*V179+W308*W179+X308*X179+Y308*Y179+Z308*Z179+AA308*AA179+AB308*AB179+AC308*AC179+AD308*AD179+AE308*AE179+AF308*AF179+AG308*AG179+AH308*AH179+AI308*AI179+AJ308*AJ179+AK308*AK179+AL308*AL179+AM308*AM179+AN308*AN179+AO308*AO179+AP308*AP179+AQ308*AQ179+AR308*AR179+AS308*AS179+AT308*AT179+AU308*AU179+AV308*AV179+AW308*AW179+AX308*AX179+AY308*AY179+AZ308*AZ179+BA308*BA179+BB308*BB179+BC308*BC179+BD308*BD179+BE308*BE179+BF308*BF179+BG308*BG179+BH308*BH179+BI308*BI179+BJ308*BJ179+BK308*BK179+BL308*BL179+BM308*BM179+BN308*BN179+BO308*BO179+BP308*BP179+BQ308*BQ179+BR308*BR179+BS308*BS179+BT308*BT179+BU308*BU179+BV308*BV179+BW308*BW179+BX308*BX179+BY308*BY179+BZ308*BZ179+CA308*CA179+CB308*CB179+CC308*CC179+CD308*CD179+CE308*CE179+CF308*CF179+CG308*CG179+CH308*CH179+CI308*CI179+CJ308*CJ179+CK308*CK179+CL308*CL179+CM308*CM179+CN308*CN179+CO308*CO179+CP308*CP179+CQ308*CQ179+CR308*CR179+CS308*CS179+CT308*CT179+CU308*CU179</f>
        <v>0</v>
      </c>
      <c r="DH179" s="2882">
        <f>E309*E179+F309*F179+G309*G179+H309*H179+I309*I179+J309*J179+K309*K179+L309*L179+M309*M179+N309*N179+O309*O179+P309*P179+Q309*Q179+R309*R179+S309*S179+T309*T179+U309*U179+V309*V179+W309*W179+X309*X179+Y309*Y179+Z309*Z179+AA309*AA179+AB309*AB179+AC309*AC179+AD309*AD179+AE309*AE179+AF309*AF179+AG309*AG179+AH309*AH179+AI309*AI179+AJ309*AJ179+AK309*AK179+AL309*AL179+AM309*AM179+AN309*AN179+AO309*AO179+AP309*AP179+AQ309*AQ179+AR309*AR179+AS309*AS179+AT309*AT179+AU309*AU179+AV309*AV179+AW309*AW179+AX309*AX179+AY309*AY179+AZ309*AZ179+BA309*BA179+BB309*BB179+BC309*BC179+BD309*BD179+BE309*BE179+BF309*BF179+BG309*BG179+BH309*BH179+BI309*BI179+BJ309*BJ179+BK309*BK179+BL309*BL179+BM309*BM179+BN309*BN179+BO309*BO179+BP309*BP179+BQ309*BQ179+BR309*BR179+BS309*BS179+BT309*BT179+BU309*BU179+BV309*BV179+BW309*BW179+BX309*BX179+BY309*BY179+BZ309*BZ179+CA309*CA179+CB309*CB179+CC309*CC179+CD309*CD179+CE309*CE179+CF309*CF179+CG309*CG179+CH309*CH179+CI309*CI179+CJ309*CJ179+CK309*CK179+CL309*CL179+CM309*CM179+CN309*CN179+CO309*CO179+CP309*CP179+CQ309*CQ179+CR309*CR179+CS309*CS179+CT309*CT179+CU309*CU179</f>
        <v>0</v>
      </c>
      <c r="DI179" s="2882">
        <f>E310*E179+F310*F179+G310*G179+H310*H179+I310*I179+J310*J179+K310*K179+L310*L179+M310*M179+N310*N179+O310*O179+P310*P179+Q310*Q179+R310*R179+S310*S179+T310*T179+U310*U179+V310*V179+W310*W179+X310*X179+Y310*Y179+Z310*Z179+AA310*AA179+AB310*AB179+AC310*AC179+AD310*AD179+AE310*AE179+AF310*AF179+AG310*AG179+AH310*AH179+AI310*AI179+AJ310*AJ179+AK310*AK179+AL310*AL179+AM310*AM179+AN310*AN179+AO310*AO179+AP310*AP179+AQ310*AQ179+AR310*AR179+AS310*AS179+AT310*AT179+AU310*AU179+AV310*AV179+AW310*AW179+AX310*AX179+AY310*AY179+AZ310*AZ179+BA310*BA179+BB310*BB179+BC310*BC179+BD310*BD179+BE310*BE179+BF310*BF179+BG310*BG179+BH310*BH179+BI310*BI179+BJ310*BJ179+BK310*BK179+BL310*BL179+BM310*BM179+BN310*BN179+BO310*BO179+BP310*BP179+BQ310*BQ179+BR310*BR179+BS310*BS179+BT310*BT179+BU310*BU179+BV310*BV179+BW310*BW179+BX310*BX179+BY310*BY179+BZ310*BZ179+CA310*CA179+CB310*CB179+CC310*CC179+CD310*CD179+CE310*CE179+CF310*CF179+CG310*CG179+CH310*CH179+CI310*CI179+CJ310*CJ179+CK310*CK179+CL310*CL179+CM310*CM179+CN310*CN179+CO310*CO179+CP310*CP179+CQ310*CQ179+CR310*CR179+CS310*CS179+CT310*CT179+CU310*CU179</f>
        <v>0</v>
      </c>
    </row>
    <row r="180" spans="2:113" ht="15.75" x14ac:dyDescent="0.45">
      <c r="B180" s="915">
        <v>21</v>
      </c>
      <c r="C180" s="915" t="s">
        <v>244</v>
      </c>
      <c r="D180" s="916" t="s">
        <v>4358</v>
      </c>
      <c r="E180" s="890">
        <f>0</f>
        <v>0</v>
      </c>
      <c r="F180" s="890">
        <f>0</f>
        <v>0</v>
      </c>
      <c r="G180" s="890">
        <f>0</f>
        <v>0</v>
      </c>
      <c r="H180" s="890">
        <f>0</f>
        <v>0</v>
      </c>
      <c r="I180" s="890">
        <f>0</f>
        <v>0</v>
      </c>
      <c r="J180" s="890">
        <f>0</f>
        <v>0</v>
      </c>
      <c r="K180" s="890">
        <f>0</f>
        <v>0</v>
      </c>
      <c r="L180" s="890">
        <f>0</f>
        <v>0</v>
      </c>
      <c r="M180" s="889">
        <f>-(X_PHA/X_STC)/Y_CASTO_STC_anox</f>
        <v>-1.680672268907563</v>
      </c>
      <c r="N180" s="889">
        <f>-(X_GLY/X_STC)/Y_CASTO_STC_anox</f>
        <v>-0.25210084033613445</v>
      </c>
      <c r="O180" s="890">
        <f>0</f>
        <v>0</v>
      </c>
      <c r="P180" s="890">
        <f>0</f>
        <v>0</v>
      </c>
      <c r="Q180" s="890">
        <f>0</f>
        <v>0</v>
      </c>
      <c r="R180" s="890">
        <f>1</f>
        <v>1</v>
      </c>
      <c r="S180" s="890">
        <f>0</f>
        <v>0</v>
      </c>
      <c r="T180" s="890">
        <f>0</f>
        <v>0</v>
      </c>
      <c r="U180" s="890">
        <f>0</f>
        <v>0</v>
      </c>
      <c r="V180" s="890">
        <f>0</f>
        <v>0</v>
      </c>
      <c r="W180" s="890">
        <f>0</f>
        <v>0</v>
      </c>
      <c r="X180" s="890">
        <f>0</f>
        <v>0</v>
      </c>
      <c r="Y180" s="2546">
        <f>0</f>
        <v>0</v>
      </c>
      <c r="Z180" s="2546">
        <f>0</f>
        <v>0</v>
      </c>
      <c r="AA180" s="2546">
        <f>0</f>
        <v>0</v>
      </c>
      <c r="AB180" s="890">
        <f>-i_N_BIO</f>
        <v>-7.0000000000000007E-2</v>
      </c>
      <c r="AC180" s="889">
        <f>0</f>
        <v>0</v>
      </c>
      <c r="AD180" s="889">
        <f>0</f>
        <v>0</v>
      </c>
      <c r="AE180" s="889">
        <f>-(1-Y_CASTO_STC_anox)/(E_EQN2_NO2*Y_CASTO_STC_anox)</f>
        <v>-0.54439846116078094</v>
      </c>
      <c r="AF180" s="890">
        <f>0</f>
        <v>0</v>
      </c>
      <c r="AG180" s="890">
        <f>0</f>
        <v>0</v>
      </c>
      <c r="AH180" s="890">
        <f>0</f>
        <v>0</v>
      </c>
      <c r="AI180" s="889">
        <f>(1-Y_CASTO_STC_anox)/(E_EQN2_NO2*Y_CASTO_STC_anox)</f>
        <v>0.54439846116078094</v>
      </c>
      <c r="AJ180" s="889">
        <f>0</f>
        <v>0</v>
      </c>
      <c r="AK180" s="889">
        <f>0</f>
        <v>0</v>
      </c>
      <c r="AL180" s="889">
        <f>0</f>
        <v>0</v>
      </c>
      <c r="AM180" s="889">
        <f>-i_P_BIO</f>
        <v>-0.02</v>
      </c>
      <c r="AN180" s="890">
        <f>0</f>
        <v>0</v>
      </c>
      <c r="AO180" s="890">
        <f>0</f>
        <v>0</v>
      </c>
      <c r="AP180" s="890">
        <f>0</f>
        <v>0</v>
      </c>
      <c r="AQ180" s="890">
        <f>0</f>
        <v>0</v>
      </c>
      <c r="AR180" s="889">
        <f>0</f>
        <v>0</v>
      </c>
      <c r="AS180" s="889">
        <f>0</f>
        <v>0</v>
      </c>
      <c r="AT180" s="889">
        <f>0</f>
        <v>0</v>
      </c>
      <c r="AU180" s="889">
        <f>(i_CIT_STC/Y_CASTO_STC_anox)-i_CIT_BIO</f>
        <v>0.30220168067226894</v>
      </c>
      <c r="AV180" s="889">
        <f>i_INORG</f>
        <v>0.11</v>
      </c>
      <c r="AW180" s="889">
        <f>-i_INORG*(1-i_Ca_INORG*(A_MCa+2*A_MCl)/A_MCa-i_Mg_INORG*(A_MMg+2*A_MCl)/A_MMg)*f_Na</f>
        <v>-2.8804303582798466E-2</v>
      </c>
      <c r="AX180" s="889">
        <f>-i_INORG*(i_Ca_INORG*(2*A_MCl)/A_MCa+i_Mg_INORG*(2*A_MCl)/A_MMg)-i_INORG*(1-i_Ca_INORG*(A_MCa+2*A_MCl)/A_MCa-i_Mg_INORG*(A_MMg+2*A_MCl)/A_MMg)*(1-f_Na)</f>
        <v>-7.0195696417201539E-2</v>
      </c>
      <c r="AY180" s="889">
        <f>-i_INORG*i_Ca_INORG</f>
        <v>-5.5000000000000005E-3</v>
      </c>
      <c r="AZ180" s="889">
        <f>-i_INORG*i_Mg_INORG</f>
        <v>-5.5000000000000005E-3</v>
      </c>
      <c r="BA180" s="889">
        <f>0</f>
        <v>0</v>
      </c>
      <c r="BB180" s="2557">
        <f>0</f>
        <v>0</v>
      </c>
      <c r="BC180" s="2851">
        <f>-i_S_BIO</f>
        <v>-0.01</v>
      </c>
      <c r="BD180" s="2557">
        <f>0</f>
        <v>0</v>
      </c>
      <c r="BE180" s="889">
        <f>0</f>
        <v>0</v>
      </c>
      <c r="BF180" s="889">
        <f>0</f>
        <v>0</v>
      </c>
      <c r="BG180" s="889">
        <f>0</f>
        <v>0</v>
      </c>
      <c r="BH180" s="889">
        <f>0</f>
        <v>0</v>
      </c>
      <c r="BI180" s="889">
        <f>0</f>
        <v>0</v>
      </c>
      <c r="BJ180" s="889">
        <f>0</f>
        <v>0</v>
      </c>
      <c r="BK180" s="889">
        <f>0</f>
        <v>0</v>
      </c>
      <c r="BL180" s="889">
        <f>0</f>
        <v>0</v>
      </c>
      <c r="BM180" s="889">
        <f>0</f>
        <v>0</v>
      </c>
      <c r="BN180" s="889">
        <f>0</f>
        <v>0</v>
      </c>
      <c r="BO180" s="889">
        <f>0</f>
        <v>0</v>
      </c>
      <c r="BP180" s="889">
        <f>0</f>
        <v>0</v>
      </c>
      <c r="BQ180" s="889">
        <f>0</f>
        <v>0</v>
      </c>
      <c r="BR180" s="889">
        <f>0</f>
        <v>0</v>
      </c>
      <c r="BS180" s="889">
        <f>0</f>
        <v>0</v>
      </c>
      <c r="BT180" s="889">
        <f>0</f>
        <v>0</v>
      </c>
      <c r="BU180" s="889">
        <f>0</f>
        <v>0</v>
      </c>
      <c r="BV180" s="889">
        <f>0</f>
        <v>0</v>
      </c>
      <c r="BW180" s="889">
        <f>0</f>
        <v>0</v>
      </c>
      <c r="BX180" s="889">
        <f>0</f>
        <v>0</v>
      </c>
      <c r="BY180" s="2557">
        <f>0</f>
        <v>0</v>
      </c>
      <c r="BZ180" s="889">
        <f>0</f>
        <v>0</v>
      </c>
      <c r="CA180" s="889">
        <f>0</f>
        <v>0</v>
      </c>
      <c r="CB180" s="889">
        <f>0</f>
        <v>0</v>
      </c>
      <c r="CC180" s="889">
        <f>0</f>
        <v>0</v>
      </c>
      <c r="CD180" s="889">
        <f>0</f>
        <v>0</v>
      </c>
      <c r="CE180" s="889">
        <f>0</f>
        <v>0</v>
      </c>
      <c r="CF180" s="889">
        <f>0</f>
        <v>0</v>
      </c>
      <c r="CG180" s="889">
        <f>0</f>
        <v>0</v>
      </c>
      <c r="CH180" s="889">
        <f>0</f>
        <v>0</v>
      </c>
      <c r="CI180" s="889">
        <f>0</f>
        <v>0</v>
      </c>
      <c r="CJ180" s="2557">
        <f>0</f>
        <v>0</v>
      </c>
      <c r="CK180" s="889">
        <f>0</f>
        <v>0</v>
      </c>
      <c r="CL180" s="889">
        <f>0</f>
        <v>0</v>
      </c>
      <c r="CM180" s="889">
        <f>0</f>
        <v>0</v>
      </c>
      <c r="CN180" s="889">
        <f>0</f>
        <v>0</v>
      </c>
      <c r="CO180" s="889">
        <f>0</f>
        <v>0</v>
      </c>
      <c r="CP180" s="889">
        <f>0</f>
        <v>0</v>
      </c>
      <c r="CQ180" s="889">
        <f>0</f>
        <v>0</v>
      </c>
      <c r="CR180" s="889">
        <f>0</f>
        <v>0</v>
      </c>
      <c r="CS180" s="2557">
        <f>0</f>
        <v>0</v>
      </c>
      <c r="CT180" s="2557">
        <f>0</f>
        <v>0</v>
      </c>
      <c r="CU180" s="2557">
        <f>0</f>
        <v>0</v>
      </c>
      <c r="CV180" s="2858">
        <f>µ_CASTO_T*X_CASTO*η_CASTO_anox*M_RsatXSTC_XCASTO_KSTC*M_satSNO2_KNO2_CASTO*M_inhSO2_KO2_CASTO*M_satSNHx_KNHx_BIO*M_satSPO4_KPO4_BIO*M_satSCAT_KCAT*M_satSAN_KAN*M_satSCa_KCa_PAO*M_satSMg_KMg_PAO*B_ellinhpH</f>
        <v>1.6694533984401503</v>
      </c>
      <c r="CX180" s="2880">
        <f>E299*E180+F299*F180+G299*G180+H299*H180+I299*I180+J299*J180+K299*K180+L299*L180+M299*M180+N299*N180+O299*O180+P299*P180+Q299*Q180+R299*R180+S299*S180+T299*T180+U299*U180+V299*V180+W299*W180+X299*X180+Y299*Y180+Z299*Z180+AA299*AA180+AB299*AB180+AC299*AC180+AD299*AD180+AE299*AE180+AF299*AF180+AG299*AG180+AH299*AH180+AI299*AI180+AJ299*AJ180+AK299*AK180+AL299*AL180+AM299*AM180+AN299*AN180+AO299*AO180+AP299*AP180+AQ299*AQ180+AR299*AR180+AS299*AS180+AT299*AT180+AU299*AU180+AV299*AV180+AW299*AW180+AX299*AX180+AY299*AY180+AZ299*AZ180+BA299*BA180+BB299*BB180+BC299*BC180+BD299*BD180+BE299*BE180+BF299*BF180+BG299*BG180+BH299*BH180+BI299*BI180+BJ299*BJ180+BK299*BK180+BL299*BL180+BM299*BM180+BN299*BN180+BO299*BO180+BP299*BP180+BQ299*BQ180+BR299*BR180+BS299*BS180+BT299*BT180+BU299*BU180+BV299*BV180+BW299*BW180+BX299*BX180+BY299*BY180+BZ299*BZ180+CA299*CA180+CB299*CB180+CC299*CC180+CD299*CD180+CE299*CE180+CF299*CF180+CG299*CG180+CH299*CH180+CI299*CI180+CJ299*CJ180+CK299*CK180+CL299*CL180+CM299*CM180+CN299*CN180+CO299*CO180+CP299*CP180+CQ299*CQ180+CR299*CR180+CS299*CS180+CT299*CT180+CU299*CU180</f>
        <v>-1.1102230246251565E-16</v>
      </c>
      <c r="CY180" s="2880">
        <f>E300*E180+F300*F180+G300*G180+H300*H180+I300*I180+J300*J180+K300*K180+L300*L180+M300*M180+N300*N180+O300*O180+P300*P180+Q300*Q180+R300*R180+S300*S180+T300*T180+U300*U180+V300*V180+W300*W180+X300*X180+Y300*Y180+Z300*Z180+AA300*AA180+AB300*AB180+AC300*AC180+AD300*AD180+AE300*AE180+AF300*AF180+AG300*AG180+AH300*AH180+AI300*AI180+AJ300*AJ180+AK300*AK180+AL300*AL180+AM300*AM180+AN300*AN180+AO300*AO180+AP300*AP180+AQ300*AQ180+AR300*AR180+AS300*AS180+AT300*AT180+AU300*AU180+AV300*AV180+AW300*AW180+AX300*AX180+AY300*AY180+AZ300*AZ180+BA300*BA180+BB300*BB180+BC300*BC180+BD300*BD180+BE300*BE180+BF300*BF180+BG300*BG180+BH300*BH180+BI300*BI180+BJ300*BJ180+BK300*BK180+BL300*BL180+BM300*BM180+BN300*BN180+BO300*BO180+BP300*BP180+BQ300*BQ180+BR300*BR180+BS300*BS180+BT300*BT180+BU300*BU180+BV300*BV180+BW300*BW180+BX300*BX180+BY300*BY180+BZ300*BZ180+CA300*CA180+CB300*CB180+CC300*CC180+CD300*CD180+CE300*CE180+CF300*CF180+CG300*CG180+CH300*CH180+CI300*CI180+CJ300*CJ180+CK300*CK180+CL300*CL180+CM300*CM180+CN300*CN180+CO300*CO180+CP300*CP180+CQ300*CQ180+CR300*CR180+CS300*CS180+CT300*CT180+CU300*CU180</f>
        <v>0</v>
      </c>
      <c r="CZ180" s="2881">
        <f>E301*E180+F301*F180+G301*G180+H301*H180+I301*I180+J301*J180+K301*K180+L301*L180+M301*M180+N301*N180+O301*O180+P301*P180+Q301*Q180+R301*R180+S301*S180+T301*T180+U301*U180+V301*V180+W301*W180+X301*X180+Y301*Y180+Z301*Z180+AA301*AA180+AB301*AB180+AC301*AC180+AD301*AD180+AE301*AE180+AF301*AF180+AG301*AG180+AH301*AH180+AI301*AI180+AJ301*AJ180+AK301*AK180+AL301*AL180+AM301*AM180+AN301*AN180+AO301*AO180+AP301*AP180+AQ301*AQ180+AR301*AR180+AS301*AS180+AT301*AT180+AU301*AU180+AV301*AV180+AW301*AW180+AX301*AX180+AY301*AY180+AZ301*AZ180+BA301*BA180+BB301*BB180+BC301*BC180+BD301*BD180+BE301*BE180+BF301*BF180+BG301*BG180+BH301*BH180+BI301*BI180+BJ301*BJ180+BK301*BK180+BL301*BL180+BM301*BM180+BN301*BN180+BO301*BO180+BP301*BP180+BQ301*BQ180+BR301*BR180+BS301*BS180+BT301*BT180+BU301*BU180+BV301*BV180+BW301*BW180+BX301*BX180+BY301*BY180+BZ301*BZ180+CA301*CA180+CB301*CB180+CC301*CC180+CD301*CD180+CE301*CE180+CF301*CF180+CG301*CG180+CH301*CH180+CI301*CI180+CJ301*CJ180+CK301*CK180+CL301*CL180+CM301*CM180+CN301*CN180+CO301*CO180+CP301*CP180+CQ301*CQ180+CR301*CR180+CS301*CS180+CT301*CT180+CU301*CU180</f>
        <v>0</v>
      </c>
      <c r="DA180" s="2882">
        <f>E302*E180+F302*F180+G302*G180+H302*H180+I302*I180+J302*J180+K302*K180+L302*L180+M302*M180+N302*N180+O302*O180+P302*P180+Q302*Q180+R302*R180+S302*S180+T302*T180+U302*U180+V302*V180+W302*W180+X302*X180+Y302*Y180+Z302*Z180+AA302*AA180+AB302*AB180+AC302*AC180+AD302*AD180+AE302*AE180+AF302*AF180+AG302*AG180+AH302*AH180+AI302*AI180+AJ302*AJ180+AK302*AK180+AL302*AL180+AM302*AM180+AN302*AN180+AO302*AO180+AP302*AP180+AQ302*AQ180+AR302*AR180+AS302*AS180+AT302*AT180+AU302*AU180+AV302*AV180+AW302*AW180+AX302*AX180+AY302*AY180+AZ302*AZ180+BA302*BA180+BB302*BB180+BC302*BC180+BD302*BD180+BE302*BE180+BF302*BF180+BG302*BG180+BH302*BH180+BI302*BI180+BJ302*BJ180+BK302*BK180+BL302*BL180+BM302*BM180+BN302*BN180+BO302*BO180+BP302*BP180+BQ302*BQ180+BR302*BR180+BS302*BS180+BT302*BT180+BU302*BU180+BV302*BV180+BW302*BW180+BX302*BX180+BY302*BY180+BZ302*BZ180+CA302*CA180+CB302*CB180+CC302*CC180+CD302*CD180+CE302*CE180+CF302*CF180+CG302*CG180+CH302*CH180+CI302*CI180+CJ302*CJ180+CK302*CK180+CL302*CL180+CM302*CM180+CN302*CN180+CO302*CO180+CP302*CP180+CQ302*CQ180+CR302*CR180+CS302*CS180+CT302*CT180+CU302*CU180</f>
        <v>0</v>
      </c>
      <c r="DB180" s="2882">
        <f>E303*E180+F303*F180+G303*G180+H303*H180+I303*I180+J303*J180+K303*K180+L303*L180+M303*M180+N303*N180+O303*O180+P303*P180+Q303*Q180+R303*R180+S303*S180+T303*T180+U303*U180+V303*V180+W303*W180+X303*X180+Y303*Y180+Z303*Z180+AA303*AA180+AB303*AB180+AC303*AC180+AD303*AD180+AE303*AE180+AF303*AF180+AG303*AG180+AH303*AH180+AI303*AI180+AJ303*AJ180+AK303*AK180+AL303*AL180+AM303*AM180+AN303*AN180+AO303*AO180+AP303*AP180+AQ303*AQ180+AR303*AR180+AS303*AS180+AT303*AT180+AU303*AU180+AV303*AV180+AW303*AW180+AX303*AX180+AY303*AY180+AZ303*AZ180+BA303*BA180+BB303*BB180+BC303*BC180+BD303*BD180+BE303*BE180+BF303*BF180+BG303*BG180+BH303*BH180+BI303*BI180+BJ303*BJ180+BK303*BK180+BL303*BL180+BM303*BM180+BN303*BN180+BO303*BO180+BP303*BP180+BQ303*BQ180+BR303*BR180+BS303*BS180+BT303*BT180+BU303*BU180+BV303*BV180+BW303*BW180+BX303*BX180+BY303*BY180+BZ303*BZ180+CA303*CA180+CB303*CB180+CC303*CC180+CD303*CD180+CE303*CE180+CF303*CF180+CG303*CG180+CH303*CH180+CI303*CI180+CJ303*CJ180+CK303*CK180+CL303*CL180+CM303*CM180+CN303*CN180+CO303*CO180+CP303*CP180+CQ303*CQ180+CR303*CR180+CS303*CS180+CT303*CT180+CU303*CU180</f>
        <v>0</v>
      </c>
      <c r="DC180" s="2882">
        <f>E304*E180+F304*F180+G304*G180+H304*H180+I304*I180+J304*J180+K304*K180+L304*L180+M304*M180+N304*N180+O304*O180+P304*P180+Q304*Q180+R304*R180+S304*S180+T304*T180+U304*U180+V304*V180+W304*W180+X304*X180+Y304*Y180+Z304*Z180+AA304*AA180+AB304*AB180+AC304*AC180+AD304*AD180+AE304*AE180+AF304*AF180+AG304*AG180+AH304*AH180+AI304*AI180+AJ304*AJ180+AK304*AK180+AL304*AL180+AM304*AM180+AN304*AN180+AO304*AO180+AP304*AP180+AQ304*AQ180+AR304*AR180+AS304*AS180+AT304*AT180+AU304*AU180+AV304*AV180+AW304*AW180+AX304*AX180+AY304*AY180+AZ304*AZ180+BA304*BA180+BB304*BB180+BC304*BC180+BD304*BD180+BE304*BE180+BF304*BF180+BG304*BG180+BH304*BH180+BI304*BI180+BJ304*BJ180+BK304*BK180+BL304*BL180+BM304*BM180+BN304*BN180+BO304*BO180+BP304*BP180+BQ304*BQ180+BR304*BR180+BS304*BS180+BT304*BT180+BU304*BU180+BV304*BV180+BW304*BW180+BX304*BX180+BY304*BY180+BZ304*BZ180+CA304*CA180+CB304*CB180+CC304*CC180+CD304*CD180+CE304*CE180+CF304*CF180+CG304*CG180+CH304*CH180+CI304*CI180+CJ304*CJ180+CK304*CK180+CL304*CL180+CM304*CM180+CN304*CN180+CO304*CO180+CP304*CP180+CQ304*CQ180+CR304*CR180+CS304*CS180+CT304*CT180+CU304*CU180</f>
        <v>0</v>
      </c>
      <c r="DD180" s="2882">
        <f>E305*E180+F305*F180+G305*G180+H305*H180+I305*I180+J305*J180+K305*K180+L305*L180+M305*M180+N305*N180+O305*O180+P305*P180+Q305*Q180+R305*R180+S305*S180+T305*T180+U305*U180+V305*V180+W305*W180+X305*X180+Y305*Y180+Z305*Z180+AA305*AA180+AB305*AB180+AC305*AC180+AD305*AD180+AE305*AE180+AF305*AF180+AG305*AG180+AH305*AH180+AI305*AI180+AJ305*AJ180+AK305*AK180+AL305*AL180+AM305*AM180+AN305*AN180+AO305*AO180+AP305*AP180+AQ305*AQ180+AR305*AR180+AS305*AS180+AT305*AT180+AU305*AU180+AV305*AV180+AW305*AW180+AX305*AX180+AY305*AY180+AZ305*AZ180+BA305*BA180+BB305*BB180+BC305*BC180+BD305*BD180+BE305*BE180+BF305*BF180+BG305*BG180+BH305*BH180+BI305*BI180+BJ305*BJ180+BK305*BK180+BL305*BL180+BM305*BM180+BN305*BN180+BO305*BO180+BP305*BP180+BQ305*BQ180+BR305*BR180+BS305*BS180+BT305*BT180+BU305*BU180+BV305*BV180+BW305*BW180+BX305*BX180+BY305*BY180+BZ305*BZ180+CA305*CA180+CB305*CB180+CC305*CC180+CD305*CD180+CE305*CE180+CF305*CF180+CG305*CG180+CH305*CH180+CI305*CI180+CJ305*CJ180+CK305*CK180+CL305*CL180+CM305*CM180+CN305*CN180+CO305*CO180+CP305*CP180+CQ305*CQ180+CR305*CR180+CS305*CS180+CT305*CT180+CU305*CU180</f>
        <v>0</v>
      </c>
      <c r="DE180" s="2882">
        <f>E306*E180+F306*F180+G306*G180+H306*H180+I306*I180+J306*J180+K306*K180+L306*L180+M306*M180+N306*N180+O306*O180+P306*P180+Q306*Q180+R306*R180+S306*S180+T306*T180+U306*U180+V306*V180+W306*W180+X306*X180+Y306*Y180+Z306*Z180+AA306*AA180+AB306*AB180+AC306*AC180+AD306*AD180+AE306*AE180+AF306*AF180+AG306*AG180+AH306*AH180+AI306*AI180+AJ306*AJ180+AK306*AK180+AL306*AL180+AM306*AM180+AN306*AN180+AO306*AO180+AP306*AP180+AQ306*AQ180+AR306*AR180+AS306*AS180+AT306*AT180+AU306*AU180+AV306*AV180+AW306*AW180+AX306*AX180+AY306*AY180+AZ306*AZ180+BA306*BA180+BB306*BB180+BC306*BC180+BD306*BD180+BE306*BE180+BF306*BF180+BG306*BG180+BH306*BH180+BI306*BI180+BJ306*BJ180+BK306*BK180+BL306*BL180+BM306*BM180+BN306*BN180+BO306*BO180+BP306*BP180+BQ306*BQ180+BR306*BR180+BS306*BS180+BT306*BT180+BU306*BU180+BV306*BV180+BW306*BW180+BX306*BX180+BY306*BY180+BZ306*BZ180+CA306*CA180+CB306*CB180+CC306*CC180+CD306*CD180+CE306*CE180+CF306*CF180+CG306*CG180+CH306*CH180+CI306*CI180+CJ306*CJ180+CK306*CK180+CL306*CL180+CM306*CM180+CN306*CN180+CO306*CO180+CP306*CP180+CQ306*CQ180+CR306*CR180+CS306*CS180+CT306*CT180+CU306*CU180</f>
        <v>0</v>
      </c>
      <c r="DF180" s="2882">
        <f>E307*E180+F307*F180+G307*G180+H307*H180+I307*I180+J307*J180+K307*K180+L307*L180+M307*M180+N307*N180+O307*O180+P307*P180+Q307*Q180+R307*R180+S307*S180+T307*T180+U307*U180+V307*V180+W307*W180+X307*X180+Y307*Y180+Z307*Z180+AA307*AA180+AB307*AB180+AC307*AC180+AD307*AD180+AE307*AE180+AF307*AF180+AG307*AG180+AH307*AH180+AI307*AI180+AJ307*AJ180+AK307*AK180+AL307*AL180+AM307*AM180+AN307*AN180+AO307*AO180+AP307*AP180+AQ307*AQ180+AR307*AR180+AS307*AS180+AT307*AT180+AU307*AU180+AV307*AV180+AW307*AW180+AX307*AX180+AY307*AY180+AZ307*AZ180+BA307*BA180+BB307*BB180+BC307*BC180+BD307*BD180+BE307*BE180+BF307*BF180+BG307*BG180+BH307*BH180+BI307*BI180+BJ307*BJ180+BK307*BK180+BL307*BL180+BM307*BM180+BN307*BN180+BO307*BO180+BP307*BP180+BQ307*BQ180+BR307*BR180+BS307*BS180+BT307*BT180+BU307*BU180+BV307*BV180+BW307*BW180+BX307*BX180+BY307*BY180+BZ307*BZ180+CA307*CA180+CB307*CB180+CC307*CC180+CD307*CD180+CE307*CE180+CF307*CF180+CG307*CG180+CH307*CH180+CI307*CI180+CJ307*CJ180+CK307*CK180+CL307*CL180+CM307*CM180+CN307*CN180+CO307*CO180+CP307*CP180+CQ307*CQ180+CR307*CR180+CS307*CS180+CT307*CT180+CU307*CU180</f>
        <v>0</v>
      </c>
      <c r="DG180" s="2882">
        <f>E308*E180+F308*F180+G308*G180+H308*H180+I308*I180+J308*J180+K308*K180+L308*L180+M308*M180+N308*N180+O308*O180+P308*P180+Q308*Q180+R308*R180+S308*S180+T308*T180+U308*U180+V308*V180+W308*W180+X308*X180+Y308*Y180+Z308*Z180+AA308*AA180+AB308*AB180+AC308*AC180+AD308*AD180+AE308*AE180+AF308*AF180+AG308*AG180+AH308*AH180+AI308*AI180+AJ308*AJ180+AK308*AK180+AL308*AL180+AM308*AM180+AN308*AN180+AO308*AO180+AP308*AP180+AQ308*AQ180+AR308*AR180+AS308*AS180+AT308*AT180+AU308*AU180+AV308*AV180+AW308*AW180+AX308*AX180+AY308*AY180+AZ308*AZ180+BA308*BA180+BB308*BB180+BC308*BC180+BD308*BD180+BE308*BE180+BF308*BF180+BG308*BG180+BH308*BH180+BI308*BI180+BJ308*BJ180+BK308*BK180+BL308*BL180+BM308*BM180+BN308*BN180+BO308*BO180+BP308*BP180+BQ308*BQ180+BR308*BR180+BS308*BS180+BT308*BT180+BU308*BU180+BV308*BV180+BW308*BW180+BX308*BX180+BY308*BY180+BZ308*BZ180+CA308*CA180+CB308*CB180+CC308*CC180+CD308*CD180+CE308*CE180+CF308*CF180+CG308*CG180+CH308*CH180+CI308*CI180+CJ308*CJ180+CK308*CK180+CL308*CL180+CM308*CM180+CN308*CN180+CO308*CO180+CP308*CP180+CQ308*CQ180+CR308*CR180+CS308*CS180+CT308*CT180+CU308*CU180</f>
        <v>0</v>
      </c>
      <c r="DH180" s="2882">
        <f>E309*E180+F309*F180+G309*G180+H309*H180+I309*I180+J309*J180+K309*K180+L309*L180+M309*M180+N309*N180+O309*O180+P309*P180+Q309*Q180+R309*R180+S309*S180+T309*T180+U309*U180+V309*V180+W309*W180+X309*X180+Y309*Y180+Z309*Z180+AA309*AA180+AB309*AB180+AC309*AC180+AD309*AD180+AE309*AE180+AF309*AF180+AG309*AG180+AH309*AH180+AI309*AI180+AJ309*AJ180+AK309*AK180+AL309*AL180+AM309*AM180+AN309*AN180+AO309*AO180+AP309*AP180+AQ309*AQ180+AR309*AR180+AS309*AS180+AT309*AT180+AU309*AU180+AV309*AV180+AW309*AW180+AX309*AX180+AY309*AY180+AZ309*AZ180+BA309*BA180+BB309*BB180+BC309*BC180+BD309*BD180+BE309*BE180+BF309*BF180+BG309*BG180+BH309*BH180+BI309*BI180+BJ309*BJ180+BK309*BK180+BL309*BL180+BM309*BM180+BN309*BN180+BO309*BO180+BP309*BP180+BQ309*BQ180+BR309*BR180+BS309*BS180+BT309*BT180+BU309*BU180+BV309*BV180+BW309*BW180+BX309*BX180+BY309*BY180+BZ309*BZ180+CA309*CA180+CB309*CB180+CC309*CC180+CD309*CD180+CE309*CE180+CF309*CF180+CG309*CG180+CH309*CH180+CI309*CI180+CJ309*CJ180+CK309*CK180+CL309*CL180+CM309*CM180+CN309*CN180+CO309*CO180+CP309*CP180+CQ309*CQ180+CR309*CR180+CS309*CS180+CT309*CT180+CU309*CU180</f>
        <v>0</v>
      </c>
      <c r="DI180" s="2882">
        <f>E310*E180+F310*F180+G310*G180+H310*H180+I310*I180+J310*J180+K310*K180+L310*L180+M310*M180+N310*N180+O310*O180+P310*P180+Q310*Q180+R310*R180+S310*S180+T310*T180+U310*U180+V310*V180+W310*W180+X310*X180+Y310*Y180+Z310*Z180+AA310*AA180+AB310*AB180+AC310*AC180+AD310*AD180+AE310*AE180+AF310*AF180+AG310*AG180+AH310*AH180+AI310*AI180+AJ310*AJ180+AK310*AK180+AL310*AL180+AM310*AM180+AN310*AN180+AO310*AO180+AP310*AP180+AQ310*AQ180+AR310*AR180+AS310*AS180+AT310*AT180+AU310*AU180+AV310*AV180+AW310*AW180+AX310*AX180+AY310*AY180+AZ310*AZ180+BA310*BA180+BB310*BB180+BC310*BC180+BD310*BD180+BE310*BE180+BF310*BF180+BG310*BG180+BH310*BH180+BI310*BI180+BJ310*BJ180+BK310*BK180+BL310*BL180+BM310*BM180+BN310*BN180+BO310*BO180+BP310*BP180+BQ310*BQ180+BR310*BR180+BS310*BS180+BT310*BT180+BU310*BU180+BV310*BV180+BW310*BW180+BX310*BX180+BY310*BY180+BZ310*BZ180+CA310*CA180+CB310*CB180+CC310*CC180+CD310*CD180+CE310*CE180+CF310*CF180+CG310*CG180+CH310*CH180+CI310*CI180+CJ310*CJ180+CK310*CK180+CL310*CL180+CM310*CM180+CN310*CN180+CO310*CO180+CP310*CP180+CQ310*CQ180+CR310*CR180+CS310*CS180+CT310*CT180+CU310*CU180</f>
        <v>0</v>
      </c>
    </row>
    <row r="181" spans="2:113" ht="15.75" x14ac:dyDescent="0.45">
      <c r="B181" s="915">
        <v>22</v>
      </c>
      <c r="C181" s="915" t="s">
        <v>245</v>
      </c>
      <c r="D181" s="916" t="s">
        <v>4365</v>
      </c>
      <c r="E181" s="890">
        <f>0</f>
        <v>0</v>
      </c>
      <c r="F181" s="890">
        <f>0</f>
        <v>0</v>
      </c>
      <c r="G181" s="890">
        <f>0</f>
        <v>0</v>
      </c>
      <c r="H181" s="890">
        <f>0</f>
        <v>0</v>
      </c>
      <c r="I181" s="890">
        <f>0</f>
        <v>0</v>
      </c>
      <c r="J181" s="890">
        <f>0</f>
        <v>0</v>
      </c>
      <c r="K181" s="890">
        <f>0</f>
        <v>0</v>
      </c>
      <c r="L181" s="890">
        <f>0</f>
        <v>0</v>
      </c>
      <c r="M181" s="889">
        <f>-(X_PHA/X_STC)/Y_CASTO_STC_anox</f>
        <v>-1.680672268907563</v>
      </c>
      <c r="N181" s="889">
        <f>-(X_GLY/X_STC)/Y_CASTO_STC_anox</f>
        <v>-0.25210084033613445</v>
      </c>
      <c r="O181" s="890">
        <f>0</f>
        <v>0</v>
      </c>
      <c r="P181" s="890">
        <f>0</f>
        <v>0</v>
      </c>
      <c r="Q181" s="890">
        <f>0</f>
        <v>0</v>
      </c>
      <c r="R181" s="890">
        <f>1</f>
        <v>1</v>
      </c>
      <c r="S181" s="890">
        <f>0</f>
        <v>0</v>
      </c>
      <c r="T181" s="890">
        <f>0</f>
        <v>0</v>
      </c>
      <c r="U181" s="890">
        <f>0</f>
        <v>0</v>
      </c>
      <c r="V181" s="890">
        <f>0</f>
        <v>0</v>
      </c>
      <c r="W181" s="890">
        <f>0</f>
        <v>0</v>
      </c>
      <c r="X181" s="890">
        <f>0</f>
        <v>0</v>
      </c>
      <c r="Y181" s="2546">
        <f>0</f>
        <v>0</v>
      </c>
      <c r="Z181" s="2546">
        <f>0</f>
        <v>0</v>
      </c>
      <c r="AA181" s="2546">
        <f>0</f>
        <v>0</v>
      </c>
      <c r="AB181" s="890">
        <f>-i_N_BIO</f>
        <v>-7.0000000000000007E-2</v>
      </c>
      <c r="AC181" s="889">
        <f>0</f>
        <v>0</v>
      </c>
      <c r="AD181" s="889">
        <f>-(1-Y_CASTO_STC_anox)/(E_EQNO2_NO3*Y_CASTO_STC_anox)</f>
        <v>-0.81659769174117147</v>
      </c>
      <c r="AE181" s="889">
        <f>(1-Y_CASTO_STC_anox)/(E_EQNO2_NO3*Y_CASTO_STC_anox)</f>
        <v>0.81659769174117147</v>
      </c>
      <c r="AF181" s="890">
        <f>0</f>
        <v>0</v>
      </c>
      <c r="AG181" s="890">
        <f>0</f>
        <v>0</v>
      </c>
      <c r="AH181" s="890">
        <f>0</f>
        <v>0</v>
      </c>
      <c r="AI181" s="889">
        <f>0</f>
        <v>0</v>
      </c>
      <c r="AJ181" s="889">
        <f>0</f>
        <v>0</v>
      </c>
      <c r="AK181" s="889">
        <f>0</f>
        <v>0</v>
      </c>
      <c r="AL181" s="889">
        <f>0</f>
        <v>0</v>
      </c>
      <c r="AM181" s="889">
        <f>-i_P_BIO</f>
        <v>-0.02</v>
      </c>
      <c r="AN181" s="890">
        <f>0</f>
        <v>0</v>
      </c>
      <c r="AO181" s="890">
        <f>0</f>
        <v>0</v>
      </c>
      <c r="AP181" s="890">
        <f>0</f>
        <v>0</v>
      </c>
      <c r="AQ181" s="890">
        <f>0</f>
        <v>0</v>
      </c>
      <c r="AR181" s="890">
        <f>0</f>
        <v>0</v>
      </c>
      <c r="AS181" s="890">
        <f>0</f>
        <v>0</v>
      </c>
      <c r="AT181" s="890">
        <f>0</f>
        <v>0</v>
      </c>
      <c r="AU181" s="889">
        <f>(i_CIT_STC/Y_CASTO_STC_anox)-i_CIT_BIO</f>
        <v>0.30220168067226894</v>
      </c>
      <c r="AV181" s="889">
        <f>i_INORG</f>
        <v>0.11</v>
      </c>
      <c r="AW181" s="889">
        <f>-i_INORG*(1-i_Ca_INORG*(A_MCa+2*A_MCl)/A_MCa-i_Mg_INORG*(A_MMg+2*A_MCl)/A_MMg)*f_Na</f>
        <v>-2.8804303582798466E-2</v>
      </c>
      <c r="AX181" s="889">
        <f>-i_INORG*(i_Ca_INORG*(2*A_MCl)/A_MCa+i_Mg_INORG*(2*A_MCl)/A_MMg)-i_INORG*(1-i_Ca_INORG*(A_MCa+2*A_MCl)/A_MCa-i_Mg_INORG*(A_MMg+2*A_MCl)/A_MMg)*(1-f_Na)</f>
        <v>-7.0195696417201539E-2</v>
      </c>
      <c r="AY181" s="889">
        <f>-i_INORG*i_Ca_INORG</f>
        <v>-5.5000000000000005E-3</v>
      </c>
      <c r="AZ181" s="889">
        <f>-i_INORG*i_Mg_INORG</f>
        <v>-5.5000000000000005E-3</v>
      </c>
      <c r="BA181" s="889">
        <f>0</f>
        <v>0</v>
      </c>
      <c r="BB181" s="2557">
        <f>0</f>
        <v>0</v>
      </c>
      <c r="BC181" s="2851">
        <f>-i_S_BIO</f>
        <v>-0.01</v>
      </c>
      <c r="BD181" s="2557">
        <f>0</f>
        <v>0</v>
      </c>
      <c r="BE181" s="889">
        <f>0</f>
        <v>0</v>
      </c>
      <c r="BF181" s="889">
        <f>0</f>
        <v>0</v>
      </c>
      <c r="BG181" s="889">
        <f>0</f>
        <v>0</v>
      </c>
      <c r="BH181" s="889">
        <f>0</f>
        <v>0</v>
      </c>
      <c r="BI181" s="889">
        <f>0</f>
        <v>0</v>
      </c>
      <c r="BJ181" s="889">
        <f>0</f>
        <v>0</v>
      </c>
      <c r="BK181" s="889">
        <f>0</f>
        <v>0</v>
      </c>
      <c r="BL181" s="889">
        <f>0</f>
        <v>0</v>
      </c>
      <c r="BM181" s="889">
        <f>0</f>
        <v>0</v>
      </c>
      <c r="BN181" s="889">
        <f>0</f>
        <v>0</v>
      </c>
      <c r="BO181" s="889">
        <f>0</f>
        <v>0</v>
      </c>
      <c r="BP181" s="889">
        <f>0</f>
        <v>0</v>
      </c>
      <c r="BQ181" s="889">
        <f>0</f>
        <v>0</v>
      </c>
      <c r="BR181" s="889">
        <f>0</f>
        <v>0</v>
      </c>
      <c r="BS181" s="889">
        <f>0</f>
        <v>0</v>
      </c>
      <c r="BT181" s="889">
        <f>0</f>
        <v>0</v>
      </c>
      <c r="BU181" s="889">
        <f>0</f>
        <v>0</v>
      </c>
      <c r="BV181" s="889">
        <f>0</f>
        <v>0</v>
      </c>
      <c r="BW181" s="889">
        <f>0</f>
        <v>0</v>
      </c>
      <c r="BX181" s="889">
        <f>0</f>
        <v>0</v>
      </c>
      <c r="BY181" s="2557">
        <f>0</f>
        <v>0</v>
      </c>
      <c r="BZ181" s="889">
        <f>0</f>
        <v>0</v>
      </c>
      <c r="CA181" s="889">
        <f>0</f>
        <v>0</v>
      </c>
      <c r="CB181" s="889">
        <f>0</f>
        <v>0</v>
      </c>
      <c r="CC181" s="889">
        <f>0</f>
        <v>0</v>
      </c>
      <c r="CD181" s="889">
        <f>0</f>
        <v>0</v>
      </c>
      <c r="CE181" s="889">
        <f>0</f>
        <v>0</v>
      </c>
      <c r="CF181" s="889">
        <f>0</f>
        <v>0</v>
      </c>
      <c r="CG181" s="889">
        <f>0</f>
        <v>0</v>
      </c>
      <c r="CH181" s="889">
        <f>0</f>
        <v>0</v>
      </c>
      <c r="CI181" s="889">
        <f>0</f>
        <v>0</v>
      </c>
      <c r="CJ181" s="2557">
        <f>0</f>
        <v>0</v>
      </c>
      <c r="CK181" s="889">
        <f>0</f>
        <v>0</v>
      </c>
      <c r="CL181" s="889">
        <f>0</f>
        <v>0</v>
      </c>
      <c r="CM181" s="889">
        <f>0</f>
        <v>0</v>
      </c>
      <c r="CN181" s="889">
        <f>0</f>
        <v>0</v>
      </c>
      <c r="CO181" s="889">
        <f>0</f>
        <v>0</v>
      </c>
      <c r="CP181" s="889">
        <f>0</f>
        <v>0</v>
      </c>
      <c r="CQ181" s="889">
        <f>0</f>
        <v>0</v>
      </c>
      <c r="CR181" s="889">
        <f>0</f>
        <v>0</v>
      </c>
      <c r="CS181" s="2557">
        <f>0</f>
        <v>0</v>
      </c>
      <c r="CT181" s="2557">
        <f>0</f>
        <v>0</v>
      </c>
      <c r="CU181" s="2557">
        <f>0</f>
        <v>0</v>
      </c>
      <c r="CV181" s="2858">
        <f>µ_CASTO_T*X_CASTO*η_CASTO_anox*M_RsatXSTC_XCASTO_KSTC*M_satSNO3_KNO3_CASTO*M_inhSO2_KO2_CASTO*M_inhSNO2_KNO2_CASTO*M_satSNHx_KNHx_BIO*M_satSPO4_KPO4_BIO*M_satSCAT_KCAT*M_satSAN_KAN*M_satSCa_KCa_PAO*M_satSMg_KMg_PAO*B_ellinhpH</f>
        <v>0.81835950903928945</v>
      </c>
      <c r="CX181" s="2880">
        <f>E299*E181+F299*F181+G299*G181+H299*H181+I299*I181+J299*J181+K299*K181+L299*L181+M299*M181+N299*N181+O299*O181+P299*P181+Q299*Q181+R299*R181+S299*S181+T299*T181+U299*U181+V299*V181+W299*W181+X299*X181+Y299*Y181+Z299*Z181+AA299*AA181+AB299*AB181+AC299*AC181+AD299*AD181+AE299*AE181+AF299*AF181+AG299*AG181+AH299*AH181+AI299*AI181+AJ299*AJ181+AK299*AK181+AL299*AL181+AM299*AM181+AN299*AN181+AO299*AO181+AP299*AP181+AQ299*AQ181+AR299*AR181+AS299*AS181+AT299*AT181+AU299*AU181+AV299*AV181+AW299*AW181+AX299*AX181+AY299*AY181+AZ299*AZ181+BA299*BA181+BB299*BB181+BC299*BC181+BD299*BD181+BE299*BE181+BF299*BF181+BG299*BG181+BH299*BH181+BI299*BI181+BJ299*BJ181+BK299*BK181+BL299*BL181+BM299*BM181+BN299*BN181+BO299*BO181+BP299*BP181+BQ299*BQ181+BR299*BR181+BS299*BS181+BT299*BT181+BU299*BU181+BV299*BV181+BW299*BW181+BX299*BX181+BY299*BY181+BZ299*BZ181+CA299*CA181+CB299*CB181+CC299*CC181+CD299*CD181+CE299*CE181+CF299*CF181+CG299*CG181+CH299*CH181+CI299*CI181+CJ299*CJ181+CK299*CK181+CL299*CL181+CM299*CM181+CN299*CN181+CO299*CO181+CP299*CP181+CQ299*CQ181+CR299*CR181+CS299*CS181+CT299*CT181+CU299*CU181</f>
        <v>0</v>
      </c>
      <c r="CY181" s="2880">
        <f>E300*E181+F300*F181+G300*G181+H300*H181+I300*I181+J300*J181+K300*K181+L300*L181+M300*M181+N300*N181+O300*O181+P300*P181+Q300*Q181+R300*R181+S300*S181+T300*T181+U300*U181+V300*V181+W300*W181+X300*X181+Y300*Y181+Z300*Z181+AA300*AA181+AB300*AB181+AC300*AC181+AD300*AD181+AE300*AE181+AF300*AF181+AG300*AG181+AH300*AH181+AI300*AI181+AJ300*AJ181+AK300*AK181+AL300*AL181+AM300*AM181+AN300*AN181+AO300*AO181+AP300*AP181+AQ300*AQ181+AR300*AR181+AS300*AS181+AT300*AT181+AU300*AU181+AV300*AV181+AW300*AW181+AX300*AX181+AY300*AY181+AZ300*AZ181+BA300*BA181+BB300*BB181+BC300*BC181+BD300*BD181+BE300*BE181+BF300*BF181+BG300*BG181+BH300*BH181+BI300*BI181+BJ300*BJ181+BK300*BK181+BL300*BL181+BM300*BM181+BN300*BN181+BO300*BO181+BP300*BP181+BQ300*BQ181+BR300*BR181+BS300*BS181+BT300*BT181+BU300*BU181+BV300*BV181+BW300*BW181+BX300*BX181+BY300*BY181+BZ300*BZ181+CA300*CA181+CB300*CB181+CC300*CC181+CD300*CD181+CE300*CE181+CF300*CF181+CG300*CG181+CH300*CH181+CI300*CI181+CJ300*CJ181+CK300*CK181+CL300*CL181+CM300*CM181+CN300*CN181+CO300*CO181+CP300*CP181+CQ300*CQ181+CR300*CR181+CS300*CS181+CT300*CT181+CU300*CU181</f>
        <v>0</v>
      </c>
      <c r="CZ181" s="2881">
        <f>E301*E181+F301*F181+G301*G181+H301*H181+I301*I181+J301*J181+K301*K181+L301*L181+M301*M181+N301*N181+O301*O181+P301*P181+Q301*Q181+R301*R181+S301*S181+T301*T181+U301*U181+V301*V181+W301*W181+X301*X181+Y301*Y181+Z301*Z181+AA301*AA181+AB301*AB181+AC301*AC181+AD301*AD181+AE301*AE181+AF301*AF181+AG301*AG181+AH301*AH181+AI301*AI181+AJ301*AJ181+AK301*AK181+AL301*AL181+AM301*AM181+AN301*AN181+AO301*AO181+AP301*AP181+AQ301*AQ181+AR301*AR181+AS301*AS181+AT301*AT181+AU301*AU181+AV301*AV181+AW301*AW181+AX301*AX181+AY301*AY181+AZ301*AZ181+BA301*BA181+BB301*BB181+BC301*BC181+BD301*BD181+BE301*BE181+BF301*BF181+BG301*BG181+BH301*BH181+BI301*BI181+BJ301*BJ181+BK301*BK181+BL301*BL181+BM301*BM181+BN301*BN181+BO301*BO181+BP301*BP181+BQ301*BQ181+BR301*BR181+BS301*BS181+BT301*BT181+BU301*BU181+BV301*BV181+BW301*BW181+BX301*BX181+BY301*BY181+BZ301*BZ181+CA301*CA181+CB301*CB181+CC301*CC181+CD301*CD181+CE301*CE181+CF301*CF181+CG301*CG181+CH301*CH181+CI301*CI181+CJ301*CJ181+CK301*CK181+CL301*CL181+CM301*CM181+CN301*CN181+CO301*CO181+CP301*CP181+CQ301*CQ181+CR301*CR181+CS301*CS181+CT301*CT181+CU301*CU181</f>
        <v>0</v>
      </c>
      <c r="DA181" s="2882">
        <f>E302*E181+F302*F181+G302*G181+H302*H181+I302*I181+J302*J181+K302*K181+L302*L181+M302*M181+N302*N181+O302*O181+P302*P181+Q302*Q181+R302*R181+S302*S181+T302*T181+U302*U181+V302*V181+W302*W181+X302*X181+Y302*Y181+Z302*Z181+AA302*AA181+AB302*AB181+AC302*AC181+AD302*AD181+AE302*AE181+AF302*AF181+AG302*AG181+AH302*AH181+AI302*AI181+AJ302*AJ181+AK302*AK181+AL302*AL181+AM302*AM181+AN302*AN181+AO302*AO181+AP302*AP181+AQ302*AQ181+AR302*AR181+AS302*AS181+AT302*AT181+AU302*AU181+AV302*AV181+AW302*AW181+AX302*AX181+AY302*AY181+AZ302*AZ181+BA302*BA181+BB302*BB181+BC302*BC181+BD302*BD181+BE302*BE181+BF302*BF181+BG302*BG181+BH302*BH181+BI302*BI181+BJ302*BJ181+BK302*BK181+BL302*BL181+BM302*BM181+BN302*BN181+BO302*BO181+BP302*BP181+BQ302*BQ181+BR302*BR181+BS302*BS181+BT302*BT181+BU302*BU181+BV302*BV181+BW302*BW181+BX302*BX181+BY302*BY181+BZ302*BZ181+CA302*CA181+CB302*CB181+CC302*CC181+CD302*CD181+CE302*CE181+CF302*CF181+CG302*CG181+CH302*CH181+CI302*CI181+CJ302*CJ181+CK302*CK181+CL302*CL181+CM302*CM181+CN302*CN181+CO302*CO181+CP302*CP181+CQ302*CQ181+CR302*CR181+CS302*CS181+CT302*CT181+CU302*CU181</f>
        <v>0</v>
      </c>
      <c r="DB181" s="2882">
        <f>E303*E181+F303*F181+G303*G181+H303*H181+I303*I181+J303*J181+K303*K181+L303*L181+M303*M181+N303*N181+O303*O181+P303*P181+Q303*Q181+R303*R181+S303*S181+T303*T181+U303*U181+V303*V181+W303*W181+X303*X181+Y303*Y181+Z303*Z181+AA303*AA181+AB303*AB181+AC303*AC181+AD303*AD181+AE303*AE181+AF303*AF181+AG303*AG181+AH303*AH181+AI303*AI181+AJ303*AJ181+AK303*AK181+AL303*AL181+AM303*AM181+AN303*AN181+AO303*AO181+AP303*AP181+AQ303*AQ181+AR303*AR181+AS303*AS181+AT303*AT181+AU303*AU181+AV303*AV181+AW303*AW181+AX303*AX181+AY303*AY181+AZ303*AZ181+BA303*BA181+BB303*BB181+BC303*BC181+BD303*BD181+BE303*BE181+BF303*BF181+BG303*BG181+BH303*BH181+BI303*BI181+BJ303*BJ181+BK303*BK181+BL303*BL181+BM303*BM181+BN303*BN181+BO303*BO181+BP303*BP181+BQ303*BQ181+BR303*BR181+BS303*BS181+BT303*BT181+BU303*BU181+BV303*BV181+BW303*BW181+BX303*BX181+BY303*BY181+BZ303*BZ181+CA303*CA181+CB303*CB181+CC303*CC181+CD303*CD181+CE303*CE181+CF303*CF181+CG303*CG181+CH303*CH181+CI303*CI181+CJ303*CJ181+CK303*CK181+CL303*CL181+CM303*CM181+CN303*CN181+CO303*CO181+CP303*CP181+CQ303*CQ181+CR303*CR181+CS303*CS181+CT303*CT181+CU303*CU181</f>
        <v>0</v>
      </c>
      <c r="DC181" s="2882">
        <f>E304*E181+F304*F181+G304*G181+H304*H181+I304*I181+J304*J181+K304*K181+L304*L181+M304*M181+N304*N181+O304*O181+P304*P181+Q304*Q181+R304*R181+S304*S181+T304*T181+U304*U181+V304*V181+W304*W181+X304*X181+Y304*Y181+Z304*Z181+AA304*AA181+AB304*AB181+AC304*AC181+AD304*AD181+AE304*AE181+AF304*AF181+AG304*AG181+AH304*AH181+AI304*AI181+AJ304*AJ181+AK304*AK181+AL304*AL181+AM304*AM181+AN304*AN181+AO304*AO181+AP304*AP181+AQ304*AQ181+AR304*AR181+AS304*AS181+AT304*AT181+AU304*AU181+AV304*AV181+AW304*AW181+AX304*AX181+AY304*AY181+AZ304*AZ181+BA304*BA181+BB304*BB181+BC304*BC181+BD304*BD181+BE304*BE181+BF304*BF181+BG304*BG181+BH304*BH181+BI304*BI181+BJ304*BJ181+BK304*BK181+BL304*BL181+BM304*BM181+BN304*BN181+BO304*BO181+BP304*BP181+BQ304*BQ181+BR304*BR181+BS304*BS181+BT304*BT181+BU304*BU181+BV304*BV181+BW304*BW181+BX304*BX181+BY304*BY181+BZ304*BZ181+CA304*CA181+CB304*CB181+CC304*CC181+CD304*CD181+CE304*CE181+CF304*CF181+CG304*CG181+CH304*CH181+CI304*CI181+CJ304*CJ181+CK304*CK181+CL304*CL181+CM304*CM181+CN304*CN181+CO304*CO181+CP304*CP181+CQ304*CQ181+CR304*CR181+CS304*CS181+CT304*CT181+CU304*CU181</f>
        <v>0</v>
      </c>
      <c r="DD181" s="2882">
        <f>E305*E181+F305*F181+G305*G181+H305*H181+I305*I181+J305*J181+K305*K181+L305*L181+M305*M181+N305*N181+O305*O181+P305*P181+Q305*Q181+R305*R181+S305*S181+T305*T181+U305*U181+V305*V181+W305*W181+X305*X181+Y305*Y181+Z305*Z181+AA305*AA181+AB305*AB181+AC305*AC181+AD305*AD181+AE305*AE181+AF305*AF181+AG305*AG181+AH305*AH181+AI305*AI181+AJ305*AJ181+AK305*AK181+AL305*AL181+AM305*AM181+AN305*AN181+AO305*AO181+AP305*AP181+AQ305*AQ181+AR305*AR181+AS305*AS181+AT305*AT181+AU305*AU181+AV305*AV181+AW305*AW181+AX305*AX181+AY305*AY181+AZ305*AZ181+BA305*BA181+BB305*BB181+BC305*BC181+BD305*BD181+BE305*BE181+BF305*BF181+BG305*BG181+BH305*BH181+BI305*BI181+BJ305*BJ181+BK305*BK181+BL305*BL181+BM305*BM181+BN305*BN181+BO305*BO181+BP305*BP181+BQ305*BQ181+BR305*BR181+BS305*BS181+BT305*BT181+BU305*BU181+BV305*BV181+BW305*BW181+BX305*BX181+BY305*BY181+BZ305*BZ181+CA305*CA181+CB305*CB181+CC305*CC181+CD305*CD181+CE305*CE181+CF305*CF181+CG305*CG181+CH305*CH181+CI305*CI181+CJ305*CJ181+CK305*CK181+CL305*CL181+CM305*CM181+CN305*CN181+CO305*CO181+CP305*CP181+CQ305*CQ181+CR305*CR181+CS305*CS181+CT305*CT181+CU305*CU181</f>
        <v>0</v>
      </c>
      <c r="DE181" s="2882">
        <f>E306*E181+F306*F181+G306*G181+H306*H181+I306*I181+J306*J181+K306*K181+L306*L181+M306*M181+N306*N181+O306*O181+P306*P181+Q306*Q181+R306*R181+S306*S181+T306*T181+U306*U181+V306*V181+W306*W181+X306*X181+Y306*Y181+Z306*Z181+AA306*AA181+AB306*AB181+AC306*AC181+AD306*AD181+AE306*AE181+AF306*AF181+AG306*AG181+AH306*AH181+AI306*AI181+AJ306*AJ181+AK306*AK181+AL306*AL181+AM306*AM181+AN306*AN181+AO306*AO181+AP306*AP181+AQ306*AQ181+AR306*AR181+AS306*AS181+AT306*AT181+AU306*AU181+AV306*AV181+AW306*AW181+AX306*AX181+AY306*AY181+AZ306*AZ181+BA306*BA181+BB306*BB181+BC306*BC181+BD306*BD181+BE306*BE181+BF306*BF181+BG306*BG181+BH306*BH181+BI306*BI181+BJ306*BJ181+BK306*BK181+BL306*BL181+BM306*BM181+BN306*BN181+BO306*BO181+BP306*BP181+BQ306*BQ181+BR306*BR181+BS306*BS181+BT306*BT181+BU306*BU181+BV306*BV181+BW306*BW181+BX306*BX181+BY306*BY181+BZ306*BZ181+CA306*CA181+CB306*CB181+CC306*CC181+CD306*CD181+CE306*CE181+CF306*CF181+CG306*CG181+CH306*CH181+CI306*CI181+CJ306*CJ181+CK306*CK181+CL306*CL181+CM306*CM181+CN306*CN181+CO306*CO181+CP306*CP181+CQ306*CQ181+CR306*CR181+CS306*CS181+CT306*CT181+CU306*CU181</f>
        <v>0</v>
      </c>
      <c r="DF181" s="2882">
        <f>E307*E181+F307*F181+G307*G181+H307*H181+I307*I181+J307*J181+K307*K181+L307*L181+M307*M181+N307*N181+O307*O181+P307*P181+Q307*Q181+R307*R181+S307*S181+T307*T181+U307*U181+V307*V181+W307*W181+X307*X181+Y307*Y181+Z307*Z181+AA307*AA181+AB307*AB181+AC307*AC181+AD307*AD181+AE307*AE181+AF307*AF181+AG307*AG181+AH307*AH181+AI307*AI181+AJ307*AJ181+AK307*AK181+AL307*AL181+AM307*AM181+AN307*AN181+AO307*AO181+AP307*AP181+AQ307*AQ181+AR307*AR181+AS307*AS181+AT307*AT181+AU307*AU181+AV307*AV181+AW307*AW181+AX307*AX181+AY307*AY181+AZ307*AZ181+BA307*BA181+BB307*BB181+BC307*BC181+BD307*BD181+BE307*BE181+BF307*BF181+BG307*BG181+BH307*BH181+BI307*BI181+BJ307*BJ181+BK307*BK181+BL307*BL181+BM307*BM181+BN307*BN181+BO307*BO181+BP307*BP181+BQ307*BQ181+BR307*BR181+BS307*BS181+BT307*BT181+BU307*BU181+BV307*BV181+BW307*BW181+BX307*BX181+BY307*BY181+BZ307*BZ181+CA307*CA181+CB307*CB181+CC307*CC181+CD307*CD181+CE307*CE181+CF307*CF181+CG307*CG181+CH307*CH181+CI307*CI181+CJ307*CJ181+CK307*CK181+CL307*CL181+CM307*CM181+CN307*CN181+CO307*CO181+CP307*CP181+CQ307*CQ181+CR307*CR181+CS307*CS181+CT307*CT181+CU307*CU181</f>
        <v>0</v>
      </c>
      <c r="DG181" s="2882">
        <f>E308*E181+F308*F181+G308*G181+H308*H181+I308*I181+J308*J181+K308*K181+L308*L181+M308*M181+N308*N181+O308*O181+P308*P181+Q308*Q181+R308*R181+S308*S181+T308*T181+U308*U181+V308*V181+W308*W181+X308*X181+Y308*Y181+Z308*Z181+AA308*AA181+AB308*AB181+AC308*AC181+AD308*AD181+AE308*AE181+AF308*AF181+AG308*AG181+AH308*AH181+AI308*AI181+AJ308*AJ181+AK308*AK181+AL308*AL181+AM308*AM181+AN308*AN181+AO308*AO181+AP308*AP181+AQ308*AQ181+AR308*AR181+AS308*AS181+AT308*AT181+AU308*AU181+AV308*AV181+AW308*AW181+AX308*AX181+AY308*AY181+AZ308*AZ181+BA308*BA181+BB308*BB181+BC308*BC181+BD308*BD181+BE308*BE181+BF308*BF181+BG308*BG181+BH308*BH181+BI308*BI181+BJ308*BJ181+BK308*BK181+BL308*BL181+BM308*BM181+BN308*BN181+BO308*BO181+BP308*BP181+BQ308*BQ181+BR308*BR181+BS308*BS181+BT308*BT181+BU308*BU181+BV308*BV181+BW308*BW181+BX308*BX181+BY308*BY181+BZ308*BZ181+CA308*CA181+CB308*CB181+CC308*CC181+CD308*CD181+CE308*CE181+CF308*CF181+CG308*CG181+CH308*CH181+CI308*CI181+CJ308*CJ181+CK308*CK181+CL308*CL181+CM308*CM181+CN308*CN181+CO308*CO181+CP308*CP181+CQ308*CQ181+CR308*CR181+CS308*CS181+CT308*CT181+CU308*CU181</f>
        <v>0</v>
      </c>
      <c r="DH181" s="2882">
        <f>E309*E181+F309*F181+G309*G181+H309*H181+I309*I181+J309*J181+K309*K181+L309*L181+M309*M181+N309*N181+O309*O181+P309*P181+Q309*Q181+R309*R181+S309*S181+T309*T181+U309*U181+V309*V181+W309*W181+X309*X181+Y309*Y181+Z309*Z181+AA309*AA181+AB309*AB181+AC309*AC181+AD309*AD181+AE309*AE181+AF309*AF181+AG309*AG181+AH309*AH181+AI309*AI181+AJ309*AJ181+AK309*AK181+AL309*AL181+AM309*AM181+AN309*AN181+AO309*AO181+AP309*AP181+AQ309*AQ181+AR309*AR181+AS309*AS181+AT309*AT181+AU309*AU181+AV309*AV181+AW309*AW181+AX309*AX181+AY309*AY181+AZ309*AZ181+BA309*BA181+BB309*BB181+BC309*BC181+BD309*BD181+BE309*BE181+BF309*BF181+BG309*BG181+BH309*BH181+BI309*BI181+BJ309*BJ181+BK309*BK181+BL309*BL181+BM309*BM181+BN309*BN181+BO309*BO181+BP309*BP181+BQ309*BQ181+BR309*BR181+BS309*BS181+BT309*BT181+BU309*BU181+BV309*BV181+BW309*BW181+BX309*BX181+BY309*BY181+BZ309*BZ181+CA309*CA181+CB309*CB181+CC309*CC181+CD309*CD181+CE309*CE181+CF309*CF181+CG309*CG181+CH309*CH181+CI309*CI181+CJ309*CJ181+CK309*CK181+CL309*CL181+CM309*CM181+CN309*CN181+CO309*CO181+CP309*CP181+CQ309*CQ181+CR309*CR181+CS309*CS181+CT309*CT181+CU309*CU181</f>
        <v>0</v>
      </c>
      <c r="DI181" s="2882">
        <f>E310*E181+F310*F181+G310*G181+H310*H181+I310*I181+J310*J181+K310*K181+L310*L181+M310*M181+N310*N181+O310*O181+P310*P181+Q310*Q181+R310*R181+S310*S181+T310*T181+U310*U181+V310*V181+W310*W181+X310*X181+Y310*Y181+Z310*Z181+AA310*AA181+AB310*AB181+AC310*AC181+AD310*AD181+AE310*AE181+AF310*AF181+AG310*AG181+AH310*AH181+AI310*AI181+AJ310*AJ181+AK310*AK181+AL310*AL181+AM310*AM181+AN310*AN181+AO310*AO181+AP310*AP181+AQ310*AQ181+AR310*AR181+AS310*AS181+AT310*AT181+AU310*AU181+AV310*AV181+AW310*AW181+AX310*AX181+AY310*AY181+AZ310*AZ181+BA310*BA181+BB310*BB181+BC310*BC181+BD310*BD181+BE310*BE181+BF310*BF181+BG310*BG181+BH310*BH181+BI310*BI181+BJ310*BJ181+BK310*BK181+BL310*BL181+BM310*BM181+BN310*BN181+BO310*BO181+BP310*BP181+BQ310*BQ181+BR310*BR181+BS310*BS181+BT310*BT181+BU310*BU181+BV310*BV181+BW310*BW181+BX310*BX181+BY310*BY181+BZ310*BZ181+CA310*CA181+CB310*CB181+CC310*CC181+CD310*CD181+CE310*CE181+CF310*CF181+CG310*CG181+CH310*CH181+CI310*CI181+CJ310*CJ181+CK310*CK181+CL310*CL181+CM310*CM181+CN310*CN181+CO310*CO181+CP310*CP181+CQ310*CQ181+CR310*CR181+CS310*CS181+CT310*CT181+CU310*CU181</f>
        <v>0</v>
      </c>
    </row>
    <row r="182" spans="2:113" ht="15.75" x14ac:dyDescent="0.45">
      <c r="B182" s="915">
        <v>23</v>
      </c>
      <c r="C182" s="915" t="s">
        <v>246</v>
      </c>
      <c r="D182" s="916" t="s">
        <v>4369</v>
      </c>
      <c r="E182" s="890">
        <f>0</f>
        <v>0</v>
      </c>
      <c r="F182" s="890">
        <f>0</f>
        <v>0</v>
      </c>
      <c r="G182" s="890">
        <f>0</f>
        <v>0</v>
      </c>
      <c r="H182" s="890">
        <f>0</f>
        <v>0</v>
      </c>
      <c r="I182" s="890">
        <f>0</f>
        <v>0</v>
      </c>
      <c r="J182" s="890">
        <f>0</f>
        <v>0</v>
      </c>
      <c r="K182" s="890">
        <f>0</f>
        <v>0</v>
      </c>
      <c r="L182" s="890">
        <f>0</f>
        <v>0</v>
      </c>
      <c r="M182" s="889">
        <f>0</f>
        <v>0</v>
      </c>
      <c r="N182" s="889">
        <f>0</f>
        <v>0</v>
      </c>
      <c r="O182" s="890">
        <f>0</f>
        <v>0</v>
      </c>
      <c r="P182" s="890">
        <f>0</f>
        <v>0</v>
      </c>
      <c r="Q182" s="890">
        <f>0</f>
        <v>0</v>
      </c>
      <c r="R182" s="889">
        <f>-Y_PP_CASTO_ox</f>
        <v>-0.33</v>
      </c>
      <c r="S182" s="890">
        <f>0</f>
        <v>0</v>
      </c>
      <c r="T182" s="890">
        <f>0</f>
        <v>0</v>
      </c>
      <c r="U182" s="890">
        <f>0</f>
        <v>0</v>
      </c>
      <c r="V182" s="890">
        <f>0</f>
        <v>0</v>
      </c>
      <c r="W182" s="890">
        <f>0</f>
        <v>0</v>
      </c>
      <c r="X182" s="890">
        <f>0</f>
        <v>0</v>
      </c>
      <c r="Y182" s="2546">
        <f>0</f>
        <v>0</v>
      </c>
      <c r="Z182" s="2546">
        <f>0</f>
        <v>0</v>
      </c>
      <c r="AA182" s="2546">
        <f>0</f>
        <v>0</v>
      </c>
      <c r="AB182" s="890">
        <f>i_N_BIO*Y_PP_CASTO_ox</f>
        <v>2.3100000000000002E-2</v>
      </c>
      <c r="AC182" s="889">
        <f>0</f>
        <v>0</v>
      </c>
      <c r="AD182" s="889">
        <f>0</f>
        <v>0</v>
      </c>
      <c r="AE182" s="889">
        <f>0</f>
        <v>0</v>
      </c>
      <c r="AF182" s="890">
        <f>0</f>
        <v>0</v>
      </c>
      <c r="AG182" s="890">
        <f>0</f>
        <v>0</v>
      </c>
      <c r="AH182" s="890">
        <f>0</f>
        <v>0</v>
      </c>
      <c r="AI182" s="890">
        <f>0</f>
        <v>0</v>
      </c>
      <c r="AJ182" s="890">
        <f>0</f>
        <v>0</v>
      </c>
      <c r="AK182" s="890">
        <f>0</f>
        <v>0</v>
      </c>
      <c r="AL182" s="890">
        <f>0</f>
        <v>0</v>
      </c>
      <c r="AM182" s="889">
        <f>i_P_BIO*Y_PP_CASTO_ox-1</f>
        <v>-0.99339999999999995</v>
      </c>
      <c r="AN182" s="890">
        <f>1</f>
        <v>1</v>
      </c>
      <c r="AO182" s="890">
        <f>0</f>
        <v>0</v>
      </c>
      <c r="AP182" s="890">
        <f>0</f>
        <v>0</v>
      </c>
      <c r="AQ182" s="890">
        <f>0</f>
        <v>0</v>
      </c>
      <c r="AR182" s="889">
        <f>-Y_PP_CASTO_ox</f>
        <v>-0.33</v>
      </c>
      <c r="AS182" s="890">
        <f>0</f>
        <v>0</v>
      </c>
      <c r="AT182" s="890">
        <f>0</f>
        <v>0</v>
      </c>
      <c r="AU182" s="889">
        <f>i_CIT_BIO*Y_PP_CASTO_ox</f>
        <v>0.11616</v>
      </c>
      <c r="AV182" s="889">
        <f>-i_INORG*Y_PP_CASTO_ox</f>
        <v>-3.6299999999999999E-2</v>
      </c>
      <c r="AW182" s="889">
        <f>Y_PP_CASTO_ox*i_INORG*(1-i_Ca_INORG*(A_MCa+2*A_MCl)/A_MCa-i_Mg_INORG*(A_MMg+2*A_MCl)/A_MMg)*f_Na</f>
        <v>9.5054201823234919E-3</v>
      </c>
      <c r="AX182" s="889">
        <f>Y_PP_CASTO_ox*(i_INORG*(i_Ca_INORG*(2*A_MCl)/A_MCa+i_Mg_INORG*(2*A_MCl)/A_MMg)+i_INORG*(1-i_Ca_INORG*(A_MCa+2*A_MCl)/A_MCa-i_Mg_INORG*(A_MMg+2*A_MCl)/A_MMg)*(1-f_Na))</f>
        <v>2.3164579817676507E-2</v>
      </c>
      <c r="AY182" s="889">
        <f>Y_PP_CASTO_ox*i_INORG*i_Ca_INORG-i_Ca_PP*A_MCa/A_MP</f>
        <v>-0.12757838702613272</v>
      </c>
      <c r="AZ182" s="889">
        <f>Y_PP_CASTO_ox*i_INORG*i_Mg_INORG-i_Mg_PP*A_MMg/A_MP</f>
        <v>-0.27282874347136937</v>
      </c>
      <c r="BA182" s="889">
        <f>-i_K_PP*A_MK/A_MP</f>
        <v>-0.12623038734377579</v>
      </c>
      <c r="BB182" s="2557">
        <f>0</f>
        <v>0</v>
      </c>
      <c r="BC182" s="2546">
        <f>i_S_BIO*Y_PP_CASTO_ox</f>
        <v>3.3000000000000004E-3</v>
      </c>
      <c r="BD182" s="2557">
        <f>0</f>
        <v>0</v>
      </c>
      <c r="BE182" s="889">
        <f>0</f>
        <v>0</v>
      </c>
      <c r="BF182" s="889">
        <f>0</f>
        <v>0</v>
      </c>
      <c r="BG182" s="889">
        <f>0</f>
        <v>0</v>
      </c>
      <c r="BH182" s="889">
        <f>0</f>
        <v>0</v>
      </c>
      <c r="BI182" s="889">
        <f>0</f>
        <v>0</v>
      </c>
      <c r="BJ182" s="889">
        <f>0</f>
        <v>0</v>
      </c>
      <c r="BK182" s="889">
        <f>0</f>
        <v>0</v>
      </c>
      <c r="BL182" s="889">
        <f>0</f>
        <v>0</v>
      </c>
      <c r="BM182" s="889">
        <f>0</f>
        <v>0</v>
      </c>
      <c r="BN182" s="889">
        <f>0</f>
        <v>0</v>
      </c>
      <c r="BO182" s="889">
        <f>0</f>
        <v>0</v>
      </c>
      <c r="BP182" s="889">
        <f>0</f>
        <v>0</v>
      </c>
      <c r="BQ182" s="889">
        <f>0</f>
        <v>0</v>
      </c>
      <c r="BR182" s="889">
        <f>0</f>
        <v>0</v>
      </c>
      <c r="BS182" s="889">
        <f>0</f>
        <v>0</v>
      </c>
      <c r="BT182" s="889">
        <f>0</f>
        <v>0</v>
      </c>
      <c r="BU182" s="889">
        <f>0</f>
        <v>0</v>
      </c>
      <c r="BV182" s="889">
        <f>0</f>
        <v>0</v>
      </c>
      <c r="BW182" s="889">
        <f>0</f>
        <v>0</v>
      </c>
      <c r="BX182" s="889">
        <f>0</f>
        <v>0</v>
      </c>
      <c r="BY182" s="2557">
        <f>0</f>
        <v>0</v>
      </c>
      <c r="BZ182" s="889">
        <f>0</f>
        <v>0</v>
      </c>
      <c r="CA182" s="889">
        <f>0</f>
        <v>0</v>
      </c>
      <c r="CB182" s="889">
        <f>0</f>
        <v>0</v>
      </c>
      <c r="CC182" s="889">
        <f>0</f>
        <v>0</v>
      </c>
      <c r="CD182" s="889">
        <f>0</f>
        <v>0</v>
      </c>
      <c r="CE182" s="889">
        <f>0</f>
        <v>0</v>
      </c>
      <c r="CF182" s="889">
        <f>0</f>
        <v>0</v>
      </c>
      <c r="CG182" s="889">
        <f>0</f>
        <v>0</v>
      </c>
      <c r="CH182" s="889">
        <f>0</f>
        <v>0</v>
      </c>
      <c r="CI182" s="889">
        <f>0</f>
        <v>0</v>
      </c>
      <c r="CJ182" s="2557">
        <f>0</f>
        <v>0</v>
      </c>
      <c r="CK182" s="889">
        <f>0</f>
        <v>0</v>
      </c>
      <c r="CL182" s="889">
        <f>0</f>
        <v>0</v>
      </c>
      <c r="CM182" s="889">
        <f>0</f>
        <v>0</v>
      </c>
      <c r="CN182" s="889">
        <f>0</f>
        <v>0</v>
      </c>
      <c r="CO182" s="889">
        <f>0</f>
        <v>0</v>
      </c>
      <c r="CP182" s="889">
        <f>0</f>
        <v>0</v>
      </c>
      <c r="CQ182" s="889">
        <f>0</f>
        <v>0</v>
      </c>
      <c r="CR182" s="889">
        <f>0</f>
        <v>0</v>
      </c>
      <c r="CS182" s="2557">
        <f>0</f>
        <v>0</v>
      </c>
      <c r="CT182" s="2557">
        <f>0</f>
        <v>0</v>
      </c>
      <c r="CU182" s="2557">
        <f>0</f>
        <v>0</v>
      </c>
      <c r="CV182" s="2858">
        <f>q_PAO_PP_T*X_PAO/(X_PP+X_PP_PAO_min)*X_PAO*M_satSO2_KO2_CASTO*L_ogsatSPO4_KPO4_PAO*L_oginhXPP_XPAO_max*M_satSCa_KCa_PAO*M_satSMg_KMg_PAO*M_satSK_KK_PAO*B_ellinhpH</f>
        <v>304.44877528388929</v>
      </c>
      <c r="CX182" s="2880">
        <f>E299*E182+F299*F182+G299*G182+H299*H182+I299*I182+J299*J182+K299*K182+L299*L182+M299*M182+N299*N182+O299*O182+P299*P182+Q299*Q182+R299*R182+S299*S182+T299*T182+U299*U182+V299*V182+W299*W182+X299*X182+Y299*Y182+Z299*Z182+AA299*AA182+AB299*AB182+AC299*AC182+AD299*AD182+AE299*AE182+AF299*AF182+AG299*AG182+AH299*AH182+AI299*AI182+AJ299*AJ182+AK299*AK182+AL299*AL182+AM299*AM182+AN299*AN182+AO299*AO182+AP299*AP182+AQ299*AQ182+AR299*AR182+AS299*AS182+AT299*AT182+AU299*AU182+AV299*AV182+AW299*AW182+AX299*AX182+AY299*AY182+AZ299*AZ182+BA299*BA182+BB299*BB182+BC299*BC182+BD299*BD182+BE299*BE182+BF299*BF182+BG299*BG182+BH299*BH182+BI299*BI182+BJ299*BJ182+BK299*BK182+BL299*BL182+BM299*BM182+BN299*BN182+BO299*BO182+BP299*BP182+BQ299*BQ182+BR299*BR182+BS299*BS182+BT299*BT182+BU299*BU182+BV299*BV182+BW299*BW182+BX299*BX182+BY299*BY182+BZ299*BZ182+CA299*CA182+CB299*CB182+CC299*CC182+CD299*CD182+CE299*CE182+CF299*CF182+CG299*CG182+CH299*CH182+CI299*CI182+CJ299*CJ182+CK299*CK182+CL299*CL182+CM299*CM182+CN299*CN182+CO299*CO182+CP299*CP182+CQ299*CQ182+CR299*CR182+CS299*CS182+CT299*CT182+CU299*CU182</f>
        <v>0</v>
      </c>
      <c r="CY182" s="2880">
        <f>E300*E182+F300*F182+G300*G182+H300*H182+I300*I182+J300*J182+K300*K182+L300*L182+M300*M182+N300*N182+O300*O182+P300*P182+Q300*Q182+R300*R182+S300*S182+T300*T182+U300*U182+V300*V182+W300*W182+X300*X182+Y300*Y182+Z300*Z182+AA300*AA182+AB300*AB182+AC300*AC182+AD300*AD182+AE300*AE182+AF300*AF182+AG300*AG182+AH300*AH182+AI300*AI182+AJ300*AJ182+AK300*AK182+AL300*AL182+AM300*AM182+AN300*AN182+AO300*AO182+AP300*AP182+AQ300*AQ182+AR300*AR182+AS300*AS182+AT300*AT182+AU300*AU182+AV300*AV182+AW300*AW182+AX300*AX182+AY300*AY182+AZ300*AZ182+BA300*BA182+BB300*BB182+BC300*BC182+BD300*BD182+BE300*BE182+BF300*BF182+BG300*BG182+BH300*BH182+BI300*BI182+BJ300*BJ182+BK300*BK182+BL300*BL182+BM300*BM182+BN300*BN182+BO300*BO182+BP300*BP182+BQ300*BQ182+BR300*BR182+BS300*BS182+BT300*BT182+BU300*BU182+BV300*BV182+BW300*BW182+BX300*BX182+BY300*BY182+BZ300*BZ182+CA300*CA182+CB300*CB182+CC300*CC182+CD300*CD182+CE300*CE182+CF300*CF182+CG300*CG182+CH300*CH182+CI300*CI182+CJ300*CJ182+CK300*CK182+CL300*CL182+CM300*CM182+CN300*CN182+CO300*CO182+CP300*CP182+CQ300*CQ182+CR300*CR182+CS300*CS182+CT300*CT182+CU300*CU182</f>
        <v>0</v>
      </c>
      <c r="CZ182" s="2881">
        <f>E301*E182+F301*F182+G301*G182+H301*H182+I301*I182+J301*J182+K301*K182+L301*L182+M301*M182+N301*N182+O301*O182+P301*P182+Q301*Q182+R301*R182+S301*S182+T301*T182+U301*U182+V301*V182+W301*W182+X301*X182+Y301*Y182+Z301*Z182+AA301*AA182+AB301*AB182+AC301*AC182+AD301*AD182+AE301*AE182+AF301*AF182+AG301*AG182+AH301*AH182+AI301*AI182+AJ301*AJ182+AK301*AK182+AL301*AL182+AM301*AM182+AN301*AN182+AO301*AO182+AP301*AP182+AQ301*AQ182+AR301*AR182+AS301*AS182+AT301*AT182+AU301*AU182+AV301*AV182+AW301*AW182+AX301*AX182+AY301*AY182+AZ301*AZ182+BA301*BA182+BB301*BB182+BC301*BC182+BD301*BD182+BE301*BE182+BF301*BF182+BG301*BG182+BH301*BH182+BI301*BI182+BJ301*BJ182+BK301*BK182+BL301*BL182+BM301*BM182+BN301*BN182+BO301*BO182+BP301*BP182+BQ301*BQ182+BR301*BR182+BS301*BS182+BT301*BT182+BU301*BU182+BV301*BV182+BW301*BW182+BX301*BX182+BY301*BY182+BZ301*BZ182+CA301*CA182+CB301*CB182+CC301*CC182+CD301*CD182+CE301*CE182+CF301*CF182+CG301*CG182+CH301*CH182+CI301*CI182+CJ301*CJ182+CK301*CK182+CL301*CL182+CM301*CM182+CN301*CN182+CO301*CO182+CP301*CP182+CQ301*CQ182+CR301*CR182+CS301*CS182+CT301*CT182+CU301*CU182</f>
        <v>0</v>
      </c>
      <c r="DA182" s="2882">
        <f>E302*E182+F302*F182+G302*G182+H302*H182+I302*I182+J302*J182+K302*K182+L302*L182+M302*M182+N302*N182+O302*O182+P302*P182+Q302*Q182+R302*R182+S302*S182+T302*T182+U302*U182+V302*V182+W302*W182+X302*X182+Y302*Y182+Z302*Z182+AA302*AA182+AB302*AB182+AC302*AC182+AD302*AD182+AE302*AE182+AF302*AF182+AG302*AG182+AH302*AH182+AI302*AI182+AJ302*AJ182+AK302*AK182+AL302*AL182+AM302*AM182+AN302*AN182+AO302*AO182+AP302*AP182+AQ302*AQ182+AR302*AR182+AS302*AS182+AT302*AT182+AU302*AU182+AV302*AV182+AW302*AW182+AX302*AX182+AY302*AY182+AZ302*AZ182+BA302*BA182+BB302*BB182+BC302*BC182+BD302*BD182+BE302*BE182+BF302*BF182+BG302*BG182+BH302*BH182+BI302*BI182+BJ302*BJ182+BK302*BK182+BL302*BL182+BM302*BM182+BN302*BN182+BO302*BO182+BP302*BP182+BQ302*BQ182+BR302*BR182+BS302*BS182+BT302*BT182+BU302*BU182+BV302*BV182+BW302*BW182+BX302*BX182+BY302*BY182+BZ302*BZ182+CA302*CA182+CB302*CB182+CC302*CC182+CD302*CD182+CE302*CE182+CF302*CF182+CG302*CG182+CH302*CH182+CI302*CI182+CJ302*CJ182+CK302*CK182+CL302*CL182+CM302*CM182+CN302*CN182+CO302*CO182+CP302*CP182+CQ302*CQ182+CR302*CR182+CS302*CS182+CT302*CT182+CU302*CU182</f>
        <v>0</v>
      </c>
      <c r="DB182" s="2882">
        <f>E303*E182+F303*F182+G303*G182+H303*H182+I303*I182+J303*J182+K303*K182+L303*L182+M303*M182+N303*N182+O303*O182+P303*P182+Q303*Q182+R303*R182+S303*S182+T303*T182+U303*U182+V303*V182+W303*W182+X303*X182+Y303*Y182+Z303*Z182+AA303*AA182+AB303*AB182+AC303*AC182+AD303*AD182+AE303*AE182+AF303*AF182+AG303*AG182+AH303*AH182+AI303*AI182+AJ303*AJ182+AK303*AK182+AL303*AL182+AM303*AM182+AN303*AN182+AO303*AO182+AP303*AP182+AQ303*AQ182+AR303*AR182+AS303*AS182+AT303*AT182+AU303*AU182+AV303*AV182+AW303*AW182+AX303*AX182+AY303*AY182+AZ303*AZ182+BA303*BA182+BB303*BB182+BC303*BC182+BD303*BD182+BE303*BE182+BF303*BF182+BG303*BG182+BH303*BH182+BI303*BI182+BJ303*BJ182+BK303*BK182+BL303*BL182+BM303*BM182+BN303*BN182+BO303*BO182+BP303*BP182+BQ303*BQ182+BR303*BR182+BS303*BS182+BT303*BT182+BU303*BU182+BV303*BV182+BW303*BW182+BX303*BX182+BY303*BY182+BZ303*BZ182+CA303*CA182+CB303*CB182+CC303*CC182+CD303*CD182+CE303*CE182+CF303*CF182+CG303*CG182+CH303*CH182+CI303*CI182+CJ303*CJ182+CK303*CK182+CL303*CL182+CM303*CM182+CN303*CN182+CO303*CO182+CP303*CP182+CQ303*CQ182+CR303*CR182+CS303*CS182+CT303*CT182+CU303*CU182</f>
        <v>0</v>
      </c>
      <c r="DC182" s="2882">
        <f>E304*E182+F304*F182+G304*G182+H304*H182+I304*I182+J304*J182+K304*K182+L304*L182+M304*M182+N304*N182+O304*O182+P304*P182+Q304*Q182+R304*R182+S304*S182+T304*T182+U304*U182+V304*V182+W304*W182+X304*X182+Y304*Y182+Z304*Z182+AA304*AA182+AB304*AB182+AC304*AC182+AD304*AD182+AE304*AE182+AF304*AF182+AG304*AG182+AH304*AH182+AI304*AI182+AJ304*AJ182+AK304*AK182+AL304*AL182+AM304*AM182+AN304*AN182+AO304*AO182+AP304*AP182+AQ304*AQ182+AR304*AR182+AS304*AS182+AT304*AT182+AU304*AU182+AV304*AV182+AW304*AW182+AX304*AX182+AY304*AY182+AZ304*AZ182+BA304*BA182+BB304*BB182+BC304*BC182+BD304*BD182+BE304*BE182+BF304*BF182+BG304*BG182+BH304*BH182+BI304*BI182+BJ304*BJ182+BK304*BK182+BL304*BL182+BM304*BM182+BN304*BN182+BO304*BO182+BP304*BP182+BQ304*BQ182+BR304*BR182+BS304*BS182+BT304*BT182+BU304*BU182+BV304*BV182+BW304*BW182+BX304*BX182+BY304*BY182+BZ304*BZ182+CA304*CA182+CB304*CB182+CC304*CC182+CD304*CD182+CE304*CE182+CF304*CF182+CG304*CG182+CH304*CH182+CI304*CI182+CJ304*CJ182+CK304*CK182+CL304*CL182+CM304*CM182+CN304*CN182+CO304*CO182+CP304*CP182+CQ304*CQ182+CR304*CR182+CS304*CS182+CT304*CT182+CU304*CU182</f>
        <v>-1.7347234759768071E-18</v>
      </c>
      <c r="DD182" s="2882">
        <f>E305*E182+F305*F182+G305*G182+H305*H182+I305*I182+J305*J182+K305*K182+L305*L182+M305*M182+N305*N182+O305*O182+P305*P182+Q305*Q182+R305*R182+S305*S182+T305*T182+U305*U182+V305*V182+W305*W182+X305*X182+Y305*Y182+Z305*Z182+AA305*AA182+AB305*AB182+AC305*AC182+AD305*AD182+AE305*AE182+AF305*AF182+AG305*AG182+AH305*AH182+AI305*AI182+AJ305*AJ182+AK305*AK182+AL305*AL182+AM305*AM182+AN305*AN182+AO305*AO182+AP305*AP182+AQ305*AQ182+AR305*AR182+AS305*AS182+AT305*AT182+AU305*AU182+AV305*AV182+AW305*AW182+AX305*AX182+AY305*AY182+AZ305*AZ182+BA305*BA182+BB305*BB182+BC305*BC182+BD305*BD182+BE305*BE182+BF305*BF182+BG305*BG182+BH305*BH182+BI305*BI182+BJ305*BJ182+BK305*BK182+BL305*BL182+BM305*BM182+BN305*BN182+BO305*BO182+BP305*BP182+BQ305*BQ182+BR305*BR182+BS305*BS182+BT305*BT182+BU305*BU182+BV305*BV182+BW305*BW182+BX305*BX182+BY305*BY182+BZ305*BZ182+CA305*CA182+CB305*CB182+CC305*CC182+CD305*CD182+CE305*CE182+CF305*CF182+CG305*CG182+CH305*CH182+CI305*CI182+CJ305*CJ182+CK305*CK182+CL305*CL182+CM305*CM182+CN305*CN182+CO305*CO182+CP305*CP182+CQ305*CQ182+CR305*CR182+CS305*CS182+CT305*CT182+CU305*CU182</f>
        <v>0</v>
      </c>
      <c r="DE182" s="2882">
        <f>E306*E182+F306*F182+G306*G182+H306*H182+I306*I182+J306*J182+K306*K182+L306*L182+M306*M182+N306*N182+O306*O182+P306*P182+Q306*Q182+R306*R182+S306*S182+T306*T182+U306*U182+V306*V182+W306*W182+X306*X182+Y306*Y182+Z306*Z182+AA306*AA182+AB306*AB182+AC306*AC182+AD306*AD182+AE306*AE182+AF306*AF182+AG306*AG182+AH306*AH182+AI306*AI182+AJ306*AJ182+AK306*AK182+AL306*AL182+AM306*AM182+AN306*AN182+AO306*AO182+AP306*AP182+AQ306*AQ182+AR306*AR182+AS306*AS182+AT306*AT182+AU306*AU182+AV306*AV182+AW306*AW182+AX306*AX182+AY306*AY182+AZ306*AZ182+BA306*BA182+BB306*BB182+BC306*BC182+BD306*BD182+BE306*BE182+BF306*BF182+BG306*BG182+BH306*BH182+BI306*BI182+BJ306*BJ182+BK306*BK182+BL306*BL182+BM306*BM182+BN306*BN182+BO306*BO182+BP306*BP182+BQ306*BQ182+BR306*BR182+BS306*BS182+BT306*BT182+BU306*BU182+BV306*BV182+BW306*BW182+BX306*BX182+BY306*BY182+BZ306*BZ182+CA306*CA182+CB306*CB182+CC306*CC182+CD306*CD182+CE306*CE182+CF306*CF182+CG306*CG182+CH306*CH182+CI306*CI182+CJ306*CJ182+CK306*CK182+CL306*CL182+CM306*CM182+CN306*CN182+CO306*CO182+CP306*CP182+CQ306*CQ182+CR306*CR182+CS306*CS182+CT306*CT182+CU306*CU182</f>
        <v>0</v>
      </c>
      <c r="DF182" s="2882">
        <f>E307*E182+F307*F182+G307*G182+H307*H182+I307*I182+J307*J182+K307*K182+L307*L182+M307*M182+N307*N182+O307*O182+P307*P182+Q307*Q182+R307*R182+S307*S182+T307*T182+U307*U182+V307*V182+W307*W182+X307*X182+Y307*Y182+Z307*Z182+AA307*AA182+AB307*AB182+AC307*AC182+AD307*AD182+AE307*AE182+AF307*AF182+AG307*AG182+AH307*AH182+AI307*AI182+AJ307*AJ182+AK307*AK182+AL307*AL182+AM307*AM182+AN307*AN182+AO307*AO182+AP307*AP182+AQ307*AQ182+AR307*AR182+AS307*AS182+AT307*AT182+AU307*AU182+AV307*AV182+AW307*AW182+AX307*AX182+AY307*AY182+AZ307*AZ182+BA307*BA182+BB307*BB182+BC307*BC182+BD307*BD182+BE307*BE182+BF307*BF182+BG307*BG182+BH307*BH182+BI307*BI182+BJ307*BJ182+BK307*BK182+BL307*BL182+BM307*BM182+BN307*BN182+BO307*BO182+BP307*BP182+BQ307*BQ182+BR307*BR182+BS307*BS182+BT307*BT182+BU307*BU182+BV307*BV182+BW307*BW182+BX307*BX182+BY307*BY182+BZ307*BZ182+CA307*CA182+CB307*CB182+CC307*CC182+CD307*CD182+CE307*CE182+CF307*CF182+CG307*CG182+CH307*CH182+CI307*CI182+CJ307*CJ182+CK307*CK182+CL307*CL182+CM307*CM182+CN307*CN182+CO307*CO182+CP307*CP182+CQ307*CQ182+CR307*CR182+CS307*CS182+CT307*CT182+CU307*CU182</f>
        <v>0</v>
      </c>
      <c r="DG182" s="2882">
        <f>E308*E182+F308*F182+G308*G182+H308*H182+I308*I182+J308*J182+K308*K182+L308*L182+M308*M182+N308*N182+O308*O182+P308*P182+Q308*Q182+R308*R182+S308*S182+T308*T182+U308*U182+V308*V182+W308*W182+X308*X182+Y308*Y182+Z308*Z182+AA308*AA182+AB308*AB182+AC308*AC182+AD308*AD182+AE308*AE182+AF308*AF182+AG308*AG182+AH308*AH182+AI308*AI182+AJ308*AJ182+AK308*AK182+AL308*AL182+AM308*AM182+AN308*AN182+AO308*AO182+AP308*AP182+AQ308*AQ182+AR308*AR182+AS308*AS182+AT308*AT182+AU308*AU182+AV308*AV182+AW308*AW182+AX308*AX182+AY308*AY182+AZ308*AZ182+BA308*BA182+BB308*BB182+BC308*BC182+BD308*BD182+BE308*BE182+BF308*BF182+BG308*BG182+BH308*BH182+BI308*BI182+BJ308*BJ182+BK308*BK182+BL308*BL182+BM308*BM182+BN308*BN182+BO308*BO182+BP308*BP182+BQ308*BQ182+BR308*BR182+BS308*BS182+BT308*BT182+BU308*BU182+BV308*BV182+BW308*BW182+BX308*BX182+BY308*BY182+BZ308*BZ182+CA308*CA182+CB308*CB182+CC308*CC182+CD308*CD182+CE308*CE182+CF308*CF182+CG308*CG182+CH308*CH182+CI308*CI182+CJ308*CJ182+CK308*CK182+CL308*CL182+CM308*CM182+CN308*CN182+CO308*CO182+CP308*CP182+CQ308*CQ182+CR308*CR182+CS308*CS182+CT308*CT182+CU308*CU182</f>
        <v>0</v>
      </c>
      <c r="DH182" s="2882">
        <f>E309*E182+F309*F182+G309*G182+H309*H182+I309*I182+J309*J182+K309*K182+L309*L182+M309*M182+N309*N182+O309*O182+P309*P182+Q309*Q182+R309*R182+S309*S182+T309*T182+U309*U182+V309*V182+W309*W182+X309*X182+Y309*Y182+Z309*Z182+AA309*AA182+AB309*AB182+AC309*AC182+AD309*AD182+AE309*AE182+AF309*AF182+AG309*AG182+AH309*AH182+AI309*AI182+AJ309*AJ182+AK309*AK182+AL309*AL182+AM309*AM182+AN309*AN182+AO309*AO182+AP309*AP182+AQ309*AQ182+AR309*AR182+AS309*AS182+AT309*AT182+AU309*AU182+AV309*AV182+AW309*AW182+AX309*AX182+AY309*AY182+AZ309*AZ182+BA309*BA182+BB309*BB182+BC309*BC182+BD309*BD182+BE309*BE182+BF309*BF182+BG309*BG182+BH309*BH182+BI309*BI182+BJ309*BJ182+BK309*BK182+BL309*BL182+BM309*BM182+BN309*BN182+BO309*BO182+BP309*BP182+BQ309*BQ182+BR309*BR182+BS309*BS182+BT309*BT182+BU309*BU182+BV309*BV182+BW309*BW182+BX309*BX182+BY309*BY182+BZ309*BZ182+CA309*CA182+CB309*CB182+CC309*CC182+CD309*CD182+CE309*CE182+CF309*CF182+CG309*CG182+CH309*CH182+CI309*CI182+CJ309*CJ182+CK309*CK182+CL309*CL182+CM309*CM182+CN309*CN182+CO309*CO182+CP309*CP182+CQ309*CQ182+CR309*CR182+CS309*CS182+CT309*CT182+CU309*CU182</f>
        <v>0</v>
      </c>
      <c r="DI182" s="2882">
        <f>E310*E182+F310*F182+G310*G182+H310*H182+I310*I182+J310*J182+K310*K182+L310*L182+M310*M182+N310*N182+O310*O182+P310*P182+Q310*Q182+R310*R182+S310*S182+T310*T182+U310*U182+V310*V182+W310*W182+X310*X182+Y310*Y182+Z310*Z182+AA310*AA182+AB310*AB182+AC310*AC182+AD310*AD182+AE310*AE182+AF310*AF182+AG310*AG182+AH310*AH182+AI310*AI182+AJ310*AJ182+AK310*AK182+AL310*AL182+AM310*AM182+AN310*AN182+AO310*AO182+AP310*AP182+AQ310*AQ182+AR310*AR182+AS310*AS182+AT310*AT182+AU310*AU182+AV310*AV182+AW310*AW182+AX310*AX182+AY310*AY182+AZ310*AZ182+BA310*BA182+BB310*BB182+BC310*BC182+BD310*BD182+BE310*BE182+BF310*BF182+BG310*BG182+BH310*BH182+BI310*BI182+BJ310*BJ182+BK310*BK182+BL310*BL182+BM310*BM182+BN310*BN182+BO310*BO182+BP310*BP182+BQ310*BQ182+BR310*BR182+BS310*BS182+BT310*BT182+BU310*BU182+BV310*BV182+BW310*BW182+BX310*BX182+BY310*BY182+BZ310*BZ182+CA310*CA182+CB310*CB182+CC310*CC182+CD310*CD182+CE310*CE182+CF310*CF182+CG310*CG182+CH310*CH182+CI310*CI182+CJ310*CJ182+CK310*CK182+CL310*CL182+CM310*CM182+CN310*CN182+CO310*CO182+CP310*CP182+CQ310*CQ182+CR310*CR182+CS310*CS182+CT310*CT182+CU310*CU182</f>
        <v>0</v>
      </c>
    </row>
    <row r="183" spans="2:113" ht="15.75" x14ac:dyDescent="0.45">
      <c r="B183" s="915">
        <v>24</v>
      </c>
      <c r="C183" s="915" t="s">
        <v>247</v>
      </c>
      <c r="D183" s="916" t="s">
        <v>4381</v>
      </c>
      <c r="E183" s="890">
        <f>0</f>
        <v>0</v>
      </c>
      <c r="F183" s="890">
        <f>0</f>
        <v>0</v>
      </c>
      <c r="G183" s="890">
        <f>0</f>
        <v>0</v>
      </c>
      <c r="H183" s="890">
        <f>0</f>
        <v>0</v>
      </c>
      <c r="I183" s="890">
        <f>0</f>
        <v>0</v>
      </c>
      <c r="J183" s="890">
        <f>0</f>
        <v>0</v>
      </c>
      <c r="K183" s="890">
        <f>0</f>
        <v>0</v>
      </c>
      <c r="L183" s="890">
        <f>0</f>
        <v>0</v>
      </c>
      <c r="M183" s="889">
        <f>0</f>
        <v>0</v>
      </c>
      <c r="N183" s="889">
        <f>0</f>
        <v>0</v>
      </c>
      <c r="O183" s="890">
        <f>0</f>
        <v>0</v>
      </c>
      <c r="P183" s="890">
        <f>0</f>
        <v>0</v>
      </c>
      <c r="Q183" s="890">
        <f>0</f>
        <v>0</v>
      </c>
      <c r="R183" s="889">
        <f>-Y_PP_CASTO_anox</f>
        <v>-0.23</v>
      </c>
      <c r="S183" s="890">
        <f>0</f>
        <v>0</v>
      </c>
      <c r="T183" s="890">
        <f>0</f>
        <v>0</v>
      </c>
      <c r="U183" s="890">
        <f>0</f>
        <v>0</v>
      </c>
      <c r="V183" s="890">
        <f>0</f>
        <v>0</v>
      </c>
      <c r="W183" s="890">
        <f>0</f>
        <v>0</v>
      </c>
      <c r="X183" s="890">
        <f>0</f>
        <v>0</v>
      </c>
      <c r="Y183" s="2546">
        <f>0</f>
        <v>0</v>
      </c>
      <c r="Z183" s="2546">
        <f>0</f>
        <v>0</v>
      </c>
      <c r="AA183" s="2546">
        <f>0</f>
        <v>0</v>
      </c>
      <c r="AB183" s="890">
        <f>i_N_BIO*Y_PP_CASTO_anox</f>
        <v>1.6100000000000003E-2</v>
      </c>
      <c r="AC183" s="889">
        <f>0</f>
        <v>0</v>
      </c>
      <c r="AD183" s="889">
        <f>0</f>
        <v>0</v>
      </c>
      <c r="AE183" s="889">
        <f>-Y_PP_CASTO_anox/E_EQN2_NO2</f>
        <v>-0.13423590884658176</v>
      </c>
      <c r="AF183" s="890">
        <f>0</f>
        <v>0</v>
      </c>
      <c r="AG183" s="890">
        <f>0</f>
        <v>0</v>
      </c>
      <c r="AH183" s="890">
        <f>0</f>
        <v>0</v>
      </c>
      <c r="AI183" s="889">
        <f>Y_PP_CASTO_anox/E_EQN2_NO2</f>
        <v>0.13423590884658176</v>
      </c>
      <c r="AJ183" s="889">
        <f>0</f>
        <v>0</v>
      </c>
      <c r="AK183" s="889">
        <f>0</f>
        <v>0</v>
      </c>
      <c r="AL183" s="889">
        <f>0</f>
        <v>0</v>
      </c>
      <c r="AM183" s="889">
        <f>i_P_BIO*Y_PP_CASTO_anox-1</f>
        <v>-0.99539999999999995</v>
      </c>
      <c r="AN183" s="890">
        <f>1</f>
        <v>1</v>
      </c>
      <c r="AO183" s="890">
        <f>0</f>
        <v>0</v>
      </c>
      <c r="AP183" s="890">
        <f>0</f>
        <v>0</v>
      </c>
      <c r="AQ183" s="890">
        <f>0</f>
        <v>0</v>
      </c>
      <c r="AR183" s="890">
        <f>0</f>
        <v>0</v>
      </c>
      <c r="AS183" s="890">
        <f>0</f>
        <v>0</v>
      </c>
      <c r="AT183" s="890">
        <f>0</f>
        <v>0</v>
      </c>
      <c r="AU183" s="889">
        <f>i_CIT_BIO*Y_PP_CASTO_anox</f>
        <v>8.0960000000000004E-2</v>
      </c>
      <c r="AV183" s="889">
        <f>-i_INORG*Y_PP_CASTO_anox</f>
        <v>-2.53E-2</v>
      </c>
      <c r="AW183" s="889">
        <f>Y_PP_CASTO_anox*i_INORG*(1-i_Ca_INORG*(A_MCa+2*A_MCl)/A_MCa-i_Mg_INORG*(A_MMg+2*A_MCl)/A_MMg)*f_Na</f>
        <v>6.6249898240436462E-3</v>
      </c>
      <c r="AX183" s="889">
        <f>Y_PP_CASTO_anox*(i_INORG*(i_Ca_INORG*(2*A_MCl)/A_MCa+i_Mg_INORG*(2*A_MCl)/A_MMg)+i_INORG*(1-i_Ca_INORG*(A_MCa+2*A_MCl)/A_MCa-i_Mg_INORG*(A_MMg+2*A_MCl)/A_MMg)*(1-f_Na))</f>
        <v>1.6145010175956355E-2</v>
      </c>
      <c r="AY183" s="889">
        <f>Y_PP_CASTO_anox*i_INORG*i_Ca_INORG-i_Ca_PP*A_MCa/A_MP</f>
        <v>-0.12812838702613275</v>
      </c>
      <c r="AZ183" s="889">
        <f>Y_PP_CASTO_anox*i_INORG*i_Mg_INORG-i_Mg_PP*A_MMg/A_MP</f>
        <v>-0.27337874347136937</v>
      </c>
      <c r="BA183" s="889">
        <f>-i_K_PP*A_MK/A_MP</f>
        <v>-0.12623038734377579</v>
      </c>
      <c r="BB183" s="2557">
        <f>0</f>
        <v>0</v>
      </c>
      <c r="BC183" s="2546">
        <f>i_S_BIO*Y_PP_CASTO_anox</f>
        <v>2.3E-3</v>
      </c>
      <c r="BD183" s="2557">
        <f>0</f>
        <v>0</v>
      </c>
      <c r="BE183" s="889">
        <f>0</f>
        <v>0</v>
      </c>
      <c r="BF183" s="889">
        <f>0</f>
        <v>0</v>
      </c>
      <c r="BG183" s="889">
        <f>0</f>
        <v>0</v>
      </c>
      <c r="BH183" s="889">
        <f>0</f>
        <v>0</v>
      </c>
      <c r="BI183" s="889">
        <f>0</f>
        <v>0</v>
      </c>
      <c r="BJ183" s="889">
        <f>0</f>
        <v>0</v>
      </c>
      <c r="BK183" s="889">
        <f>0</f>
        <v>0</v>
      </c>
      <c r="BL183" s="889">
        <f>0</f>
        <v>0</v>
      </c>
      <c r="BM183" s="889">
        <f>0</f>
        <v>0</v>
      </c>
      <c r="BN183" s="889">
        <f>0</f>
        <v>0</v>
      </c>
      <c r="BO183" s="889">
        <f>0</f>
        <v>0</v>
      </c>
      <c r="BP183" s="889">
        <f>0</f>
        <v>0</v>
      </c>
      <c r="BQ183" s="889">
        <f>0</f>
        <v>0</v>
      </c>
      <c r="BR183" s="889">
        <f>0</f>
        <v>0</v>
      </c>
      <c r="BS183" s="889">
        <f>0</f>
        <v>0</v>
      </c>
      <c r="BT183" s="889">
        <f>0</f>
        <v>0</v>
      </c>
      <c r="BU183" s="889">
        <f>0</f>
        <v>0</v>
      </c>
      <c r="BV183" s="889">
        <f>0</f>
        <v>0</v>
      </c>
      <c r="BW183" s="889">
        <f>0</f>
        <v>0</v>
      </c>
      <c r="BX183" s="889">
        <f>0</f>
        <v>0</v>
      </c>
      <c r="BY183" s="2557">
        <f>0</f>
        <v>0</v>
      </c>
      <c r="BZ183" s="889">
        <f>0</f>
        <v>0</v>
      </c>
      <c r="CA183" s="889">
        <f>0</f>
        <v>0</v>
      </c>
      <c r="CB183" s="889">
        <f>0</f>
        <v>0</v>
      </c>
      <c r="CC183" s="889">
        <f>0</f>
        <v>0</v>
      </c>
      <c r="CD183" s="889">
        <f>0</f>
        <v>0</v>
      </c>
      <c r="CE183" s="889">
        <f>0</f>
        <v>0</v>
      </c>
      <c r="CF183" s="889">
        <f>0</f>
        <v>0</v>
      </c>
      <c r="CG183" s="889">
        <f>0</f>
        <v>0</v>
      </c>
      <c r="CH183" s="889">
        <f>0</f>
        <v>0</v>
      </c>
      <c r="CI183" s="889">
        <f>0</f>
        <v>0</v>
      </c>
      <c r="CJ183" s="2557">
        <f>0</f>
        <v>0</v>
      </c>
      <c r="CK183" s="889">
        <f>0</f>
        <v>0</v>
      </c>
      <c r="CL183" s="889">
        <f>0</f>
        <v>0</v>
      </c>
      <c r="CM183" s="889">
        <f>0</f>
        <v>0</v>
      </c>
      <c r="CN183" s="889">
        <f>0</f>
        <v>0</v>
      </c>
      <c r="CO183" s="889">
        <f>0</f>
        <v>0</v>
      </c>
      <c r="CP183" s="889">
        <f>0</f>
        <v>0</v>
      </c>
      <c r="CQ183" s="889">
        <f>0</f>
        <v>0</v>
      </c>
      <c r="CR183" s="889">
        <f>0</f>
        <v>0</v>
      </c>
      <c r="CS183" s="2557">
        <f>0</f>
        <v>0</v>
      </c>
      <c r="CT183" s="2557">
        <f>0</f>
        <v>0</v>
      </c>
      <c r="CU183" s="2557">
        <f>0</f>
        <v>0</v>
      </c>
      <c r="CV183" s="2858">
        <f>q_PAO_PP_T*X_PAO/(X_PP+X_PP_PAO_min)*X_PAO*η_CASTO_anox*M_satSNO2_KNO2_CASTO*M_inhSO2_KO2_CASTO*L_ogsatSPO4_KPO4_PAO*L_oginhXPP_XPAO_max*M_satSCa_KCa_PAO*M_satSMg_KMg_PAO*M_satSK_KK_PAO*B_ellinhpH</f>
        <v>3.3489365281227821</v>
      </c>
      <c r="CX183" s="2880">
        <f>E299*E183+F299*F183+G299*G183+H299*H183+I299*I183+J299*J183+K299*K183+L299*L183+M299*M183+N299*N183+O299*O183+P299*P183+Q299*Q183+R299*R183+S299*S183+T299*T183+U299*U183+V299*V183+W299*W183+X299*X183+Y299*Y183+Z299*Z183+AA299*AA183+AB299*AB183+AC299*AC183+AD299*AD183+AE299*AE183+AF299*AF183+AG299*AG183+AH299*AH183+AI299*AI183+AJ299*AJ183+AK299*AK183+AL299*AL183+AM299*AM183+AN299*AN183+AO299*AO183+AP299*AP183+AQ299*AQ183+AR299*AR183+AS299*AS183+AT299*AT183+AU299*AU183+AV299*AV183+AW299*AW183+AX299*AX183+AY299*AY183+AZ299*AZ183+BA299*BA183+BB299*BB183+BC299*BC183+BD299*BD183+BE299*BE183+BF299*BF183+BG299*BG183+BH299*BH183+BI299*BI183+BJ299*BJ183+BK299*BK183+BL299*BL183+BM299*BM183+BN299*BN183+BO299*BO183+BP299*BP183+BQ299*BQ183+BR299*BR183+BS299*BS183+BT299*BT183+BU299*BU183+BV299*BV183+BW299*BW183+BX299*BX183+BY299*BY183+BZ299*BZ183+CA299*CA183+CB299*CB183+CC299*CC183+CD299*CD183+CE299*CE183+CF299*CF183+CG299*CG183+CH299*CH183+CI299*CI183+CJ299*CJ183+CK299*CK183+CL299*CL183+CM299*CM183+CN299*CN183+CO299*CO183+CP299*CP183+CQ299*CQ183+CR299*CR183+CS299*CS183+CT299*CT183+CU299*CU183</f>
        <v>0</v>
      </c>
      <c r="CY183" s="2880">
        <f>E300*E183+F300*F183+G300*G183+H300*H183+I300*I183+J300*J183+K300*K183+L300*L183+M300*M183+N300*N183+O300*O183+P300*P183+Q300*Q183+R300*R183+S300*S183+T300*T183+U300*U183+V300*V183+W300*W183+X300*X183+Y300*Y183+Z300*Z183+AA300*AA183+AB300*AB183+AC300*AC183+AD300*AD183+AE300*AE183+AF300*AF183+AG300*AG183+AH300*AH183+AI300*AI183+AJ300*AJ183+AK300*AK183+AL300*AL183+AM300*AM183+AN300*AN183+AO300*AO183+AP300*AP183+AQ300*AQ183+AR300*AR183+AS300*AS183+AT300*AT183+AU300*AU183+AV300*AV183+AW300*AW183+AX300*AX183+AY300*AY183+AZ300*AZ183+BA300*BA183+BB300*BB183+BC300*BC183+BD300*BD183+BE300*BE183+BF300*BF183+BG300*BG183+BH300*BH183+BI300*BI183+BJ300*BJ183+BK300*BK183+BL300*BL183+BM300*BM183+BN300*BN183+BO300*BO183+BP300*BP183+BQ300*BQ183+BR300*BR183+BS300*BS183+BT300*BT183+BU300*BU183+BV300*BV183+BW300*BW183+BX300*BX183+BY300*BY183+BZ300*BZ183+CA300*CA183+CB300*CB183+CC300*CC183+CD300*CD183+CE300*CE183+CF300*CF183+CG300*CG183+CH300*CH183+CI300*CI183+CJ300*CJ183+CK300*CK183+CL300*CL183+CM300*CM183+CN300*CN183+CO300*CO183+CP300*CP183+CQ300*CQ183+CR300*CR183+CS300*CS183+CT300*CT183+CU300*CU183</f>
        <v>0</v>
      </c>
      <c r="CZ183" s="2881">
        <f>E301*E183+F301*F183+G301*G183+H301*H183+I301*I183+J301*J183+K301*K183+L301*L183+M301*M183+N301*N183+O301*O183+P301*P183+Q301*Q183+R301*R183+S301*S183+T301*T183+U301*U183+V301*V183+W301*W183+X301*X183+Y301*Y183+Z301*Z183+AA301*AA183+AB301*AB183+AC301*AC183+AD301*AD183+AE301*AE183+AF301*AF183+AG301*AG183+AH301*AH183+AI301*AI183+AJ301*AJ183+AK301*AK183+AL301*AL183+AM301*AM183+AN301*AN183+AO301*AO183+AP301*AP183+AQ301*AQ183+AR301*AR183+AS301*AS183+AT301*AT183+AU301*AU183+AV301*AV183+AW301*AW183+AX301*AX183+AY301*AY183+AZ301*AZ183+BA301*BA183+BB301*BB183+BC301*BC183+BD301*BD183+BE301*BE183+BF301*BF183+BG301*BG183+BH301*BH183+BI301*BI183+BJ301*BJ183+BK301*BK183+BL301*BL183+BM301*BM183+BN301*BN183+BO301*BO183+BP301*BP183+BQ301*BQ183+BR301*BR183+BS301*BS183+BT301*BT183+BU301*BU183+BV301*BV183+BW301*BW183+BX301*BX183+BY301*BY183+BZ301*BZ183+CA301*CA183+CB301*CB183+CC301*CC183+CD301*CD183+CE301*CE183+CF301*CF183+CG301*CG183+CH301*CH183+CI301*CI183+CJ301*CJ183+CK301*CK183+CL301*CL183+CM301*CM183+CN301*CN183+CO301*CO183+CP301*CP183+CQ301*CQ183+CR301*CR183+CS301*CS183+CT301*CT183+CU301*CU183</f>
        <v>0</v>
      </c>
      <c r="DA183" s="2882">
        <f>E302*E183+F302*F183+G302*G183+H302*H183+I302*I183+J302*J183+K302*K183+L302*L183+M302*M183+N302*N183+O302*O183+P302*P183+Q302*Q183+R302*R183+S302*S183+T302*T183+U302*U183+V302*V183+W302*W183+X302*X183+Y302*Y183+Z302*Z183+AA302*AA183+AB302*AB183+AC302*AC183+AD302*AD183+AE302*AE183+AF302*AF183+AG302*AG183+AH302*AH183+AI302*AI183+AJ302*AJ183+AK302*AK183+AL302*AL183+AM302*AM183+AN302*AN183+AO302*AO183+AP302*AP183+AQ302*AQ183+AR302*AR183+AS302*AS183+AT302*AT183+AU302*AU183+AV302*AV183+AW302*AW183+AX302*AX183+AY302*AY183+AZ302*AZ183+BA302*BA183+BB302*BB183+BC302*BC183+BD302*BD183+BE302*BE183+BF302*BF183+BG302*BG183+BH302*BH183+BI302*BI183+BJ302*BJ183+BK302*BK183+BL302*BL183+BM302*BM183+BN302*BN183+BO302*BO183+BP302*BP183+BQ302*BQ183+BR302*BR183+BS302*BS183+BT302*BT183+BU302*BU183+BV302*BV183+BW302*BW183+BX302*BX183+BY302*BY183+BZ302*BZ183+CA302*CA183+CB302*CB183+CC302*CC183+CD302*CD183+CE302*CE183+CF302*CF183+CG302*CG183+CH302*CH183+CI302*CI183+CJ302*CJ183+CK302*CK183+CL302*CL183+CM302*CM183+CN302*CN183+CO302*CO183+CP302*CP183+CQ302*CQ183+CR302*CR183+CS302*CS183+CT302*CT183+CU302*CU183</f>
        <v>0</v>
      </c>
      <c r="DB183" s="2882">
        <f>E303*E183+F303*F183+G303*G183+H303*H183+I303*I183+J303*J183+K303*K183+L303*L183+M303*M183+N303*N183+O303*O183+P303*P183+Q303*Q183+R303*R183+S303*S183+T303*T183+U303*U183+V303*V183+W303*W183+X303*X183+Y303*Y183+Z303*Z183+AA303*AA183+AB303*AB183+AC303*AC183+AD303*AD183+AE303*AE183+AF303*AF183+AG303*AG183+AH303*AH183+AI303*AI183+AJ303*AJ183+AK303*AK183+AL303*AL183+AM303*AM183+AN303*AN183+AO303*AO183+AP303*AP183+AQ303*AQ183+AR303*AR183+AS303*AS183+AT303*AT183+AU303*AU183+AV303*AV183+AW303*AW183+AX303*AX183+AY303*AY183+AZ303*AZ183+BA303*BA183+BB303*BB183+BC303*BC183+BD303*BD183+BE303*BE183+BF303*BF183+BG303*BG183+BH303*BH183+BI303*BI183+BJ303*BJ183+BK303*BK183+BL303*BL183+BM303*BM183+BN303*BN183+BO303*BO183+BP303*BP183+BQ303*BQ183+BR303*BR183+BS303*BS183+BT303*BT183+BU303*BU183+BV303*BV183+BW303*BW183+BX303*BX183+BY303*BY183+BZ303*BZ183+CA303*CA183+CB303*CB183+CC303*CC183+CD303*CD183+CE303*CE183+CF303*CF183+CG303*CG183+CH303*CH183+CI303*CI183+CJ303*CJ183+CK303*CK183+CL303*CL183+CM303*CM183+CN303*CN183+CO303*CO183+CP303*CP183+CQ303*CQ183+CR303*CR183+CS303*CS183+CT303*CT183+CU303*CU183</f>
        <v>0</v>
      </c>
      <c r="DC183" s="2882">
        <f>E304*E183+F304*F183+G304*G183+H304*H183+I304*I183+J304*J183+K304*K183+L304*L183+M304*M183+N304*N183+O304*O183+P304*P183+Q304*Q183+R304*R183+S304*S183+T304*T183+U304*U183+V304*V183+W304*W183+X304*X183+Y304*Y183+Z304*Z183+AA304*AA183+AB304*AB183+AC304*AC183+AD304*AD183+AE304*AE183+AF304*AF183+AG304*AG183+AH304*AH183+AI304*AI183+AJ304*AJ183+AK304*AK183+AL304*AL183+AM304*AM183+AN304*AN183+AO304*AO183+AP304*AP183+AQ304*AQ183+AR304*AR183+AS304*AS183+AT304*AT183+AU304*AU183+AV304*AV183+AW304*AW183+AX304*AX183+AY304*AY183+AZ304*AZ183+BA304*BA183+BB304*BB183+BC304*BC183+BD304*BD183+BE304*BE183+BF304*BF183+BG304*BG183+BH304*BH183+BI304*BI183+BJ304*BJ183+BK304*BK183+BL304*BL183+BM304*BM183+BN304*BN183+BO304*BO183+BP304*BP183+BQ304*BQ183+BR304*BR183+BS304*BS183+BT304*BT183+BU304*BU183+BV304*BV183+BW304*BW183+BX304*BX183+BY304*BY183+BZ304*BZ183+CA304*CA183+CB304*CB183+CC304*CC183+CD304*CD183+CE304*CE183+CF304*CF183+CG304*CG183+CH304*CH183+CI304*CI183+CJ304*CJ183+CK304*CK183+CL304*CL183+CM304*CM183+CN304*CN183+CO304*CO183+CP304*CP183+CQ304*CQ183+CR304*CR183+CS304*CS183+CT304*CT183+CU304*CU183</f>
        <v>-8.6736173798840355E-19</v>
      </c>
      <c r="DD183" s="2882">
        <f>E305*E183+F305*F183+G305*G183+H305*H183+I305*I183+J305*J183+K305*K183+L305*L183+M305*M183+N305*N183+O305*O183+P305*P183+Q305*Q183+R305*R183+S305*S183+T305*T183+U305*U183+V305*V183+W305*W183+X305*X183+Y305*Y183+Z305*Z183+AA305*AA183+AB305*AB183+AC305*AC183+AD305*AD183+AE305*AE183+AF305*AF183+AG305*AG183+AH305*AH183+AI305*AI183+AJ305*AJ183+AK305*AK183+AL305*AL183+AM305*AM183+AN305*AN183+AO305*AO183+AP305*AP183+AQ305*AQ183+AR305*AR183+AS305*AS183+AT305*AT183+AU305*AU183+AV305*AV183+AW305*AW183+AX305*AX183+AY305*AY183+AZ305*AZ183+BA305*BA183+BB305*BB183+BC305*BC183+BD305*BD183+BE305*BE183+BF305*BF183+BG305*BG183+BH305*BH183+BI305*BI183+BJ305*BJ183+BK305*BK183+BL305*BL183+BM305*BM183+BN305*BN183+BO305*BO183+BP305*BP183+BQ305*BQ183+BR305*BR183+BS305*BS183+BT305*BT183+BU305*BU183+BV305*BV183+BW305*BW183+BX305*BX183+BY305*BY183+BZ305*BZ183+CA305*CA183+CB305*CB183+CC305*CC183+CD305*CD183+CE305*CE183+CF305*CF183+CG305*CG183+CH305*CH183+CI305*CI183+CJ305*CJ183+CK305*CK183+CL305*CL183+CM305*CM183+CN305*CN183+CO305*CO183+CP305*CP183+CQ305*CQ183+CR305*CR183+CS305*CS183+CT305*CT183+CU305*CU183</f>
        <v>0</v>
      </c>
      <c r="DE183" s="2882">
        <f>E306*E183+F306*F183+G306*G183+H306*H183+I306*I183+J306*J183+K306*K183+L306*L183+M306*M183+N306*N183+O306*O183+P306*P183+Q306*Q183+R306*R183+S306*S183+T306*T183+U306*U183+V306*V183+W306*W183+X306*X183+Y306*Y183+Z306*Z183+AA306*AA183+AB306*AB183+AC306*AC183+AD306*AD183+AE306*AE183+AF306*AF183+AG306*AG183+AH306*AH183+AI306*AI183+AJ306*AJ183+AK306*AK183+AL306*AL183+AM306*AM183+AN306*AN183+AO306*AO183+AP306*AP183+AQ306*AQ183+AR306*AR183+AS306*AS183+AT306*AT183+AU306*AU183+AV306*AV183+AW306*AW183+AX306*AX183+AY306*AY183+AZ306*AZ183+BA306*BA183+BB306*BB183+BC306*BC183+BD306*BD183+BE306*BE183+BF306*BF183+BG306*BG183+BH306*BH183+BI306*BI183+BJ306*BJ183+BK306*BK183+BL306*BL183+BM306*BM183+BN306*BN183+BO306*BO183+BP306*BP183+BQ306*BQ183+BR306*BR183+BS306*BS183+BT306*BT183+BU306*BU183+BV306*BV183+BW306*BW183+BX306*BX183+BY306*BY183+BZ306*BZ183+CA306*CA183+CB306*CB183+CC306*CC183+CD306*CD183+CE306*CE183+CF306*CF183+CG306*CG183+CH306*CH183+CI306*CI183+CJ306*CJ183+CK306*CK183+CL306*CL183+CM306*CM183+CN306*CN183+CO306*CO183+CP306*CP183+CQ306*CQ183+CR306*CR183+CS306*CS183+CT306*CT183+CU306*CU183</f>
        <v>0</v>
      </c>
      <c r="DF183" s="2882">
        <f>E307*E183+F307*F183+G307*G183+H307*H183+I307*I183+J307*J183+K307*K183+L307*L183+M307*M183+N307*N183+O307*O183+P307*P183+Q307*Q183+R307*R183+S307*S183+T307*T183+U307*U183+V307*V183+W307*W183+X307*X183+Y307*Y183+Z307*Z183+AA307*AA183+AB307*AB183+AC307*AC183+AD307*AD183+AE307*AE183+AF307*AF183+AG307*AG183+AH307*AH183+AI307*AI183+AJ307*AJ183+AK307*AK183+AL307*AL183+AM307*AM183+AN307*AN183+AO307*AO183+AP307*AP183+AQ307*AQ183+AR307*AR183+AS307*AS183+AT307*AT183+AU307*AU183+AV307*AV183+AW307*AW183+AX307*AX183+AY307*AY183+AZ307*AZ183+BA307*BA183+BB307*BB183+BC307*BC183+BD307*BD183+BE307*BE183+BF307*BF183+BG307*BG183+BH307*BH183+BI307*BI183+BJ307*BJ183+BK307*BK183+BL307*BL183+BM307*BM183+BN307*BN183+BO307*BO183+BP307*BP183+BQ307*BQ183+BR307*BR183+BS307*BS183+BT307*BT183+BU307*BU183+BV307*BV183+BW307*BW183+BX307*BX183+BY307*BY183+BZ307*BZ183+CA307*CA183+CB307*CB183+CC307*CC183+CD307*CD183+CE307*CE183+CF307*CF183+CG307*CG183+CH307*CH183+CI307*CI183+CJ307*CJ183+CK307*CK183+CL307*CL183+CM307*CM183+CN307*CN183+CO307*CO183+CP307*CP183+CQ307*CQ183+CR307*CR183+CS307*CS183+CT307*CT183+CU307*CU183</f>
        <v>0</v>
      </c>
      <c r="DG183" s="2882">
        <f>E308*E183+F308*F183+G308*G183+H308*H183+I308*I183+J308*J183+K308*K183+L308*L183+M308*M183+N308*N183+O308*O183+P308*P183+Q308*Q183+R308*R183+S308*S183+T308*T183+U308*U183+V308*V183+W308*W183+X308*X183+Y308*Y183+Z308*Z183+AA308*AA183+AB308*AB183+AC308*AC183+AD308*AD183+AE308*AE183+AF308*AF183+AG308*AG183+AH308*AH183+AI308*AI183+AJ308*AJ183+AK308*AK183+AL308*AL183+AM308*AM183+AN308*AN183+AO308*AO183+AP308*AP183+AQ308*AQ183+AR308*AR183+AS308*AS183+AT308*AT183+AU308*AU183+AV308*AV183+AW308*AW183+AX308*AX183+AY308*AY183+AZ308*AZ183+BA308*BA183+BB308*BB183+BC308*BC183+BD308*BD183+BE308*BE183+BF308*BF183+BG308*BG183+BH308*BH183+BI308*BI183+BJ308*BJ183+BK308*BK183+BL308*BL183+BM308*BM183+BN308*BN183+BO308*BO183+BP308*BP183+BQ308*BQ183+BR308*BR183+BS308*BS183+BT308*BT183+BU308*BU183+BV308*BV183+BW308*BW183+BX308*BX183+BY308*BY183+BZ308*BZ183+CA308*CA183+CB308*CB183+CC308*CC183+CD308*CD183+CE308*CE183+CF308*CF183+CG308*CG183+CH308*CH183+CI308*CI183+CJ308*CJ183+CK308*CK183+CL308*CL183+CM308*CM183+CN308*CN183+CO308*CO183+CP308*CP183+CQ308*CQ183+CR308*CR183+CS308*CS183+CT308*CT183+CU308*CU183</f>
        <v>0</v>
      </c>
      <c r="DH183" s="2882">
        <f>E309*E183+F309*F183+G309*G183+H309*H183+I309*I183+J309*J183+K309*K183+L309*L183+M309*M183+N309*N183+O309*O183+P309*P183+Q309*Q183+R309*R183+S309*S183+T309*T183+U309*U183+V309*V183+W309*W183+X309*X183+Y309*Y183+Z309*Z183+AA309*AA183+AB309*AB183+AC309*AC183+AD309*AD183+AE309*AE183+AF309*AF183+AG309*AG183+AH309*AH183+AI309*AI183+AJ309*AJ183+AK309*AK183+AL309*AL183+AM309*AM183+AN309*AN183+AO309*AO183+AP309*AP183+AQ309*AQ183+AR309*AR183+AS309*AS183+AT309*AT183+AU309*AU183+AV309*AV183+AW309*AW183+AX309*AX183+AY309*AY183+AZ309*AZ183+BA309*BA183+BB309*BB183+BC309*BC183+BD309*BD183+BE309*BE183+BF309*BF183+BG309*BG183+BH309*BH183+BI309*BI183+BJ309*BJ183+BK309*BK183+BL309*BL183+BM309*BM183+BN309*BN183+BO309*BO183+BP309*BP183+BQ309*BQ183+BR309*BR183+BS309*BS183+BT309*BT183+BU309*BU183+BV309*BV183+BW309*BW183+BX309*BX183+BY309*BY183+BZ309*BZ183+CA309*CA183+CB309*CB183+CC309*CC183+CD309*CD183+CE309*CE183+CF309*CF183+CG309*CG183+CH309*CH183+CI309*CI183+CJ309*CJ183+CK309*CK183+CL309*CL183+CM309*CM183+CN309*CN183+CO309*CO183+CP309*CP183+CQ309*CQ183+CR309*CR183+CS309*CS183+CT309*CT183+CU309*CU183</f>
        <v>0</v>
      </c>
      <c r="DI183" s="2882">
        <f>E310*E183+F310*F183+G310*G183+H310*H183+I310*I183+J310*J183+K310*K183+L310*L183+M310*M183+N310*N183+O310*O183+P310*P183+Q310*Q183+R310*R183+S310*S183+T310*T183+U310*U183+V310*V183+W310*W183+X310*X183+Y310*Y183+Z310*Z183+AA310*AA183+AB310*AB183+AC310*AC183+AD310*AD183+AE310*AE183+AF310*AF183+AG310*AG183+AH310*AH183+AI310*AI183+AJ310*AJ183+AK310*AK183+AL310*AL183+AM310*AM183+AN310*AN183+AO310*AO183+AP310*AP183+AQ310*AQ183+AR310*AR183+AS310*AS183+AT310*AT183+AU310*AU183+AV310*AV183+AW310*AW183+AX310*AX183+AY310*AY183+AZ310*AZ183+BA310*BA183+BB310*BB183+BC310*BC183+BD310*BD183+BE310*BE183+BF310*BF183+BG310*BG183+BH310*BH183+BI310*BI183+BJ310*BJ183+BK310*BK183+BL310*BL183+BM310*BM183+BN310*BN183+BO310*BO183+BP310*BP183+BQ310*BQ183+BR310*BR183+BS310*BS183+BT310*BT183+BU310*BU183+BV310*BV183+BW310*BW183+BX310*BX183+BY310*BY183+BZ310*BZ183+CA310*CA183+CB310*CB183+CC310*CC183+CD310*CD183+CE310*CE183+CF310*CF183+CG310*CG183+CH310*CH183+CI310*CI183+CJ310*CJ183+CK310*CK183+CL310*CL183+CM310*CM183+CN310*CN183+CO310*CO183+CP310*CP183+CQ310*CQ183+CR310*CR183+CS310*CS183+CT310*CT183+CU310*CU183</f>
        <v>0</v>
      </c>
    </row>
    <row r="184" spans="2:113" ht="15.75" x14ac:dyDescent="0.45">
      <c r="B184" s="915">
        <v>25</v>
      </c>
      <c r="C184" s="915" t="s">
        <v>248</v>
      </c>
      <c r="D184" s="916" t="s">
        <v>4394</v>
      </c>
      <c r="E184" s="890">
        <f>0</f>
        <v>0</v>
      </c>
      <c r="F184" s="890">
        <f>0</f>
        <v>0</v>
      </c>
      <c r="G184" s="890">
        <f>0</f>
        <v>0</v>
      </c>
      <c r="H184" s="890">
        <f>0</f>
        <v>0</v>
      </c>
      <c r="I184" s="890">
        <f>0</f>
        <v>0</v>
      </c>
      <c r="J184" s="890">
        <f>0</f>
        <v>0</v>
      </c>
      <c r="K184" s="890">
        <f>0</f>
        <v>0</v>
      </c>
      <c r="L184" s="890">
        <f>0</f>
        <v>0</v>
      </c>
      <c r="M184" s="889">
        <f>0</f>
        <v>0</v>
      </c>
      <c r="N184" s="889">
        <f>0</f>
        <v>0</v>
      </c>
      <c r="O184" s="890">
        <f>0</f>
        <v>0</v>
      </c>
      <c r="P184" s="890">
        <f>0</f>
        <v>0</v>
      </c>
      <c r="Q184" s="890">
        <f>0</f>
        <v>0</v>
      </c>
      <c r="R184" s="889">
        <f>-Y_PP_CASTO_anox</f>
        <v>-0.23</v>
      </c>
      <c r="S184" s="890">
        <f>0</f>
        <v>0</v>
      </c>
      <c r="T184" s="890">
        <f>0</f>
        <v>0</v>
      </c>
      <c r="U184" s="890">
        <f>0</f>
        <v>0</v>
      </c>
      <c r="V184" s="890">
        <f>0</f>
        <v>0</v>
      </c>
      <c r="W184" s="890">
        <f>0</f>
        <v>0</v>
      </c>
      <c r="X184" s="890">
        <f>0</f>
        <v>0</v>
      </c>
      <c r="Y184" s="2546">
        <f>0</f>
        <v>0</v>
      </c>
      <c r="Z184" s="2546">
        <f>0</f>
        <v>0</v>
      </c>
      <c r="AA184" s="2546">
        <f>0</f>
        <v>0</v>
      </c>
      <c r="AB184" s="890">
        <f>i_N_BIO*Y_PP_CASTO_anox</f>
        <v>1.6100000000000003E-2</v>
      </c>
      <c r="AC184" s="889">
        <f>0</f>
        <v>0</v>
      </c>
      <c r="AD184" s="889">
        <f>-Y_PP_CASTO_anox/E_EQNO2_NO3</f>
        <v>-0.20135386326987265</v>
      </c>
      <c r="AE184" s="889">
        <f>Y_PP_CASTO_anox/E_EQNO2_NO3</f>
        <v>0.20135386326987265</v>
      </c>
      <c r="AF184" s="890">
        <f>0</f>
        <v>0</v>
      </c>
      <c r="AG184" s="890">
        <f>0</f>
        <v>0</v>
      </c>
      <c r="AH184" s="890">
        <f>0</f>
        <v>0</v>
      </c>
      <c r="AI184" s="890">
        <f>0</f>
        <v>0</v>
      </c>
      <c r="AJ184" s="890">
        <f>0</f>
        <v>0</v>
      </c>
      <c r="AK184" s="890">
        <f>0</f>
        <v>0</v>
      </c>
      <c r="AL184" s="890">
        <f>0</f>
        <v>0</v>
      </c>
      <c r="AM184" s="889">
        <f>i_P_BIO*Y_PP_CASTO_anox-1</f>
        <v>-0.99539999999999995</v>
      </c>
      <c r="AN184" s="890">
        <f>1</f>
        <v>1</v>
      </c>
      <c r="AO184" s="890">
        <f>0</f>
        <v>0</v>
      </c>
      <c r="AP184" s="890">
        <f>0</f>
        <v>0</v>
      </c>
      <c r="AQ184" s="890">
        <f>0</f>
        <v>0</v>
      </c>
      <c r="AR184" s="890">
        <f>0</f>
        <v>0</v>
      </c>
      <c r="AS184" s="890">
        <f>0</f>
        <v>0</v>
      </c>
      <c r="AT184" s="890">
        <f>0</f>
        <v>0</v>
      </c>
      <c r="AU184" s="889">
        <f>i_CIT_BIO*Y_PP_CASTO_anox</f>
        <v>8.0960000000000004E-2</v>
      </c>
      <c r="AV184" s="889">
        <f>-i_INORG*Y_PP_CASTO_anox</f>
        <v>-2.53E-2</v>
      </c>
      <c r="AW184" s="889">
        <f>Y_PP_CASTO_anox*i_INORG*(1-i_Ca_INORG*(A_MCa+2*A_MCl)/A_MCa-i_Mg_INORG*(A_MMg+2*A_MCl)/A_MMg)*f_Na</f>
        <v>6.6249898240436462E-3</v>
      </c>
      <c r="AX184" s="889">
        <f>Y_PP_CASTO_anox*(i_INORG*(i_Ca_INORG*(2*A_MCl)/A_MCa+i_Mg_INORG*(2*A_MCl)/A_MMg)+i_INORG*(1-i_Ca_INORG*(A_MCa+2*A_MCl)/A_MCa-i_Mg_INORG*(A_MMg+2*A_MCl)/A_MMg)*(1-f_Na))</f>
        <v>1.6145010175956355E-2</v>
      </c>
      <c r="AY184" s="889">
        <f>Y_PP_CASTO_anox*i_INORG*i_Ca_INORG-i_Ca_PP*A_MCa/A_MP</f>
        <v>-0.12812838702613275</v>
      </c>
      <c r="AZ184" s="889">
        <f>Y_PP_CASTO_anox*i_INORG*i_Mg_INORG-i_Mg_PP*A_MMg/A_MP</f>
        <v>-0.27337874347136937</v>
      </c>
      <c r="BA184" s="889">
        <f>-i_K_PP*A_MK/A_MP</f>
        <v>-0.12623038734377579</v>
      </c>
      <c r="BB184" s="2557">
        <f>0</f>
        <v>0</v>
      </c>
      <c r="BC184" s="2546">
        <f>i_S_BIO*Y_PP_CASTO_anox</f>
        <v>2.3E-3</v>
      </c>
      <c r="BD184" s="2557">
        <f>0</f>
        <v>0</v>
      </c>
      <c r="BE184" s="889">
        <f>0</f>
        <v>0</v>
      </c>
      <c r="BF184" s="889">
        <f>0</f>
        <v>0</v>
      </c>
      <c r="BG184" s="889">
        <f>0</f>
        <v>0</v>
      </c>
      <c r="BH184" s="889">
        <f>0</f>
        <v>0</v>
      </c>
      <c r="BI184" s="889">
        <f>0</f>
        <v>0</v>
      </c>
      <c r="BJ184" s="889">
        <f>0</f>
        <v>0</v>
      </c>
      <c r="BK184" s="889">
        <f>0</f>
        <v>0</v>
      </c>
      <c r="BL184" s="889">
        <f>0</f>
        <v>0</v>
      </c>
      <c r="BM184" s="889">
        <f>0</f>
        <v>0</v>
      </c>
      <c r="BN184" s="889">
        <f>0</f>
        <v>0</v>
      </c>
      <c r="BO184" s="889">
        <f>0</f>
        <v>0</v>
      </c>
      <c r="BP184" s="889">
        <f>0</f>
        <v>0</v>
      </c>
      <c r="BQ184" s="889">
        <f>0</f>
        <v>0</v>
      </c>
      <c r="BR184" s="889">
        <f>0</f>
        <v>0</v>
      </c>
      <c r="BS184" s="889">
        <f>0</f>
        <v>0</v>
      </c>
      <c r="BT184" s="889">
        <f>0</f>
        <v>0</v>
      </c>
      <c r="BU184" s="889">
        <f>0</f>
        <v>0</v>
      </c>
      <c r="BV184" s="889">
        <f>0</f>
        <v>0</v>
      </c>
      <c r="BW184" s="889">
        <f>0</f>
        <v>0</v>
      </c>
      <c r="BX184" s="889">
        <f>0</f>
        <v>0</v>
      </c>
      <c r="BY184" s="2557">
        <f>0</f>
        <v>0</v>
      </c>
      <c r="BZ184" s="889">
        <f>0</f>
        <v>0</v>
      </c>
      <c r="CA184" s="889">
        <f>0</f>
        <v>0</v>
      </c>
      <c r="CB184" s="889">
        <f>0</f>
        <v>0</v>
      </c>
      <c r="CC184" s="889">
        <f>0</f>
        <v>0</v>
      </c>
      <c r="CD184" s="889">
        <f>0</f>
        <v>0</v>
      </c>
      <c r="CE184" s="889">
        <f>0</f>
        <v>0</v>
      </c>
      <c r="CF184" s="889">
        <f>0</f>
        <v>0</v>
      </c>
      <c r="CG184" s="889">
        <f>0</f>
        <v>0</v>
      </c>
      <c r="CH184" s="889">
        <f>0</f>
        <v>0</v>
      </c>
      <c r="CI184" s="889">
        <f>0</f>
        <v>0</v>
      </c>
      <c r="CJ184" s="2557">
        <f>0</f>
        <v>0</v>
      </c>
      <c r="CK184" s="889">
        <f>0</f>
        <v>0</v>
      </c>
      <c r="CL184" s="889">
        <f>0</f>
        <v>0</v>
      </c>
      <c r="CM184" s="889">
        <f>0</f>
        <v>0</v>
      </c>
      <c r="CN184" s="889">
        <f>0</f>
        <v>0</v>
      </c>
      <c r="CO184" s="889">
        <f>0</f>
        <v>0</v>
      </c>
      <c r="CP184" s="889">
        <f>0</f>
        <v>0</v>
      </c>
      <c r="CQ184" s="889">
        <f>0</f>
        <v>0</v>
      </c>
      <c r="CR184" s="889">
        <f>0</f>
        <v>0</v>
      </c>
      <c r="CS184" s="2557">
        <f>0</f>
        <v>0</v>
      </c>
      <c r="CT184" s="2557">
        <f>0</f>
        <v>0</v>
      </c>
      <c r="CU184" s="2557">
        <f>0</f>
        <v>0</v>
      </c>
      <c r="CV184" s="2858">
        <f>q_PAO_PP_T*X_PAO/(X_PP+X_PP_PAO_min)*X_PAO*η_CASTO_anox*M_satSNO3_KNO3_CASTO*M_inhSO2_KO2_CASTO*M_inhSNO2_KNO2_CASTO*L_ogsatSPO4_KPO4_PAO*L_oginhXPP_XPAO_max*M_satSCa_KCa_PAO*M_satSMg_KMg_PAO*M_satSK_KK_PAO*B_ellinhpH</f>
        <v>1.6416355530013644</v>
      </c>
      <c r="CX184" s="2880">
        <f>E299*E184+F299*F184+G299*G184+H299*H184+I299*I184+J299*J184+K299*K184+L299*L184+M299*M184+N299*N184+O299*O184+P299*P184+Q299*Q184+R299*R184+S299*S184+T299*T184+U299*U184+V299*V184+W299*W184+X299*X184+Y299*Y184+Z299*Z184+AA299*AA184+AB299*AB184+AC299*AC184+AD299*AD184+AE299*AE184+AF299*AF184+AG299*AG184+AH299*AH184+AI299*AI184+AJ299*AJ184+AK299*AK184+AL299*AL184+AM299*AM184+AN299*AN184+AO299*AO184+AP299*AP184+AQ299*AQ184+AR299*AR184+AS299*AS184+AT299*AT184+AU299*AU184+AV299*AV184+AW299*AW184+AX299*AX184+AY299*AY184+AZ299*AZ184+BA299*BA184+BB299*BB184+BC299*BC184+BD299*BD184+BE299*BE184+BF299*BF184+BG299*BG184+BH299*BH184+BI299*BI184+BJ299*BJ184+BK299*BK184+BL299*BL184+BM299*BM184+BN299*BN184+BO299*BO184+BP299*BP184+BQ299*BQ184+BR299*BR184+BS299*BS184+BT299*BT184+BU299*BU184+BV299*BV184+BW299*BW184+BX299*BX184+BY299*BY184+BZ299*BZ184+CA299*CA184+CB299*CB184+CC299*CC184+CD299*CD184+CE299*CE184+CF299*CF184+CG299*CG184+CH299*CH184+CI299*CI184+CJ299*CJ184+CK299*CK184+CL299*CL184+CM299*CM184+CN299*CN184+CO299*CO184+CP299*CP184+CQ299*CQ184+CR299*CR184+CS299*CS184+CT299*CT184+CU299*CU184</f>
        <v>1.1102230246251565E-16</v>
      </c>
      <c r="CY184" s="2880">
        <f>E300*E184+F300*F184+G300*G184+H300*H184+I300*I184+J300*J184+K300*K184+L300*L184+M300*M184+N300*N184+O300*O184+P300*P184+Q300*Q184+R300*R184+S300*S184+T300*T184+U300*U184+V300*V184+W300*W184+X300*X184+Y300*Y184+Z300*Z184+AA300*AA184+AB300*AB184+AC300*AC184+AD300*AD184+AE300*AE184+AF300*AF184+AG300*AG184+AH300*AH184+AI300*AI184+AJ300*AJ184+AK300*AK184+AL300*AL184+AM300*AM184+AN300*AN184+AO300*AO184+AP300*AP184+AQ300*AQ184+AR300*AR184+AS300*AS184+AT300*AT184+AU300*AU184+AV300*AV184+AW300*AW184+AX300*AX184+AY300*AY184+AZ300*AZ184+BA300*BA184+BB300*BB184+BC300*BC184+BD300*BD184+BE300*BE184+BF300*BF184+BG300*BG184+BH300*BH184+BI300*BI184+BJ300*BJ184+BK300*BK184+BL300*BL184+BM300*BM184+BN300*BN184+BO300*BO184+BP300*BP184+BQ300*BQ184+BR300*BR184+BS300*BS184+BT300*BT184+BU300*BU184+BV300*BV184+BW300*BW184+BX300*BX184+BY300*BY184+BZ300*BZ184+CA300*CA184+CB300*CB184+CC300*CC184+CD300*CD184+CE300*CE184+CF300*CF184+CG300*CG184+CH300*CH184+CI300*CI184+CJ300*CJ184+CK300*CK184+CL300*CL184+CM300*CM184+CN300*CN184+CO300*CO184+CP300*CP184+CQ300*CQ184+CR300*CR184+CS300*CS184+CT300*CT184+CU300*CU184</f>
        <v>0</v>
      </c>
      <c r="CZ184" s="2881">
        <f>E301*E184+F301*F184+G301*G184+H301*H184+I301*I184+J301*J184+K301*K184+L301*L184+M301*M184+N301*N184+O301*O184+P301*P184+Q301*Q184+R301*R184+S301*S184+T301*T184+U301*U184+V301*V184+W301*W184+X301*X184+Y301*Y184+Z301*Z184+AA301*AA184+AB301*AB184+AC301*AC184+AD301*AD184+AE301*AE184+AF301*AF184+AG301*AG184+AH301*AH184+AI301*AI184+AJ301*AJ184+AK301*AK184+AL301*AL184+AM301*AM184+AN301*AN184+AO301*AO184+AP301*AP184+AQ301*AQ184+AR301*AR184+AS301*AS184+AT301*AT184+AU301*AU184+AV301*AV184+AW301*AW184+AX301*AX184+AY301*AY184+AZ301*AZ184+BA301*BA184+BB301*BB184+BC301*BC184+BD301*BD184+BE301*BE184+BF301*BF184+BG301*BG184+BH301*BH184+BI301*BI184+BJ301*BJ184+BK301*BK184+BL301*BL184+BM301*BM184+BN301*BN184+BO301*BO184+BP301*BP184+BQ301*BQ184+BR301*BR184+BS301*BS184+BT301*BT184+BU301*BU184+BV301*BV184+BW301*BW184+BX301*BX184+BY301*BY184+BZ301*BZ184+CA301*CA184+CB301*CB184+CC301*CC184+CD301*CD184+CE301*CE184+CF301*CF184+CG301*CG184+CH301*CH184+CI301*CI184+CJ301*CJ184+CK301*CK184+CL301*CL184+CM301*CM184+CN301*CN184+CO301*CO184+CP301*CP184+CQ301*CQ184+CR301*CR184+CS301*CS184+CT301*CT184+CU301*CU184</f>
        <v>0</v>
      </c>
      <c r="DA184" s="2882">
        <f>E302*E184+F302*F184+G302*G184+H302*H184+I302*I184+J302*J184+K302*K184+L302*L184+M302*M184+N302*N184+O302*O184+P302*P184+Q302*Q184+R302*R184+S302*S184+T302*T184+U302*U184+V302*V184+W302*W184+X302*X184+Y302*Y184+Z302*Z184+AA302*AA184+AB302*AB184+AC302*AC184+AD302*AD184+AE302*AE184+AF302*AF184+AG302*AG184+AH302*AH184+AI302*AI184+AJ302*AJ184+AK302*AK184+AL302*AL184+AM302*AM184+AN302*AN184+AO302*AO184+AP302*AP184+AQ302*AQ184+AR302*AR184+AS302*AS184+AT302*AT184+AU302*AU184+AV302*AV184+AW302*AW184+AX302*AX184+AY302*AY184+AZ302*AZ184+BA302*BA184+BB302*BB184+BC302*BC184+BD302*BD184+BE302*BE184+BF302*BF184+BG302*BG184+BH302*BH184+BI302*BI184+BJ302*BJ184+BK302*BK184+BL302*BL184+BM302*BM184+BN302*BN184+BO302*BO184+BP302*BP184+BQ302*BQ184+BR302*BR184+BS302*BS184+BT302*BT184+BU302*BU184+BV302*BV184+BW302*BW184+BX302*BX184+BY302*BY184+BZ302*BZ184+CA302*CA184+CB302*CB184+CC302*CC184+CD302*CD184+CE302*CE184+CF302*CF184+CG302*CG184+CH302*CH184+CI302*CI184+CJ302*CJ184+CK302*CK184+CL302*CL184+CM302*CM184+CN302*CN184+CO302*CO184+CP302*CP184+CQ302*CQ184+CR302*CR184+CS302*CS184+CT302*CT184+CU302*CU184</f>
        <v>0</v>
      </c>
      <c r="DB184" s="2882">
        <f>E303*E184+F303*F184+G303*G184+H303*H184+I303*I184+J303*J184+K303*K184+L303*L184+M303*M184+N303*N184+O303*O184+P303*P184+Q303*Q184+R303*R184+S303*S184+T303*T184+U303*U184+V303*V184+W303*W184+X303*X184+Y303*Y184+Z303*Z184+AA303*AA184+AB303*AB184+AC303*AC184+AD303*AD184+AE303*AE184+AF303*AF184+AG303*AG184+AH303*AH184+AI303*AI184+AJ303*AJ184+AK303*AK184+AL303*AL184+AM303*AM184+AN303*AN184+AO303*AO184+AP303*AP184+AQ303*AQ184+AR303*AR184+AS303*AS184+AT303*AT184+AU303*AU184+AV303*AV184+AW303*AW184+AX303*AX184+AY303*AY184+AZ303*AZ184+BA303*BA184+BB303*BB184+BC303*BC184+BD303*BD184+BE303*BE184+BF303*BF184+BG303*BG184+BH303*BH184+BI303*BI184+BJ303*BJ184+BK303*BK184+BL303*BL184+BM303*BM184+BN303*BN184+BO303*BO184+BP303*BP184+BQ303*BQ184+BR303*BR184+BS303*BS184+BT303*BT184+BU303*BU184+BV303*BV184+BW303*BW184+BX303*BX184+BY303*BY184+BZ303*BZ184+CA303*CA184+CB303*CB184+CC303*CC184+CD303*CD184+CE303*CE184+CF303*CF184+CG303*CG184+CH303*CH184+CI303*CI184+CJ303*CJ184+CK303*CK184+CL303*CL184+CM303*CM184+CN303*CN184+CO303*CO184+CP303*CP184+CQ303*CQ184+CR303*CR184+CS303*CS184+CT303*CT184+CU303*CU184</f>
        <v>0</v>
      </c>
      <c r="DC184" s="2882">
        <f>E304*E184+F304*F184+G304*G184+H304*H184+I304*I184+J304*J184+K304*K184+L304*L184+M304*M184+N304*N184+O304*O184+P304*P184+Q304*Q184+R304*R184+S304*S184+T304*T184+U304*U184+V304*V184+W304*W184+X304*X184+Y304*Y184+Z304*Z184+AA304*AA184+AB304*AB184+AC304*AC184+AD304*AD184+AE304*AE184+AF304*AF184+AG304*AG184+AH304*AH184+AI304*AI184+AJ304*AJ184+AK304*AK184+AL304*AL184+AM304*AM184+AN304*AN184+AO304*AO184+AP304*AP184+AQ304*AQ184+AR304*AR184+AS304*AS184+AT304*AT184+AU304*AU184+AV304*AV184+AW304*AW184+AX304*AX184+AY304*AY184+AZ304*AZ184+BA304*BA184+BB304*BB184+BC304*BC184+BD304*BD184+BE304*BE184+BF304*BF184+BG304*BG184+BH304*BH184+BI304*BI184+BJ304*BJ184+BK304*BK184+BL304*BL184+BM304*BM184+BN304*BN184+BO304*BO184+BP304*BP184+BQ304*BQ184+BR304*BR184+BS304*BS184+BT304*BT184+BU304*BU184+BV304*BV184+BW304*BW184+BX304*BX184+BY304*BY184+BZ304*BZ184+CA304*CA184+CB304*CB184+CC304*CC184+CD304*CD184+CE304*CE184+CF304*CF184+CG304*CG184+CH304*CH184+CI304*CI184+CJ304*CJ184+CK304*CK184+CL304*CL184+CM304*CM184+CN304*CN184+CO304*CO184+CP304*CP184+CQ304*CQ184+CR304*CR184+CS304*CS184+CT304*CT184+CU304*CU184</f>
        <v>-8.6736173798840355E-19</v>
      </c>
      <c r="DD184" s="2882">
        <f>E305*E184+F305*F184+G305*G184+H305*H184+I305*I184+J305*J184+K305*K184+L305*L184+M305*M184+N305*N184+O305*O184+P305*P184+Q305*Q184+R305*R184+S305*S184+T305*T184+U305*U184+V305*V184+W305*W184+X305*X184+Y305*Y184+Z305*Z184+AA305*AA184+AB305*AB184+AC305*AC184+AD305*AD184+AE305*AE184+AF305*AF184+AG305*AG184+AH305*AH184+AI305*AI184+AJ305*AJ184+AK305*AK184+AL305*AL184+AM305*AM184+AN305*AN184+AO305*AO184+AP305*AP184+AQ305*AQ184+AR305*AR184+AS305*AS184+AT305*AT184+AU305*AU184+AV305*AV184+AW305*AW184+AX305*AX184+AY305*AY184+AZ305*AZ184+BA305*BA184+BB305*BB184+BC305*BC184+BD305*BD184+BE305*BE184+BF305*BF184+BG305*BG184+BH305*BH184+BI305*BI184+BJ305*BJ184+BK305*BK184+BL305*BL184+BM305*BM184+BN305*BN184+BO305*BO184+BP305*BP184+BQ305*BQ184+BR305*BR184+BS305*BS184+BT305*BT184+BU305*BU184+BV305*BV184+BW305*BW184+BX305*BX184+BY305*BY184+BZ305*BZ184+CA305*CA184+CB305*CB184+CC305*CC184+CD305*CD184+CE305*CE184+CF305*CF184+CG305*CG184+CH305*CH184+CI305*CI184+CJ305*CJ184+CK305*CK184+CL305*CL184+CM305*CM184+CN305*CN184+CO305*CO184+CP305*CP184+CQ305*CQ184+CR305*CR184+CS305*CS184+CT305*CT184+CU305*CU184</f>
        <v>0</v>
      </c>
      <c r="DE184" s="2882">
        <f>E306*E184+F306*F184+G306*G184+H306*H184+I306*I184+J306*J184+K306*K184+L306*L184+M306*M184+N306*N184+O306*O184+P306*P184+Q306*Q184+R306*R184+S306*S184+T306*T184+U306*U184+V306*V184+W306*W184+X306*X184+Y306*Y184+Z306*Z184+AA306*AA184+AB306*AB184+AC306*AC184+AD306*AD184+AE306*AE184+AF306*AF184+AG306*AG184+AH306*AH184+AI306*AI184+AJ306*AJ184+AK306*AK184+AL306*AL184+AM306*AM184+AN306*AN184+AO306*AO184+AP306*AP184+AQ306*AQ184+AR306*AR184+AS306*AS184+AT306*AT184+AU306*AU184+AV306*AV184+AW306*AW184+AX306*AX184+AY306*AY184+AZ306*AZ184+BA306*BA184+BB306*BB184+BC306*BC184+BD306*BD184+BE306*BE184+BF306*BF184+BG306*BG184+BH306*BH184+BI306*BI184+BJ306*BJ184+BK306*BK184+BL306*BL184+BM306*BM184+BN306*BN184+BO306*BO184+BP306*BP184+BQ306*BQ184+BR306*BR184+BS306*BS184+BT306*BT184+BU306*BU184+BV306*BV184+BW306*BW184+BX306*BX184+BY306*BY184+BZ306*BZ184+CA306*CA184+CB306*CB184+CC306*CC184+CD306*CD184+CE306*CE184+CF306*CF184+CG306*CG184+CH306*CH184+CI306*CI184+CJ306*CJ184+CK306*CK184+CL306*CL184+CM306*CM184+CN306*CN184+CO306*CO184+CP306*CP184+CQ306*CQ184+CR306*CR184+CS306*CS184+CT306*CT184+CU306*CU184</f>
        <v>0</v>
      </c>
      <c r="DF184" s="2882">
        <f>E307*E184+F307*F184+G307*G184+H307*H184+I307*I184+J307*J184+K307*K184+L307*L184+M307*M184+N307*N184+O307*O184+P307*P184+Q307*Q184+R307*R184+S307*S184+T307*T184+U307*U184+V307*V184+W307*W184+X307*X184+Y307*Y184+Z307*Z184+AA307*AA184+AB307*AB184+AC307*AC184+AD307*AD184+AE307*AE184+AF307*AF184+AG307*AG184+AH307*AH184+AI307*AI184+AJ307*AJ184+AK307*AK184+AL307*AL184+AM307*AM184+AN307*AN184+AO307*AO184+AP307*AP184+AQ307*AQ184+AR307*AR184+AS307*AS184+AT307*AT184+AU307*AU184+AV307*AV184+AW307*AW184+AX307*AX184+AY307*AY184+AZ307*AZ184+BA307*BA184+BB307*BB184+BC307*BC184+BD307*BD184+BE307*BE184+BF307*BF184+BG307*BG184+BH307*BH184+BI307*BI184+BJ307*BJ184+BK307*BK184+BL307*BL184+BM307*BM184+BN307*BN184+BO307*BO184+BP307*BP184+BQ307*BQ184+BR307*BR184+BS307*BS184+BT307*BT184+BU307*BU184+BV307*BV184+BW307*BW184+BX307*BX184+BY307*BY184+BZ307*BZ184+CA307*CA184+CB307*CB184+CC307*CC184+CD307*CD184+CE307*CE184+CF307*CF184+CG307*CG184+CH307*CH184+CI307*CI184+CJ307*CJ184+CK307*CK184+CL307*CL184+CM307*CM184+CN307*CN184+CO307*CO184+CP307*CP184+CQ307*CQ184+CR307*CR184+CS307*CS184+CT307*CT184+CU307*CU184</f>
        <v>0</v>
      </c>
      <c r="DG184" s="2882">
        <f>E308*E184+F308*F184+G308*G184+H308*H184+I308*I184+J308*J184+K308*K184+L308*L184+M308*M184+N308*N184+O308*O184+P308*P184+Q308*Q184+R308*R184+S308*S184+T308*T184+U308*U184+V308*V184+W308*W184+X308*X184+Y308*Y184+Z308*Z184+AA308*AA184+AB308*AB184+AC308*AC184+AD308*AD184+AE308*AE184+AF308*AF184+AG308*AG184+AH308*AH184+AI308*AI184+AJ308*AJ184+AK308*AK184+AL308*AL184+AM308*AM184+AN308*AN184+AO308*AO184+AP308*AP184+AQ308*AQ184+AR308*AR184+AS308*AS184+AT308*AT184+AU308*AU184+AV308*AV184+AW308*AW184+AX308*AX184+AY308*AY184+AZ308*AZ184+BA308*BA184+BB308*BB184+BC308*BC184+BD308*BD184+BE308*BE184+BF308*BF184+BG308*BG184+BH308*BH184+BI308*BI184+BJ308*BJ184+BK308*BK184+BL308*BL184+BM308*BM184+BN308*BN184+BO308*BO184+BP308*BP184+BQ308*BQ184+BR308*BR184+BS308*BS184+BT308*BT184+BU308*BU184+BV308*BV184+BW308*BW184+BX308*BX184+BY308*BY184+BZ308*BZ184+CA308*CA184+CB308*CB184+CC308*CC184+CD308*CD184+CE308*CE184+CF308*CF184+CG308*CG184+CH308*CH184+CI308*CI184+CJ308*CJ184+CK308*CK184+CL308*CL184+CM308*CM184+CN308*CN184+CO308*CO184+CP308*CP184+CQ308*CQ184+CR308*CR184+CS308*CS184+CT308*CT184+CU308*CU184</f>
        <v>0</v>
      </c>
      <c r="DH184" s="2882">
        <f>E309*E184+F309*F184+G309*G184+H309*H184+I309*I184+J309*J184+K309*K184+L309*L184+M309*M184+N309*N184+O309*O184+P309*P184+Q309*Q184+R309*R184+S309*S184+T309*T184+U309*U184+V309*V184+W309*W184+X309*X184+Y309*Y184+Z309*Z184+AA309*AA184+AB309*AB184+AC309*AC184+AD309*AD184+AE309*AE184+AF309*AF184+AG309*AG184+AH309*AH184+AI309*AI184+AJ309*AJ184+AK309*AK184+AL309*AL184+AM309*AM184+AN309*AN184+AO309*AO184+AP309*AP184+AQ309*AQ184+AR309*AR184+AS309*AS184+AT309*AT184+AU309*AU184+AV309*AV184+AW309*AW184+AX309*AX184+AY309*AY184+AZ309*AZ184+BA309*BA184+BB309*BB184+BC309*BC184+BD309*BD184+BE309*BE184+BF309*BF184+BG309*BG184+BH309*BH184+BI309*BI184+BJ309*BJ184+BK309*BK184+BL309*BL184+BM309*BM184+BN309*BN184+BO309*BO184+BP309*BP184+BQ309*BQ184+BR309*BR184+BS309*BS184+BT309*BT184+BU309*BU184+BV309*BV184+BW309*BW184+BX309*BX184+BY309*BY184+BZ309*BZ184+CA309*CA184+CB309*CB184+CC309*CC184+CD309*CD184+CE309*CE184+CF309*CF184+CG309*CG184+CH309*CH184+CI309*CI184+CJ309*CJ184+CK309*CK184+CL309*CL184+CM309*CM184+CN309*CN184+CO309*CO184+CP309*CP184+CQ309*CQ184+CR309*CR184+CS309*CS184+CT309*CT184+CU309*CU184</f>
        <v>0</v>
      </c>
      <c r="DI184" s="2882">
        <f>E310*E184+F310*F184+G310*G184+H310*H184+I310*I184+J310*J184+K310*K184+L310*L184+M310*M184+N310*N184+O310*O184+P310*P184+Q310*Q184+R310*R184+S310*S184+T310*T184+U310*U184+V310*V184+W310*W184+X310*X184+Y310*Y184+Z310*Z184+AA310*AA184+AB310*AB184+AC310*AC184+AD310*AD184+AE310*AE184+AF310*AF184+AG310*AG184+AH310*AH184+AI310*AI184+AJ310*AJ184+AK310*AK184+AL310*AL184+AM310*AM184+AN310*AN184+AO310*AO184+AP310*AP184+AQ310*AQ184+AR310*AR184+AS310*AS184+AT310*AT184+AU310*AU184+AV310*AV184+AW310*AW184+AX310*AX184+AY310*AY184+AZ310*AZ184+BA310*BA184+BB310*BB184+BC310*BC184+BD310*BD184+BE310*BE184+BF310*BF184+BG310*BG184+BH310*BH184+BI310*BI184+BJ310*BJ184+BK310*BK184+BL310*BL184+BM310*BM184+BN310*BN184+BO310*BO184+BP310*BP184+BQ310*BQ184+BR310*BR184+BS310*BS184+BT310*BT184+BU310*BU184+BV310*BV184+BW310*BW184+BX310*BX184+BY310*BY184+BZ310*BZ184+CA310*CA184+CB310*CB184+CC310*CC184+CD310*CD184+CE310*CE184+CF310*CF184+CG310*CG184+CH310*CH184+CI310*CI184+CJ310*CJ184+CK310*CK184+CL310*CL184+CM310*CM184+CN310*CN184+CO310*CO184+CP310*CP184+CQ310*CQ184+CR310*CR184+CS310*CS184+CT310*CT184+CU310*CU184</f>
        <v>0</v>
      </c>
    </row>
    <row r="185" spans="2:113" ht="15.75" x14ac:dyDescent="0.45">
      <c r="B185" s="915">
        <v>26</v>
      </c>
      <c r="C185" s="915" t="s">
        <v>249</v>
      </c>
      <c r="D185" s="916" t="s">
        <v>1668</v>
      </c>
      <c r="E185" s="890">
        <f>0</f>
        <v>0</v>
      </c>
      <c r="F185" s="890">
        <f>0</f>
        <v>0</v>
      </c>
      <c r="G185" s="890">
        <f>0</f>
        <v>0</v>
      </c>
      <c r="H185" s="890">
        <f>0</f>
        <v>0</v>
      </c>
      <c r="I185" s="890">
        <f>0</f>
        <v>0</v>
      </c>
      <c r="J185" s="890">
        <f>0</f>
        <v>0</v>
      </c>
      <c r="K185" s="890">
        <f>0</f>
        <v>0</v>
      </c>
      <c r="L185" s="890">
        <f>0</f>
        <v>0</v>
      </c>
      <c r="M185" s="889">
        <f>-1/Y_CASTO_PHA_ox</f>
        <v>-1.5649452269170578</v>
      </c>
      <c r="N185" s="889">
        <f>0</f>
        <v>0</v>
      </c>
      <c r="O185" s="890">
        <f>0</f>
        <v>0</v>
      </c>
      <c r="P185" s="890">
        <f>0</f>
        <v>0</v>
      </c>
      <c r="Q185" s="890">
        <f>0</f>
        <v>0</v>
      </c>
      <c r="R185" s="890">
        <f>1</f>
        <v>1</v>
      </c>
      <c r="S185" s="890">
        <f>0</f>
        <v>0</v>
      </c>
      <c r="T185" s="890">
        <f>0</f>
        <v>0</v>
      </c>
      <c r="U185" s="890">
        <f>0</f>
        <v>0</v>
      </c>
      <c r="V185" s="890">
        <f>0</f>
        <v>0</v>
      </c>
      <c r="W185" s="890">
        <f>0</f>
        <v>0</v>
      </c>
      <c r="X185" s="890">
        <f>0</f>
        <v>0</v>
      </c>
      <c r="Y185" s="2546">
        <f>0</f>
        <v>0</v>
      </c>
      <c r="Z185" s="2546">
        <f>0</f>
        <v>0</v>
      </c>
      <c r="AA185" s="2546">
        <f>0</f>
        <v>0</v>
      </c>
      <c r="AB185" s="890">
        <f>-i_N_BIO</f>
        <v>-7.0000000000000007E-2</v>
      </c>
      <c r="AC185" s="890">
        <f>0</f>
        <v>0</v>
      </c>
      <c r="AD185" s="890">
        <f>0</f>
        <v>0</v>
      </c>
      <c r="AE185" s="890">
        <f>0</f>
        <v>0</v>
      </c>
      <c r="AF185" s="890">
        <f>0</f>
        <v>0</v>
      </c>
      <c r="AG185" s="890">
        <f>0</f>
        <v>0</v>
      </c>
      <c r="AH185" s="890">
        <f>0</f>
        <v>0</v>
      </c>
      <c r="AI185" s="890">
        <f>0</f>
        <v>0</v>
      </c>
      <c r="AJ185" s="890">
        <f>0</f>
        <v>0</v>
      </c>
      <c r="AK185" s="890">
        <f>0</f>
        <v>0</v>
      </c>
      <c r="AL185" s="890">
        <f>0</f>
        <v>0</v>
      </c>
      <c r="AM185" s="889">
        <f>0</f>
        <v>0</v>
      </c>
      <c r="AN185" s="889">
        <f>-i_P_BIO</f>
        <v>-0.02</v>
      </c>
      <c r="AO185" s="890">
        <f>0</f>
        <v>0</v>
      </c>
      <c r="AP185" s="890">
        <f>0</f>
        <v>0</v>
      </c>
      <c r="AQ185" s="890">
        <f>0</f>
        <v>0</v>
      </c>
      <c r="AR185" s="889">
        <f>-(1-Y_CASTO_PHA_ox)/Y_CASTO_PHA_ox</f>
        <v>-0.56494522691705784</v>
      </c>
      <c r="AS185" s="889">
        <f>0</f>
        <v>0</v>
      </c>
      <c r="AT185" s="889">
        <f>0</f>
        <v>0</v>
      </c>
      <c r="AU185" s="889">
        <f>(i_CIT_PHA/Y_CASTO_PHA_ox)-i_CIT_BIO</f>
        <v>0.16912676056338027</v>
      </c>
      <c r="AV185" s="889">
        <f>i_INORG</f>
        <v>0.11</v>
      </c>
      <c r="AW185" s="889">
        <f>-i_INORG*(1-i_Ca_INORG*(A_MCa+2*A_MCl)/A_MCa-i_Mg_INORG*(A_MMg+2*A_MCl)/A_MMg)*f_Na</f>
        <v>-2.8804303582798466E-2</v>
      </c>
      <c r="AX185" s="889">
        <f>-i_INORG*(i_Ca_INORG*(2*A_MCl)/A_MCa+i_Mg_INORG*(2*A_MCl)/A_MMg)-i_INORG*(1-i_Ca_INORG*(A_MCa+2*A_MCl)/A_MCa-i_Mg_INORG*(A_MMg+2*A_MCl)/A_MMg)*(1-f_Na)</f>
        <v>-7.0195696417201539E-2</v>
      </c>
      <c r="AY185" s="889">
        <f>-i_INORG*i_Ca_INORG+i_Ca_PP*A_MCa/A_MP*i_P_BIO</f>
        <v>-2.9121322594773459E-3</v>
      </c>
      <c r="AZ185" s="889">
        <f>-i_INORG*i_Mg_INORG+i_Mg_PP*A_MMg/A_MP*i_P_BIO</f>
        <v>-7.1251305726128047E-6</v>
      </c>
      <c r="BA185" s="889">
        <f>i_K_PP*A_MK/A_MP*i_P_BIO</f>
        <v>2.5246077468755158E-3</v>
      </c>
      <c r="BB185" s="2557">
        <f>0</f>
        <v>0</v>
      </c>
      <c r="BC185" s="2850">
        <f>-i_S_BIO</f>
        <v>-0.01</v>
      </c>
      <c r="BD185" s="2557">
        <f>0</f>
        <v>0</v>
      </c>
      <c r="BE185" s="889">
        <f>0</f>
        <v>0</v>
      </c>
      <c r="BF185" s="889">
        <f>0</f>
        <v>0</v>
      </c>
      <c r="BG185" s="889">
        <f>0</f>
        <v>0</v>
      </c>
      <c r="BH185" s="889">
        <f>0</f>
        <v>0</v>
      </c>
      <c r="BI185" s="889">
        <f>0</f>
        <v>0</v>
      </c>
      <c r="BJ185" s="889">
        <f>0</f>
        <v>0</v>
      </c>
      <c r="BK185" s="889">
        <f>0</f>
        <v>0</v>
      </c>
      <c r="BL185" s="889">
        <f>0</f>
        <v>0</v>
      </c>
      <c r="BM185" s="889">
        <f>0</f>
        <v>0</v>
      </c>
      <c r="BN185" s="889">
        <f>0</f>
        <v>0</v>
      </c>
      <c r="BO185" s="889">
        <f>0</f>
        <v>0</v>
      </c>
      <c r="BP185" s="889">
        <f>0</f>
        <v>0</v>
      </c>
      <c r="BQ185" s="889">
        <f>0</f>
        <v>0</v>
      </c>
      <c r="BR185" s="889">
        <f>0</f>
        <v>0</v>
      </c>
      <c r="BS185" s="889">
        <f>0</f>
        <v>0</v>
      </c>
      <c r="BT185" s="889">
        <f>0</f>
        <v>0</v>
      </c>
      <c r="BU185" s="889">
        <f>0</f>
        <v>0</v>
      </c>
      <c r="BV185" s="889">
        <f>0</f>
        <v>0</v>
      </c>
      <c r="BW185" s="889">
        <f>0</f>
        <v>0</v>
      </c>
      <c r="BX185" s="889">
        <f>0</f>
        <v>0</v>
      </c>
      <c r="BY185" s="2557">
        <f>0</f>
        <v>0</v>
      </c>
      <c r="BZ185" s="889">
        <f>0</f>
        <v>0</v>
      </c>
      <c r="CA185" s="889">
        <f>0</f>
        <v>0</v>
      </c>
      <c r="CB185" s="889">
        <f>0</f>
        <v>0</v>
      </c>
      <c r="CC185" s="889">
        <f>0</f>
        <v>0</v>
      </c>
      <c r="CD185" s="889">
        <f>0</f>
        <v>0</v>
      </c>
      <c r="CE185" s="889">
        <f>0</f>
        <v>0</v>
      </c>
      <c r="CF185" s="889">
        <f>0</f>
        <v>0</v>
      </c>
      <c r="CG185" s="889">
        <f>0</f>
        <v>0</v>
      </c>
      <c r="CH185" s="889">
        <f>0</f>
        <v>0</v>
      </c>
      <c r="CI185" s="889">
        <f>0</f>
        <v>0</v>
      </c>
      <c r="CJ185" s="2557">
        <f>0</f>
        <v>0</v>
      </c>
      <c r="CK185" s="889">
        <f>0</f>
        <v>0</v>
      </c>
      <c r="CL185" s="889">
        <f>0</f>
        <v>0</v>
      </c>
      <c r="CM185" s="889">
        <f>0</f>
        <v>0</v>
      </c>
      <c r="CN185" s="889">
        <f>0</f>
        <v>0</v>
      </c>
      <c r="CO185" s="889">
        <f>0</f>
        <v>0</v>
      </c>
      <c r="CP185" s="889">
        <f>0</f>
        <v>0</v>
      </c>
      <c r="CQ185" s="889">
        <f>0</f>
        <v>0</v>
      </c>
      <c r="CR185" s="889">
        <f>0</f>
        <v>0</v>
      </c>
      <c r="CS185" s="2557">
        <f>0</f>
        <v>0</v>
      </c>
      <c r="CT185" s="2557">
        <f>0</f>
        <v>0</v>
      </c>
      <c r="CU185" s="2557">
        <f>0</f>
        <v>0</v>
      </c>
      <c r="CV185" s="2858">
        <f>µ_PAO_lim_T*X_PAO*M_RsatXPHA_XPAO_KPHA*M_satSO2_KO2_CASTO*M_satSNHx_KNHx_BIO*M_inhSPO4_KiPO4_lim*M_satXPP_KPP_lim*M_satSCAT_KCAT*M_satSAN_KAN*M_satSCa_KCa*M_satSMg_KMg*B_ellinhpH</f>
        <v>1.6759891744191493</v>
      </c>
      <c r="CX185" s="2880">
        <f>E299*E185+F299*F185+G299*G185+H299*H185+I299*I185+J299*J185+K299*K185+L299*L185+M299*M185+N299*N185+O299*O185+P299*P185+Q299*Q185+R299*R185+S299*S185+T299*T185+U299*U185+V299*V185+W299*W185+X299*X185+Y299*Y185+Z299*Z185+AA299*AA185+AB299*AB185+AC299*AC185+AD299*AD185+AE299*AE185+AF299*AF185+AG299*AG185+AH299*AH185+AI299*AI185+AJ299*AJ185+AK299*AK185+AL299*AL185+AM299*AM185+AN299*AN185+AO299*AO185+AP299*AP185+AQ299*AQ185+AR299*AR185+AS299*AS185+AT299*AT185+AU299*AU185+AV299*AV185+AW299*AW185+AX299*AX185+AY299*AY185+AZ299*AZ185+BA299*BA185+BB299*BB185+BC299*BC185+BD299*BD185+BE299*BE185+BF299*BF185+BG299*BG185+BH299*BH185+BI299*BI185+BJ299*BJ185+BK299*BK185+BL299*BL185+BM299*BM185+BN299*BN185+BO299*BO185+BP299*BP185+BQ299*BQ185+BR299*BR185+BS299*BS185+BT299*BT185+BU299*BU185+BV299*BV185+BW299*BW185+BX299*BX185+BY299*BY185+BZ299*BZ185+CA299*CA185+CB299*CB185+CC299*CC185+CD299*CD185+CE299*CE185+CF299*CF185+CG299*CG185+CH299*CH185+CI299*CI185+CJ299*CJ185+CK299*CK185+CL299*CL185+CM299*CM185+CN299*CN185+CO299*CO185+CP299*CP185+CQ299*CQ185+CR299*CR185+CS299*CS185+CT299*CT185+CU299*CU185</f>
        <v>0</v>
      </c>
      <c r="CY185" s="2880">
        <f>E300*E185+F300*F185+G300*G185+H300*H185+I300*I185+J300*J185+K300*K185+L300*L185+M300*M185+N300*N185+O300*O185+P300*P185+Q300*Q185+R300*R185+S300*S185+T300*T185+U300*U185+V300*V185+W300*W185+X300*X185+Y300*Y185+Z300*Z185+AA300*AA185+AB300*AB185+AC300*AC185+AD300*AD185+AE300*AE185+AF300*AF185+AG300*AG185+AH300*AH185+AI300*AI185+AJ300*AJ185+AK300*AK185+AL300*AL185+AM300*AM185+AN300*AN185+AO300*AO185+AP300*AP185+AQ300*AQ185+AR300*AR185+AS300*AS185+AT300*AT185+AU300*AU185+AV300*AV185+AW300*AW185+AX300*AX185+AY300*AY185+AZ300*AZ185+BA300*BA185+BB300*BB185+BC300*BC185+BD300*BD185+BE300*BE185+BF300*BF185+BG300*BG185+BH300*BH185+BI300*BI185+BJ300*BJ185+BK300*BK185+BL300*BL185+BM300*BM185+BN300*BN185+BO300*BO185+BP300*BP185+BQ300*BQ185+BR300*BR185+BS300*BS185+BT300*BT185+BU300*BU185+BV300*BV185+BW300*BW185+BX300*BX185+BY300*BY185+BZ300*BZ185+CA300*CA185+CB300*CB185+CC300*CC185+CD300*CD185+CE300*CE185+CF300*CF185+CG300*CG185+CH300*CH185+CI300*CI185+CJ300*CJ185+CK300*CK185+CL300*CL185+CM300*CM185+CN300*CN185+CO300*CO185+CP300*CP185+CQ300*CQ185+CR300*CR185+CS300*CS185+CT300*CT185+CU300*CU185</f>
        <v>0</v>
      </c>
      <c r="CZ185" s="2881">
        <f>E301*E185+F301*F185+G301*G185+H301*H185+I301*I185+J301*J185+K301*K185+L301*L185+M301*M185+N301*N185+O301*O185+P301*P185+Q301*Q185+R301*R185+S301*S185+T301*T185+U301*U185+V301*V185+W301*W185+X301*X185+Y301*Y185+Z301*Z185+AA301*AA185+AB301*AB185+AC301*AC185+AD301*AD185+AE301*AE185+AF301*AF185+AG301*AG185+AH301*AH185+AI301*AI185+AJ301*AJ185+AK301*AK185+AL301*AL185+AM301*AM185+AN301*AN185+AO301*AO185+AP301*AP185+AQ301*AQ185+AR301*AR185+AS301*AS185+AT301*AT185+AU301*AU185+AV301*AV185+AW301*AW185+AX301*AX185+AY301*AY185+AZ301*AZ185+BA301*BA185+BB301*BB185+BC301*BC185+BD301*BD185+BE301*BE185+BF301*BF185+BG301*BG185+BH301*BH185+BI301*BI185+BJ301*BJ185+BK301*BK185+BL301*BL185+BM301*BM185+BN301*BN185+BO301*BO185+BP301*BP185+BQ301*BQ185+BR301*BR185+BS301*BS185+BT301*BT185+BU301*BU185+BV301*BV185+BW301*BW185+BX301*BX185+BY301*BY185+BZ301*BZ185+CA301*CA185+CB301*CB185+CC301*CC185+CD301*CD185+CE301*CE185+CF301*CF185+CG301*CG185+CH301*CH185+CI301*CI185+CJ301*CJ185+CK301*CK185+CL301*CL185+CM301*CM185+CN301*CN185+CO301*CO185+CP301*CP185+CQ301*CQ185+CR301*CR185+CS301*CS185+CT301*CT185+CU301*CU185</f>
        <v>0</v>
      </c>
      <c r="DA185" s="2882">
        <f>E302*E185+F302*F185+G302*G185+H302*H185+I302*I185+J302*J185+K302*K185+L302*L185+M302*M185+N302*N185+O302*O185+P302*P185+Q302*Q185+R302*R185+S302*S185+T302*T185+U302*U185+V302*V185+W302*W185+X302*X185+Y302*Y185+Z302*Z185+AA302*AA185+AB302*AB185+AC302*AC185+AD302*AD185+AE302*AE185+AF302*AF185+AG302*AG185+AH302*AH185+AI302*AI185+AJ302*AJ185+AK302*AK185+AL302*AL185+AM302*AM185+AN302*AN185+AO302*AO185+AP302*AP185+AQ302*AQ185+AR302*AR185+AS302*AS185+AT302*AT185+AU302*AU185+AV302*AV185+AW302*AW185+AX302*AX185+AY302*AY185+AZ302*AZ185+BA302*BA185+BB302*BB185+BC302*BC185+BD302*BD185+BE302*BE185+BF302*BF185+BG302*BG185+BH302*BH185+BI302*BI185+BJ302*BJ185+BK302*BK185+BL302*BL185+BM302*BM185+BN302*BN185+BO302*BO185+BP302*BP185+BQ302*BQ185+BR302*BR185+BS302*BS185+BT302*BT185+BU302*BU185+BV302*BV185+BW302*BW185+BX302*BX185+BY302*BY185+BZ302*BZ185+CA302*CA185+CB302*CB185+CC302*CC185+CD302*CD185+CE302*CE185+CF302*CF185+CG302*CG185+CH302*CH185+CI302*CI185+CJ302*CJ185+CK302*CK185+CL302*CL185+CM302*CM185+CN302*CN185+CO302*CO185+CP302*CP185+CQ302*CQ185+CR302*CR185+CS302*CS185+CT302*CT185+CU302*CU185</f>
        <v>0</v>
      </c>
      <c r="DB185" s="2882">
        <f>E303*E185+F303*F185+G303*G185+H303*H185+I303*I185+J303*J185+K303*K185+L303*L185+M303*M185+N303*N185+O303*O185+P303*P185+Q303*Q185+R303*R185+S303*S185+T303*T185+U303*U185+V303*V185+W303*W185+X303*X185+Y303*Y185+Z303*Z185+AA303*AA185+AB303*AB185+AC303*AC185+AD303*AD185+AE303*AE185+AF303*AF185+AG303*AG185+AH303*AH185+AI303*AI185+AJ303*AJ185+AK303*AK185+AL303*AL185+AM303*AM185+AN303*AN185+AO303*AO185+AP303*AP185+AQ303*AQ185+AR303*AR185+AS303*AS185+AT303*AT185+AU303*AU185+AV303*AV185+AW303*AW185+AX303*AX185+AY303*AY185+AZ303*AZ185+BA303*BA185+BB303*BB185+BC303*BC185+BD303*BD185+BE303*BE185+BF303*BF185+BG303*BG185+BH303*BH185+BI303*BI185+BJ303*BJ185+BK303*BK185+BL303*BL185+BM303*BM185+BN303*BN185+BO303*BO185+BP303*BP185+BQ303*BQ185+BR303*BR185+BS303*BS185+BT303*BT185+BU303*BU185+BV303*BV185+BW303*BW185+BX303*BX185+BY303*BY185+BZ303*BZ185+CA303*CA185+CB303*CB185+CC303*CC185+CD303*CD185+CE303*CE185+CF303*CF185+CG303*CG185+CH303*CH185+CI303*CI185+CJ303*CJ185+CK303*CK185+CL303*CL185+CM303*CM185+CN303*CN185+CO303*CO185+CP303*CP185+CQ303*CQ185+CR303*CR185+CS303*CS185+CT303*CT185+CU303*CU185</f>
        <v>0</v>
      </c>
      <c r="DC185" s="2882">
        <f>E304*E185+F304*F185+G304*G185+H304*H185+I304*I185+J304*J185+K304*K185+L304*L185+M304*M185+N304*N185+O304*O185+P304*P185+Q304*Q185+R304*R185+S304*S185+T304*T185+U304*U185+V304*V185+W304*W185+X304*X185+Y304*Y185+Z304*Z185+AA304*AA185+AB304*AB185+AC304*AC185+AD304*AD185+AE304*AE185+AF304*AF185+AG304*AG185+AH304*AH185+AI304*AI185+AJ304*AJ185+AK304*AK185+AL304*AL185+AM304*AM185+AN304*AN185+AO304*AO185+AP304*AP185+AQ304*AQ185+AR304*AR185+AS304*AS185+AT304*AT185+AU304*AU185+AV304*AV185+AW304*AW185+AX304*AX185+AY304*AY185+AZ304*AZ185+BA304*BA185+BB304*BB185+BC304*BC185+BD304*BD185+BE304*BE185+BF304*BF185+BG304*BG185+BH304*BH185+BI304*BI185+BJ304*BJ185+BK304*BK185+BL304*BL185+BM304*BM185+BN304*BN185+BO304*BO185+BP304*BP185+BQ304*BQ185+BR304*BR185+BS304*BS185+BT304*BT185+BU304*BU185+BV304*BV185+BW304*BW185+BX304*BX185+BY304*BY185+BZ304*BZ185+CA304*CA185+CB304*CB185+CC304*CC185+CD304*CD185+CE304*CE185+CF304*CF185+CG304*CG185+CH304*CH185+CI304*CI185+CJ304*CJ185+CK304*CK185+CL304*CL185+CM304*CM185+CN304*CN185+CO304*CO185+CP304*CP185+CQ304*CQ185+CR304*CR185+CS304*CS185+CT304*CT185+CU304*CU185</f>
        <v>0</v>
      </c>
      <c r="DD185" s="2882">
        <f>E305*E185+F305*F185+G305*G185+H305*H185+I305*I185+J305*J185+K305*K185+L305*L185+M305*M185+N305*N185+O305*O185+P305*P185+Q305*Q185+R305*R185+S305*S185+T305*T185+U305*U185+V305*V185+W305*W185+X305*X185+Y305*Y185+Z305*Z185+AA305*AA185+AB305*AB185+AC305*AC185+AD305*AD185+AE305*AE185+AF305*AF185+AG305*AG185+AH305*AH185+AI305*AI185+AJ305*AJ185+AK305*AK185+AL305*AL185+AM305*AM185+AN305*AN185+AO305*AO185+AP305*AP185+AQ305*AQ185+AR305*AR185+AS305*AS185+AT305*AT185+AU305*AU185+AV305*AV185+AW305*AW185+AX305*AX185+AY305*AY185+AZ305*AZ185+BA305*BA185+BB305*BB185+BC305*BC185+BD305*BD185+BE305*BE185+BF305*BF185+BG305*BG185+BH305*BH185+BI305*BI185+BJ305*BJ185+BK305*BK185+BL305*BL185+BM305*BM185+BN305*BN185+BO305*BO185+BP305*BP185+BQ305*BQ185+BR305*BR185+BS305*BS185+BT305*BT185+BU305*BU185+BV305*BV185+BW305*BW185+BX305*BX185+BY305*BY185+BZ305*BZ185+CA305*CA185+CB305*CB185+CC305*CC185+CD305*CD185+CE305*CE185+CF305*CF185+CG305*CG185+CH305*CH185+CI305*CI185+CJ305*CJ185+CK305*CK185+CL305*CL185+CM305*CM185+CN305*CN185+CO305*CO185+CP305*CP185+CQ305*CQ185+CR305*CR185+CS305*CS185+CT305*CT185+CU305*CU185</f>
        <v>0</v>
      </c>
      <c r="DE185" s="2882">
        <f>E306*E185+F306*F185+G306*G185+H306*H185+I306*I185+J306*J185+K306*K185+L306*L185+M306*M185+N306*N185+O306*O185+P306*P185+Q306*Q185+R306*R185+S306*S185+T306*T185+U306*U185+V306*V185+W306*W185+X306*X185+Y306*Y185+Z306*Z185+AA306*AA185+AB306*AB185+AC306*AC185+AD306*AD185+AE306*AE185+AF306*AF185+AG306*AG185+AH306*AH185+AI306*AI185+AJ306*AJ185+AK306*AK185+AL306*AL185+AM306*AM185+AN306*AN185+AO306*AO185+AP306*AP185+AQ306*AQ185+AR306*AR185+AS306*AS185+AT306*AT185+AU306*AU185+AV306*AV185+AW306*AW185+AX306*AX185+AY306*AY185+AZ306*AZ185+BA306*BA185+BB306*BB185+BC306*BC185+BD306*BD185+BE306*BE185+BF306*BF185+BG306*BG185+BH306*BH185+BI306*BI185+BJ306*BJ185+BK306*BK185+BL306*BL185+BM306*BM185+BN306*BN185+BO306*BO185+BP306*BP185+BQ306*BQ185+BR306*BR185+BS306*BS185+BT306*BT185+BU306*BU185+BV306*BV185+BW306*BW185+BX306*BX185+BY306*BY185+BZ306*BZ185+CA306*CA185+CB306*CB185+CC306*CC185+CD306*CD185+CE306*CE185+CF306*CF185+CG306*CG185+CH306*CH185+CI306*CI185+CJ306*CJ185+CK306*CK185+CL306*CL185+CM306*CM185+CN306*CN185+CO306*CO185+CP306*CP185+CQ306*CQ185+CR306*CR185+CS306*CS185+CT306*CT185+CU306*CU185</f>
        <v>0</v>
      </c>
      <c r="DF185" s="2882">
        <f>E307*E185+F307*F185+G307*G185+H307*H185+I307*I185+J307*J185+K307*K185+L307*L185+M307*M185+N307*N185+O307*O185+P307*P185+Q307*Q185+R307*R185+S307*S185+T307*T185+U307*U185+V307*V185+W307*W185+X307*X185+Y307*Y185+Z307*Z185+AA307*AA185+AB307*AB185+AC307*AC185+AD307*AD185+AE307*AE185+AF307*AF185+AG307*AG185+AH307*AH185+AI307*AI185+AJ307*AJ185+AK307*AK185+AL307*AL185+AM307*AM185+AN307*AN185+AO307*AO185+AP307*AP185+AQ307*AQ185+AR307*AR185+AS307*AS185+AT307*AT185+AU307*AU185+AV307*AV185+AW307*AW185+AX307*AX185+AY307*AY185+AZ307*AZ185+BA307*BA185+BB307*BB185+BC307*BC185+BD307*BD185+BE307*BE185+BF307*BF185+BG307*BG185+BH307*BH185+BI307*BI185+BJ307*BJ185+BK307*BK185+BL307*BL185+BM307*BM185+BN307*BN185+BO307*BO185+BP307*BP185+BQ307*BQ185+BR307*BR185+BS307*BS185+BT307*BT185+BU307*BU185+BV307*BV185+BW307*BW185+BX307*BX185+BY307*BY185+BZ307*BZ185+CA307*CA185+CB307*CB185+CC307*CC185+CD307*CD185+CE307*CE185+CF307*CF185+CG307*CG185+CH307*CH185+CI307*CI185+CJ307*CJ185+CK307*CK185+CL307*CL185+CM307*CM185+CN307*CN185+CO307*CO185+CP307*CP185+CQ307*CQ185+CR307*CR185+CS307*CS185+CT307*CT185+CU307*CU185</f>
        <v>0</v>
      </c>
      <c r="DG185" s="2882">
        <f>E308*E185+F308*F185+G308*G185+H308*H185+I308*I185+J308*J185+K308*K185+L308*L185+M308*M185+N308*N185+O308*O185+P308*P185+Q308*Q185+R308*R185+S308*S185+T308*T185+U308*U185+V308*V185+W308*W185+X308*X185+Y308*Y185+Z308*Z185+AA308*AA185+AB308*AB185+AC308*AC185+AD308*AD185+AE308*AE185+AF308*AF185+AG308*AG185+AH308*AH185+AI308*AI185+AJ308*AJ185+AK308*AK185+AL308*AL185+AM308*AM185+AN308*AN185+AO308*AO185+AP308*AP185+AQ308*AQ185+AR308*AR185+AS308*AS185+AT308*AT185+AU308*AU185+AV308*AV185+AW308*AW185+AX308*AX185+AY308*AY185+AZ308*AZ185+BA308*BA185+BB308*BB185+BC308*BC185+BD308*BD185+BE308*BE185+BF308*BF185+BG308*BG185+BH308*BH185+BI308*BI185+BJ308*BJ185+BK308*BK185+BL308*BL185+BM308*BM185+BN308*BN185+BO308*BO185+BP308*BP185+BQ308*BQ185+BR308*BR185+BS308*BS185+BT308*BT185+BU308*BU185+BV308*BV185+BW308*BW185+BX308*BX185+BY308*BY185+BZ308*BZ185+CA308*CA185+CB308*CB185+CC308*CC185+CD308*CD185+CE308*CE185+CF308*CF185+CG308*CG185+CH308*CH185+CI308*CI185+CJ308*CJ185+CK308*CK185+CL308*CL185+CM308*CM185+CN308*CN185+CO308*CO185+CP308*CP185+CQ308*CQ185+CR308*CR185+CS308*CS185+CT308*CT185+CU308*CU185</f>
        <v>0</v>
      </c>
      <c r="DH185" s="2882">
        <f>E309*E185+F309*F185+G309*G185+H309*H185+I309*I185+J309*J185+K309*K185+L309*L185+M309*M185+N309*N185+O309*O185+P309*P185+Q309*Q185+R309*R185+S309*S185+T309*T185+U309*U185+V309*V185+W309*W185+X309*X185+Y309*Y185+Z309*Z185+AA309*AA185+AB309*AB185+AC309*AC185+AD309*AD185+AE309*AE185+AF309*AF185+AG309*AG185+AH309*AH185+AI309*AI185+AJ309*AJ185+AK309*AK185+AL309*AL185+AM309*AM185+AN309*AN185+AO309*AO185+AP309*AP185+AQ309*AQ185+AR309*AR185+AS309*AS185+AT309*AT185+AU309*AU185+AV309*AV185+AW309*AW185+AX309*AX185+AY309*AY185+AZ309*AZ185+BA309*BA185+BB309*BB185+BC309*BC185+BD309*BD185+BE309*BE185+BF309*BF185+BG309*BG185+BH309*BH185+BI309*BI185+BJ309*BJ185+BK309*BK185+BL309*BL185+BM309*BM185+BN309*BN185+BO309*BO185+BP309*BP185+BQ309*BQ185+BR309*BR185+BS309*BS185+BT309*BT185+BU309*BU185+BV309*BV185+BW309*BW185+BX309*BX185+BY309*BY185+BZ309*BZ185+CA309*CA185+CB309*CB185+CC309*CC185+CD309*CD185+CE309*CE185+CF309*CF185+CG309*CG185+CH309*CH185+CI309*CI185+CJ309*CJ185+CK309*CK185+CL309*CL185+CM309*CM185+CN309*CN185+CO309*CO185+CP309*CP185+CQ309*CQ185+CR309*CR185+CS309*CS185+CT309*CT185+CU309*CU185</f>
        <v>0</v>
      </c>
      <c r="DI185" s="2882">
        <f>E310*E185+F310*F185+G310*G185+H310*H185+I310*I185+J310*J185+K310*K185+L310*L185+M310*M185+N310*N185+O310*O185+P310*P185+Q310*Q185+R310*R185+S310*S185+T310*T185+U310*U185+V310*V185+W310*W185+X310*X185+Y310*Y185+Z310*Z185+AA310*AA185+AB310*AB185+AC310*AC185+AD310*AD185+AE310*AE185+AF310*AF185+AG310*AG185+AH310*AH185+AI310*AI185+AJ310*AJ185+AK310*AK185+AL310*AL185+AM310*AM185+AN310*AN185+AO310*AO185+AP310*AP185+AQ310*AQ185+AR310*AR185+AS310*AS185+AT310*AT185+AU310*AU185+AV310*AV185+AW310*AW185+AX310*AX185+AY310*AY185+AZ310*AZ185+BA310*BA185+BB310*BB185+BC310*BC185+BD310*BD185+BE310*BE185+BF310*BF185+BG310*BG185+BH310*BH185+BI310*BI185+BJ310*BJ185+BK310*BK185+BL310*BL185+BM310*BM185+BN310*BN185+BO310*BO185+BP310*BP185+BQ310*BQ185+BR310*BR185+BS310*BS185+BT310*BT185+BU310*BU185+BV310*BV185+BW310*BW185+BX310*BX185+BY310*BY185+BZ310*BZ185+CA310*CA185+CB310*CB185+CC310*CC185+CD310*CD185+CE310*CE185+CF310*CF185+CG310*CG185+CH310*CH185+CI310*CI185+CJ310*CJ185+CK310*CK185+CL310*CL185+CM310*CM185+CN310*CN185+CO310*CO185+CP310*CP185+CQ310*CQ185+CR310*CR185+CS310*CS185+CT310*CT185+CU310*CU185</f>
        <v>0</v>
      </c>
    </row>
    <row r="186" spans="2:113" ht="15.75" x14ac:dyDescent="0.45">
      <c r="B186" s="915">
        <v>27</v>
      </c>
      <c r="C186" s="915" t="s">
        <v>250</v>
      </c>
      <c r="D186" s="916" t="s">
        <v>2280</v>
      </c>
      <c r="E186" s="890">
        <f>0</f>
        <v>0</v>
      </c>
      <c r="F186" s="890">
        <f>0</f>
        <v>0</v>
      </c>
      <c r="G186" s="890">
        <f>0</f>
        <v>0</v>
      </c>
      <c r="H186" s="890">
        <f>0</f>
        <v>0</v>
      </c>
      <c r="I186" s="890">
        <f>0</f>
        <v>0</v>
      </c>
      <c r="J186" s="890">
        <f>0</f>
        <v>0</v>
      </c>
      <c r="K186" s="890">
        <f>0</f>
        <v>0</v>
      </c>
      <c r="L186" s="890">
        <f>0</f>
        <v>0</v>
      </c>
      <c r="M186" s="889">
        <f>-1/Y_CASTO_PHA_anox</f>
        <v>-1.9230769230769229</v>
      </c>
      <c r="N186" s="889">
        <f>0</f>
        <v>0</v>
      </c>
      <c r="O186" s="890">
        <f>0</f>
        <v>0</v>
      </c>
      <c r="P186" s="890">
        <f>0</f>
        <v>0</v>
      </c>
      <c r="Q186" s="890">
        <f>0</f>
        <v>0</v>
      </c>
      <c r="R186" s="890">
        <f>1</f>
        <v>1</v>
      </c>
      <c r="S186" s="890">
        <f>0</f>
        <v>0</v>
      </c>
      <c r="T186" s="890">
        <f>0</f>
        <v>0</v>
      </c>
      <c r="U186" s="890">
        <f>0</f>
        <v>0</v>
      </c>
      <c r="V186" s="890">
        <f>0</f>
        <v>0</v>
      </c>
      <c r="W186" s="890">
        <f>0</f>
        <v>0</v>
      </c>
      <c r="X186" s="890">
        <f>0</f>
        <v>0</v>
      </c>
      <c r="Y186" s="2546">
        <f>0</f>
        <v>0</v>
      </c>
      <c r="Z186" s="2546">
        <f>0</f>
        <v>0</v>
      </c>
      <c r="AA186" s="2546">
        <f>0</f>
        <v>0</v>
      </c>
      <c r="AB186" s="890">
        <f>-i_N_BIO</f>
        <v>-7.0000000000000007E-2</v>
      </c>
      <c r="AC186" s="889">
        <f>0</f>
        <v>0</v>
      </c>
      <c r="AD186" s="889">
        <f>0</f>
        <v>0</v>
      </c>
      <c r="AE186" s="889">
        <f>-(1-Y_CASTO_PHA_anox)/(E_EQN2_NO2*Y_CASTO_PHA_anox)</f>
        <v>-0.53873943349798692</v>
      </c>
      <c r="AF186" s="890">
        <f>0</f>
        <v>0</v>
      </c>
      <c r="AG186" s="890">
        <f>0</f>
        <v>0</v>
      </c>
      <c r="AH186" s="890">
        <f>0</f>
        <v>0</v>
      </c>
      <c r="AI186" s="889">
        <f>(1-Y_CASTO_PHA_anox)/(E_EQN2_NO2*Y_CASTO_PHA_anox)</f>
        <v>0.53873943349798692</v>
      </c>
      <c r="AJ186" s="889">
        <f>0</f>
        <v>0</v>
      </c>
      <c r="AK186" s="889">
        <f>0</f>
        <v>0</v>
      </c>
      <c r="AL186" s="889">
        <f>0</f>
        <v>0</v>
      </c>
      <c r="AM186" s="889">
        <f>0</f>
        <v>0</v>
      </c>
      <c r="AN186" s="889">
        <f>-i_P_BIO</f>
        <v>-0.02</v>
      </c>
      <c r="AO186" s="890">
        <f>0</f>
        <v>0</v>
      </c>
      <c r="AP186" s="890">
        <f>0</f>
        <v>0</v>
      </c>
      <c r="AQ186" s="890">
        <f>0</f>
        <v>0</v>
      </c>
      <c r="AR186" s="889">
        <f>0</f>
        <v>0</v>
      </c>
      <c r="AS186" s="889">
        <f>0</f>
        <v>0</v>
      </c>
      <c r="AT186" s="889">
        <f>0</f>
        <v>0</v>
      </c>
      <c r="AU186" s="889">
        <f>(i_CIT_PHA/Y_CASTO_PHA_anox)-i_CIT_BIO</f>
        <v>0.28838461538461546</v>
      </c>
      <c r="AV186" s="889">
        <f>i_INORG</f>
        <v>0.11</v>
      </c>
      <c r="AW186" s="889">
        <f>-i_INORG*(1-i_Ca_INORG*(A_MCa+2*A_MCl)/A_MCa-i_Mg_INORG*(A_MMg+2*A_MCl)/A_MMg)*f_Na</f>
        <v>-2.8804303582798466E-2</v>
      </c>
      <c r="AX186" s="889">
        <f>-i_INORG*(i_Ca_INORG*(2*A_MCl)/A_MCa+i_Mg_INORG*(2*A_MCl)/A_MMg)-i_INORG*(1-i_Ca_INORG*(A_MCa+2*A_MCl)/A_MCa-i_Mg_INORG*(A_MMg+2*A_MCl)/A_MMg)*(1-f_Na)</f>
        <v>-7.0195696417201539E-2</v>
      </c>
      <c r="AY186" s="889">
        <f>-i_INORG*i_Ca_INORG+i_Ca_PP*A_MCa/A_MP*i_P_BIO</f>
        <v>-2.9121322594773459E-3</v>
      </c>
      <c r="AZ186" s="889">
        <f>-i_INORG*i_Mg_INORG+i_Mg_PP*A_MMg/A_MP*i_P_BIO</f>
        <v>-7.1251305726128047E-6</v>
      </c>
      <c r="BA186" s="889">
        <f>i_K_PP*A_MK/A_MP*i_P_BIO</f>
        <v>2.5246077468755158E-3</v>
      </c>
      <c r="BB186" s="2557">
        <f>0</f>
        <v>0</v>
      </c>
      <c r="BC186" s="2850">
        <f>-i_S_BIO</f>
        <v>-0.01</v>
      </c>
      <c r="BD186" s="2557">
        <f>0</f>
        <v>0</v>
      </c>
      <c r="BE186" s="889">
        <f>0</f>
        <v>0</v>
      </c>
      <c r="BF186" s="889">
        <f>0</f>
        <v>0</v>
      </c>
      <c r="BG186" s="889">
        <f>0</f>
        <v>0</v>
      </c>
      <c r="BH186" s="889">
        <f>0</f>
        <v>0</v>
      </c>
      <c r="BI186" s="889">
        <f>0</f>
        <v>0</v>
      </c>
      <c r="BJ186" s="889">
        <f>0</f>
        <v>0</v>
      </c>
      <c r="BK186" s="889">
        <f>0</f>
        <v>0</v>
      </c>
      <c r="BL186" s="889">
        <f>0</f>
        <v>0</v>
      </c>
      <c r="BM186" s="889">
        <f>0</f>
        <v>0</v>
      </c>
      <c r="BN186" s="889">
        <f>0</f>
        <v>0</v>
      </c>
      <c r="BO186" s="889">
        <f>0</f>
        <v>0</v>
      </c>
      <c r="BP186" s="889">
        <f>0</f>
        <v>0</v>
      </c>
      <c r="BQ186" s="889">
        <f>0</f>
        <v>0</v>
      </c>
      <c r="BR186" s="889">
        <f>0</f>
        <v>0</v>
      </c>
      <c r="BS186" s="889">
        <f>0</f>
        <v>0</v>
      </c>
      <c r="BT186" s="889">
        <f>0</f>
        <v>0</v>
      </c>
      <c r="BU186" s="889">
        <f>0</f>
        <v>0</v>
      </c>
      <c r="BV186" s="889">
        <f>0</f>
        <v>0</v>
      </c>
      <c r="BW186" s="889">
        <f>0</f>
        <v>0</v>
      </c>
      <c r="BX186" s="889">
        <f>0</f>
        <v>0</v>
      </c>
      <c r="BY186" s="2557">
        <f>0</f>
        <v>0</v>
      </c>
      <c r="BZ186" s="889">
        <f>0</f>
        <v>0</v>
      </c>
      <c r="CA186" s="889">
        <f>0</f>
        <v>0</v>
      </c>
      <c r="CB186" s="889">
        <f>0</f>
        <v>0</v>
      </c>
      <c r="CC186" s="889">
        <f>0</f>
        <v>0</v>
      </c>
      <c r="CD186" s="889">
        <f>0</f>
        <v>0</v>
      </c>
      <c r="CE186" s="889">
        <f>0</f>
        <v>0</v>
      </c>
      <c r="CF186" s="889">
        <f>0</f>
        <v>0</v>
      </c>
      <c r="CG186" s="889">
        <f>0</f>
        <v>0</v>
      </c>
      <c r="CH186" s="889">
        <f>0</f>
        <v>0</v>
      </c>
      <c r="CI186" s="889">
        <f>0</f>
        <v>0</v>
      </c>
      <c r="CJ186" s="2557">
        <f>0</f>
        <v>0</v>
      </c>
      <c r="CK186" s="889">
        <f>0</f>
        <v>0</v>
      </c>
      <c r="CL186" s="889">
        <f>0</f>
        <v>0</v>
      </c>
      <c r="CM186" s="889">
        <f>0</f>
        <v>0</v>
      </c>
      <c r="CN186" s="889">
        <f>0</f>
        <v>0</v>
      </c>
      <c r="CO186" s="889">
        <f>0</f>
        <v>0</v>
      </c>
      <c r="CP186" s="889">
        <f>0</f>
        <v>0</v>
      </c>
      <c r="CQ186" s="889">
        <f>0</f>
        <v>0</v>
      </c>
      <c r="CR186" s="889">
        <f>0</f>
        <v>0</v>
      </c>
      <c r="CS186" s="2557">
        <f>0</f>
        <v>0</v>
      </c>
      <c r="CT186" s="2557">
        <f>0</f>
        <v>0</v>
      </c>
      <c r="CU186" s="2557">
        <f>0</f>
        <v>0</v>
      </c>
      <c r="CV186" s="2858">
        <f>µ_PAO_lim_T*X_PAO*η_CASTO_anox*M_RsatXPHA_XPAO_KPHA*M_inhSO2_KO2_CASTO*M_satSNO2_KNO2_CASTO*M_satSNHx_KNHx_BIO*M_inhSPO4_KiPO4_lim*M_satXPP_KPP_lim*M_satSCAT_KCAT*M_satSAN_KAN*M_satSCa_KCa*M_satSMg_KMg*B_ellinhpH</f>
        <v>1.8435880918610644E-2</v>
      </c>
      <c r="CX186" s="2880">
        <f>E299*E186+F299*F186+G299*G186+H299*H186+I299*I186+J299*J186+K299*K186+L299*L186+M299*M186+N299*N186+O299*O186+P299*P186+Q299*Q186+R299*R186+S299*S186+T299*T186+U299*U186+V299*V186+W299*W186+X299*X186+Y299*Y186+Z299*Z186+AA299*AA186+AB299*AB186+AC299*AC186+AD299*AD186+AE299*AE186+AF299*AF186+AG299*AG186+AH299*AH186+AI299*AI186+AJ299*AJ186+AK299*AK186+AL299*AL186+AM299*AM186+AN299*AN186+AO299*AO186+AP299*AP186+AQ299*AQ186+AR299*AR186+AS299*AS186+AT299*AT186+AU299*AU186+AV299*AV186+AW299*AW186+AX299*AX186+AY299*AY186+AZ299*AZ186+BA299*BA186+BB299*BB186+BC299*BC186+BD299*BD186+BE299*BE186+BF299*BF186+BG299*BG186+BH299*BH186+BI299*BI186+BJ299*BJ186+BK299*BK186+BL299*BL186+BM299*BM186+BN299*BN186+BO299*BO186+BP299*BP186+BQ299*BQ186+BR299*BR186+BS299*BS186+BT299*BT186+BU299*BU186+BV299*BV186+BW299*BW186+BX299*BX186+BY299*BY186+BZ299*BZ186+CA299*CA186+CB299*CB186+CC299*CC186+CD299*CD186+CE299*CE186+CF299*CF186+CG299*CG186+CH299*CH186+CI299*CI186+CJ299*CJ186+CK299*CK186+CL299*CL186+CM299*CM186+CN299*CN186+CO299*CO186+CP299*CP186+CQ299*CQ186+CR299*CR186+CS299*CS186+CT299*CT186+CU299*CU186</f>
        <v>0</v>
      </c>
      <c r="CY186" s="2880">
        <f>E300*E186+F300*F186+G300*G186+H300*H186+I300*I186+J300*J186+K300*K186+L300*L186+M300*M186+N300*N186+O300*O186+P300*P186+Q300*Q186+R300*R186+S300*S186+T300*T186+U300*U186+V300*V186+W300*W186+X300*X186+Y300*Y186+Z300*Z186+AA300*AA186+AB300*AB186+AC300*AC186+AD300*AD186+AE300*AE186+AF300*AF186+AG300*AG186+AH300*AH186+AI300*AI186+AJ300*AJ186+AK300*AK186+AL300*AL186+AM300*AM186+AN300*AN186+AO300*AO186+AP300*AP186+AQ300*AQ186+AR300*AR186+AS300*AS186+AT300*AT186+AU300*AU186+AV300*AV186+AW300*AW186+AX300*AX186+AY300*AY186+AZ300*AZ186+BA300*BA186+BB300*BB186+BC300*BC186+BD300*BD186+BE300*BE186+BF300*BF186+BG300*BG186+BH300*BH186+BI300*BI186+BJ300*BJ186+BK300*BK186+BL300*BL186+BM300*BM186+BN300*BN186+BO300*BO186+BP300*BP186+BQ300*BQ186+BR300*BR186+BS300*BS186+BT300*BT186+BU300*BU186+BV300*BV186+BW300*BW186+BX300*BX186+BY300*BY186+BZ300*BZ186+CA300*CA186+CB300*CB186+CC300*CC186+CD300*CD186+CE300*CE186+CF300*CF186+CG300*CG186+CH300*CH186+CI300*CI186+CJ300*CJ186+CK300*CK186+CL300*CL186+CM300*CM186+CN300*CN186+CO300*CO186+CP300*CP186+CQ300*CQ186+CR300*CR186+CS300*CS186+CT300*CT186+CU300*CU186</f>
        <v>1.1102230246251565E-16</v>
      </c>
      <c r="CZ186" s="2881">
        <f>E301*E186+F301*F186+G301*G186+H301*H186+I301*I186+J301*J186+K301*K186+L301*L186+M301*M186+N301*N186+O301*O186+P301*P186+Q301*Q186+R301*R186+S301*S186+T301*T186+U301*U186+V301*V186+W301*W186+X301*X186+Y301*Y186+Z301*Z186+AA301*AA186+AB301*AB186+AC301*AC186+AD301*AD186+AE301*AE186+AF301*AF186+AG301*AG186+AH301*AH186+AI301*AI186+AJ301*AJ186+AK301*AK186+AL301*AL186+AM301*AM186+AN301*AN186+AO301*AO186+AP301*AP186+AQ301*AQ186+AR301*AR186+AS301*AS186+AT301*AT186+AU301*AU186+AV301*AV186+AW301*AW186+AX301*AX186+AY301*AY186+AZ301*AZ186+BA301*BA186+BB301*BB186+BC301*BC186+BD301*BD186+BE301*BE186+BF301*BF186+BG301*BG186+BH301*BH186+BI301*BI186+BJ301*BJ186+BK301*BK186+BL301*BL186+BM301*BM186+BN301*BN186+BO301*BO186+BP301*BP186+BQ301*BQ186+BR301*BR186+BS301*BS186+BT301*BT186+BU301*BU186+BV301*BV186+BW301*BW186+BX301*BX186+BY301*BY186+BZ301*BZ186+CA301*CA186+CB301*CB186+CC301*CC186+CD301*CD186+CE301*CE186+CF301*CF186+CG301*CG186+CH301*CH186+CI301*CI186+CJ301*CJ186+CK301*CK186+CL301*CL186+CM301*CM186+CN301*CN186+CO301*CO186+CP301*CP186+CQ301*CQ186+CR301*CR186+CS301*CS186+CT301*CT186+CU301*CU186</f>
        <v>0</v>
      </c>
      <c r="DA186" s="2882">
        <f>E302*E186+F302*F186+G302*G186+H302*H186+I302*I186+J302*J186+K302*K186+L302*L186+M302*M186+N302*N186+O302*O186+P302*P186+Q302*Q186+R302*R186+S302*S186+T302*T186+U302*U186+V302*V186+W302*W186+X302*X186+Y302*Y186+Z302*Z186+AA302*AA186+AB302*AB186+AC302*AC186+AD302*AD186+AE302*AE186+AF302*AF186+AG302*AG186+AH302*AH186+AI302*AI186+AJ302*AJ186+AK302*AK186+AL302*AL186+AM302*AM186+AN302*AN186+AO302*AO186+AP302*AP186+AQ302*AQ186+AR302*AR186+AS302*AS186+AT302*AT186+AU302*AU186+AV302*AV186+AW302*AW186+AX302*AX186+AY302*AY186+AZ302*AZ186+BA302*BA186+BB302*BB186+BC302*BC186+BD302*BD186+BE302*BE186+BF302*BF186+BG302*BG186+BH302*BH186+BI302*BI186+BJ302*BJ186+BK302*BK186+BL302*BL186+BM302*BM186+BN302*BN186+BO302*BO186+BP302*BP186+BQ302*BQ186+BR302*BR186+BS302*BS186+BT302*BT186+BU302*BU186+BV302*BV186+BW302*BW186+BX302*BX186+BY302*BY186+BZ302*BZ186+CA302*CA186+CB302*CB186+CC302*CC186+CD302*CD186+CE302*CE186+CF302*CF186+CG302*CG186+CH302*CH186+CI302*CI186+CJ302*CJ186+CK302*CK186+CL302*CL186+CM302*CM186+CN302*CN186+CO302*CO186+CP302*CP186+CQ302*CQ186+CR302*CR186+CS302*CS186+CT302*CT186+CU302*CU186</f>
        <v>0</v>
      </c>
      <c r="DB186" s="2882">
        <f>E303*E186+F303*F186+G303*G186+H303*H186+I303*I186+J303*J186+K303*K186+L303*L186+M303*M186+N303*N186+O303*O186+P303*P186+Q303*Q186+R303*R186+S303*S186+T303*T186+U303*U186+V303*V186+W303*W186+X303*X186+Y303*Y186+Z303*Z186+AA303*AA186+AB303*AB186+AC303*AC186+AD303*AD186+AE303*AE186+AF303*AF186+AG303*AG186+AH303*AH186+AI303*AI186+AJ303*AJ186+AK303*AK186+AL303*AL186+AM303*AM186+AN303*AN186+AO303*AO186+AP303*AP186+AQ303*AQ186+AR303*AR186+AS303*AS186+AT303*AT186+AU303*AU186+AV303*AV186+AW303*AW186+AX303*AX186+AY303*AY186+AZ303*AZ186+BA303*BA186+BB303*BB186+BC303*BC186+BD303*BD186+BE303*BE186+BF303*BF186+BG303*BG186+BH303*BH186+BI303*BI186+BJ303*BJ186+BK303*BK186+BL303*BL186+BM303*BM186+BN303*BN186+BO303*BO186+BP303*BP186+BQ303*BQ186+BR303*BR186+BS303*BS186+BT303*BT186+BU303*BU186+BV303*BV186+BW303*BW186+BX303*BX186+BY303*BY186+BZ303*BZ186+CA303*CA186+CB303*CB186+CC303*CC186+CD303*CD186+CE303*CE186+CF303*CF186+CG303*CG186+CH303*CH186+CI303*CI186+CJ303*CJ186+CK303*CK186+CL303*CL186+CM303*CM186+CN303*CN186+CO303*CO186+CP303*CP186+CQ303*CQ186+CR303*CR186+CS303*CS186+CT303*CT186+CU303*CU186</f>
        <v>0</v>
      </c>
      <c r="DC186" s="2882">
        <f>E304*E186+F304*F186+G304*G186+H304*H186+I304*I186+J304*J186+K304*K186+L304*L186+M304*M186+N304*N186+O304*O186+P304*P186+Q304*Q186+R304*R186+S304*S186+T304*T186+U304*U186+V304*V186+W304*W186+X304*X186+Y304*Y186+Z304*Z186+AA304*AA186+AB304*AB186+AC304*AC186+AD304*AD186+AE304*AE186+AF304*AF186+AG304*AG186+AH304*AH186+AI304*AI186+AJ304*AJ186+AK304*AK186+AL304*AL186+AM304*AM186+AN304*AN186+AO304*AO186+AP304*AP186+AQ304*AQ186+AR304*AR186+AS304*AS186+AT304*AT186+AU304*AU186+AV304*AV186+AW304*AW186+AX304*AX186+AY304*AY186+AZ304*AZ186+BA304*BA186+BB304*BB186+BC304*BC186+BD304*BD186+BE304*BE186+BF304*BF186+BG304*BG186+BH304*BH186+BI304*BI186+BJ304*BJ186+BK304*BK186+BL304*BL186+BM304*BM186+BN304*BN186+BO304*BO186+BP304*BP186+BQ304*BQ186+BR304*BR186+BS304*BS186+BT304*BT186+BU304*BU186+BV304*BV186+BW304*BW186+BX304*BX186+BY304*BY186+BZ304*BZ186+CA304*CA186+CB304*CB186+CC304*CC186+CD304*CD186+CE304*CE186+CF304*CF186+CG304*CG186+CH304*CH186+CI304*CI186+CJ304*CJ186+CK304*CK186+CL304*CL186+CM304*CM186+CN304*CN186+CO304*CO186+CP304*CP186+CQ304*CQ186+CR304*CR186+CS304*CS186+CT304*CT186+CU304*CU186</f>
        <v>0</v>
      </c>
      <c r="DD186" s="2882">
        <f>E305*E186+F305*F186+G305*G186+H305*H186+I305*I186+J305*J186+K305*K186+L305*L186+M305*M186+N305*N186+O305*O186+P305*P186+Q305*Q186+R305*R186+S305*S186+T305*T186+U305*U186+V305*V186+W305*W186+X305*X186+Y305*Y186+Z305*Z186+AA305*AA186+AB305*AB186+AC305*AC186+AD305*AD186+AE305*AE186+AF305*AF186+AG305*AG186+AH305*AH186+AI305*AI186+AJ305*AJ186+AK305*AK186+AL305*AL186+AM305*AM186+AN305*AN186+AO305*AO186+AP305*AP186+AQ305*AQ186+AR305*AR186+AS305*AS186+AT305*AT186+AU305*AU186+AV305*AV186+AW305*AW186+AX305*AX186+AY305*AY186+AZ305*AZ186+BA305*BA186+BB305*BB186+BC305*BC186+BD305*BD186+BE305*BE186+BF305*BF186+BG305*BG186+BH305*BH186+BI305*BI186+BJ305*BJ186+BK305*BK186+BL305*BL186+BM305*BM186+BN305*BN186+BO305*BO186+BP305*BP186+BQ305*BQ186+BR305*BR186+BS305*BS186+BT305*BT186+BU305*BU186+BV305*BV186+BW305*BW186+BX305*BX186+BY305*BY186+BZ305*BZ186+CA305*CA186+CB305*CB186+CC305*CC186+CD305*CD186+CE305*CE186+CF305*CF186+CG305*CG186+CH305*CH186+CI305*CI186+CJ305*CJ186+CK305*CK186+CL305*CL186+CM305*CM186+CN305*CN186+CO305*CO186+CP305*CP186+CQ305*CQ186+CR305*CR186+CS305*CS186+CT305*CT186+CU305*CU186</f>
        <v>0</v>
      </c>
      <c r="DE186" s="2882">
        <f>E306*E186+F306*F186+G306*G186+H306*H186+I306*I186+J306*J186+K306*K186+L306*L186+M306*M186+N306*N186+O306*O186+P306*P186+Q306*Q186+R306*R186+S306*S186+T306*T186+U306*U186+V306*V186+W306*W186+X306*X186+Y306*Y186+Z306*Z186+AA306*AA186+AB306*AB186+AC306*AC186+AD306*AD186+AE306*AE186+AF306*AF186+AG306*AG186+AH306*AH186+AI306*AI186+AJ306*AJ186+AK306*AK186+AL306*AL186+AM306*AM186+AN306*AN186+AO306*AO186+AP306*AP186+AQ306*AQ186+AR306*AR186+AS306*AS186+AT306*AT186+AU306*AU186+AV306*AV186+AW306*AW186+AX306*AX186+AY306*AY186+AZ306*AZ186+BA306*BA186+BB306*BB186+BC306*BC186+BD306*BD186+BE306*BE186+BF306*BF186+BG306*BG186+BH306*BH186+BI306*BI186+BJ306*BJ186+BK306*BK186+BL306*BL186+BM306*BM186+BN306*BN186+BO306*BO186+BP306*BP186+BQ306*BQ186+BR306*BR186+BS306*BS186+BT306*BT186+BU306*BU186+BV306*BV186+BW306*BW186+BX306*BX186+BY306*BY186+BZ306*BZ186+CA306*CA186+CB306*CB186+CC306*CC186+CD306*CD186+CE306*CE186+CF306*CF186+CG306*CG186+CH306*CH186+CI306*CI186+CJ306*CJ186+CK306*CK186+CL306*CL186+CM306*CM186+CN306*CN186+CO306*CO186+CP306*CP186+CQ306*CQ186+CR306*CR186+CS306*CS186+CT306*CT186+CU306*CU186</f>
        <v>0</v>
      </c>
      <c r="DF186" s="2882">
        <f>E307*E186+F307*F186+G307*G186+H307*H186+I307*I186+J307*J186+K307*K186+L307*L186+M307*M186+N307*N186+O307*O186+P307*P186+Q307*Q186+R307*R186+S307*S186+T307*T186+U307*U186+V307*V186+W307*W186+X307*X186+Y307*Y186+Z307*Z186+AA307*AA186+AB307*AB186+AC307*AC186+AD307*AD186+AE307*AE186+AF307*AF186+AG307*AG186+AH307*AH186+AI307*AI186+AJ307*AJ186+AK307*AK186+AL307*AL186+AM307*AM186+AN307*AN186+AO307*AO186+AP307*AP186+AQ307*AQ186+AR307*AR186+AS307*AS186+AT307*AT186+AU307*AU186+AV307*AV186+AW307*AW186+AX307*AX186+AY307*AY186+AZ307*AZ186+BA307*BA186+BB307*BB186+BC307*BC186+BD307*BD186+BE307*BE186+BF307*BF186+BG307*BG186+BH307*BH186+BI307*BI186+BJ307*BJ186+BK307*BK186+BL307*BL186+BM307*BM186+BN307*BN186+BO307*BO186+BP307*BP186+BQ307*BQ186+BR307*BR186+BS307*BS186+BT307*BT186+BU307*BU186+BV307*BV186+BW307*BW186+BX307*BX186+BY307*BY186+BZ307*BZ186+CA307*CA186+CB307*CB186+CC307*CC186+CD307*CD186+CE307*CE186+CF307*CF186+CG307*CG186+CH307*CH186+CI307*CI186+CJ307*CJ186+CK307*CK186+CL307*CL186+CM307*CM186+CN307*CN186+CO307*CO186+CP307*CP186+CQ307*CQ186+CR307*CR186+CS307*CS186+CT307*CT186+CU307*CU186</f>
        <v>0</v>
      </c>
      <c r="DG186" s="2882">
        <f>E308*E186+F308*F186+G308*G186+H308*H186+I308*I186+J308*J186+K308*K186+L308*L186+M308*M186+N308*N186+O308*O186+P308*P186+Q308*Q186+R308*R186+S308*S186+T308*T186+U308*U186+V308*V186+W308*W186+X308*X186+Y308*Y186+Z308*Z186+AA308*AA186+AB308*AB186+AC308*AC186+AD308*AD186+AE308*AE186+AF308*AF186+AG308*AG186+AH308*AH186+AI308*AI186+AJ308*AJ186+AK308*AK186+AL308*AL186+AM308*AM186+AN308*AN186+AO308*AO186+AP308*AP186+AQ308*AQ186+AR308*AR186+AS308*AS186+AT308*AT186+AU308*AU186+AV308*AV186+AW308*AW186+AX308*AX186+AY308*AY186+AZ308*AZ186+BA308*BA186+BB308*BB186+BC308*BC186+BD308*BD186+BE308*BE186+BF308*BF186+BG308*BG186+BH308*BH186+BI308*BI186+BJ308*BJ186+BK308*BK186+BL308*BL186+BM308*BM186+BN308*BN186+BO308*BO186+BP308*BP186+BQ308*BQ186+BR308*BR186+BS308*BS186+BT308*BT186+BU308*BU186+BV308*BV186+BW308*BW186+BX308*BX186+BY308*BY186+BZ308*BZ186+CA308*CA186+CB308*CB186+CC308*CC186+CD308*CD186+CE308*CE186+CF308*CF186+CG308*CG186+CH308*CH186+CI308*CI186+CJ308*CJ186+CK308*CK186+CL308*CL186+CM308*CM186+CN308*CN186+CO308*CO186+CP308*CP186+CQ308*CQ186+CR308*CR186+CS308*CS186+CT308*CT186+CU308*CU186</f>
        <v>0</v>
      </c>
      <c r="DH186" s="2882">
        <f>E309*E186+F309*F186+G309*G186+H309*H186+I309*I186+J309*J186+K309*K186+L309*L186+M309*M186+N309*N186+O309*O186+P309*P186+Q309*Q186+R309*R186+S309*S186+T309*T186+U309*U186+V309*V186+W309*W186+X309*X186+Y309*Y186+Z309*Z186+AA309*AA186+AB309*AB186+AC309*AC186+AD309*AD186+AE309*AE186+AF309*AF186+AG309*AG186+AH309*AH186+AI309*AI186+AJ309*AJ186+AK309*AK186+AL309*AL186+AM309*AM186+AN309*AN186+AO309*AO186+AP309*AP186+AQ309*AQ186+AR309*AR186+AS309*AS186+AT309*AT186+AU309*AU186+AV309*AV186+AW309*AW186+AX309*AX186+AY309*AY186+AZ309*AZ186+BA309*BA186+BB309*BB186+BC309*BC186+BD309*BD186+BE309*BE186+BF309*BF186+BG309*BG186+BH309*BH186+BI309*BI186+BJ309*BJ186+BK309*BK186+BL309*BL186+BM309*BM186+BN309*BN186+BO309*BO186+BP309*BP186+BQ309*BQ186+BR309*BR186+BS309*BS186+BT309*BT186+BU309*BU186+BV309*BV186+BW309*BW186+BX309*BX186+BY309*BY186+BZ309*BZ186+CA309*CA186+CB309*CB186+CC309*CC186+CD309*CD186+CE309*CE186+CF309*CF186+CG309*CG186+CH309*CH186+CI309*CI186+CJ309*CJ186+CK309*CK186+CL309*CL186+CM309*CM186+CN309*CN186+CO309*CO186+CP309*CP186+CQ309*CQ186+CR309*CR186+CS309*CS186+CT309*CT186+CU309*CU186</f>
        <v>0</v>
      </c>
      <c r="DI186" s="2882">
        <f>E310*E186+F310*F186+G310*G186+H310*H186+I310*I186+J310*J186+K310*K186+L310*L186+M310*M186+N310*N186+O310*O186+P310*P186+Q310*Q186+R310*R186+S310*S186+T310*T186+U310*U186+V310*V186+W310*W186+X310*X186+Y310*Y186+Z310*Z186+AA310*AA186+AB310*AB186+AC310*AC186+AD310*AD186+AE310*AE186+AF310*AF186+AG310*AG186+AH310*AH186+AI310*AI186+AJ310*AJ186+AK310*AK186+AL310*AL186+AM310*AM186+AN310*AN186+AO310*AO186+AP310*AP186+AQ310*AQ186+AR310*AR186+AS310*AS186+AT310*AT186+AU310*AU186+AV310*AV186+AW310*AW186+AX310*AX186+AY310*AY186+AZ310*AZ186+BA310*BA186+BB310*BB186+BC310*BC186+BD310*BD186+BE310*BE186+BF310*BF186+BG310*BG186+BH310*BH186+BI310*BI186+BJ310*BJ186+BK310*BK186+BL310*BL186+BM310*BM186+BN310*BN186+BO310*BO186+BP310*BP186+BQ310*BQ186+BR310*BR186+BS310*BS186+BT310*BT186+BU310*BU186+BV310*BV186+BW310*BW186+BX310*BX186+BY310*BY186+BZ310*BZ186+CA310*CA186+CB310*CB186+CC310*CC186+CD310*CD186+CE310*CE186+CF310*CF186+CG310*CG186+CH310*CH186+CI310*CI186+CJ310*CJ186+CK310*CK186+CL310*CL186+CM310*CM186+CN310*CN186+CO310*CO186+CP310*CP186+CQ310*CQ186+CR310*CR186+CS310*CS186+CT310*CT186+CU310*CU186</f>
        <v>0</v>
      </c>
    </row>
    <row r="187" spans="2:113" ht="15.75" x14ac:dyDescent="0.45">
      <c r="B187" s="915">
        <v>28</v>
      </c>
      <c r="C187" s="915" t="s">
        <v>251</v>
      </c>
      <c r="D187" s="916" t="s">
        <v>1670</v>
      </c>
      <c r="E187" s="890">
        <f>0</f>
        <v>0</v>
      </c>
      <c r="F187" s="890">
        <f>0</f>
        <v>0</v>
      </c>
      <c r="G187" s="890">
        <f>0</f>
        <v>0</v>
      </c>
      <c r="H187" s="890">
        <f>0</f>
        <v>0</v>
      </c>
      <c r="I187" s="890">
        <f>0</f>
        <v>0</v>
      </c>
      <c r="J187" s="890">
        <f>0</f>
        <v>0</v>
      </c>
      <c r="K187" s="890">
        <f>0</f>
        <v>0</v>
      </c>
      <c r="L187" s="890">
        <f>0</f>
        <v>0</v>
      </c>
      <c r="M187" s="889">
        <f>-1/Y_CASTO_PHA_anox</f>
        <v>-1.9230769230769229</v>
      </c>
      <c r="N187" s="889">
        <f>0</f>
        <v>0</v>
      </c>
      <c r="O187" s="890">
        <f>0</f>
        <v>0</v>
      </c>
      <c r="P187" s="890">
        <f>0</f>
        <v>0</v>
      </c>
      <c r="Q187" s="890">
        <f>0</f>
        <v>0</v>
      </c>
      <c r="R187" s="890">
        <f>1</f>
        <v>1</v>
      </c>
      <c r="S187" s="890">
        <f>0</f>
        <v>0</v>
      </c>
      <c r="T187" s="890">
        <f>0</f>
        <v>0</v>
      </c>
      <c r="U187" s="890">
        <f>0</f>
        <v>0</v>
      </c>
      <c r="V187" s="890">
        <f>0</f>
        <v>0</v>
      </c>
      <c r="W187" s="890">
        <f>0</f>
        <v>0</v>
      </c>
      <c r="X187" s="890">
        <f>0</f>
        <v>0</v>
      </c>
      <c r="Y187" s="2546">
        <f>0</f>
        <v>0</v>
      </c>
      <c r="Z187" s="2546">
        <f>0</f>
        <v>0</v>
      </c>
      <c r="AA187" s="2546">
        <f>0</f>
        <v>0</v>
      </c>
      <c r="AB187" s="890">
        <f>-i_N_BIO</f>
        <v>-7.0000000000000007E-2</v>
      </c>
      <c r="AC187" s="889">
        <f>0</f>
        <v>0</v>
      </c>
      <c r="AD187" s="889">
        <f>-(1-Y_CASTO_PHA_anox)/(E_EQNO2_NO3*Y_CASTO_PHA_anox)</f>
        <v>-0.80810915024698038</v>
      </c>
      <c r="AE187" s="889">
        <f>(1-Y_CASTO_PHA_anox)/(E_EQNO2_NO3*Y_CASTO_PHA_anox)</f>
        <v>0.80810915024698038</v>
      </c>
      <c r="AF187" s="890">
        <f>0</f>
        <v>0</v>
      </c>
      <c r="AG187" s="890">
        <f>0</f>
        <v>0</v>
      </c>
      <c r="AH187" s="890">
        <f>0</f>
        <v>0</v>
      </c>
      <c r="AI187" s="889">
        <f>0</f>
        <v>0</v>
      </c>
      <c r="AJ187" s="889">
        <f>0</f>
        <v>0</v>
      </c>
      <c r="AK187" s="889">
        <f>0</f>
        <v>0</v>
      </c>
      <c r="AL187" s="889">
        <f>0</f>
        <v>0</v>
      </c>
      <c r="AM187" s="889">
        <f>0</f>
        <v>0</v>
      </c>
      <c r="AN187" s="889">
        <f>-i_P_BIO</f>
        <v>-0.02</v>
      </c>
      <c r="AO187" s="890">
        <f>0</f>
        <v>0</v>
      </c>
      <c r="AP187" s="890">
        <f>0</f>
        <v>0</v>
      </c>
      <c r="AQ187" s="890">
        <f>0</f>
        <v>0</v>
      </c>
      <c r="AR187" s="890">
        <f>0</f>
        <v>0</v>
      </c>
      <c r="AS187" s="890">
        <f>0</f>
        <v>0</v>
      </c>
      <c r="AT187" s="890">
        <f>0</f>
        <v>0</v>
      </c>
      <c r="AU187" s="889">
        <f>(i_CIT_PHA/Y_CASTO_PHA_anox)-i_CIT_BIO</f>
        <v>0.28838461538461546</v>
      </c>
      <c r="AV187" s="889">
        <f>i_INORG</f>
        <v>0.11</v>
      </c>
      <c r="AW187" s="889">
        <f>-i_INORG*(1-i_Ca_INORG*(A_MCa+2*A_MCl)/A_MCa-i_Mg_INORG*(A_MMg+2*A_MCl)/A_MMg)*f_Na</f>
        <v>-2.8804303582798466E-2</v>
      </c>
      <c r="AX187" s="889">
        <f>-i_INORG*(i_Ca_INORG*(2*A_MCl)/A_MCa+i_Mg_INORG*(2*A_MCl)/A_MMg)-i_INORG*(1-i_Ca_INORG*(A_MCa+2*A_MCl)/A_MCa-i_Mg_INORG*(A_MMg+2*A_MCl)/A_MMg)*(1-f_Na)</f>
        <v>-7.0195696417201539E-2</v>
      </c>
      <c r="AY187" s="889">
        <f>-i_INORG*i_Ca_INORG+i_Ca_PP*A_MCa/A_MP*i_P_BIO</f>
        <v>-2.9121322594773459E-3</v>
      </c>
      <c r="AZ187" s="889">
        <f>-i_INORG*i_Mg_INORG+i_Mg_PP*A_MMg/A_MP*i_P_BIO</f>
        <v>-7.1251305726128047E-6</v>
      </c>
      <c r="BA187" s="889">
        <f>i_K_PP*A_MK/A_MP*i_P_BIO</f>
        <v>2.5246077468755158E-3</v>
      </c>
      <c r="BB187" s="2557">
        <f>0</f>
        <v>0</v>
      </c>
      <c r="BC187" s="2850">
        <f>-i_S_BIO</f>
        <v>-0.01</v>
      </c>
      <c r="BD187" s="2557">
        <f>0</f>
        <v>0</v>
      </c>
      <c r="BE187" s="889">
        <f>0</f>
        <v>0</v>
      </c>
      <c r="BF187" s="889">
        <f>0</f>
        <v>0</v>
      </c>
      <c r="BG187" s="889">
        <f>0</f>
        <v>0</v>
      </c>
      <c r="BH187" s="889">
        <f>0</f>
        <v>0</v>
      </c>
      <c r="BI187" s="889">
        <f>0</f>
        <v>0</v>
      </c>
      <c r="BJ187" s="889">
        <f>0</f>
        <v>0</v>
      </c>
      <c r="BK187" s="889">
        <f>0</f>
        <v>0</v>
      </c>
      <c r="BL187" s="889">
        <f>0</f>
        <v>0</v>
      </c>
      <c r="BM187" s="889">
        <f>0</f>
        <v>0</v>
      </c>
      <c r="BN187" s="889">
        <f>0</f>
        <v>0</v>
      </c>
      <c r="BO187" s="889">
        <f>0</f>
        <v>0</v>
      </c>
      <c r="BP187" s="889">
        <f>0</f>
        <v>0</v>
      </c>
      <c r="BQ187" s="889">
        <f>0</f>
        <v>0</v>
      </c>
      <c r="BR187" s="889">
        <f>0</f>
        <v>0</v>
      </c>
      <c r="BS187" s="889">
        <f>0</f>
        <v>0</v>
      </c>
      <c r="BT187" s="889">
        <f>0</f>
        <v>0</v>
      </c>
      <c r="BU187" s="889">
        <f>0</f>
        <v>0</v>
      </c>
      <c r="BV187" s="889">
        <f>0</f>
        <v>0</v>
      </c>
      <c r="BW187" s="889">
        <f>0</f>
        <v>0</v>
      </c>
      <c r="BX187" s="889">
        <f>0</f>
        <v>0</v>
      </c>
      <c r="BY187" s="2557">
        <f>0</f>
        <v>0</v>
      </c>
      <c r="BZ187" s="889">
        <f>0</f>
        <v>0</v>
      </c>
      <c r="CA187" s="889">
        <f>0</f>
        <v>0</v>
      </c>
      <c r="CB187" s="889">
        <f>0</f>
        <v>0</v>
      </c>
      <c r="CC187" s="889">
        <f>0</f>
        <v>0</v>
      </c>
      <c r="CD187" s="889">
        <f>0</f>
        <v>0</v>
      </c>
      <c r="CE187" s="889">
        <f>0</f>
        <v>0</v>
      </c>
      <c r="CF187" s="889">
        <f>0</f>
        <v>0</v>
      </c>
      <c r="CG187" s="889">
        <f>0</f>
        <v>0</v>
      </c>
      <c r="CH187" s="889">
        <f>0</f>
        <v>0</v>
      </c>
      <c r="CI187" s="889">
        <f>0</f>
        <v>0</v>
      </c>
      <c r="CJ187" s="2557">
        <f>0</f>
        <v>0</v>
      </c>
      <c r="CK187" s="889">
        <f>0</f>
        <v>0</v>
      </c>
      <c r="CL187" s="889">
        <f>0</f>
        <v>0</v>
      </c>
      <c r="CM187" s="889">
        <f>0</f>
        <v>0</v>
      </c>
      <c r="CN187" s="889">
        <f>0</f>
        <v>0</v>
      </c>
      <c r="CO187" s="889">
        <f>0</f>
        <v>0</v>
      </c>
      <c r="CP187" s="889">
        <f>0</f>
        <v>0</v>
      </c>
      <c r="CQ187" s="889">
        <f>0</f>
        <v>0</v>
      </c>
      <c r="CR187" s="889">
        <f>0</f>
        <v>0</v>
      </c>
      <c r="CS187" s="2557">
        <f>0</f>
        <v>0</v>
      </c>
      <c r="CT187" s="2557">
        <f>0</f>
        <v>0</v>
      </c>
      <c r="CU187" s="2557">
        <f>0</f>
        <v>0</v>
      </c>
      <c r="CV187" s="2858">
        <f>µ_PAO_lim_T*X_PAO*η_CASTO_anox*M_RsatXPHA_XPAO_KPHA*M_inhSO2_KO2_CASTO*M_satSNO3_KNO3_CASTO*M_inhSNO2_KNO2_CASTO*M_satSNHx_KNHx_BIO*M_inhSPO4_KiPO4_lim*M_satXPP_KPP_lim*M_satSCAT_KCAT*M_satSAN_KAN*M_satSCa_KCa*M_satSMg_KMg*B_ellinhpH</f>
        <v>9.0371965287307059E-3</v>
      </c>
      <c r="CX187" s="2880">
        <f>E299*E187+F299*F187+G299*G187+H299*H187+I299*I187+J299*J187+K299*K187+L299*L187+M299*M187+N299*N187+O299*O187+P299*P187+Q299*Q187+R299*R187+S299*S187+T299*T187+U299*U187+V299*V187+W299*W187+X299*X187+Y299*Y187+Z299*Z187+AA299*AA187+AB299*AB187+AC299*AC187+AD299*AD187+AE299*AE187+AF299*AF187+AG299*AG187+AH299*AH187+AI299*AI187+AJ299*AJ187+AK299*AK187+AL299*AL187+AM299*AM187+AN299*AN187+AO299*AO187+AP299*AP187+AQ299*AQ187+AR299*AR187+AS299*AS187+AT299*AT187+AU299*AU187+AV299*AV187+AW299*AW187+AX299*AX187+AY299*AY187+AZ299*AZ187+BA299*BA187+BB299*BB187+BC299*BC187+BD299*BD187+BE299*BE187+BF299*BF187+BG299*BG187+BH299*BH187+BI299*BI187+BJ299*BJ187+BK299*BK187+BL299*BL187+BM299*BM187+BN299*BN187+BO299*BO187+BP299*BP187+BQ299*BQ187+BR299*BR187+BS299*BS187+BT299*BT187+BU299*BU187+BV299*BV187+BW299*BW187+BX299*BX187+BY299*BY187+BZ299*BZ187+CA299*CA187+CB299*CB187+CC299*CC187+CD299*CD187+CE299*CE187+CF299*CF187+CG299*CG187+CH299*CH187+CI299*CI187+CJ299*CJ187+CK299*CK187+CL299*CL187+CM299*CM187+CN299*CN187+CO299*CO187+CP299*CP187+CQ299*CQ187+CR299*CR187+CS299*CS187+CT299*CT187+CU299*CU187</f>
        <v>0</v>
      </c>
      <c r="CY187" s="2880">
        <f>E300*E187+F300*F187+G300*G187+H300*H187+I300*I187+J300*J187+K300*K187+L300*L187+M300*M187+N300*N187+O300*O187+P300*P187+Q300*Q187+R300*R187+S300*S187+T300*T187+U300*U187+V300*V187+W300*W187+X300*X187+Y300*Y187+Z300*Z187+AA300*AA187+AB300*AB187+AC300*AC187+AD300*AD187+AE300*AE187+AF300*AF187+AG300*AG187+AH300*AH187+AI300*AI187+AJ300*AJ187+AK300*AK187+AL300*AL187+AM300*AM187+AN300*AN187+AO300*AO187+AP300*AP187+AQ300*AQ187+AR300*AR187+AS300*AS187+AT300*AT187+AU300*AU187+AV300*AV187+AW300*AW187+AX300*AX187+AY300*AY187+AZ300*AZ187+BA300*BA187+BB300*BB187+BC300*BC187+BD300*BD187+BE300*BE187+BF300*BF187+BG300*BG187+BH300*BH187+BI300*BI187+BJ300*BJ187+BK300*BK187+BL300*BL187+BM300*BM187+BN300*BN187+BO300*BO187+BP300*BP187+BQ300*BQ187+BR300*BR187+BS300*BS187+BT300*BT187+BU300*BU187+BV300*BV187+BW300*BW187+BX300*BX187+BY300*BY187+BZ300*BZ187+CA300*CA187+CB300*CB187+CC300*CC187+CD300*CD187+CE300*CE187+CF300*CF187+CG300*CG187+CH300*CH187+CI300*CI187+CJ300*CJ187+CK300*CK187+CL300*CL187+CM300*CM187+CN300*CN187+CO300*CO187+CP300*CP187+CQ300*CQ187+CR300*CR187+CS300*CS187+CT300*CT187+CU300*CU187</f>
        <v>1.1102230246251565E-16</v>
      </c>
      <c r="CZ187" s="2881">
        <f>E301*E187+F301*F187+G301*G187+H301*H187+I301*I187+J301*J187+K301*K187+L301*L187+M301*M187+N301*N187+O301*O187+P301*P187+Q301*Q187+R301*R187+S301*S187+T301*T187+U301*U187+V301*V187+W301*W187+X301*X187+Y301*Y187+Z301*Z187+AA301*AA187+AB301*AB187+AC301*AC187+AD301*AD187+AE301*AE187+AF301*AF187+AG301*AG187+AH301*AH187+AI301*AI187+AJ301*AJ187+AK301*AK187+AL301*AL187+AM301*AM187+AN301*AN187+AO301*AO187+AP301*AP187+AQ301*AQ187+AR301*AR187+AS301*AS187+AT301*AT187+AU301*AU187+AV301*AV187+AW301*AW187+AX301*AX187+AY301*AY187+AZ301*AZ187+BA301*BA187+BB301*BB187+BC301*BC187+BD301*BD187+BE301*BE187+BF301*BF187+BG301*BG187+BH301*BH187+BI301*BI187+BJ301*BJ187+BK301*BK187+BL301*BL187+BM301*BM187+BN301*BN187+BO301*BO187+BP301*BP187+BQ301*BQ187+BR301*BR187+BS301*BS187+BT301*BT187+BU301*BU187+BV301*BV187+BW301*BW187+BX301*BX187+BY301*BY187+BZ301*BZ187+CA301*CA187+CB301*CB187+CC301*CC187+CD301*CD187+CE301*CE187+CF301*CF187+CG301*CG187+CH301*CH187+CI301*CI187+CJ301*CJ187+CK301*CK187+CL301*CL187+CM301*CM187+CN301*CN187+CO301*CO187+CP301*CP187+CQ301*CQ187+CR301*CR187+CS301*CS187+CT301*CT187+CU301*CU187</f>
        <v>0</v>
      </c>
      <c r="DA187" s="2882">
        <f>E302*E187+F302*F187+G302*G187+H302*H187+I302*I187+J302*J187+K302*K187+L302*L187+M302*M187+N302*N187+O302*O187+P302*P187+Q302*Q187+R302*R187+S302*S187+T302*T187+U302*U187+V302*V187+W302*W187+X302*X187+Y302*Y187+Z302*Z187+AA302*AA187+AB302*AB187+AC302*AC187+AD302*AD187+AE302*AE187+AF302*AF187+AG302*AG187+AH302*AH187+AI302*AI187+AJ302*AJ187+AK302*AK187+AL302*AL187+AM302*AM187+AN302*AN187+AO302*AO187+AP302*AP187+AQ302*AQ187+AR302*AR187+AS302*AS187+AT302*AT187+AU302*AU187+AV302*AV187+AW302*AW187+AX302*AX187+AY302*AY187+AZ302*AZ187+BA302*BA187+BB302*BB187+BC302*BC187+BD302*BD187+BE302*BE187+BF302*BF187+BG302*BG187+BH302*BH187+BI302*BI187+BJ302*BJ187+BK302*BK187+BL302*BL187+BM302*BM187+BN302*BN187+BO302*BO187+BP302*BP187+BQ302*BQ187+BR302*BR187+BS302*BS187+BT302*BT187+BU302*BU187+BV302*BV187+BW302*BW187+BX302*BX187+BY302*BY187+BZ302*BZ187+CA302*CA187+CB302*CB187+CC302*CC187+CD302*CD187+CE302*CE187+CF302*CF187+CG302*CG187+CH302*CH187+CI302*CI187+CJ302*CJ187+CK302*CK187+CL302*CL187+CM302*CM187+CN302*CN187+CO302*CO187+CP302*CP187+CQ302*CQ187+CR302*CR187+CS302*CS187+CT302*CT187+CU302*CU187</f>
        <v>0</v>
      </c>
      <c r="DB187" s="2882">
        <f>E303*E187+F303*F187+G303*G187+H303*H187+I303*I187+J303*J187+K303*K187+L303*L187+M303*M187+N303*N187+O303*O187+P303*P187+Q303*Q187+R303*R187+S303*S187+T303*T187+U303*U187+V303*V187+W303*W187+X303*X187+Y303*Y187+Z303*Z187+AA303*AA187+AB303*AB187+AC303*AC187+AD303*AD187+AE303*AE187+AF303*AF187+AG303*AG187+AH303*AH187+AI303*AI187+AJ303*AJ187+AK303*AK187+AL303*AL187+AM303*AM187+AN303*AN187+AO303*AO187+AP303*AP187+AQ303*AQ187+AR303*AR187+AS303*AS187+AT303*AT187+AU303*AU187+AV303*AV187+AW303*AW187+AX303*AX187+AY303*AY187+AZ303*AZ187+BA303*BA187+BB303*BB187+BC303*BC187+BD303*BD187+BE303*BE187+BF303*BF187+BG303*BG187+BH303*BH187+BI303*BI187+BJ303*BJ187+BK303*BK187+BL303*BL187+BM303*BM187+BN303*BN187+BO303*BO187+BP303*BP187+BQ303*BQ187+BR303*BR187+BS303*BS187+BT303*BT187+BU303*BU187+BV303*BV187+BW303*BW187+BX303*BX187+BY303*BY187+BZ303*BZ187+CA303*CA187+CB303*CB187+CC303*CC187+CD303*CD187+CE303*CE187+CF303*CF187+CG303*CG187+CH303*CH187+CI303*CI187+CJ303*CJ187+CK303*CK187+CL303*CL187+CM303*CM187+CN303*CN187+CO303*CO187+CP303*CP187+CQ303*CQ187+CR303*CR187+CS303*CS187+CT303*CT187+CU303*CU187</f>
        <v>0</v>
      </c>
      <c r="DC187" s="2882">
        <f>E304*E187+F304*F187+G304*G187+H304*H187+I304*I187+J304*J187+K304*K187+L304*L187+M304*M187+N304*N187+O304*O187+P304*P187+Q304*Q187+R304*R187+S304*S187+T304*T187+U304*U187+V304*V187+W304*W187+X304*X187+Y304*Y187+Z304*Z187+AA304*AA187+AB304*AB187+AC304*AC187+AD304*AD187+AE304*AE187+AF304*AF187+AG304*AG187+AH304*AH187+AI304*AI187+AJ304*AJ187+AK304*AK187+AL304*AL187+AM304*AM187+AN304*AN187+AO304*AO187+AP304*AP187+AQ304*AQ187+AR304*AR187+AS304*AS187+AT304*AT187+AU304*AU187+AV304*AV187+AW304*AW187+AX304*AX187+AY304*AY187+AZ304*AZ187+BA304*BA187+BB304*BB187+BC304*BC187+BD304*BD187+BE304*BE187+BF304*BF187+BG304*BG187+BH304*BH187+BI304*BI187+BJ304*BJ187+BK304*BK187+BL304*BL187+BM304*BM187+BN304*BN187+BO304*BO187+BP304*BP187+BQ304*BQ187+BR304*BR187+BS304*BS187+BT304*BT187+BU304*BU187+BV304*BV187+BW304*BW187+BX304*BX187+BY304*BY187+BZ304*BZ187+CA304*CA187+CB304*CB187+CC304*CC187+CD304*CD187+CE304*CE187+CF304*CF187+CG304*CG187+CH304*CH187+CI304*CI187+CJ304*CJ187+CK304*CK187+CL304*CL187+CM304*CM187+CN304*CN187+CO304*CO187+CP304*CP187+CQ304*CQ187+CR304*CR187+CS304*CS187+CT304*CT187+CU304*CU187</f>
        <v>0</v>
      </c>
      <c r="DD187" s="2882">
        <f>E305*E187+F305*F187+G305*G187+H305*H187+I305*I187+J305*J187+K305*K187+L305*L187+M305*M187+N305*N187+O305*O187+P305*P187+Q305*Q187+R305*R187+S305*S187+T305*T187+U305*U187+V305*V187+W305*W187+X305*X187+Y305*Y187+Z305*Z187+AA305*AA187+AB305*AB187+AC305*AC187+AD305*AD187+AE305*AE187+AF305*AF187+AG305*AG187+AH305*AH187+AI305*AI187+AJ305*AJ187+AK305*AK187+AL305*AL187+AM305*AM187+AN305*AN187+AO305*AO187+AP305*AP187+AQ305*AQ187+AR305*AR187+AS305*AS187+AT305*AT187+AU305*AU187+AV305*AV187+AW305*AW187+AX305*AX187+AY305*AY187+AZ305*AZ187+BA305*BA187+BB305*BB187+BC305*BC187+BD305*BD187+BE305*BE187+BF305*BF187+BG305*BG187+BH305*BH187+BI305*BI187+BJ305*BJ187+BK305*BK187+BL305*BL187+BM305*BM187+BN305*BN187+BO305*BO187+BP305*BP187+BQ305*BQ187+BR305*BR187+BS305*BS187+BT305*BT187+BU305*BU187+BV305*BV187+BW305*BW187+BX305*BX187+BY305*BY187+BZ305*BZ187+CA305*CA187+CB305*CB187+CC305*CC187+CD305*CD187+CE305*CE187+CF305*CF187+CG305*CG187+CH305*CH187+CI305*CI187+CJ305*CJ187+CK305*CK187+CL305*CL187+CM305*CM187+CN305*CN187+CO305*CO187+CP305*CP187+CQ305*CQ187+CR305*CR187+CS305*CS187+CT305*CT187+CU305*CU187</f>
        <v>0</v>
      </c>
      <c r="DE187" s="2882">
        <f>E306*E187+F306*F187+G306*G187+H306*H187+I306*I187+J306*J187+K306*K187+L306*L187+M306*M187+N306*N187+O306*O187+P306*P187+Q306*Q187+R306*R187+S306*S187+T306*T187+U306*U187+V306*V187+W306*W187+X306*X187+Y306*Y187+Z306*Z187+AA306*AA187+AB306*AB187+AC306*AC187+AD306*AD187+AE306*AE187+AF306*AF187+AG306*AG187+AH306*AH187+AI306*AI187+AJ306*AJ187+AK306*AK187+AL306*AL187+AM306*AM187+AN306*AN187+AO306*AO187+AP306*AP187+AQ306*AQ187+AR306*AR187+AS306*AS187+AT306*AT187+AU306*AU187+AV306*AV187+AW306*AW187+AX306*AX187+AY306*AY187+AZ306*AZ187+BA306*BA187+BB306*BB187+BC306*BC187+BD306*BD187+BE306*BE187+BF306*BF187+BG306*BG187+BH306*BH187+BI306*BI187+BJ306*BJ187+BK306*BK187+BL306*BL187+BM306*BM187+BN306*BN187+BO306*BO187+BP306*BP187+BQ306*BQ187+BR306*BR187+BS306*BS187+BT306*BT187+BU306*BU187+BV306*BV187+BW306*BW187+BX306*BX187+BY306*BY187+BZ306*BZ187+CA306*CA187+CB306*CB187+CC306*CC187+CD306*CD187+CE306*CE187+CF306*CF187+CG306*CG187+CH306*CH187+CI306*CI187+CJ306*CJ187+CK306*CK187+CL306*CL187+CM306*CM187+CN306*CN187+CO306*CO187+CP306*CP187+CQ306*CQ187+CR306*CR187+CS306*CS187+CT306*CT187+CU306*CU187</f>
        <v>0</v>
      </c>
      <c r="DF187" s="2882">
        <f>E307*E187+F307*F187+G307*G187+H307*H187+I307*I187+J307*J187+K307*K187+L307*L187+M307*M187+N307*N187+O307*O187+P307*P187+Q307*Q187+R307*R187+S307*S187+T307*T187+U307*U187+V307*V187+W307*W187+X307*X187+Y307*Y187+Z307*Z187+AA307*AA187+AB307*AB187+AC307*AC187+AD307*AD187+AE307*AE187+AF307*AF187+AG307*AG187+AH307*AH187+AI307*AI187+AJ307*AJ187+AK307*AK187+AL307*AL187+AM307*AM187+AN307*AN187+AO307*AO187+AP307*AP187+AQ307*AQ187+AR307*AR187+AS307*AS187+AT307*AT187+AU307*AU187+AV307*AV187+AW307*AW187+AX307*AX187+AY307*AY187+AZ307*AZ187+BA307*BA187+BB307*BB187+BC307*BC187+BD307*BD187+BE307*BE187+BF307*BF187+BG307*BG187+BH307*BH187+BI307*BI187+BJ307*BJ187+BK307*BK187+BL307*BL187+BM307*BM187+BN307*BN187+BO307*BO187+BP307*BP187+BQ307*BQ187+BR307*BR187+BS307*BS187+BT307*BT187+BU307*BU187+BV307*BV187+BW307*BW187+BX307*BX187+BY307*BY187+BZ307*BZ187+CA307*CA187+CB307*CB187+CC307*CC187+CD307*CD187+CE307*CE187+CF307*CF187+CG307*CG187+CH307*CH187+CI307*CI187+CJ307*CJ187+CK307*CK187+CL307*CL187+CM307*CM187+CN307*CN187+CO307*CO187+CP307*CP187+CQ307*CQ187+CR307*CR187+CS307*CS187+CT307*CT187+CU307*CU187</f>
        <v>0</v>
      </c>
      <c r="DG187" s="2882">
        <f>E308*E187+F308*F187+G308*G187+H308*H187+I308*I187+J308*J187+K308*K187+L308*L187+M308*M187+N308*N187+O308*O187+P308*P187+Q308*Q187+R308*R187+S308*S187+T308*T187+U308*U187+V308*V187+W308*W187+X308*X187+Y308*Y187+Z308*Z187+AA308*AA187+AB308*AB187+AC308*AC187+AD308*AD187+AE308*AE187+AF308*AF187+AG308*AG187+AH308*AH187+AI308*AI187+AJ308*AJ187+AK308*AK187+AL308*AL187+AM308*AM187+AN308*AN187+AO308*AO187+AP308*AP187+AQ308*AQ187+AR308*AR187+AS308*AS187+AT308*AT187+AU308*AU187+AV308*AV187+AW308*AW187+AX308*AX187+AY308*AY187+AZ308*AZ187+BA308*BA187+BB308*BB187+BC308*BC187+BD308*BD187+BE308*BE187+BF308*BF187+BG308*BG187+BH308*BH187+BI308*BI187+BJ308*BJ187+BK308*BK187+BL308*BL187+BM308*BM187+BN308*BN187+BO308*BO187+BP308*BP187+BQ308*BQ187+BR308*BR187+BS308*BS187+BT308*BT187+BU308*BU187+BV308*BV187+BW308*BW187+BX308*BX187+BY308*BY187+BZ308*BZ187+CA308*CA187+CB308*CB187+CC308*CC187+CD308*CD187+CE308*CE187+CF308*CF187+CG308*CG187+CH308*CH187+CI308*CI187+CJ308*CJ187+CK308*CK187+CL308*CL187+CM308*CM187+CN308*CN187+CO308*CO187+CP308*CP187+CQ308*CQ187+CR308*CR187+CS308*CS187+CT308*CT187+CU308*CU187</f>
        <v>0</v>
      </c>
      <c r="DH187" s="2882">
        <f>E309*E187+F309*F187+G309*G187+H309*H187+I309*I187+J309*J187+K309*K187+L309*L187+M309*M187+N309*N187+O309*O187+P309*P187+Q309*Q187+R309*R187+S309*S187+T309*T187+U309*U187+V309*V187+W309*W187+X309*X187+Y309*Y187+Z309*Z187+AA309*AA187+AB309*AB187+AC309*AC187+AD309*AD187+AE309*AE187+AF309*AF187+AG309*AG187+AH309*AH187+AI309*AI187+AJ309*AJ187+AK309*AK187+AL309*AL187+AM309*AM187+AN309*AN187+AO309*AO187+AP309*AP187+AQ309*AQ187+AR309*AR187+AS309*AS187+AT309*AT187+AU309*AU187+AV309*AV187+AW309*AW187+AX309*AX187+AY309*AY187+AZ309*AZ187+BA309*BA187+BB309*BB187+BC309*BC187+BD309*BD187+BE309*BE187+BF309*BF187+BG309*BG187+BH309*BH187+BI309*BI187+BJ309*BJ187+BK309*BK187+BL309*BL187+BM309*BM187+BN309*BN187+BO309*BO187+BP309*BP187+BQ309*BQ187+BR309*BR187+BS309*BS187+BT309*BT187+BU309*BU187+BV309*BV187+BW309*BW187+BX309*BX187+BY309*BY187+BZ309*BZ187+CA309*CA187+CB309*CB187+CC309*CC187+CD309*CD187+CE309*CE187+CF309*CF187+CG309*CG187+CH309*CH187+CI309*CI187+CJ309*CJ187+CK309*CK187+CL309*CL187+CM309*CM187+CN309*CN187+CO309*CO187+CP309*CP187+CQ309*CQ187+CR309*CR187+CS309*CS187+CT309*CT187+CU309*CU187</f>
        <v>0</v>
      </c>
      <c r="DI187" s="2882">
        <f>E310*E187+F310*F187+G310*G187+H310*H187+I310*I187+J310*J187+K310*K187+L310*L187+M310*M187+N310*N187+O310*O187+P310*P187+Q310*Q187+R310*R187+S310*S187+T310*T187+U310*U187+V310*V187+W310*W187+X310*X187+Y310*Y187+Z310*Z187+AA310*AA187+AB310*AB187+AC310*AC187+AD310*AD187+AE310*AE187+AF310*AF187+AG310*AG187+AH310*AH187+AI310*AI187+AJ310*AJ187+AK310*AK187+AL310*AL187+AM310*AM187+AN310*AN187+AO310*AO187+AP310*AP187+AQ310*AQ187+AR310*AR187+AS310*AS187+AT310*AT187+AU310*AU187+AV310*AV187+AW310*AW187+AX310*AX187+AY310*AY187+AZ310*AZ187+BA310*BA187+BB310*BB187+BC310*BC187+BD310*BD187+BE310*BE187+BF310*BF187+BG310*BG187+BH310*BH187+BI310*BI187+BJ310*BJ187+BK310*BK187+BL310*BL187+BM310*BM187+BN310*BN187+BO310*BO187+BP310*BP187+BQ310*BQ187+BR310*BR187+BS310*BS187+BT310*BT187+BU310*BU187+BV310*BV187+BW310*BW187+BX310*BX187+BY310*BY187+BZ310*BZ187+CA310*CA187+CB310*CB187+CC310*CC187+CD310*CD187+CE310*CE187+CF310*CF187+CG310*CG187+CH310*CH187+CI310*CI187+CJ310*CJ187+CK310*CK187+CL310*CL187+CM310*CM187+CN310*CN187+CO310*CO187+CP310*CP187+CQ310*CQ187+CR310*CR187+CS310*CS187+CT310*CT187+CU310*CU187</f>
        <v>0</v>
      </c>
    </row>
    <row r="188" spans="2:113" ht="15.75" x14ac:dyDescent="0.45">
      <c r="B188" s="915">
        <v>29</v>
      </c>
      <c r="C188" s="915" t="s">
        <v>252</v>
      </c>
      <c r="D188" s="916" t="s">
        <v>4410</v>
      </c>
      <c r="E188" s="890">
        <f>-1</f>
        <v>-1</v>
      </c>
      <c r="F188" s="890">
        <f>0</f>
        <v>0</v>
      </c>
      <c r="G188" s="890">
        <f>0</f>
        <v>0</v>
      </c>
      <c r="H188" s="890">
        <f>0</f>
        <v>0</v>
      </c>
      <c r="I188" s="890">
        <f>0</f>
        <v>0</v>
      </c>
      <c r="J188" s="890">
        <f>0</f>
        <v>0</v>
      </c>
      <c r="K188" s="890">
        <f>0</f>
        <v>0</v>
      </c>
      <c r="L188" s="890">
        <f>0</f>
        <v>0</v>
      </c>
      <c r="M188" s="890">
        <f>1</f>
        <v>1</v>
      </c>
      <c r="N188" s="890">
        <f>0</f>
        <v>0</v>
      </c>
      <c r="O188" s="890">
        <f>0</f>
        <v>0</v>
      </c>
      <c r="P188" s="890">
        <f>0</f>
        <v>0</v>
      </c>
      <c r="Q188" s="890">
        <f>0</f>
        <v>0</v>
      </c>
      <c r="R188" s="890">
        <f>0</f>
        <v>0</v>
      </c>
      <c r="S188" s="890">
        <f>0</f>
        <v>0</v>
      </c>
      <c r="T188" s="890">
        <f>0</f>
        <v>0</v>
      </c>
      <c r="U188" s="890">
        <f>0</f>
        <v>0</v>
      </c>
      <c r="V188" s="890">
        <f>0</f>
        <v>0</v>
      </c>
      <c r="W188" s="890">
        <f>0</f>
        <v>0</v>
      </c>
      <c r="X188" s="890">
        <f>0</f>
        <v>0</v>
      </c>
      <c r="Y188" s="2546">
        <f>0</f>
        <v>0</v>
      </c>
      <c r="Z188" s="2546">
        <f>0</f>
        <v>0</v>
      </c>
      <c r="AA188" s="2546">
        <f>0</f>
        <v>0</v>
      </c>
      <c r="AB188" s="890">
        <f>0</f>
        <v>0</v>
      </c>
      <c r="AC188" s="889">
        <f>0</f>
        <v>0</v>
      </c>
      <c r="AD188" s="889">
        <f>0</f>
        <v>0</v>
      </c>
      <c r="AE188" s="889">
        <f>0</f>
        <v>0</v>
      </c>
      <c r="AF188" s="890">
        <f>0</f>
        <v>0</v>
      </c>
      <c r="AG188" s="890">
        <f>0</f>
        <v>0</v>
      </c>
      <c r="AH188" s="890">
        <f>0</f>
        <v>0</v>
      </c>
      <c r="AI188" s="889">
        <f>0</f>
        <v>0</v>
      </c>
      <c r="AJ188" s="889">
        <f>0</f>
        <v>0</v>
      </c>
      <c r="AK188" s="889">
        <f>0</f>
        <v>0</v>
      </c>
      <c r="AL188" s="889">
        <f>0</f>
        <v>0</v>
      </c>
      <c r="AM188" s="890">
        <f>f_P_VFA</f>
        <v>0.65</v>
      </c>
      <c r="AN188" s="889">
        <f>-f_P_VFA</f>
        <v>-0.65</v>
      </c>
      <c r="AO188" s="890">
        <f>0</f>
        <v>0</v>
      </c>
      <c r="AP188" s="890">
        <f>0</f>
        <v>0</v>
      </c>
      <c r="AQ188" s="890">
        <f>0</f>
        <v>0</v>
      </c>
      <c r="AR188" s="890">
        <f>0</f>
        <v>0</v>
      </c>
      <c r="AS188" s="890">
        <f>0</f>
        <v>0</v>
      </c>
      <c r="AT188" s="890">
        <f>0</f>
        <v>0</v>
      </c>
      <c r="AU188" s="890">
        <f>i_CIT_VFA-i_CIT_PHA</f>
        <v>4.1999999999999982E-2</v>
      </c>
      <c r="AV188" s="890">
        <f>0</f>
        <v>0</v>
      </c>
      <c r="AW188" s="890">
        <f>0</f>
        <v>0</v>
      </c>
      <c r="AX188" s="890">
        <f>0</f>
        <v>0</v>
      </c>
      <c r="AY188" s="889">
        <f>i_Ca_PP*A_MCa/A_MP*f_P_VFA</f>
        <v>8.4105701566986282E-2</v>
      </c>
      <c r="AZ188" s="889">
        <f>i_Mg_PP*A_MMg/A_MP*f_P_VFA</f>
        <v>0.17851843325639011</v>
      </c>
      <c r="BA188" s="889">
        <f>i_K_PP*A_MK/A_MP*f_P_VFA</f>
        <v>8.2049751773454263E-2</v>
      </c>
      <c r="BB188" s="2557">
        <f>0</f>
        <v>0</v>
      </c>
      <c r="BC188" s="2557">
        <f>0</f>
        <v>0</v>
      </c>
      <c r="BD188" s="2557">
        <f>0</f>
        <v>0</v>
      </c>
      <c r="BE188" s="890">
        <f>0</f>
        <v>0</v>
      </c>
      <c r="BF188" s="890">
        <f>0</f>
        <v>0</v>
      </c>
      <c r="BG188" s="890">
        <f>0</f>
        <v>0</v>
      </c>
      <c r="BH188" s="890">
        <f>0</f>
        <v>0</v>
      </c>
      <c r="BI188" s="890">
        <f>0</f>
        <v>0</v>
      </c>
      <c r="BJ188" s="890">
        <f>0</f>
        <v>0</v>
      </c>
      <c r="BK188" s="890">
        <f>0</f>
        <v>0</v>
      </c>
      <c r="BL188" s="890">
        <f>0</f>
        <v>0</v>
      </c>
      <c r="BM188" s="890">
        <f>0</f>
        <v>0</v>
      </c>
      <c r="BN188" s="890">
        <f>0</f>
        <v>0</v>
      </c>
      <c r="BO188" s="890">
        <f>0</f>
        <v>0</v>
      </c>
      <c r="BP188" s="890">
        <f>0</f>
        <v>0</v>
      </c>
      <c r="BQ188" s="890">
        <f>0</f>
        <v>0</v>
      </c>
      <c r="BR188" s="890">
        <f>0</f>
        <v>0</v>
      </c>
      <c r="BS188" s="890">
        <f>0</f>
        <v>0</v>
      </c>
      <c r="BT188" s="890">
        <f>0</f>
        <v>0</v>
      </c>
      <c r="BU188" s="890">
        <f>0</f>
        <v>0</v>
      </c>
      <c r="BV188" s="889">
        <f>0</f>
        <v>0</v>
      </c>
      <c r="BW188" s="890">
        <f>0</f>
        <v>0</v>
      </c>
      <c r="BX188" s="890">
        <f>0</f>
        <v>0</v>
      </c>
      <c r="BY188" s="2546">
        <f>0</f>
        <v>0</v>
      </c>
      <c r="BZ188" s="890">
        <f>0</f>
        <v>0</v>
      </c>
      <c r="CA188" s="890">
        <f>0</f>
        <v>0</v>
      </c>
      <c r="CB188" s="890">
        <f>0</f>
        <v>0</v>
      </c>
      <c r="CC188" s="890">
        <f>0</f>
        <v>0</v>
      </c>
      <c r="CD188" s="890">
        <f>0</f>
        <v>0</v>
      </c>
      <c r="CE188" s="890">
        <f>0</f>
        <v>0</v>
      </c>
      <c r="CF188" s="890">
        <f>0</f>
        <v>0</v>
      </c>
      <c r="CG188" s="890">
        <f>0</f>
        <v>0</v>
      </c>
      <c r="CH188" s="890">
        <f>0</f>
        <v>0</v>
      </c>
      <c r="CI188" s="890">
        <f>0</f>
        <v>0</v>
      </c>
      <c r="CJ188" s="2546">
        <f>0</f>
        <v>0</v>
      </c>
      <c r="CK188" s="890">
        <f>0</f>
        <v>0</v>
      </c>
      <c r="CL188" s="890">
        <f>0</f>
        <v>0</v>
      </c>
      <c r="CM188" s="890">
        <f>0</f>
        <v>0</v>
      </c>
      <c r="CN188" s="890">
        <f>0</f>
        <v>0</v>
      </c>
      <c r="CO188" s="890">
        <f>0</f>
        <v>0</v>
      </c>
      <c r="CP188" s="890">
        <f>0</f>
        <v>0</v>
      </c>
      <c r="CQ188" s="890">
        <f>0</f>
        <v>0</v>
      </c>
      <c r="CR188" s="890">
        <f>0</f>
        <v>0</v>
      </c>
      <c r="CS188" s="2546">
        <f>0</f>
        <v>0</v>
      </c>
      <c r="CT188" s="2546">
        <f>0</f>
        <v>0</v>
      </c>
      <c r="CU188" s="2546">
        <f>0</f>
        <v>0</v>
      </c>
      <c r="CV188" s="2858">
        <f>q_PAO_PHA_T*X_CASTO*actsto_PAO_ORP*M_satSVFA_KVFA_CASTO*M_RsatXPP_XPAO_KPP*L_oginhXPHA_XPAO_max</f>
        <v>2.5833065294686871E-5</v>
      </c>
      <c r="CX188" s="2880">
        <f>E299*E188+F299*F188+G299*G188+H299*H188+I299*I188+J299*J188+K299*K188+L299*L188+M299*M188+N299*N188+O299*O188+P299*P188+Q299*Q188+R299*R188+S299*S188+T299*T188+U299*U188+V299*V188+W299*W188+X299*X188+Y299*Y188+Z299*Z188+AA299*AA188+AB299*AB188+AC299*AC188+AD299*AD188+AE299*AE188+AF299*AF188+AG299*AG188+AH299*AH188+AI299*AI188+AJ299*AJ188+AK299*AK188+AL299*AL188+AM299*AM188+AN299*AN188+AO299*AO188+AP299*AP188+AQ299*AQ188+AR299*AR188+AS299*AS188+AT299*AT188+AU299*AU188+AV299*AV188+AW299*AW188+AX299*AX188+AY299*AY188+AZ299*AZ188+BA299*BA188+BB299*BB188+BC299*BC188+BD299*BD188+BE299*BE188+BF299*BF188+BG299*BG188+BH299*BH188+BI299*BI188+BJ299*BJ188+BK299*BK188+BL299*BL188+BM299*BM188+BN299*BN188+BO299*BO188+BP299*BP188+BQ299*BQ188+BR299*BR188+BS299*BS188+BT299*BT188+BU299*BU188+BV299*BV188+BW299*BW188+BX299*BX188+BY299*BY188+BZ299*BZ188+CA299*CA188+CB299*CB188+CC299*CC188+CD299*CD188+CE299*CE188+CF299*CF188+CG299*CG188+CH299*CH188+CI299*CI188+CJ299*CJ188+CK299*CK188+CL299*CL188+CM299*CM188+CN299*CN188+CO299*CO188+CP299*CP188+CQ299*CQ188+CR299*CR188+CS299*CS188+CT299*CT188+CU299*CU188</f>
        <v>0</v>
      </c>
      <c r="CY188" s="2880">
        <f>E300*E188+F300*F188+G300*G188+H300*H188+I300*I188+J300*J188+K300*K188+L300*L188+M300*M188+N300*N188+O300*O188+P300*P188+Q300*Q188+R300*R188+S300*S188+T300*T188+U300*U188+V300*V188+W300*W188+X300*X188+Y300*Y188+Z300*Z188+AA300*AA188+AB300*AB188+AC300*AC188+AD300*AD188+AE300*AE188+AF300*AF188+AG300*AG188+AH300*AH188+AI300*AI188+AJ300*AJ188+AK300*AK188+AL300*AL188+AM300*AM188+AN300*AN188+AO300*AO188+AP300*AP188+AQ300*AQ188+AR300*AR188+AS300*AS188+AT300*AT188+AU300*AU188+AV300*AV188+AW300*AW188+AX300*AX188+AY300*AY188+AZ300*AZ188+BA300*BA188+BB300*BB188+BC300*BC188+BD300*BD188+BE300*BE188+BF300*BF188+BG300*BG188+BH300*BH188+BI300*BI188+BJ300*BJ188+BK300*BK188+BL300*BL188+BM300*BM188+BN300*BN188+BO300*BO188+BP300*BP188+BQ300*BQ188+BR300*BR188+BS300*BS188+BT300*BT188+BU300*BU188+BV300*BV188+BW300*BW188+BX300*BX188+BY300*BY188+BZ300*BZ188+CA300*CA188+CB300*CB188+CC300*CC188+CD300*CD188+CE300*CE188+CF300*CF188+CG300*CG188+CH300*CH188+CI300*CI188+CJ300*CJ188+CK300*CK188+CL300*CL188+CM300*CM188+CN300*CN188+CO300*CO188+CP300*CP188+CQ300*CQ188+CR300*CR188+CS300*CS188+CT300*CT188+CU300*CU188</f>
        <v>0</v>
      </c>
      <c r="CZ188" s="2881">
        <f>E301*E188+F301*F188+G301*G188+H301*H188+I301*I188+J301*J188+K301*K188+L301*L188+M301*M188+N301*N188+O301*O188+P301*P188+Q301*Q188+R301*R188+S301*S188+T301*T188+U301*U188+V301*V188+W301*W188+X301*X188+Y301*Y188+Z301*Z188+AA301*AA188+AB301*AB188+AC301*AC188+AD301*AD188+AE301*AE188+AF301*AF188+AG301*AG188+AH301*AH188+AI301*AI188+AJ301*AJ188+AK301*AK188+AL301*AL188+AM301*AM188+AN301*AN188+AO301*AO188+AP301*AP188+AQ301*AQ188+AR301*AR188+AS301*AS188+AT301*AT188+AU301*AU188+AV301*AV188+AW301*AW188+AX301*AX188+AY301*AY188+AZ301*AZ188+BA301*BA188+BB301*BB188+BC301*BC188+BD301*BD188+BE301*BE188+BF301*BF188+BG301*BG188+BH301*BH188+BI301*BI188+BJ301*BJ188+BK301*BK188+BL301*BL188+BM301*BM188+BN301*BN188+BO301*BO188+BP301*BP188+BQ301*BQ188+BR301*BR188+BS301*BS188+BT301*BT188+BU301*BU188+BV301*BV188+BW301*BW188+BX301*BX188+BY301*BY188+BZ301*BZ188+CA301*CA188+CB301*CB188+CC301*CC188+CD301*CD188+CE301*CE188+CF301*CF188+CG301*CG188+CH301*CH188+CI301*CI188+CJ301*CJ188+CK301*CK188+CL301*CL188+CM301*CM188+CN301*CN188+CO301*CO188+CP301*CP188+CQ301*CQ188+CR301*CR188+CS301*CS188+CT301*CT188+CU301*CU188</f>
        <v>0</v>
      </c>
      <c r="DA188" s="2882">
        <f>E302*E188+F302*F188+G302*G188+H302*H188+I302*I188+J302*J188+K302*K188+L302*L188+M302*M188+N302*N188+O302*O188+P302*P188+Q302*Q188+R302*R188+S302*S188+T302*T188+U302*U188+V302*V188+W302*W188+X302*X188+Y302*Y188+Z302*Z188+AA302*AA188+AB302*AB188+AC302*AC188+AD302*AD188+AE302*AE188+AF302*AF188+AG302*AG188+AH302*AH188+AI302*AI188+AJ302*AJ188+AK302*AK188+AL302*AL188+AM302*AM188+AN302*AN188+AO302*AO188+AP302*AP188+AQ302*AQ188+AR302*AR188+AS302*AS188+AT302*AT188+AU302*AU188+AV302*AV188+AW302*AW188+AX302*AX188+AY302*AY188+AZ302*AZ188+BA302*BA188+BB302*BB188+BC302*BC188+BD302*BD188+BE302*BE188+BF302*BF188+BG302*BG188+BH302*BH188+BI302*BI188+BJ302*BJ188+BK302*BK188+BL302*BL188+BM302*BM188+BN302*BN188+BO302*BO188+BP302*BP188+BQ302*BQ188+BR302*BR188+BS302*BS188+BT302*BT188+BU302*BU188+BV302*BV188+BW302*BW188+BX302*BX188+BY302*BY188+BZ302*BZ188+CA302*CA188+CB302*CB188+CC302*CC188+CD302*CD188+CE302*CE188+CF302*CF188+CG302*CG188+CH302*CH188+CI302*CI188+CJ302*CJ188+CK302*CK188+CL302*CL188+CM302*CM188+CN302*CN188+CO302*CO188+CP302*CP188+CQ302*CQ188+CR302*CR188+CS302*CS188+CT302*CT188+CU302*CU188</f>
        <v>0</v>
      </c>
      <c r="DB188" s="2882">
        <f>E303*E188+F303*F188+G303*G188+H303*H188+I303*I188+J303*J188+K303*K188+L303*L188+M303*M188+N303*N188+O303*O188+P303*P188+Q303*Q188+R303*R188+S303*S188+T303*T188+U303*U188+V303*V188+W303*W188+X303*X188+Y303*Y188+Z303*Z188+AA303*AA188+AB303*AB188+AC303*AC188+AD303*AD188+AE303*AE188+AF303*AF188+AG303*AG188+AH303*AH188+AI303*AI188+AJ303*AJ188+AK303*AK188+AL303*AL188+AM303*AM188+AN303*AN188+AO303*AO188+AP303*AP188+AQ303*AQ188+AR303*AR188+AS303*AS188+AT303*AT188+AU303*AU188+AV303*AV188+AW303*AW188+AX303*AX188+AY303*AY188+AZ303*AZ188+BA303*BA188+BB303*BB188+BC303*BC188+BD303*BD188+BE303*BE188+BF303*BF188+BG303*BG188+BH303*BH188+BI303*BI188+BJ303*BJ188+BK303*BK188+BL303*BL188+BM303*BM188+BN303*BN188+BO303*BO188+BP303*BP188+BQ303*BQ188+BR303*BR188+BS303*BS188+BT303*BT188+BU303*BU188+BV303*BV188+BW303*BW188+BX303*BX188+BY303*BY188+BZ303*BZ188+CA303*CA188+CB303*CB188+CC303*CC188+CD303*CD188+CE303*CE188+CF303*CF188+CG303*CG188+CH303*CH188+CI303*CI188+CJ303*CJ188+CK303*CK188+CL303*CL188+CM303*CM188+CN303*CN188+CO303*CO188+CP303*CP188+CQ303*CQ188+CR303*CR188+CS303*CS188+CT303*CT188+CU303*CU188</f>
        <v>0</v>
      </c>
      <c r="DC188" s="2882">
        <f>E304*E188+F304*F188+G304*G188+H304*H188+I304*I188+J304*J188+K304*K188+L304*L188+M304*M188+N304*N188+O304*O188+P304*P188+Q304*Q188+R304*R188+S304*S188+T304*T188+U304*U188+V304*V188+W304*W188+X304*X188+Y304*Y188+Z304*Z188+AA304*AA188+AB304*AB188+AC304*AC188+AD304*AD188+AE304*AE188+AF304*AF188+AG304*AG188+AH304*AH188+AI304*AI188+AJ304*AJ188+AK304*AK188+AL304*AL188+AM304*AM188+AN304*AN188+AO304*AO188+AP304*AP188+AQ304*AQ188+AR304*AR188+AS304*AS188+AT304*AT188+AU304*AU188+AV304*AV188+AW304*AW188+AX304*AX188+AY304*AY188+AZ304*AZ188+BA304*BA188+BB304*BB188+BC304*BC188+BD304*BD188+BE304*BE188+BF304*BF188+BG304*BG188+BH304*BH188+BI304*BI188+BJ304*BJ188+BK304*BK188+BL304*BL188+BM304*BM188+BN304*BN188+BO304*BO188+BP304*BP188+BQ304*BQ188+BR304*BR188+BS304*BS188+BT304*BT188+BU304*BU188+BV304*BV188+BW304*BW188+BX304*BX188+BY304*BY188+BZ304*BZ188+CA304*CA188+CB304*CB188+CC304*CC188+CD304*CD188+CE304*CE188+CF304*CF188+CG304*CG188+CH304*CH188+CI304*CI188+CJ304*CJ188+CK304*CK188+CL304*CL188+CM304*CM188+CN304*CN188+CO304*CO188+CP304*CP188+CQ304*CQ188+CR304*CR188+CS304*CS188+CT304*CT188+CU304*CU188</f>
        <v>0</v>
      </c>
      <c r="DD188" s="2882">
        <f>E305*E188+F305*F188+G305*G188+H305*H188+I305*I188+J305*J188+K305*K188+L305*L188+M305*M188+N305*N188+O305*O188+P305*P188+Q305*Q188+R305*R188+S305*S188+T305*T188+U305*U188+V305*V188+W305*W188+X305*X188+Y305*Y188+Z305*Z188+AA305*AA188+AB305*AB188+AC305*AC188+AD305*AD188+AE305*AE188+AF305*AF188+AG305*AG188+AH305*AH188+AI305*AI188+AJ305*AJ188+AK305*AK188+AL305*AL188+AM305*AM188+AN305*AN188+AO305*AO188+AP305*AP188+AQ305*AQ188+AR305*AR188+AS305*AS188+AT305*AT188+AU305*AU188+AV305*AV188+AW305*AW188+AX305*AX188+AY305*AY188+AZ305*AZ188+BA305*BA188+BB305*BB188+BC305*BC188+BD305*BD188+BE305*BE188+BF305*BF188+BG305*BG188+BH305*BH188+BI305*BI188+BJ305*BJ188+BK305*BK188+BL305*BL188+BM305*BM188+BN305*BN188+BO305*BO188+BP305*BP188+BQ305*BQ188+BR305*BR188+BS305*BS188+BT305*BT188+BU305*BU188+BV305*BV188+BW305*BW188+BX305*BX188+BY305*BY188+BZ305*BZ188+CA305*CA188+CB305*CB188+CC305*CC188+CD305*CD188+CE305*CE188+CF305*CF188+CG305*CG188+CH305*CH188+CI305*CI188+CJ305*CJ188+CK305*CK188+CL305*CL188+CM305*CM188+CN305*CN188+CO305*CO188+CP305*CP188+CQ305*CQ188+CR305*CR188+CS305*CS188+CT305*CT188+CU305*CU188</f>
        <v>0</v>
      </c>
      <c r="DE188" s="2882">
        <f>E306*E188+F306*F188+G306*G188+H306*H188+I306*I188+J306*J188+K306*K188+L306*L188+M306*M188+N306*N188+O306*O188+P306*P188+Q306*Q188+R306*R188+S306*S188+T306*T188+U306*U188+V306*V188+W306*W188+X306*X188+Y306*Y188+Z306*Z188+AA306*AA188+AB306*AB188+AC306*AC188+AD306*AD188+AE306*AE188+AF306*AF188+AG306*AG188+AH306*AH188+AI306*AI188+AJ306*AJ188+AK306*AK188+AL306*AL188+AM306*AM188+AN306*AN188+AO306*AO188+AP306*AP188+AQ306*AQ188+AR306*AR188+AS306*AS188+AT306*AT188+AU306*AU188+AV306*AV188+AW306*AW188+AX306*AX188+AY306*AY188+AZ306*AZ188+BA306*BA188+BB306*BB188+BC306*BC188+BD306*BD188+BE306*BE188+BF306*BF188+BG306*BG188+BH306*BH188+BI306*BI188+BJ306*BJ188+BK306*BK188+BL306*BL188+BM306*BM188+BN306*BN188+BO306*BO188+BP306*BP188+BQ306*BQ188+BR306*BR188+BS306*BS188+BT306*BT188+BU306*BU188+BV306*BV188+BW306*BW188+BX306*BX188+BY306*BY188+BZ306*BZ188+CA306*CA188+CB306*CB188+CC306*CC188+CD306*CD188+CE306*CE188+CF306*CF188+CG306*CG188+CH306*CH188+CI306*CI188+CJ306*CJ188+CK306*CK188+CL306*CL188+CM306*CM188+CN306*CN188+CO306*CO188+CP306*CP188+CQ306*CQ188+CR306*CR188+CS306*CS188+CT306*CT188+CU306*CU188</f>
        <v>0</v>
      </c>
      <c r="DF188" s="2882">
        <f>E307*E188+F307*F188+G307*G188+H307*H188+I307*I188+J307*J188+K307*K188+L307*L188+M307*M188+N307*N188+O307*O188+P307*P188+Q307*Q188+R307*R188+S307*S188+T307*T188+U307*U188+V307*V188+W307*W188+X307*X188+Y307*Y188+Z307*Z188+AA307*AA188+AB307*AB188+AC307*AC188+AD307*AD188+AE307*AE188+AF307*AF188+AG307*AG188+AH307*AH188+AI307*AI188+AJ307*AJ188+AK307*AK188+AL307*AL188+AM307*AM188+AN307*AN188+AO307*AO188+AP307*AP188+AQ307*AQ188+AR307*AR188+AS307*AS188+AT307*AT188+AU307*AU188+AV307*AV188+AW307*AW188+AX307*AX188+AY307*AY188+AZ307*AZ188+BA307*BA188+BB307*BB188+BC307*BC188+BD307*BD188+BE307*BE188+BF307*BF188+BG307*BG188+BH307*BH188+BI307*BI188+BJ307*BJ188+BK307*BK188+BL307*BL188+BM307*BM188+BN307*BN188+BO307*BO188+BP307*BP188+BQ307*BQ188+BR307*BR188+BS307*BS188+BT307*BT188+BU307*BU188+BV307*BV188+BW307*BW188+BX307*BX188+BY307*BY188+BZ307*BZ188+CA307*CA188+CB307*CB188+CC307*CC188+CD307*CD188+CE307*CE188+CF307*CF188+CG307*CG188+CH307*CH188+CI307*CI188+CJ307*CJ188+CK307*CK188+CL307*CL188+CM307*CM188+CN307*CN188+CO307*CO188+CP307*CP188+CQ307*CQ188+CR307*CR188+CS307*CS188+CT307*CT188+CU307*CU188</f>
        <v>0</v>
      </c>
      <c r="DG188" s="2882">
        <f>E308*E188+F308*F188+G308*G188+H308*H188+I308*I188+J308*J188+K308*K188+L308*L188+M308*M188+N308*N188+O308*O188+P308*P188+Q308*Q188+R308*R188+S308*S188+T308*T188+U308*U188+V308*V188+W308*W188+X308*X188+Y308*Y188+Z308*Z188+AA308*AA188+AB308*AB188+AC308*AC188+AD308*AD188+AE308*AE188+AF308*AF188+AG308*AG188+AH308*AH188+AI308*AI188+AJ308*AJ188+AK308*AK188+AL308*AL188+AM308*AM188+AN308*AN188+AO308*AO188+AP308*AP188+AQ308*AQ188+AR308*AR188+AS308*AS188+AT308*AT188+AU308*AU188+AV308*AV188+AW308*AW188+AX308*AX188+AY308*AY188+AZ308*AZ188+BA308*BA188+BB308*BB188+BC308*BC188+BD308*BD188+BE308*BE188+BF308*BF188+BG308*BG188+BH308*BH188+BI308*BI188+BJ308*BJ188+BK308*BK188+BL308*BL188+BM308*BM188+BN308*BN188+BO308*BO188+BP308*BP188+BQ308*BQ188+BR308*BR188+BS308*BS188+BT308*BT188+BU308*BU188+BV308*BV188+BW308*BW188+BX308*BX188+BY308*BY188+BZ308*BZ188+CA308*CA188+CB308*CB188+CC308*CC188+CD308*CD188+CE308*CE188+CF308*CF188+CG308*CG188+CH308*CH188+CI308*CI188+CJ308*CJ188+CK308*CK188+CL308*CL188+CM308*CM188+CN308*CN188+CO308*CO188+CP308*CP188+CQ308*CQ188+CR308*CR188+CS308*CS188+CT308*CT188+CU308*CU188</f>
        <v>0</v>
      </c>
      <c r="DH188" s="2882">
        <f>E309*E188+F309*F188+G309*G188+H309*H188+I309*I188+J309*J188+K309*K188+L309*L188+M309*M188+N309*N188+O309*O188+P309*P188+Q309*Q188+R309*R188+S309*S188+T309*T188+U309*U188+V309*V188+W309*W188+X309*X188+Y309*Y188+Z309*Z188+AA309*AA188+AB309*AB188+AC309*AC188+AD309*AD188+AE309*AE188+AF309*AF188+AG309*AG188+AH309*AH188+AI309*AI188+AJ309*AJ188+AK309*AK188+AL309*AL188+AM309*AM188+AN309*AN188+AO309*AO188+AP309*AP188+AQ309*AQ188+AR309*AR188+AS309*AS188+AT309*AT188+AU309*AU188+AV309*AV188+AW309*AW188+AX309*AX188+AY309*AY188+AZ309*AZ188+BA309*BA188+BB309*BB188+BC309*BC188+BD309*BD188+BE309*BE188+BF309*BF188+BG309*BG188+BH309*BH188+BI309*BI188+BJ309*BJ188+BK309*BK188+BL309*BL188+BM309*BM188+BN309*BN188+BO309*BO188+BP309*BP188+BQ309*BQ188+BR309*BR188+BS309*BS188+BT309*BT188+BU309*BU188+BV309*BV188+BW309*BW188+BX309*BX188+BY309*BY188+BZ309*BZ188+CA309*CA188+CB309*CB188+CC309*CC188+CD309*CD188+CE309*CE188+CF309*CF188+CG309*CG188+CH309*CH188+CI309*CI188+CJ309*CJ188+CK309*CK188+CL309*CL188+CM309*CM188+CN309*CN188+CO309*CO188+CP309*CP188+CQ309*CQ188+CR309*CR188+CS309*CS188+CT309*CT188+CU309*CU188</f>
        <v>0</v>
      </c>
      <c r="DI188" s="2882">
        <f>E310*E188+F310*F188+G310*G188+H310*H188+I310*I188+J310*J188+K310*K188+L310*L188+M310*M188+N310*N188+O310*O188+P310*P188+Q310*Q188+R310*R188+S310*S188+T310*T188+U310*U188+V310*V188+W310*W188+X310*X188+Y310*Y188+Z310*Z188+AA310*AA188+AB310*AB188+AC310*AC188+AD310*AD188+AE310*AE188+AF310*AF188+AG310*AG188+AH310*AH188+AI310*AI188+AJ310*AJ188+AK310*AK188+AL310*AL188+AM310*AM188+AN310*AN188+AO310*AO188+AP310*AP188+AQ310*AQ188+AR310*AR188+AS310*AS188+AT310*AT188+AU310*AU188+AV310*AV188+AW310*AW188+AX310*AX188+AY310*AY188+AZ310*AZ188+BA310*BA188+BB310*BB188+BC310*BC188+BD310*BD188+BE310*BE188+BF310*BF188+BG310*BG188+BH310*BH188+BI310*BI188+BJ310*BJ188+BK310*BK188+BL310*BL188+BM310*BM188+BN310*BN188+BO310*BO188+BP310*BP188+BQ310*BQ188+BR310*BR188+BS310*BS188+BT310*BT188+BU310*BU188+BV310*BV188+BW310*BW188+BX310*BX188+BY310*BY188+BZ310*BZ188+CA310*CA188+CB310*CB188+CC310*CC188+CD310*CD188+CE310*CE188+CF310*CF188+CG310*CG188+CH310*CH188+CI310*CI188+CJ310*CJ188+CK310*CK188+CL310*CL188+CM310*CM188+CN310*CN188+CO310*CO188+CP310*CP188+CQ310*CQ188+CR310*CR188+CS310*CS188+CT310*CT188+CU310*CU188</f>
        <v>0</v>
      </c>
    </row>
    <row r="189" spans="2:113" x14ac:dyDescent="0.45">
      <c r="B189" s="918">
        <v>30</v>
      </c>
      <c r="C189" s="918" t="s">
        <v>1367</v>
      </c>
      <c r="D189" s="919" t="s">
        <v>2141</v>
      </c>
      <c r="E189" s="892">
        <f>-1</f>
        <v>-1</v>
      </c>
      <c r="F189" s="892">
        <f>0</f>
        <v>0</v>
      </c>
      <c r="G189" s="892">
        <f>0</f>
        <v>0</v>
      </c>
      <c r="H189" s="892">
        <f>0</f>
        <v>0</v>
      </c>
      <c r="I189" s="892">
        <f>0</f>
        <v>0</v>
      </c>
      <c r="J189" s="892">
        <f>0</f>
        <v>0</v>
      </c>
      <c r="K189" s="892">
        <f>0</f>
        <v>0</v>
      </c>
      <c r="L189" s="892">
        <f>0</f>
        <v>0</v>
      </c>
      <c r="M189" s="892">
        <f>0</f>
        <v>0</v>
      </c>
      <c r="N189" s="892">
        <f>1</f>
        <v>1</v>
      </c>
      <c r="O189" s="892">
        <f>0</f>
        <v>0</v>
      </c>
      <c r="P189" s="892">
        <f>0</f>
        <v>0</v>
      </c>
      <c r="Q189" s="892">
        <f>0</f>
        <v>0</v>
      </c>
      <c r="R189" s="892">
        <f>0</f>
        <v>0</v>
      </c>
      <c r="S189" s="892">
        <f>0</f>
        <v>0</v>
      </c>
      <c r="T189" s="892">
        <f>0</f>
        <v>0</v>
      </c>
      <c r="U189" s="892">
        <f>0</f>
        <v>0</v>
      </c>
      <c r="V189" s="892">
        <f>0</f>
        <v>0</v>
      </c>
      <c r="W189" s="892">
        <f>0</f>
        <v>0</v>
      </c>
      <c r="X189" s="892">
        <f>0</f>
        <v>0</v>
      </c>
      <c r="Y189" s="2547">
        <f>0</f>
        <v>0</v>
      </c>
      <c r="Z189" s="2547">
        <f>0</f>
        <v>0</v>
      </c>
      <c r="AA189" s="2547">
        <f>0</f>
        <v>0</v>
      </c>
      <c r="AB189" s="892">
        <f>0</f>
        <v>0</v>
      </c>
      <c r="AC189" s="891">
        <f>0</f>
        <v>0</v>
      </c>
      <c r="AD189" s="891">
        <f>0</f>
        <v>0</v>
      </c>
      <c r="AE189" s="891">
        <f>0</f>
        <v>0</v>
      </c>
      <c r="AF189" s="892">
        <f>0</f>
        <v>0</v>
      </c>
      <c r="AG189" s="892">
        <f>0</f>
        <v>0</v>
      </c>
      <c r="AH189" s="892">
        <f>0</f>
        <v>0</v>
      </c>
      <c r="AI189" s="892">
        <f>0</f>
        <v>0</v>
      </c>
      <c r="AJ189" s="892">
        <f>0</f>
        <v>0</v>
      </c>
      <c r="AK189" s="892">
        <f>0</f>
        <v>0</v>
      </c>
      <c r="AL189" s="892">
        <f>0</f>
        <v>0</v>
      </c>
      <c r="AM189" s="892">
        <f>0</f>
        <v>0</v>
      </c>
      <c r="AN189" s="891">
        <f>0</f>
        <v>0</v>
      </c>
      <c r="AO189" s="892">
        <f>0</f>
        <v>0</v>
      </c>
      <c r="AP189" s="892">
        <f>0</f>
        <v>0</v>
      </c>
      <c r="AQ189" s="892">
        <f>0</f>
        <v>0</v>
      </c>
      <c r="AR189" s="892">
        <f>0</f>
        <v>0</v>
      </c>
      <c r="AS189" s="892">
        <f>0</f>
        <v>0</v>
      </c>
      <c r="AT189" s="892">
        <f>0</f>
        <v>0</v>
      </c>
      <c r="AU189" s="892">
        <f>i_CIT_VFA-i_CIT_GLY</f>
        <v>0</v>
      </c>
      <c r="AV189" s="891">
        <f>0</f>
        <v>0</v>
      </c>
      <c r="AW189" s="891">
        <f>0</f>
        <v>0</v>
      </c>
      <c r="AX189" s="891">
        <f>0</f>
        <v>0</v>
      </c>
      <c r="AY189" s="891">
        <f>0</f>
        <v>0</v>
      </c>
      <c r="AZ189" s="891">
        <f>0</f>
        <v>0</v>
      </c>
      <c r="BA189" s="891">
        <f>0</f>
        <v>0</v>
      </c>
      <c r="BB189" s="2558">
        <f>0</f>
        <v>0</v>
      </c>
      <c r="BC189" s="2558">
        <f>0</f>
        <v>0</v>
      </c>
      <c r="BD189" s="2558">
        <f>0</f>
        <v>0</v>
      </c>
      <c r="BE189" s="892">
        <f>0</f>
        <v>0</v>
      </c>
      <c r="BF189" s="892">
        <f>0</f>
        <v>0</v>
      </c>
      <c r="BG189" s="892">
        <f>0</f>
        <v>0</v>
      </c>
      <c r="BH189" s="892">
        <f>0</f>
        <v>0</v>
      </c>
      <c r="BI189" s="892">
        <f>0</f>
        <v>0</v>
      </c>
      <c r="BJ189" s="892">
        <f>0</f>
        <v>0</v>
      </c>
      <c r="BK189" s="892">
        <f>0</f>
        <v>0</v>
      </c>
      <c r="BL189" s="892">
        <f>0</f>
        <v>0</v>
      </c>
      <c r="BM189" s="892">
        <f>0</f>
        <v>0</v>
      </c>
      <c r="BN189" s="892">
        <f>0</f>
        <v>0</v>
      </c>
      <c r="BO189" s="892">
        <f>0</f>
        <v>0</v>
      </c>
      <c r="BP189" s="892">
        <f>0</f>
        <v>0</v>
      </c>
      <c r="BQ189" s="892">
        <f>0</f>
        <v>0</v>
      </c>
      <c r="BR189" s="892">
        <f>0</f>
        <v>0</v>
      </c>
      <c r="BS189" s="892">
        <f>0</f>
        <v>0</v>
      </c>
      <c r="BT189" s="892">
        <f>0</f>
        <v>0</v>
      </c>
      <c r="BU189" s="892">
        <f>0</f>
        <v>0</v>
      </c>
      <c r="BV189" s="892">
        <f>0</f>
        <v>0</v>
      </c>
      <c r="BW189" s="892">
        <f>0</f>
        <v>0</v>
      </c>
      <c r="BX189" s="892">
        <f>0</f>
        <v>0</v>
      </c>
      <c r="BY189" s="2547">
        <f>0</f>
        <v>0</v>
      </c>
      <c r="BZ189" s="892">
        <f>0</f>
        <v>0</v>
      </c>
      <c r="CA189" s="892">
        <f>0</f>
        <v>0</v>
      </c>
      <c r="CB189" s="892">
        <f>0</f>
        <v>0</v>
      </c>
      <c r="CC189" s="892">
        <f>0</f>
        <v>0</v>
      </c>
      <c r="CD189" s="892">
        <f>0</f>
        <v>0</v>
      </c>
      <c r="CE189" s="892">
        <f>0</f>
        <v>0</v>
      </c>
      <c r="CF189" s="892">
        <f>0</f>
        <v>0</v>
      </c>
      <c r="CG189" s="892">
        <f>0</f>
        <v>0</v>
      </c>
      <c r="CH189" s="892">
        <f>0</f>
        <v>0</v>
      </c>
      <c r="CI189" s="892">
        <f>0</f>
        <v>0</v>
      </c>
      <c r="CJ189" s="2547">
        <f>0</f>
        <v>0</v>
      </c>
      <c r="CK189" s="892">
        <f>0</f>
        <v>0</v>
      </c>
      <c r="CL189" s="892">
        <f>0</f>
        <v>0</v>
      </c>
      <c r="CM189" s="892">
        <f>0</f>
        <v>0</v>
      </c>
      <c r="CN189" s="892">
        <f>0</f>
        <v>0</v>
      </c>
      <c r="CO189" s="892">
        <f>0</f>
        <v>0</v>
      </c>
      <c r="CP189" s="892">
        <f>0</f>
        <v>0</v>
      </c>
      <c r="CQ189" s="892">
        <f>0</f>
        <v>0</v>
      </c>
      <c r="CR189" s="892">
        <f>0</f>
        <v>0</v>
      </c>
      <c r="CS189" s="2547">
        <f>0</f>
        <v>0</v>
      </c>
      <c r="CT189" s="2547">
        <f>0</f>
        <v>0</v>
      </c>
      <c r="CU189" s="2547">
        <f>0</f>
        <v>0</v>
      </c>
      <c r="CV189" s="2859">
        <f>q_GAO_GLY_T*X_CASTO*actsto_GAO_ORP*M_satSVFA_KVFA_CASTO*L_oginhXGLY_XGAO_max</f>
        <v>3.9920001366201312</v>
      </c>
      <c r="CX189" s="2880">
        <f>E299*E189+F299*F189+G299*G189+H299*H189+I299*I189+J299*J189+K299*K189+L299*L189+M299*M189+N299*N189+O299*O189+P299*P189+Q299*Q189+R299*R189+S299*S189+T299*T189+U299*U189+V299*V189+W299*W189+X299*X189+Y299*Y189+Z299*Z189+AA299*AA189+AB299*AB189+AC299*AC189+AD299*AD189+AE299*AE189+AF299*AF189+AG299*AG189+AH299*AH189+AI299*AI189+AJ299*AJ189+AK299*AK189+AL299*AL189+AM299*AM189+AN299*AN189+AO299*AO189+AP299*AP189+AQ299*AQ189+AR299*AR189+AS299*AS189+AT299*AT189+AU299*AU189+AV299*AV189+AW299*AW189+AX299*AX189+AY299*AY189+AZ299*AZ189+BA299*BA189+BB299*BB189+BC299*BC189+BD299*BD189+BE299*BE189+BF299*BF189+BG299*BG189+BH299*BH189+BI299*BI189+BJ299*BJ189+BK299*BK189+BL299*BL189+BM299*BM189+BN299*BN189+BO299*BO189+BP299*BP189+BQ299*BQ189+BR299*BR189+BS299*BS189+BT299*BT189+BU299*BU189+BV299*BV189+BW299*BW189+BX299*BX189+BY299*BY189+BZ299*BZ189+CA299*CA189+CB299*CB189+CC299*CC189+CD299*CD189+CE299*CE189+CF299*CF189+CG299*CG189+CH299*CH189+CI299*CI189+CJ299*CJ189+CK299*CK189+CL299*CL189+CM299*CM189+CN299*CN189+CO299*CO189+CP299*CP189+CQ299*CQ189+CR299*CR189+CS299*CS189+CT299*CT189+CU299*CU189</f>
        <v>0</v>
      </c>
      <c r="CY189" s="2880">
        <f>E300*E189+F300*F189+G300*G189+H300*H189+I300*I189+J300*J189+K300*K189+L300*L189+M300*M189+N300*N189+O300*O189+P300*P189+Q300*Q189+R300*R189+S300*S189+T300*T189+U300*U189+V300*V189+W300*W189+X300*X189+Y300*Y189+Z300*Z189+AA300*AA189+AB300*AB189+AC300*AC189+AD300*AD189+AE300*AE189+AF300*AF189+AG300*AG189+AH300*AH189+AI300*AI189+AJ300*AJ189+AK300*AK189+AL300*AL189+AM300*AM189+AN300*AN189+AO300*AO189+AP300*AP189+AQ300*AQ189+AR300*AR189+AS300*AS189+AT300*AT189+AU300*AU189+AV300*AV189+AW300*AW189+AX300*AX189+AY300*AY189+AZ300*AZ189+BA300*BA189+BB300*BB189+BC300*BC189+BD300*BD189+BE300*BE189+BF300*BF189+BG300*BG189+BH300*BH189+BI300*BI189+BJ300*BJ189+BK300*BK189+BL300*BL189+BM300*BM189+BN300*BN189+BO300*BO189+BP300*BP189+BQ300*BQ189+BR300*BR189+BS300*BS189+BT300*BT189+BU300*BU189+BV300*BV189+BW300*BW189+BX300*BX189+BY300*BY189+BZ300*BZ189+CA300*CA189+CB300*CB189+CC300*CC189+CD300*CD189+CE300*CE189+CF300*CF189+CG300*CG189+CH300*CH189+CI300*CI189+CJ300*CJ189+CK300*CK189+CL300*CL189+CM300*CM189+CN300*CN189+CO300*CO189+CP300*CP189+CQ300*CQ189+CR300*CR189+CS300*CS189+CT300*CT189+CU300*CU189</f>
        <v>0</v>
      </c>
      <c r="CZ189" s="2881">
        <f>E301*E189+F301*F189+G301*G189+H301*H189+I301*I189+J301*J189+K301*K189+L301*L189+M301*M189+N301*N189+O301*O189+P301*P189+Q301*Q189+R301*R189+S301*S189+T301*T189+U301*U189+V301*V189+W301*W189+X301*X189+Y301*Y189+Z301*Z189+AA301*AA189+AB301*AB189+AC301*AC189+AD301*AD189+AE301*AE189+AF301*AF189+AG301*AG189+AH301*AH189+AI301*AI189+AJ301*AJ189+AK301*AK189+AL301*AL189+AM301*AM189+AN301*AN189+AO301*AO189+AP301*AP189+AQ301*AQ189+AR301*AR189+AS301*AS189+AT301*AT189+AU301*AU189+AV301*AV189+AW301*AW189+AX301*AX189+AY301*AY189+AZ301*AZ189+BA301*BA189+BB301*BB189+BC301*BC189+BD301*BD189+BE301*BE189+BF301*BF189+BG301*BG189+BH301*BH189+BI301*BI189+BJ301*BJ189+BK301*BK189+BL301*BL189+BM301*BM189+BN301*BN189+BO301*BO189+BP301*BP189+BQ301*BQ189+BR301*BR189+BS301*BS189+BT301*BT189+BU301*BU189+BV301*BV189+BW301*BW189+BX301*BX189+BY301*BY189+BZ301*BZ189+CA301*CA189+CB301*CB189+CC301*CC189+CD301*CD189+CE301*CE189+CF301*CF189+CG301*CG189+CH301*CH189+CI301*CI189+CJ301*CJ189+CK301*CK189+CL301*CL189+CM301*CM189+CN301*CN189+CO301*CO189+CP301*CP189+CQ301*CQ189+CR301*CR189+CS301*CS189+CT301*CT189+CU301*CU189</f>
        <v>0</v>
      </c>
      <c r="DA189" s="2882">
        <f>E302*E189+F302*F189+G302*G189+H302*H189+I302*I189+J302*J189+K302*K189+L302*L189+M302*M189+N302*N189+O302*O189+P302*P189+Q302*Q189+R302*R189+S302*S189+T302*T189+U302*U189+V302*V189+W302*W189+X302*X189+Y302*Y189+Z302*Z189+AA302*AA189+AB302*AB189+AC302*AC189+AD302*AD189+AE302*AE189+AF302*AF189+AG302*AG189+AH302*AH189+AI302*AI189+AJ302*AJ189+AK302*AK189+AL302*AL189+AM302*AM189+AN302*AN189+AO302*AO189+AP302*AP189+AQ302*AQ189+AR302*AR189+AS302*AS189+AT302*AT189+AU302*AU189+AV302*AV189+AW302*AW189+AX302*AX189+AY302*AY189+AZ302*AZ189+BA302*BA189+BB302*BB189+BC302*BC189+BD302*BD189+BE302*BE189+BF302*BF189+BG302*BG189+BH302*BH189+BI302*BI189+BJ302*BJ189+BK302*BK189+BL302*BL189+BM302*BM189+BN302*BN189+BO302*BO189+BP302*BP189+BQ302*BQ189+BR302*BR189+BS302*BS189+BT302*BT189+BU302*BU189+BV302*BV189+BW302*BW189+BX302*BX189+BY302*BY189+BZ302*BZ189+CA302*CA189+CB302*CB189+CC302*CC189+CD302*CD189+CE302*CE189+CF302*CF189+CG302*CG189+CH302*CH189+CI302*CI189+CJ302*CJ189+CK302*CK189+CL302*CL189+CM302*CM189+CN302*CN189+CO302*CO189+CP302*CP189+CQ302*CQ189+CR302*CR189+CS302*CS189+CT302*CT189+CU302*CU189</f>
        <v>0</v>
      </c>
      <c r="DB189" s="2882">
        <f>E303*E189+F303*F189+G303*G189+H303*H189+I303*I189+J303*J189+K303*K189+L303*L189+M303*M189+N303*N189+O303*O189+P303*P189+Q303*Q189+R303*R189+S303*S189+T303*T189+U303*U189+V303*V189+W303*W189+X303*X189+Y303*Y189+Z303*Z189+AA303*AA189+AB303*AB189+AC303*AC189+AD303*AD189+AE303*AE189+AF303*AF189+AG303*AG189+AH303*AH189+AI303*AI189+AJ303*AJ189+AK303*AK189+AL303*AL189+AM303*AM189+AN303*AN189+AO303*AO189+AP303*AP189+AQ303*AQ189+AR303*AR189+AS303*AS189+AT303*AT189+AU303*AU189+AV303*AV189+AW303*AW189+AX303*AX189+AY303*AY189+AZ303*AZ189+BA303*BA189+BB303*BB189+BC303*BC189+BD303*BD189+BE303*BE189+BF303*BF189+BG303*BG189+BH303*BH189+BI303*BI189+BJ303*BJ189+BK303*BK189+BL303*BL189+BM303*BM189+BN303*BN189+BO303*BO189+BP303*BP189+BQ303*BQ189+BR303*BR189+BS303*BS189+BT303*BT189+BU303*BU189+BV303*BV189+BW303*BW189+BX303*BX189+BY303*BY189+BZ303*BZ189+CA303*CA189+CB303*CB189+CC303*CC189+CD303*CD189+CE303*CE189+CF303*CF189+CG303*CG189+CH303*CH189+CI303*CI189+CJ303*CJ189+CK303*CK189+CL303*CL189+CM303*CM189+CN303*CN189+CO303*CO189+CP303*CP189+CQ303*CQ189+CR303*CR189+CS303*CS189+CT303*CT189+CU303*CU189</f>
        <v>0</v>
      </c>
      <c r="DC189" s="2882">
        <f>E304*E189+F304*F189+G304*G189+H304*H189+I304*I189+J304*J189+K304*K189+L304*L189+M304*M189+N304*N189+O304*O189+P304*P189+Q304*Q189+R304*R189+S304*S189+T304*T189+U304*U189+V304*V189+W304*W189+X304*X189+Y304*Y189+Z304*Z189+AA304*AA189+AB304*AB189+AC304*AC189+AD304*AD189+AE304*AE189+AF304*AF189+AG304*AG189+AH304*AH189+AI304*AI189+AJ304*AJ189+AK304*AK189+AL304*AL189+AM304*AM189+AN304*AN189+AO304*AO189+AP304*AP189+AQ304*AQ189+AR304*AR189+AS304*AS189+AT304*AT189+AU304*AU189+AV304*AV189+AW304*AW189+AX304*AX189+AY304*AY189+AZ304*AZ189+BA304*BA189+BB304*BB189+BC304*BC189+BD304*BD189+BE304*BE189+BF304*BF189+BG304*BG189+BH304*BH189+BI304*BI189+BJ304*BJ189+BK304*BK189+BL304*BL189+BM304*BM189+BN304*BN189+BO304*BO189+BP304*BP189+BQ304*BQ189+BR304*BR189+BS304*BS189+BT304*BT189+BU304*BU189+BV304*BV189+BW304*BW189+BX304*BX189+BY304*BY189+BZ304*BZ189+CA304*CA189+CB304*CB189+CC304*CC189+CD304*CD189+CE304*CE189+CF304*CF189+CG304*CG189+CH304*CH189+CI304*CI189+CJ304*CJ189+CK304*CK189+CL304*CL189+CM304*CM189+CN304*CN189+CO304*CO189+CP304*CP189+CQ304*CQ189+CR304*CR189+CS304*CS189+CT304*CT189+CU304*CU189</f>
        <v>0</v>
      </c>
      <c r="DD189" s="2882">
        <f>E305*E189+F305*F189+G305*G189+H305*H189+I305*I189+J305*J189+K305*K189+L305*L189+M305*M189+N305*N189+O305*O189+P305*P189+Q305*Q189+R305*R189+S305*S189+T305*T189+U305*U189+V305*V189+W305*W189+X305*X189+Y305*Y189+Z305*Z189+AA305*AA189+AB305*AB189+AC305*AC189+AD305*AD189+AE305*AE189+AF305*AF189+AG305*AG189+AH305*AH189+AI305*AI189+AJ305*AJ189+AK305*AK189+AL305*AL189+AM305*AM189+AN305*AN189+AO305*AO189+AP305*AP189+AQ305*AQ189+AR305*AR189+AS305*AS189+AT305*AT189+AU305*AU189+AV305*AV189+AW305*AW189+AX305*AX189+AY305*AY189+AZ305*AZ189+BA305*BA189+BB305*BB189+BC305*BC189+BD305*BD189+BE305*BE189+BF305*BF189+BG305*BG189+BH305*BH189+BI305*BI189+BJ305*BJ189+BK305*BK189+BL305*BL189+BM305*BM189+BN305*BN189+BO305*BO189+BP305*BP189+BQ305*BQ189+BR305*BR189+BS305*BS189+BT305*BT189+BU305*BU189+BV305*BV189+BW305*BW189+BX305*BX189+BY305*BY189+BZ305*BZ189+CA305*CA189+CB305*CB189+CC305*CC189+CD305*CD189+CE305*CE189+CF305*CF189+CG305*CG189+CH305*CH189+CI305*CI189+CJ305*CJ189+CK305*CK189+CL305*CL189+CM305*CM189+CN305*CN189+CO305*CO189+CP305*CP189+CQ305*CQ189+CR305*CR189+CS305*CS189+CT305*CT189+CU305*CU189</f>
        <v>0</v>
      </c>
      <c r="DE189" s="2882">
        <f>E306*E189+F306*F189+G306*G189+H306*H189+I306*I189+J306*J189+K306*K189+L306*L189+M306*M189+N306*N189+O306*O189+P306*P189+Q306*Q189+R306*R189+S306*S189+T306*T189+U306*U189+V306*V189+W306*W189+X306*X189+Y306*Y189+Z306*Z189+AA306*AA189+AB306*AB189+AC306*AC189+AD306*AD189+AE306*AE189+AF306*AF189+AG306*AG189+AH306*AH189+AI306*AI189+AJ306*AJ189+AK306*AK189+AL306*AL189+AM306*AM189+AN306*AN189+AO306*AO189+AP306*AP189+AQ306*AQ189+AR306*AR189+AS306*AS189+AT306*AT189+AU306*AU189+AV306*AV189+AW306*AW189+AX306*AX189+AY306*AY189+AZ306*AZ189+BA306*BA189+BB306*BB189+BC306*BC189+BD306*BD189+BE306*BE189+BF306*BF189+BG306*BG189+BH306*BH189+BI306*BI189+BJ306*BJ189+BK306*BK189+BL306*BL189+BM306*BM189+BN306*BN189+BO306*BO189+BP306*BP189+BQ306*BQ189+BR306*BR189+BS306*BS189+BT306*BT189+BU306*BU189+BV306*BV189+BW306*BW189+BX306*BX189+BY306*BY189+BZ306*BZ189+CA306*CA189+CB306*CB189+CC306*CC189+CD306*CD189+CE306*CE189+CF306*CF189+CG306*CG189+CH306*CH189+CI306*CI189+CJ306*CJ189+CK306*CK189+CL306*CL189+CM306*CM189+CN306*CN189+CO306*CO189+CP306*CP189+CQ306*CQ189+CR306*CR189+CS306*CS189+CT306*CT189+CU306*CU189</f>
        <v>0</v>
      </c>
      <c r="DF189" s="2882">
        <f>E307*E189+F307*F189+G307*G189+H307*H189+I307*I189+J307*J189+K307*K189+L307*L189+M307*M189+N307*N189+O307*O189+P307*P189+Q307*Q189+R307*R189+S307*S189+T307*T189+U307*U189+V307*V189+W307*W189+X307*X189+Y307*Y189+Z307*Z189+AA307*AA189+AB307*AB189+AC307*AC189+AD307*AD189+AE307*AE189+AF307*AF189+AG307*AG189+AH307*AH189+AI307*AI189+AJ307*AJ189+AK307*AK189+AL307*AL189+AM307*AM189+AN307*AN189+AO307*AO189+AP307*AP189+AQ307*AQ189+AR307*AR189+AS307*AS189+AT307*AT189+AU307*AU189+AV307*AV189+AW307*AW189+AX307*AX189+AY307*AY189+AZ307*AZ189+BA307*BA189+BB307*BB189+BC307*BC189+BD307*BD189+BE307*BE189+BF307*BF189+BG307*BG189+BH307*BH189+BI307*BI189+BJ307*BJ189+BK307*BK189+BL307*BL189+BM307*BM189+BN307*BN189+BO307*BO189+BP307*BP189+BQ307*BQ189+BR307*BR189+BS307*BS189+BT307*BT189+BU307*BU189+BV307*BV189+BW307*BW189+BX307*BX189+BY307*BY189+BZ307*BZ189+CA307*CA189+CB307*CB189+CC307*CC189+CD307*CD189+CE307*CE189+CF307*CF189+CG307*CG189+CH307*CH189+CI307*CI189+CJ307*CJ189+CK307*CK189+CL307*CL189+CM307*CM189+CN307*CN189+CO307*CO189+CP307*CP189+CQ307*CQ189+CR307*CR189+CS307*CS189+CT307*CT189+CU307*CU189</f>
        <v>0</v>
      </c>
      <c r="DG189" s="2882">
        <f>E308*E189+F308*F189+G308*G189+H308*H189+I308*I189+J308*J189+K308*K189+L308*L189+M308*M189+N308*N189+O308*O189+P308*P189+Q308*Q189+R308*R189+S308*S189+T308*T189+U308*U189+V308*V189+W308*W189+X308*X189+Y308*Y189+Z308*Z189+AA308*AA189+AB308*AB189+AC308*AC189+AD308*AD189+AE308*AE189+AF308*AF189+AG308*AG189+AH308*AH189+AI308*AI189+AJ308*AJ189+AK308*AK189+AL308*AL189+AM308*AM189+AN308*AN189+AO308*AO189+AP308*AP189+AQ308*AQ189+AR308*AR189+AS308*AS189+AT308*AT189+AU308*AU189+AV308*AV189+AW308*AW189+AX308*AX189+AY308*AY189+AZ308*AZ189+BA308*BA189+BB308*BB189+BC308*BC189+BD308*BD189+BE308*BE189+BF308*BF189+BG308*BG189+BH308*BH189+BI308*BI189+BJ308*BJ189+BK308*BK189+BL308*BL189+BM308*BM189+BN308*BN189+BO308*BO189+BP308*BP189+BQ308*BQ189+BR308*BR189+BS308*BS189+BT308*BT189+BU308*BU189+BV308*BV189+BW308*BW189+BX308*BX189+BY308*BY189+BZ308*BZ189+CA308*CA189+CB308*CB189+CC308*CC189+CD308*CD189+CE308*CE189+CF308*CF189+CG308*CG189+CH308*CH189+CI308*CI189+CJ308*CJ189+CK308*CK189+CL308*CL189+CM308*CM189+CN308*CN189+CO308*CO189+CP308*CP189+CQ308*CQ189+CR308*CR189+CS308*CS189+CT308*CT189+CU308*CU189</f>
        <v>0</v>
      </c>
      <c r="DH189" s="2882">
        <f>E309*E189+F309*F189+G309*G189+H309*H189+I309*I189+J309*J189+K309*K189+L309*L189+M309*M189+N309*N189+O309*O189+P309*P189+Q309*Q189+R309*R189+S309*S189+T309*T189+U309*U189+V309*V189+W309*W189+X309*X189+Y309*Y189+Z309*Z189+AA309*AA189+AB309*AB189+AC309*AC189+AD309*AD189+AE309*AE189+AF309*AF189+AG309*AG189+AH309*AH189+AI309*AI189+AJ309*AJ189+AK309*AK189+AL309*AL189+AM309*AM189+AN309*AN189+AO309*AO189+AP309*AP189+AQ309*AQ189+AR309*AR189+AS309*AS189+AT309*AT189+AU309*AU189+AV309*AV189+AW309*AW189+AX309*AX189+AY309*AY189+AZ309*AZ189+BA309*BA189+BB309*BB189+BC309*BC189+BD309*BD189+BE309*BE189+BF309*BF189+BG309*BG189+BH309*BH189+BI309*BI189+BJ309*BJ189+BK309*BK189+BL309*BL189+BM309*BM189+BN309*BN189+BO309*BO189+BP309*BP189+BQ309*BQ189+BR309*BR189+BS309*BS189+BT309*BT189+BU309*BU189+BV309*BV189+BW309*BW189+BX309*BX189+BY309*BY189+BZ309*BZ189+CA309*CA189+CB309*CB189+CC309*CC189+CD309*CD189+CE309*CE189+CF309*CF189+CG309*CG189+CH309*CH189+CI309*CI189+CJ309*CJ189+CK309*CK189+CL309*CL189+CM309*CM189+CN309*CN189+CO309*CO189+CP309*CP189+CQ309*CQ189+CR309*CR189+CS309*CS189+CT309*CT189+CU309*CU189</f>
        <v>0</v>
      </c>
      <c r="DI189" s="2882">
        <f>E310*E189+F310*F189+G310*G189+H310*H189+I310*I189+J310*J189+K310*K189+L310*L189+M310*M189+N310*N189+O310*O189+P310*P189+Q310*Q189+R310*R189+S310*S189+T310*T189+U310*U189+V310*V189+W310*W189+X310*X189+Y310*Y189+Z310*Z189+AA310*AA189+AB310*AB189+AC310*AC189+AD310*AD189+AE310*AE189+AF310*AF189+AG310*AG189+AH310*AH189+AI310*AI189+AJ310*AJ189+AK310*AK189+AL310*AL189+AM310*AM189+AN310*AN189+AO310*AO189+AP310*AP189+AQ310*AQ189+AR310*AR189+AS310*AS189+AT310*AT189+AU310*AU189+AV310*AV189+AW310*AW189+AX310*AX189+AY310*AY189+AZ310*AZ189+BA310*BA189+BB310*BB189+BC310*BC189+BD310*BD189+BE310*BE189+BF310*BF189+BG310*BG189+BH310*BH189+BI310*BI189+BJ310*BJ189+BK310*BK189+BL310*BL189+BM310*BM189+BN310*BN189+BO310*BO189+BP310*BP189+BQ310*BQ189+BR310*BR189+BS310*BS189+BT310*BT189+BU310*BU189+BV310*BV189+BW310*BW189+BX310*BX189+BY310*BY189+BZ310*BZ189+CA310*CA189+CB310*CB189+CC310*CC189+CD310*CD189+CE310*CE189+CF310*CF189+CG310*CG189+CH310*CH189+CI310*CI189+CJ310*CJ189+CK310*CK189+CL310*CL189+CM310*CM189+CN310*CN189+CO310*CO189+CP310*CP189+CQ310*CQ189+CR310*CR189+CS310*CS189+CT310*CT189+CU310*CU189</f>
        <v>0</v>
      </c>
    </row>
    <row r="190" spans="2:113" x14ac:dyDescent="0.45">
      <c r="B190" s="915">
        <v>31</v>
      </c>
      <c r="C190" s="915" t="s">
        <v>1368</v>
      </c>
      <c r="D190" s="916" t="s">
        <v>4413</v>
      </c>
      <c r="E190" s="890">
        <f>0</f>
        <v>0</v>
      </c>
      <c r="F190" s="890">
        <f>0</f>
        <v>0</v>
      </c>
      <c r="G190" s="890">
        <f>0</f>
        <v>0</v>
      </c>
      <c r="H190" s="890">
        <f>0</f>
        <v>0</v>
      </c>
      <c r="I190" s="890">
        <f>0</f>
        <v>0</v>
      </c>
      <c r="J190" s="890">
        <f>0</f>
        <v>0</v>
      </c>
      <c r="K190" s="890">
        <f>0</f>
        <v>0</v>
      </c>
      <c r="L190" s="890">
        <f>0</f>
        <v>0</v>
      </c>
      <c r="M190" s="889">
        <f>-X_PHA/X_STC</f>
        <v>-0.86956521739130432</v>
      </c>
      <c r="N190" s="889">
        <f>-X_GLY/X_STC</f>
        <v>-0.13043478260869565</v>
      </c>
      <c r="O190" s="890">
        <f>0</f>
        <v>0</v>
      </c>
      <c r="P190" s="890">
        <f>0</f>
        <v>0</v>
      </c>
      <c r="Q190" s="890">
        <f>0</f>
        <v>0</v>
      </c>
      <c r="R190" s="890">
        <f>0</f>
        <v>0</v>
      </c>
      <c r="S190" s="890">
        <f>0</f>
        <v>0</v>
      </c>
      <c r="T190" s="890">
        <f>0</f>
        <v>0</v>
      </c>
      <c r="U190" s="890">
        <f>0</f>
        <v>0</v>
      </c>
      <c r="V190" s="890">
        <f>0</f>
        <v>0</v>
      </c>
      <c r="W190" s="890">
        <f>0</f>
        <v>0</v>
      </c>
      <c r="X190" s="890">
        <f>0</f>
        <v>0</v>
      </c>
      <c r="Y190" s="2546">
        <f>0</f>
        <v>0</v>
      </c>
      <c r="Z190" s="2546">
        <f>0</f>
        <v>0</v>
      </c>
      <c r="AA190" s="2546">
        <f>0</f>
        <v>0</v>
      </c>
      <c r="AB190" s="890">
        <f>0</f>
        <v>0</v>
      </c>
      <c r="AC190" s="890">
        <f>0</f>
        <v>0</v>
      </c>
      <c r="AD190" s="890">
        <f>0</f>
        <v>0</v>
      </c>
      <c r="AE190" s="890">
        <f>0</f>
        <v>0</v>
      </c>
      <c r="AF190" s="890">
        <f>0</f>
        <v>0</v>
      </c>
      <c r="AG190" s="890">
        <f>0</f>
        <v>0</v>
      </c>
      <c r="AH190" s="890">
        <f>0</f>
        <v>0</v>
      </c>
      <c r="AI190" s="890">
        <f>0</f>
        <v>0</v>
      </c>
      <c r="AJ190" s="890">
        <f>0</f>
        <v>0</v>
      </c>
      <c r="AK190" s="890">
        <f>0</f>
        <v>0</v>
      </c>
      <c r="AL190" s="890">
        <f>0</f>
        <v>0</v>
      </c>
      <c r="AM190" s="890">
        <f>0</f>
        <v>0</v>
      </c>
      <c r="AN190" s="889">
        <f>0</f>
        <v>0</v>
      </c>
      <c r="AO190" s="890">
        <f>0</f>
        <v>0</v>
      </c>
      <c r="AP190" s="890">
        <f>0</f>
        <v>0</v>
      </c>
      <c r="AQ190" s="890">
        <f>0</f>
        <v>0</v>
      </c>
      <c r="AR190" s="890">
        <f>-1</f>
        <v>-1</v>
      </c>
      <c r="AS190" s="890">
        <f>0</f>
        <v>0</v>
      </c>
      <c r="AT190" s="890">
        <f>0</f>
        <v>0</v>
      </c>
      <c r="AU190" s="890">
        <f>i_CIT_STC</f>
        <v>0.33847826086956523</v>
      </c>
      <c r="AV190" s="890">
        <f>0</f>
        <v>0</v>
      </c>
      <c r="AW190" s="890">
        <f>0</f>
        <v>0</v>
      </c>
      <c r="AX190" s="890">
        <f>0</f>
        <v>0</v>
      </c>
      <c r="AY190" s="889">
        <f>0</f>
        <v>0</v>
      </c>
      <c r="AZ190" s="889">
        <f>0</f>
        <v>0</v>
      </c>
      <c r="BA190" s="889">
        <f>0</f>
        <v>0</v>
      </c>
      <c r="BB190" s="2557">
        <f>0</f>
        <v>0</v>
      </c>
      <c r="BC190" s="2557">
        <f>0</f>
        <v>0</v>
      </c>
      <c r="BD190" s="2557">
        <f>0</f>
        <v>0</v>
      </c>
      <c r="BE190" s="890">
        <f>0</f>
        <v>0</v>
      </c>
      <c r="BF190" s="890">
        <f>0</f>
        <v>0</v>
      </c>
      <c r="BG190" s="890">
        <f>0</f>
        <v>0</v>
      </c>
      <c r="BH190" s="890">
        <f>0</f>
        <v>0</v>
      </c>
      <c r="BI190" s="890">
        <f>0</f>
        <v>0</v>
      </c>
      <c r="BJ190" s="890">
        <f>0</f>
        <v>0</v>
      </c>
      <c r="BK190" s="890">
        <f>0</f>
        <v>0</v>
      </c>
      <c r="BL190" s="890">
        <f>0</f>
        <v>0</v>
      </c>
      <c r="BM190" s="890">
        <f>0</f>
        <v>0</v>
      </c>
      <c r="BN190" s="890">
        <f>0</f>
        <v>0</v>
      </c>
      <c r="BO190" s="890">
        <f>0</f>
        <v>0</v>
      </c>
      <c r="BP190" s="890">
        <f>0</f>
        <v>0</v>
      </c>
      <c r="BQ190" s="890">
        <f>0</f>
        <v>0</v>
      </c>
      <c r="BR190" s="890">
        <f>0</f>
        <v>0</v>
      </c>
      <c r="BS190" s="890">
        <f>0</f>
        <v>0</v>
      </c>
      <c r="BT190" s="890">
        <f>0</f>
        <v>0</v>
      </c>
      <c r="BU190" s="890">
        <f>0</f>
        <v>0</v>
      </c>
      <c r="BV190" s="890">
        <f>0</f>
        <v>0</v>
      </c>
      <c r="BW190" s="890">
        <f>0</f>
        <v>0</v>
      </c>
      <c r="BX190" s="890">
        <f>0</f>
        <v>0</v>
      </c>
      <c r="BY190" s="2546">
        <f>0</f>
        <v>0</v>
      </c>
      <c r="BZ190" s="890">
        <f>0</f>
        <v>0</v>
      </c>
      <c r="CA190" s="890">
        <f>0</f>
        <v>0</v>
      </c>
      <c r="CB190" s="890">
        <f>0</f>
        <v>0</v>
      </c>
      <c r="CC190" s="890">
        <f>0</f>
        <v>0</v>
      </c>
      <c r="CD190" s="890">
        <f>0</f>
        <v>0</v>
      </c>
      <c r="CE190" s="890">
        <f>0</f>
        <v>0</v>
      </c>
      <c r="CF190" s="890">
        <f>0</f>
        <v>0</v>
      </c>
      <c r="CG190" s="890">
        <f>0</f>
        <v>0</v>
      </c>
      <c r="CH190" s="890">
        <f>0</f>
        <v>0</v>
      </c>
      <c r="CI190" s="890">
        <f>0</f>
        <v>0</v>
      </c>
      <c r="CJ190" s="2546">
        <f>0</f>
        <v>0</v>
      </c>
      <c r="CK190" s="890">
        <f>0</f>
        <v>0</v>
      </c>
      <c r="CL190" s="890">
        <f>0</f>
        <v>0</v>
      </c>
      <c r="CM190" s="890">
        <f>0</f>
        <v>0</v>
      </c>
      <c r="CN190" s="890">
        <f>0</f>
        <v>0</v>
      </c>
      <c r="CO190" s="890">
        <f>0</f>
        <v>0</v>
      </c>
      <c r="CP190" s="890">
        <f>0</f>
        <v>0</v>
      </c>
      <c r="CQ190" s="890">
        <f>0</f>
        <v>0</v>
      </c>
      <c r="CR190" s="890">
        <f>0</f>
        <v>0</v>
      </c>
      <c r="CS190" s="2546">
        <f>0</f>
        <v>0</v>
      </c>
      <c r="CT190" s="2546">
        <f>0</f>
        <v>0</v>
      </c>
      <c r="CU190" s="2546">
        <f>0</f>
        <v>0</v>
      </c>
      <c r="CV190" s="2858">
        <f>b_STC_T*X_CASTO*M_satSO2_KO2_CASTO*M_RsatXSTC_XCASTO_KSTC</f>
        <v>10.7584363514868</v>
      </c>
      <c r="CX190" s="2880">
        <f>E299*E190+F299*F190+G299*G190+H299*H190+I299*I190+J299*J190+K299*K190+L299*L190+M299*M190+N299*N190+O299*O190+P299*P190+Q299*Q190+R299*R190+S299*S190+T299*T190+U299*U190+V299*V190+W299*W190+X299*X190+Y299*Y190+Z299*Z190+AA299*AA190+AB299*AB190+AC299*AC190+AD299*AD190+AE299*AE190+AF299*AF190+AG299*AG190+AH299*AH190+AI299*AI190+AJ299*AJ190+AK299*AK190+AL299*AL190+AM299*AM190+AN299*AN190+AO299*AO190+AP299*AP190+AQ299*AQ190+AR299*AR190+AS299*AS190+AT299*AT190+AU299*AU190+AV299*AV190+AW299*AW190+AX299*AX190+AY299*AY190+AZ299*AZ190+BA299*BA190+BB299*BB190+BC299*BC190+BD299*BD190+BE299*BE190+BF299*BF190+BG299*BG190+BH299*BH190+BI299*BI190+BJ299*BJ190+BK299*BK190+BL299*BL190+BM299*BM190+BN299*BN190+BO299*BO190+BP299*BP190+BQ299*BQ190+BR299*BR190+BS299*BS190+BT299*BT190+BU299*BU190+BV299*BV190+BW299*BW190+BX299*BX190+BY299*BY190+BZ299*BZ190+CA299*CA190+CB299*CB190+CC299*CC190+CD299*CD190+CE299*CE190+CF299*CF190+CG299*CG190+CH299*CH190+CI299*CI190+CJ299*CJ190+CK299*CK190+CL299*CL190+CM299*CM190+CN299*CN190+CO299*CO190+CP299*CP190+CQ299*CQ190+CR299*CR190+CS299*CS190+CT299*CT190+CU299*CU190</f>
        <v>0</v>
      </c>
      <c r="CY190" s="2880">
        <f>E300*E190+F300*F190+G300*G190+H300*H190+I300*I190+J300*J190+K300*K190+L300*L190+M300*M190+N300*N190+O300*O190+P300*P190+Q300*Q190+R300*R190+S300*S190+T300*T190+U300*U190+V300*V190+W300*W190+X300*X190+Y300*Y190+Z300*Z190+AA300*AA190+AB300*AB190+AC300*AC190+AD300*AD190+AE300*AE190+AF300*AF190+AG300*AG190+AH300*AH190+AI300*AI190+AJ300*AJ190+AK300*AK190+AL300*AL190+AM300*AM190+AN300*AN190+AO300*AO190+AP300*AP190+AQ300*AQ190+AR300*AR190+AS300*AS190+AT300*AT190+AU300*AU190+AV300*AV190+AW300*AW190+AX300*AX190+AY300*AY190+AZ300*AZ190+BA300*BA190+BB300*BB190+BC300*BC190+BD300*BD190+BE300*BE190+BF300*BF190+BG300*BG190+BH300*BH190+BI300*BI190+BJ300*BJ190+BK300*BK190+BL300*BL190+BM300*BM190+BN300*BN190+BO300*BO190+BP300*BP190+BQ300*BQ190+BR300*BR190+BS300*BS190+BT300*BT190+BU300*BU190+BV300*BV190+BW300*BW190+BX300*BX190+BY300*BY190+BZ300*BZ190+CA300*CA190+CB300*CB190+CC300*CC190+CD300*CD190+CE300*CE190+CF300*CF190+CG300*CG190+CH300*CH190+CI300*CI190+CJ300*CJ190+CK300*CK190+CL300*CL190+CM300*CM190+CN300*CN190+CO300*CO190+CP300*CP190+CQ300*CQ190+CR300*CR190+CS300*CS190+CT300*CT190+CU300*CU190</f>
        <v>0</v>
      </c>
      <c r="CZ190" s="2881">
        <f>E301*E190+F301*F190+G301*G190+H301*H190+I301*I190+J301*J190+K301*K190+L301*L190+M301*M190+N301*N190+O301*O190+P301*P190+Q301*Q190+R301*R190+S301*S190+T301*T190+U301*U190+V301*V190+W301*W190+X301*X190+Y301*Y190+Z301*Z190+AA301*AA190+AB301*AB190+AC301*AC190+AD301*AD190+AE301*AE190+AF301*AF190+AG301*AG190+AH301*AH190+AI301*AI190+AJ301*AJ190+AK301*AK190+AL301*AL190+AM301*AM190+AN301*AN190+AO301*AO190+AP301*AP190+AQ301*AQ190+AR301*AR190+AS301*AS190+AT301*AT190+AU301*AU190+AV301*AV190+AW301*AW190+AX301*AX190+AY301*AY190+AZ301*AZ190+BA301*BA190+BB301*BB190+BC301*BC190+BD301*BD190+BE301*BE190+BF301*BF190+BG301*BG190+BH301*BH190+BI301*BI190+BJ301*BJ190+BK301*BK190+BL301*BL190+BM301*BM190+BN301*BN190+BO301*BO190+BP301*BP190+BQ301*BQ190+BR301*BR190+BS301*BS190+BT301*BT190+BU301*BU190+BV301*BV190+BW301*BW190+BX301*BX190+BY301*BY190+BZ301*BZ190+CA301*CA190+CB301*CB190+CC301*CC190+CD301*CD190+CE301*CE190+CF301*CF190+CG301*CG190+CH301*CH190+CI301*CI190+CJ301*CJ190+CK301*CK190+CL301*CL190+CM301*CM190+CN301*CN190+CO301*CO190+CP301*CP190+CQ301*CQ190+CR301*CR190+CS301*CS190+CT301*CT190+CU301*CU190</f>
        <v>0</v>
      </c>
      <c r="DA190" s="2882">
        <f>E302*E190+F302*F190+G302*G190+H302*H190+I302*I190+J302*J190+K302*K190+L302*L190+M302*M190+N302*N190+O302*O190+P302*P190+Q302*Q190+R302*R190+S302*S190+T302*T190+U302*U190+V302*V190+W302*W190+X302*X190+Y302*Y190+Z302*Z190+AA302*AA190+AB302*AB190+AC302*AC190+AD302*AD190+AE302*AE190+AF302*AF190+AG302*AG190+AH302*AH190+AI302*AI190+AJ302*AJ190+AK302*AK190+AL302*AL190+AM302*AM190+AN302*AN190+AO302*AO190+AP302*AP190+AQ302*AQ190+AR302*AR190+AS302*AS190+AT302*AT190+AU302*AU190+AV302*AV190+AW302*AW190+AX302*AX190+AY302*AY190+AZ302*AZ190+BA302*BA190+BB302*BB190+BC302*BC190+BD302*BD190+BE302*BE190+BF302*BF190+BG302*BG190+BH302*BH190+BI302*BI190+BJ302*BJ190+BK302*BK190+BL302*BL190+BM302*BM190+BN302*BN190+BO302*BO190+BP302*BP190+BQ302*BQ190+BR302*BR190+BS302*BS190+BT302*BT190+BU302*BU190+BV302*BV190+BW302*BW190+BX302*BX190+BY302*BY190+BZ302*BZ190+CA302*CA190+CB302*CB190+CC302*CC190+CD302*CD190+CE302*CE190+CF302*CF190+CG302*CG190+CH302*CH190+CI302*CI190+CJ302*CJ190+CK302*CK190+CL302*CL190+CM302*CM190+CN302*CN190+CO302*CO190+CP302*CP190+CQ302*CQ190+CR302*CR190+CS302*CS190+CT302*CT190+CU302*CU190</f>
        <v>0</v>
      </c>
      <c r="DB190" s="2882">
        <f>E303*E190+F303*F190+G303*G190+H303*H190+I303*I190+J303*J190+K303*K190+L303*L190+M303*M190+N303*N190+O303*O190+P303*P190+Q303*Q190+R303*R190+S303*S190+T303*T190+U303*U190+V303*V190+W303*W190+X303*X190+Y303*Y190+Z303*Z190+AA303*AA190+AB303*AB190+AC303*AC190+AD303*AD190+AE303*AE190+AF303*AF190+AG303*AG190+AH303*AH190+AI303*AI190+AJ303*AJ190+AK303*AK190+AL303*AL190+AM303*AM190+AN303*AN190+AO303*AO190+AP303*AP190+AQ303*AQ190+AR303*AR190+AS303*AS190+AT303*AT190+AU303*AU190+AV303*AV190+AW303*AW190+AX303*AX190+AY303*AY190+AZ303*AZ190+BA303*BA190+BB303*BB190+BC303*BC190+BD303*BD190+BE303*BE190+BF303*BF190+BG303*BG190+BH303*BH190+BI303*BI190+BJ303*BJ190+BK303*BK190+BL303*BL190+BM303*BM190+BN303*BN190+BO303*BO190+BP303*BP190+BQ303*BQ190+BR303*BR190+BS303*BS190+BT303*BT190+BU303*BU190+BV303*BV190+BW303*BW190+BX303*BX190+BY303*BY190+BZ303*BZ190+CA303*CA190+CB303*CB190+CC303*CC190+CD303*CD190+CE303*CE190+CF303*CF190+CG303*CG190+CH303*CH190+CI303*CI190+CJ303*CJ190+CK303*CK190+CL303*CL190+CM303*CM190+CN303*CN190+CO303*CO190+CP303*CP190+CQ303*CQ190+CR303*CR190+CS303*CS190+CT303*CT190+CU303*CU190</f>
        <v>0</v>
      </c>
      <c r="DC190" s="2882">
        <f>E304*E190+F304*F190+G304*G190+H304*H190+I304*I190+J304*J190+K304*K190+L304*L190+M304*M190+N304*N190+O304*O190+P304*P190+Q304*Q190+R304*R190+S304*S190+T304*T190+U304*U190+V304*V190+W304*W190+X304*X190+Y304*Y190+Z304*Z190+AA304*AA190+AB304*AB190+AC304*AC190+AD304*AD190+AE304*AE190+AF304*AF190+AG304*AG190+AH304*AH190+AI304*AI190+AJ304*AJ190+AK304*AK190+AL304*AL190+AM304*AM190+AN304*AN190+AO304*AO190+AP304*AP190+AQ304*AQ190+AR304*AR190+AS304*AS190+AT304*AT190+AU304*AU190+AV304*AV190+AW304*AW190+AX304*AX190+AY304*AY190+AZ304*AZ190+BA304*BA190+BB304*BB190+BC304*BC190+BD304*BD190+BE304*BE190+BF304*BF190+BG304*BG190+BH304*BH190+BI304*BI190+BJ304*BJ190+BK304*BK190+BL304*BL190+BM304*BM190+BN304*BN190+BO304*BO190+BP304*BP190+BQ304*BQ190+BR304*BR190+BS304*BS190+BT304*BT190+BU304*BU190+BV304*BV190+BW304*BW190+BX304*BX190+BY304*BY190+BZ304*BZ190+CA304*CA190+CB304*CB190+CC304*CC190+CD304*CD190+CE304*CE190+CF304*CF190+CG304*CG190+CH304*CH190+CI304*CI190+CJ304*CJ190+CK304*CK190+CL304*CL190+CM304*CM190+CN304*CN190+CO304*CO190+CP304*CP190+CQ304*CQ190+CR304*CR190+CS304*CS190+CT304*CT190+CU304*CU190</f>
        <v>0</v>
      </c>
      <c r="DD190" s="2882">
        <f>E305*E190+F305*F190+G305*G190+H305*H190+I305*I190+J305*J190+K305*K190+L305*L190+M305*M190+N305*N190+O305*O190+P305*P190+Q305*Q190+R305*R190+S305*S190+T305*T190+U305*U190+V305*V190+W305*W190+X305*X190+Y305*Y190+Z305*Z190+AA305*AA190+AB305*AB190+AC305*AC190+AD305*AD190+AE305*AE190+AF305*AF190+AG305*AG190+AH305*AH190+AI305*AI190+AJ305*AJ190+AK305*AK190+AL305*AL190+AM305*AM190+AN305*AN190+AO305*AO190+AP305*AP190+AQ305*AQ190+AR305*AR190+AS305*AS190+AT305*AT190+AU305*AU190+AV305*AV190+AW305*AW190+AX305*AX190+AY305*AY190+AZ305*AZ190+BA305*BA190+BB305*BB190+BC305*BC190+BD305*BD190+BE305*BE190+BF305*BF190+BG305*BG190+BH305*BH190+BI305*BI190+BJ305*BJ190+BK305*BK190+BL305*BL190+BM305*BM190+BN305*BN190+BO305*BO190+BP305*BP190+BQ305*BQ190+BR305*BR190+BS305*BS190+BT305*BT190+BU305*BU190+BV305*BV190+BW305*BW190+BX305*BX190+BY305*BY190+BZ305*BZ190+CA305*CA190+CB305*CB190+CC305*CC190+CD305*CD190+CE305*CE190+CF305*CF190+CG305*CG190+CH305*CH190+CI305*CI190+CJ305*CJ190+CK305*CK190+CL305*CL190+CM305*CM190+CN305*CN190+CO305*CO190+CP305*CP190+CQ305*CQ190+CR305*CR190+CS305*CS190+CT305*CT190+CU305*CU190</f>
        <v>0</v>
      </c>
      <c r="DE190" s="2882">
        <f>E306*E190+F306*F190+G306*G190+H306*H190+I306*I190+J306*J190+K306*K190+L306*L190+M306*M190+N306*N190+O306*O190+P306*P190+Q306*Q190+R306*R190+S306*S190+T306*T190+U306*U190+V306*V190+W306*W190+X306*X190+Y306*Y190+Z306*Z190+AA306*AA190+AB306*AB190+AC306*AC190+AD306*AD190+AE306*AE190+AF306*AF190+AG306*AG190+AH306*AH190+AI306*AI190+AJ306*AJ190+AK306*AK190+AL306*AL190+AM306*AM190+AN306*AN190+AO306*AO190+AP306*AP190+AQ306*AQ190+AR306*AR190+AS306*AS190+AT306*AT190+AU306*AU190+AV306*AV190+AW306*AW190+AX306*AX190+AY306*AY190+AZ306*AZ190+BA306*BA190+BB306*BB190+BC306*BC190+BD306*BD190+BE306*BE190+BF306*BF190+BG306*BG190+BH306*BH190+BI306*BI190+BJ306*BJ190+BK306*BK190+BL306*BL190+BM306*BM190+BN306*BN190+BO306*BO190+BP306*BP190+BQ306*BQ190+BR306*BR190+BS306*BS190+BT306*BT190+BU306*BU190+BV306*BV190+BW306*BW190+BX306*BX190+BY306*BY190+BZ306*BZ190+CA306*CA190+CB306*CB190+CC306*CC190+CD306*CD190+CE306*CE190+CF306*CF190+CG306*CG190+CH306*CH190+CI306*CI190+CJ306*CJ190+CK306*CK190+CL306*CL190+CM306*CM190+CN306*CN190+CO306*CO190+CP306*CP190+CQ306*CQ190+CR306*CR190+CS306*CS190+CT306*CT190+CU306*CU190</f>
        <v>0</v>
      </c>
      <c r="DF190" s="2882">
        <f>E307*E190+F307*F190+G307*G190+H307*H190+I307*I190+J307*J190+K307*K190+L307*L190+M307*M190+N307*N190+O307*O190+P307*P190+Q307*Q190+R307*R190+S307*S190+T307*T190+U307*U190+V307*V190+W307*W190+X307*X190+Y307*Y190+Z307*Z190+AA307*AA190+AB307*AB190+AC307*AC190+AD307*AD190+AE307*AE190+AF307*AF190+AG307*AG190+AH307*AH190+AI307*AI190+AJ307*AJ190+AK307*AK190+AL307*AL190+AM307*AM190+AN307*AN190+AO307*AO190+AP307*AP190+AQ307*AQ190+AR307*AR190+AS307*AS190+AT307*AT190+AU307*AU190+AV307*AV190+AW307*AW190+AX307*AX190+AY307*AY190+AZ307*AZ190+BA307*BA190+BB307*BB190+BC307*BC190+BD307*BD190+BE307*BE190+BF307*BF190+BG307*BG190+BH307*BH190+BI307*BI190+BJ307*BJ190+BK307*BK190+BL307*BL190+BM307*BM190+BN307*BN190+BO307*BO190+BP307*BP190+BQ307*BQ190+BR307*BR190+BS307*BS190+BT307*BT190+BU307*BU190+BV307*BV190+BW307*BW190+BX307*BX190+BY307*BY190+BZ307*BZ190+CA307*CA190+CB307*CB190+CC307*CC190+CD307*CD190+CE307*CE190+CF307*CF190+CG307*CG190+CH307*CH190+CI307*CI190+CJ307*CJ190+CK307*CK190+CL307*CL190+CM307*CM190+CN307*CN190+CO307*CO190+CP307*CP190+CQ307*CQ190+CR307*CR190+CS307*CS190+CT307*CT190+CU307*CU190</f>
        <v>0</v>
      </c>
      <c r="DG190" s="2882">
        <f>E308*E190+F308*F190+G308*G190+H308*H190+I308*I190+J308*J190+K308*K190+L308*L190+M308*M190+N308*N190+O308*O190+P308*P190+Q308*Q190+R308*R190+S308*S190+T308*T190+U308*U190+V308*V190+W308*W190+X308*X190+Y308*Y190+Z308*Z190+AA308*AA190+AB308*AB190+AC308*AC190+AD308*AD190+AE308*AE190+AF308*AF190+AG308*AG190+AH308*AH190+AI308*AI190+AJ308*AJ190+AK308*AK190+AL308*AL190+AM308*AM190+AN308*AN190+AO308*AO190+AP308*AP190+AQ308*AQ190+AR308*AR190+AS308*AS190+AT308*AT190+AU308*AU190+AV308*AV190+AW308*AW190+AX308*AX190+AY308*AY190+AZ308*AZ190+BA308*BA190+BB308*BB190+BC308*BC190+BD308*BD190+BE308*BE190+BF308*BF190+BG308*BG190+BH308*BH190+BI308*BI190+BJ308*BJ190+BK308*BK190+BL308*BL190+BM308*BM190+BN308*BN190+BO308*BO190+BP308*BP190+BQ308*BQ190+BR308*BR190+BS308*BS190+BT308*BT190+BU308*BU190+BV308*BV190+BW308*BW190+BX308*BX190+BY308*BY190+BZ308*BZ190+CA308*CA190+CB308*CB190+CC308*CC190+CD308*CD190+CE308*CE190+CF308*CF190+CG308*CG190+CH308*CH190+CI308*CI190+CJ308*CJ190+CK308*CK190+CL308*CL190+CM308*CM190+CN308*CN190+CO308*CO190+CP308*CP190+CQ308*CQ190+CR308*CR190+CS308*CS190+CT308*CT190+CU308*CU190</f>
        <v>0</v>
      </c>
      <c r="DH190" s="2882">
        <f>E309*E190+F309*F190+G309*G190+H309*H190+I309*I190+J309*J190+K309*K190+L309*L190+M309*M190+N309*N190+O309*O190+P309*P190+Q309*Q190+R309*R190+S309*S190+T309*T190+U309*U190+V309*V190+W309*W190+X309*X190+Y309*Y190+Z309*Z190+AA309*AA190+AB309*AB190+AC309*AC190+AD309*AD190+AE309*AE190+AF309*AF190+AG309*AG190+AH309*AH190+AI309*AI190+AJ309*AJ190+AK309*AK190+AL309*AL190+AM309*AM190+AN309*AN190+AO309*AO190+AP309*AP190+AQ309*AQ190+AR309*AR190+AS309*AS190+AT309*AT190+AU309*AU190+AV309*AV190+AW309*AW190+AX309*AX190+AY309*AY190+AZ309*AZ190+BA309*BA190+BB309*BB190+BC309*BC190+BD309*BD190+BE309*BE190+BF309*BF190+BG309*BG190+BH309*BH190+BI309*BI190+BJ309*BJ190+BK309*BK190+BL309*BL190+BM309*BM190+BN309*BN190+BO309*BO190+BP309*BP190+BQ309*BQ190+BR309*BR190+BS309*BS190+BT309*BT190+BU309*BU190+BV309*BV190+BW309*BW190+BX309*BX190+BY309*BY190+BZ309*BZ190+CA309*CA190+CB309*CB190+CC309*CC190+CD309*CD190+CE309*CE190+CF309*CF190+CG309*CG190+CH309*CH190+CI309*CI190+CJ309*CJ190+CK309*CK190+CL309*CL190+CM309*CM190+CN309*CN190+CO309*CO190+CP309*CP190+CQ309*CQ190+CR309*CR190+CS309*CS190+CT309*CT190+CU309*CU190</f>
        <v>0</v>
      </c>
      <c r="DI190" s="2882">
        <f>E310*E190+F310*F190+G310*G190+H310*H190+I310*I190+J310*J190+K310*K190+L310*L190+M310*M190+N310*N190+O310*O190+P310*P190+Q310*Q190+R310*R190+S310*S190+T310*T190+U310*U190+V310*V190+W310*W190+X310*X190+Y310*Y190+Z310*Z190+AA310*AA190+AB310*AB190+AC310*AC190+AD310*AD190+AE310*AE190+AF310*AF190+AG310*AG190+AH310*AH190+AI310*AI190+AJ310*AJ190+AK310*AK190+AL310*AL190+AM310*AM190+AN310*AN190+AO310*AO190+AP310*AP190+AQ310*AQ190+AR310*AR190+AS310*AS190+AT310*AT190+AU310*AU190+AV310*AV190+AW310*AW190+AX310*AX190+AY310*AY190+AZ310*AZ190+BA310*BA190+BB310*BB190+BC310*BC190+BD310*BD190+BE310*BE190+BF310*BF190+BG310*BG190+BH310*BH190+BI310*BI190+BJ310*BJ190+BK310*BK190+BL310*BL190+BM310*BM190+BN310*BN190+BO310*BO190+BP310*BP190+BQ310*BQ190+BR310*BR190+BS310*BS190+BT310*BT190+BU310*BU190+BV310*BV190+BW310*BW190+BX310*BX190+BY310*BY190+BZ310*BZ190+CA310*CA190+CB310*CB190+CC310*CC190+CD310*CD190+CE310*CE190+CF310*CF190+CG310*CG190+CH310*CH190+CI310*CI190+CJ310*CJ190+CK310*CK190+CL310*CL190+CM310*CM190+CN310*CN190+CO310*CO190+CP310*CP190+CQ310*CQ190+CR310*CR190+CS310*CS190+CT310*CT190+CU310*CU190</f>
        <v>0</v>
      </c>
    </row>
    <row r="191" spans="2:113" ht="15.75" x14ac:dyDescent="0.45">
      <c r="B191" s="915">
        <v>32</v>
      </c>
      <c r="C191" s="915" t="s">
        <v>253</v>
      </c>
      <c r="D191" s="916" t="s">
        <v>4418</v>
      </c>
      <c r="E191" s="890">
        <f>0</f>
        <v>0</v>
      </c>
      <c r="F191" s="890">
        <f>0</f>
        <v>0</v>
      </c>
      <c r="G191" s="890">
        <f>0</f>
        <v>0</v>
      </c>
      <c r="H191" s="890">
        <f>0</f>
        <v>0</v>
      </c>
      <c r="I191" s="890">
        <f>0</f>
        <v>0</v>
      </c>
      <c r="J191" s="890">
        <f>0</f>
        <v>0</v>
      </c>
      <c r="K191" s="890">
        <f>0</f>
        <v>0</v>
      </c>
      <c r="L191" s="890">
        <f>0</f>
        <v>0</v>
      </c>
      <c r="M191" s="889">
        <f>-X_PHA/X_STC</f>
        <v>-0.86956521739130432</v>
      </c>
      <c r="N191" s="889">
        <f>-X_GLY/X_STC</f>
        <v>-0.13043478260869565</v>
      </c>
      <c r="O191" s="890">
        <f>0</f>
        <v>0</v>
      </c>
      <c r="P191" s="890">
        <f>0</f>
        <v>0</v>
      </c>
      <c r="Q191" s="890">
        <f>0</f>
        <v>0</v>
      </c>
      <c r="R191" s="890">
        <f>0</f>
        <v>0</v>
      </c>
      <c r="S191" s="890">
        <f>0</f>
        <v>0</v>
      </c>
      <c r="T191" s="890">
        <f>0</f>
        <v>0</v>
      </c>
      <c r="U191" s="890">
        <f>0</f>
        <v>0</v>
      </c>
      <c r="V191" s="890">
        <f>0</f>
        <v>0</v>
      </c>
      <c r="W191" s="890">
        <f>0</f>
        <v>0</v>
      </c>
      <c r="X191" s="890">
        <f>0</f>
        <v>0</v>
      </c>
      <c r="Y191" s="2546">
        <f>0</f>
        <v>0</v>
      </c>
      <c r="Z191" s="2546">
        <f>0</f>
        <v>0</v>
      </c>
      <c r="AA191" s="2546">
        <f>0</f>
        <v>0</v>
      </c>
      <c r="AB191" s="890">
        <f>0</f>
        <v>0</v>
      </c>
      <c r="AC191" s="889">
        <f>0</f>
        <v>0</v>
      </c>
      <c r="AD191" s="889">
        <f>0</f>
        <v>0</v>
      </c>
      <c r="AE191" s="889">
        <f>-1/E_EQN2_NO2</f>
        <v>-0.58363438628948594</v>
      </c>
      <c r="AF191" s="890">
        <f>0</f>
        <v>0</v>
      </c>
      <c r="AG191" s="890">
        <f>0</f>
        <v>0</v>
      </c>
      <c r="AH191" s="890">
        <f>0</f>
        <v>0</v>
      </c>
      <c r="AI191" s="889">
        <f>1/E_EQN2_NO2</f>
        <v>0.58363438628948594</v>
      </c>
      <c r="AJ191" s="889">
        <f>0</f>
        <v>0</v>
      </c>
      <c r="AK191" s="889">
        <f>0</f>
        <v>0</v>
      </c>
      <c r="AL191" s="889">
        <f>0</f>
        <v>0</v>
      </c>
      <c r="AM191" s="890">
        <f>0</f>
        <v>0</v>
      </c>
      <c r="AN191" s="889">
        <f>0</f>
        <v>0</v>
      </c>
      <c r="AO191" s="890">
        <f>0</f>
        <v>0</v>
      </c>
      <c r="AP191" s="890">
        <f>0</f>
        <v>0</v>
      </c>
      <c r="AQ191" s="890">
        <f>0</f>
        <v>0</v>
      </c>
      <c r="AR191" s="890">
        <f>0</f>
        <v>0</v>
      </c>
      <c r="AS191" s="890">
        <f>0</f>
        <v>0</v>
      </c>
      <c r="AT191" s="890">
        <f>0</f>
        <v>0</v>
      </c>
      <c r="AU191" s="890">
        <f>i_CIT_STC</f>
        <v>0.33847826086956523</v>
      </c>
      <c r="AV191" s="890">
        <f>0</f>
        <v>0</v>
      </c>
      <c r="AW191" s="890">
        <f>0</f>
        <v>0</v>
      </c>
      <c r="AX191" s="890">
        <f>0</f>
        <v>0</v>
      </c>
      <c r="AY191" s="889">
        <f>0</f>
        <v>0</v>
      </c>
      <c r="AZ191" s="889">
        <f>0</f>
        <v>0</v>
      </c>
      <c r="BA191" s="889">
        <f>0</f>
        <v>0</v>
      </c>
      <c r="BB191" s="2557">
        <f>0</f>
        <v>0</v>
      </c>
      <c r="BC191" s="2557">
        <f>0</f>
        <v>0</v>
      </c>
      <c r="BD191" s="2557">
        <f>0</f>
        <v>0</v>
      </c>
      <c r="BE191" s="890">
        <f>0</f>
        <v>0</v>
      </c>
      <c r="BF191" s="890">
        <f>0</f>
        <v>0</v>
      </c>
      <c r="BG191" s="890">
        <f>0</f>
        <v>0</v>
      </c>
      <c r="BH191" s="890">
        <f>0</f>
        <v>0</v>
      </c>
      <c r="BI191" s="890">
        <f>0</f>
        <v>0</v>
      </c>
      <c r="BJ191" s="890">
        <f>0</f>
        <v>0</v>
      </c>
      <c r="BK191" s="890">
        <f>0</f>
        <v>0</v>
      </c>
      <c r="BL191" s="890">
        <f>0</f>
        <v>0</v>
      </c>
      <c r="BM191" s="890">
        <f>0</f>
        <v>0</v>
      </c>
      <c r="BN191" s="890">
        <f>0</f>
        <v>0</v>
      </c>
      <c r="BO191" s="890">
        <f>0</f>
        <v>0</v>
      </c>
      <c r="BP191" s="890">
        <f>0</f>
        <v>0</v>
      </c>
      <c r="BQ191" s="890">
        <f>0</f>
        <v>0</v>
      </c>
      <c r="BR191" s="890">
        <f>0</f>
        <v>0</v>
      </c>
      <c r="BS191" s="890">
        <f>0</f>
        <v>0</v>
      </c>
      <c r="BT191" s="890">
        <f>0</f>
        <v>0</v>
      </c>
      <c r="BU191" s="890">
        <f>0</f>
        <v>0</v>
      </c>
      <c r="BV191" s="890">
        <f>0</f>
        <v>0</v>
      </c>
      <c r="BW191" s="890">
        <f>0</f>
        <v>0</v>
      </c>
      <c r="BX191" s="890">
        <f>0</f>
        <v>0</v>
      </c>
      <c r="BY191" s="2546">
        <f>0</f>
        <v>0</v>
      </c>
      <c r="BZ191" s="890">
        <f>0</f>
        <v>0</v>
      </c>
      <c r="CA191" s="890">
        <f>0</f>
        <v>0</v>
      </c>
      <c r="CB191" s="890">
        <f>0</f>
        <v>0</v>
      </c>
      <c r="CC191" s="890">
        <f>0</f>
        <v>0</v>
      </c>
      <c r="CD191" s="890">
        <f>0</f>
        <v>0</v>
      </c>
      <c r="CE191" s="890">
        <f>0</f>
        <v>0</v>
      </c>
      <c r="CF191" s="890">
        <f>0</f>
        <v>0</v>
      </c>
      <c r="CG191" s="890">
        <f>0</f>
        <v>0</v>
      </c>
      <c r="CH191" s="890">
        <f>0</f>
        <v>0</v>
      </c>
      <c r="CI191" s="890">
        <f>0</f>
        <v>0</v>
      </c>
      <c r="CJ191" s="2546">
        <f>0</f>
        <v>0</v>
      </c>
      <c r="CK191" s="890">
        <f>0</f>
        <v>0</v>
      </c>
      <c r="CL191" s="890">
        <f>0</f>
        <v>0</v>
      </c>
      <c r="CM191" s="890">
        <f>0</f>
        <v>0</v>
      </c>
      <c r="CN191" s="890">
        <f>0</f>
        <v>0</v>
      </c>
      <c r="CO191" s="890">
        <f>0</f>
        <v>0</v>
      </c>
      <c r="CP191" s="890">
        <f>0</f>
        <v>0</v>
      </c>
      <c r="CQ191" s="890">
        <f>0</f>
        <v>0</v>
      </c>
      <c r="CR191" s="890">
        <f>0</f>
        <v>0</v>
      </c>
      <c r="CS191" s="2546">
        <f>0</f>
        <v>0</v>
      </c>
      <c r="CT191" s="2546">
        <f>0</f>
        <v>0</v>
      </c>
      <c r="CU191" s="2546">
        <f>0</f>
        <v>0</v>
      </c>
      <c r="CV191" s="2858">
        <f>b_STC_T*η_bSTC_anox*X_CASTO*M_inhSO2_KO2_CASTO*M_satSNO2_KNO2_CASTO*M_RsatXSTC_XCASTO_KSTC</f>
        <v>0.11834279986635483</v>
      </c>
      <c r="CX191" s="2880">
        <f>E299*E191+F299*F191+G299*G191+H299*H191+I299*I191+J299*J191+K299*K191+L299*L191+M299*M191+N299*N191+O299*O191+P299*P191+Q299*Q191+R299*R191+S299*S191+T299*T191+U299*U191+V299*V191+W299*W191+X299*X191+Y299*Y191+Z299*Z191+AA299*AA191+AB299*AB191+AC299*AC191+AD299*AD191+AE299*AE191+AF299*AF191+AG299*AG191+AH299*AH191+AI299*AI191+AJ299*AJ191+AK299*AK191+AL299*AL191+AM299*AM191+AN299*AN191+AO299*AO191+AP299*AP191+AQ299*AQ191+AR299*AR191+AS299*AS191+AT299*AT191+AU299*AU191+AV299*AV191+AW299*AW191+AX299*AX191+AY299*AY191+AZ299*AZ191+BA299*BA191+BB299*BB191+BC299*BC191+BD299*BD191+BE299*BE191+BF299*BF191+BG299*BG191+BH299*BH191+BI299*BI191+BJ299*BJ191+BK299*BK191+BL299*BL191+BM299*BM191+BN299*BN191+BO299*BO191+BP299*BP191+BQ299*BQ191+BR299*BR191+BS299*BS191+BT299*BT191+BU299*BU191+BV299*BV191+BW299*BW191+BX299*BX191+BY299*BY191+BZ299*BZ191+CA299*CA191+CB299*CB191+CC299*CC191+CD299*CD191+CE299*CE191+CF299*CF191+CG299*CG191+CH299*CH191+CI299*CI191+CJ299*CJ191+CK299*CK191+CL299*CL191+CM299*CM191+CN299*CN191+CO299*CO191+CP299*CP191+CQ299*CQ191+CR299*CR191+CS299*CS191+CT299*CT191+CU299*CU191</f>
        <v>0</v>
      </c>
      <c r="CY191" s="2880">
        <f>E300*E191+F300*F191+G300*G191+H300*H191+I300*I191+J300*J191+K300*K191+L300*L191+M300*M191+N300*N191+O300*O191+P300*P191+Q300*Q191+R300*R191+S300*S191+T300*T191+U300*U191+V300*V191+W300*W191+X300*X191+Y300*Y191+Z300*Z191+AA300*AA191+AB300*AB191+AC300*AC191+AD300*AD191+AE300*AE191+AF300*AF191+AG300*AG191+AH300*AH191+AI300*AI191+AJ300*AJ191+AK300*AK191+AL300*AL191+AM300*AM191+AN300*AN191+AO300*AO191+AP300*AP191+AQ300*AQ191+AR300*AR191+AS300*AS191+AT300*AT191+AU300*AU191+AV300*AV191+AW300*AW191+AX300*AX191+AY300*AY191+AZ300*AZ191+BA300*BA191+BB300*BB191+BC300*BC191+BD300*BD191+BE300*BE191+BF300*BF191+BG300*BG191+BH300*BH191+BI300*BI191+BJ300*BJ191+BK300*BK191+BL300*BL191+BM300*BM191+BN300*BN191+BO300*BO191+BP300*BP191+BQ300*BQ191+BR300*BR191+BS300*BS191+BT300*BT191+BU300*BU191+BV300*BV191+BW300*BW191+BX300*BX191+BY300*BY191+BZ300*BZ191+CA300*CA191+CB300*CB191+CC300*CC191+CD300*CD191+CE300*CE191+CF300*CF191+CG300*CG191+CH300*CH191+CI300*CI191+CJ300*CJ191+CK300*CK191+CL300*CL191+CM300*CM191+CN300*CN191+CO300*CO191+CP300*CP191+CQ300*CQ191+CR300*CR191+CS300*CS191+CT300*CT191+CU300*CU191</f>
        <v>0</v>
      </c>
      <c r="CZ191" s="2881">
        <f>E301*E191+F301*F191+G301*G191+H301*H191+I301*I191+J301*J191+K301*K191+L301*L191+M301*M191+N301*N191+O301*O191+P301*P191+Q301*Q191+R301*R191+S301*S191+T301*T191+U301*U191+V301*V191+W301*W191+X301*X191+Y301*Y191+Z301*Z191+AA301*AA191+AB301*AB191+AC301*AC191+AD301*AD191+AE301*AE191+AF301*AF191+AG301*AG191+AH301*AH191+AI301*AI191+AJ301*AJ191+AK301*AK191+AL301*AL191+AM301*AM191+AN301*AN191+AO301*AO191+AP301*AP191+AQ301*AQ191+AR301*AR191+AS301*AS191+AT301*AT191+AU301*AU191+AV301*AV191+AW301*AW191+AX301*AX191+AY301*AY191+AZ301*AZ191+BA301*BA191+BB301*BB191+BC301*BC191+BD301*BD191+BE301*BE191+BF301*BF191+BG301*BG191+BH301*BH191+BI301*BI191+BJ301*BJ191+BK301*BK191+BL301*BL191+BM301*BM191+BN301*BN191+BO301*BO191+BP301*BP191+BQ301*BQ191+BR301*BR191+BS301*BS191+BT301*BT191+BU301*BU191+BV301*BV191+BW301*BW191+BX301*BX191+BY301*BY191+BZ301*BZ191+CA301*CA191+CB301*CB191+CC301*CC191+CD301*CD191+CE301*CE191+CF301*CF191+CG301*CG191+CH301*CH191+CI301*CI191+CJ301*CJ191+CK301*CK191+CL301*CL191+CM301*CM191+CN301*CN191+CO301*CO191+CP301*CP191+CQ301*CQ191+CR301*CR191+CS301*CS191+CT301*CT191+CU301*CU191</f>
        <v>0</v>
      </c>
      <c r="DA191" s="2882">
        <f>E302*E191+F302*F191+G302*G191+H302*H191+I302*I191+J302*J191+K302*K191+L302*L191+M302*M191+N302*N191+O302*O191+P302*P191+Q302*Q191+R302*R191+S302*S191+T302*T191+U302*U191+V302*V191+W302*W191+X302*X191+Y302*Y191+Z302*Z191+AA302*AA191+AB302*AB191+AC302*AC191+AD302*AD191+AE302*AE191+AF302*AF191+AG302*AG191+AH302*AH191+AI302*AI191+AJ302*AJ191+AK302*AK191+AL302*AL191+AM302*AM191+AN302*AN191+AO302*AO191+AP302*AP191+AQ302*AQ191+AR302*AR191+AS302*AS191+AT302*AT191+AU302*AU191+AV302*AV191+AW302*AW191+AX302*AX191+AY302*AY191+AZ302*AZ191+BA302*BA191+BB302*BB191+BC302*BC191+BD302*BD191+BE302*BE191+BF302*BF191+BG302*BG191+BH302*BH191+BI302*BI191+BJ302*BJ191+BK302*BK191+BL302*BL191+BM302*BM191+BN302*BN191+BO302*BO191+BP302*BP191+BQ302*BQ191+BR302*BR191+BS302*BS191+BT302*BT191+BU302*BU191+BV302*BV191+BW302*BW191+BX302*BX191+BY302*BY191+BZ302*BZ191+CA302*CA191+CB302*CB191+CC302*CC191+CD302*CD191+CE302*CE191+CF302*CF191+CG302*CG191+CH302*CH191+CI302*CI191+CJ302*CJ191+CK302*CK191+CL302*CL191+CM302*CM191+CN302*CN191+CO302*CO191+CP302*CP191+CQ302*CQ191+CR302*CR191+CS302*CS191+CT302*CT191+CU302*CU191</f>
        <v>0</v>
      </c>
      <c r="DB191" s="2882">
        <f>E303*E191+F303*F191+G303*G191+H303*H191+I303*I191+J303*J191+K303*K191+L303*L191+M303*M191+N303*N191+O303*O191+P303*P191+Q303*Q191+R303*R191+S303*S191+T303*T191+U303*U191+V303*V191+W303*W191+X303*X191+Y303*Y191+Z303*Z191+AA303*AA191+AB303*AB191+AC303*AC191+AD303*AD191+AE303*AE191+AF303*AF191+AG303*AG191+AH303*AH191+AI303*AI191+AJ303*AJ191+AK303*AK191+AL303*AL191+AM303*AM191+AN303*AN191+AO303*AO191+AP303*AP191+AQ303*AQ191+AR303*AR191+AS303*AS191+AT303*AT191+AU303*AU191+AV303*AV191+AW303*AW191+AX303*AX191+AY303*AY191+AZ303*AZ191+BA303*BA191+BB303*BB191+BC303*BC191+BD303*BD191+BE303*BE191+BF303*BF191+BG303*BG191+BH303*BH191+BI303*BI191+BJ303*BJ191+BK303*BK191+BL303*BL191+BM303*BM191+BN303*BN191+BO303*BO191+BP303*BP191+BQ303*BQ191+BR303*BR191+BS303*BS191+BT303*BT191+BU303*BU191+BV303*BV191+BW303*BW191+BX303*BX191+BY303*BY191+BZ303*BZ191+CA303*CA191+CB303*CB191+CC303*CC191+CD303*CD191+CE303*CE191+CF303*CF191+CG303*CG191+CH303*CH191+CI303*CI191+CJ303*CJ191+CK303*CK191+CL303*CL191+CM303*CM191+CN303*CN191+CO303*CO191+CP303*CP191+CQ303*CQ191+CR303*CR191+CS303*CS191+CT303*CT191+CU303*CU191</f>
        <v>0</v>
      </c>
      <c r="DC191" s="2882">
        <f>E304*E191+F304*F191+G304*G191+H304*H191+I304*I191+J304*J191+K304*K191+L304*L191+M304*M191+N304*N191+O304*O191+P304*P191+Q304*Q191+R304*R191+S304*S191+T304*T191+U304*U191+V304*V191+W304*W191+X304*X191+Y304*Y191+Z304*Z191+AA304*AA191+AB304*AB191+AC304*AC191+AD304*AD191+AE304*AE191+AF304*AF191+AG304*AG191+AH304*AH191+AI304*AI191+AJ304*AJ191+AK304*AK191+AL304*AL191+AM304*AM191+AN304*AN191+AO304*AO191+AP304*AP191+AQ304*AQ191+AR304*AR191+AS304*AS191+AT304*AT191+AU304*AU191+AV304*AV191+AW304*AW191+AX304*AX191+AY304*AY191+AZ304*AZ191+BA304*BA191+BB304*BB191+BC304*BC191+BD304*BD191+BE304*BE191+BF304*BF191+BG304*BG191+BH304*BH191+BI304*BI191+BJ304*BJ191+BK304*BK191+BL304*BL191+BM304*BM191+BN304*BN191+BO304*BO191+BP304*BP191+BQ304*BQ191+BR304*BR191+BS304*BS191+BT304*BT191+BU304*BU191+BV304*BV191+BW304*BW191+BX304*BX191+BY304*BY191+BZ304*BZ191+CA304*CA191+CB304*CB191+CC304*CC191+CD304*CD191+CE304*CE191+CF304*CF191+CG304*CG191+CH304*CH191+CI304*CI191+CJ304*CJ191+CK304*CK191+CL304*CL191+CM304*CM191+CN304*CN191+CO304*CO191+CP304*CP191+CQ304*CQ191+CR304*CR191+CS304*CS191+CT304*CT191+CU304*CU191</f>
        <v>0</v>
      </c>
      <c r="DD191" s="2882">
        <f>E305*E191+F305*F191+G305*G191+H305*H191+I305*I191+J305*J191+K305*K191+L305*L191+M305*M191+N305*N191+O305*O191+P305*P191+Q305*Q191+R305*R191+S305*S191+T305*T191+U305*U191+V305*V191+W305*W191+X305*X191+Y305*Y191+Z305*Z191+AA305*AA191+AB305*AB191+AC305*AC191+AD305*AD191+AE305*AE191+AF305*AF191+AG305*AG191+AH305*AH191+AI305*AI191+AJ305*AJ191+AK305*AK191+AL305*AL191+AM305*AM191+AN305*AN191+AO305*AO191+AP305*AP191+AQ305*AQ191+AR305*AR191+AS305*AS191+AT305*AT191+AU305*AU191+AV305*AV191+AW305*AW191+AX305*AX191+AY305*AY191+AZ305*AZ191+BA305*BA191+BB305*BB191+BC305*BC191+BD305*BD191+BE305*BE191+BF305*BF191+BG305*BG191+BH305*BH191+BI305*BI191+BJ305*BJ191+BK305*BK191+BL305*BL191+BM305*BM191+BN305*BN191+BO305*BO191+BP305*BP191+BQ305*BQ191+BR305*BR191+BS305*BS191+BT305*BT191+BU305*BU191+BV305*BV191+BW305*BW191+BX305*BX191+BY305*BY191+BZ305*BZ191+CA305*CA191+CB305*CB191+CC305*CC191+CD305*CD191+CE305*CE191+CF305*CF191+CG305*CG191+CH305*CH191+CI305*CI191+CJ305*CJ191+CK305*CK191+CL305*CL191+CM305*CM191+CN305*CN191+CO305*CO191+CP305*CP191+CQ305*CQ191+CR305*CR191+CS305*CS191+CT305*CT191+CU305*CU191</f>
        <v>0</v>
      </c>
      <c r="DE191" s="2882">
        <f>E306*E191+F306*F191+G306*G191+H306*H191+I306*I191+J306*J191+K306*K191+L306*L191+M306*M191+N306*N191+O306*O191+P306*P191+Q306*Q191+R306*R191+S306*S191+T306*T191+U306*U191+V306*V191+W306*W191+X306*X191+Y306*Y191+Z306*Z191+AA306*AA191+AB306*AB191+AC306*AC191+AD306*AD191+AE306*AE191+AF306*AF191+AG306*AG191+AH306*AH191+AI306*AI191+AJ306*AJ191+AK306*AK191+AL306*AL191+AM306*AM191+AN306*AN191+AO306*AO191+AP306*AP191+AQ306*AQ191+AR306*AR191+AS306*AS191+AT306*AT191+AU306*AU191+AV306*AV191+AW306*AW191+AX306*AX191+AY306*AY191+AZ306*AZ191+BA306*BA191+BB306*BB191+BC306*BC191+BD306*BD191+BE306*BE191+BF306*BF191+BG306*BG191+BH306*BH191+BI306*BI191+BJ306*BJ191+BK306*BK191+BL306*BL191+BM306*BM191+BN306*BN191+BO306*BO191+BP306*BP191+BQ306*BQ191+BR306*BR191+BS306*BS191+BT306*BT191+BU306*BU191+BV306*BV191+BW306*BW191+BX306*BX191+BY306*BY191+BZ306*BZ191+CA306*CA191+CB306*CB191+CC306*CC191+CD306*CD191+CE306*CE191+CF306*CF191+CG306*CG191+CH306*CH191+CI306*CI191+CJ306*CJ191+CK306*CK191+CL306*CL191+CM306*CM191+CN306*CN191+CO306*CO191+CP306*CP191+CQ306*CQ191+CR306*CR191+CS306*CS191+CT306*CT191+CU306*CU191</f>
        <v>0</v>
      </c>
      <c r="DF191" s="2882">
        <f>E307*E191+F307*F191+G307*G191+H307*H191+I307*I191+J307*J191+K307*K191+L307*L191+M307*M191+N307*N191+O307*O191+P307*P191+Q307*Q191+R307*R191+S307*S191+T307*T191+U307*U191+V307*V191+W307*W191+X307*X191+Y307*Y191+Z307*Z191+AA307*AA191+AB307*AB191+AC307*AC191+AD307*AD191+AE307*AE191+AF307*AF191+AG307*AG191+AH307*AH191+AI307*AI191+AJ307*AJ191+AK307*AK191+AL307*AL191+AM307*AM191+AN307*AN191+AO307*AO191+AP307*AP191+AQ307*AQ191+AR307*AR191+AS307*AS191+AT307*AT191+AU307*AU191+AV307*AV191+AW307*AW191+AX307*AX191+AY307*AY191+AZ307*AZ191+BA307*BA191+BB307*BB191+BC307*BC191+BD307*BD191+BE307*BE191+BF307*BF191+BG307*BG191+BH307*BH191+BI307*BI191+BJ307*BJ191+BK307*BK191+BL307*BL191+BM307*BM191+BN307*BN191+BO307*BO191+BP307*BP191+BQ307*BQ191+BR307*BR191+BS307*BS191+BT307*BT191+BU307*BU191+BV307*BV191+BW307*BW191+BX307*BX191+BY307*BY191+BZ307*BZ191+CA307*CA191+CB307*CB191+CC307*CC191+CD307*CD191+CE307*CE191+CF307*CF191+CG307*CG191+CH307*CH191+CI307*CI191+CJ307*CJ191+CK307*CK191+CL307*CL191+CM307*CM191+CN307*CN191+CO307*CO191+CP307*CP191+CQ307*CQ191+CR307*CR191+CS307*CS191+CT307*CT191+CU307*CU191</f>
        <v>0</v>
      </c>
      <c r="DG191" s="2882">
        <f>E308*E191+F308*F191+G308*G191+H308*H191+I308*I191+J308*J191+K308*K191+L308*L191+M308*M191+N308*N191+O308*O191+P308*P191+Q308*Q191+R308*R191+S308*S191+T308*T191+U308*U191+V308*V191+W308*W191+X308*X191+Y308*Y191+Z308*Z191+AA308*AA191+AB308*AB191+AC308*AC191+AD308*AD191+AE308*AE191+AF308*AF191+AG308*AG191+AH308*AH191+AI308*AI191+AJ308*AJ191+AK308*AK191+AL308*AL191+AM308*AM191+AN308*AN191+AO308*AO191+AP308*AP191+AQ308*AQ191+AR308*AR191+AS308*AS191+AT308*AT191+AU308*AU191+AV308*AV191+AW308*AW191+AX308*AX191+AY308*AY191+AZ308*AZ191+BA308*BA191+BB308*BB191+BC308*BC191+BD308*BD191+BE308*BE191+BF308*BF191+BG308*BG191+BH308*BH191+BI308*BI191+BJ308*BJ191+BK308*BK191+BL308*BL191+BM308*BM191+BN308*BN191+BO308*BO191+BP308*BP191+BQ308*BQ191+BR308*BR191+BS308*BS191+BT308*BT191+BU308*BU191+BV308*BV191+BW308*BW191+BX308*BX191+BY308*BY191+BZ308*BZ191+CA308*CA191+CB308*CB191+CC308*CC191+CD308*CD191+CE308*CE191+CF308*CF191+CG308*CG191+CH308*CH191+CI308*CI191+CJ308*CJ191+CK308*CK191+CL308*CL191+CM308*CM191+CN308*CN191+CO308*CO191+CP308*CP191+CQ308*CQ191+CR308*CR191+CS308*CS191+CT308*CT191+CU308*CU191</f>
        <v>0</v>
      </c>
      <c r="DH191" s="2882">
        <f>E309*E191+F309*F191+G309*G191+H309*H191+I309*I191+J309*J191+K309*K191+L309*L191+M309*M191+N309*N191+O309*O191+P309*P191+Q309*Q191+R309*R191+S309*S191+T309*T191+U309*U191+V309*V191+W309*W191+X309*X191+Y309*Y191+Z309*Z191+AA309*AA191+AB309*AB191+AC309*AC191+AD309*AD191+AE309*AE191+AF309*AF191+AG309*AG191+AH309*AH191+AI309*AI191+AJ309*AJ191+AK309*AK191+AL309*AL191+AM309*AM191+AN309*AN191+AO309*AO191+AP309*AP191+AQ309*AQ191+AR309*AR191+AS309*AS191+AT309*AT191+AU309*AU191+AV309*AV191+AW309*AW191+AX309*AX191+AY309*AY191+AZ309*AZ191+BA309*BA191+BB309*BB191+BC309*BC191+BD309*BD191+BE309*BE191+BF309*BF191+BG309*BG191+BH309*BH191+BI309*BI191+BJ309*BJ191+BK309*BK191+BL309*BL191+BM309*BM191+BN309*BN191+BO309*BO191+BP309*BP191+BQ309*BQ191+BR309*BR191+BS309*BS191+BT309*BT191+BU309*BU191+BV309*BV191+BW309*BW191+BX309*BX191+BY309*BY191+BZ309*BZ191+CA309*CA191+CB309*CB191+CC309*CC191+CD309*CD191+CE309*CE191+CF309*CF191+CG309*CG191+CH309*CH191+CI309*CI191+CJ309*CJ191+CK309*CK191+CL309*CL191+CM309*CM191+CN309*CN191+CO309*CO191+CP309*CP191+CQ309*CQ191+CR309*CR191+CS309*CS191+CT309*CT191+CU309*CU191</f>
        <v>0</v>
      </c>
      <c r="DI191" s="2882">
        <f>E310*E191+F310*F191+G310*G191+H310*H191+I310*I191+J310*J191+K310*K191+L310*L191+M310*M191+N310*N191+O310*O191+P310*P191+Q310*Q191+R310*R191+S310*S191+T310*T191+U310*U191+V310*V191+W310*W191+X310*X191+Y310*Y191+Z310*Z191+AA310*AA191+AB310*AB191+AC310*AC191+AD310*AD191+AE310*AE191+AF310*AF191+AG310*AG191+AH310*AH191+AI310*AI191+AJ310*AJ191+AK310*AK191+AL310*AL191+AM310*AM191+AN310*AN191+AO310*AO191+AP310*AP191+AQ310*AQ191+AR310*AR191+AS310*AS191+AT310*AT191+AU310*AU191+AV310*AV191+AW310*AW191+AX310*AX191+AY310*AY191+AZ310*AZ191+BA310*BA191+BB310*BB191+BC310*BC191+BD310*BD191+BE310*BE191+BF310*BF191+BG310*BG191+BH310*BH191+BI310*BI191+BJ310*BJ191+BK310*BK191+BL310*BL191+BM310*BM191+BN310*BN191+BO310*BO191+BP310*BP191+BQ310*BQ191+BR310*BR191+BS310*BS191+BT310*BT191+BU310*BU191+BV310*BV191+BW310*BW191+BX310*BX191+BY310*BY191+BZ310*BZ191+CA310*CA191+CB310*CB191+CC310*CC191+CD310*CD191+CE310*CE191+CF310*CF191+CG310*CG191+CH310*CH191+CI310*CI191+CJ310*CJ191+CK310*CK191+CL310*CL191+CM310*CM191+CN310*CN191+CO310*CO191+CP310*CP191+CQ310*CQ191+CR310*CR191+CS310*CS191+CT310*CT191+CU310*CU191</f>
        <v>0</v>
      </c>
    </row>
    <row r="192" spans="2:113" ht="15.75" x14ac:dyDescent="0.45">
      <c r="B192" s="915">
        <v>33</v>
      </c>
      <c r="C192" s="915" t="s">
        <v>254</v>
      </c>
      <c r="D192" s="916" t="s">
        <v>4420</v>
      </c>
      <c r="E192" s="890">
        <f>0</f>
        <v>0</v>
      </c>
      <c r="F192" s="890">
        <f>0</f>
        <v>0</v>
      </c>
      <c r="G192" s="890">
        <f>0</f>
        <v>0</v>
      </c>
      <c r="H192" s="890">
        <f>0</f>
        <v>0</v>
      </c>
      <c r="I192" s="890">
        <f>0</f>
        <v>0</v>
      </c>
      <c r="J192" s="890">
        <f>0</f>
        <v>0</v>
      </c>
      <c r="K192" s="890">
        <f>0</f>
        <v>0</v>
      </c>
      <c r="L192" s="890">
        <f>0</f>
        <v>0</v>
      </c>
      <c r="M192" s="889">
        <f>-X_PHA/X_STC</f>
        <v>-0.86956521739130432</v>
      </c>
      <c r="N192" s="889">
        <f>-X_GLY/X_STC</f>
        <v>-0.13043478260869565</v>
      </c>
      <c r="O192" s="890">
        <f>0</f>
        <v>0</v>
      </c>
      <c r="P192" s="890">
        <f>0</f>
        <v>0</v>
      </c>
      <c r="Q192" s="890">
        <f>0</f>
        <v>0</v>
      </c>
      <c r="R192" s="890">
        <f>0</f>
        <v>0</v>
      </c>
      <c r="S192" s="890">
        <f>0</f>
        <v>0</v>
      </c>
      <c r="T192" s="890">
        <f>0</f>
        <v>0</v>
      </c>
      <c r="U192" s="890">
        <f>0</f>
        <v>0</v>
      </c>
      <c r="V192" s="890">
        <f>0</f>
        <v>0</v>
      </c>
      <c r="W192" s="890">
        <f>0</f>
        <v>0</v>
      </c>
      <c r="X192" s="890">
        <f>0</f>
        <v>0</v>
      </c>
      <c r="Y192" s="2546">
        <f>0</f>
        <v>0</v>
      </c>
      <c r="Z192" s="2546">
        <f>0</f>
        <v>0</v>
      </c>
      <c r="AA192" s="2546">
        <f>0</f>
        <v>0</v>
      </c>
      <c r="AB192" s="890">
        <f>0</f>
        <v>0</v>
      </c>
      <c r="AC192" s="889">
        <f>0</f>
        <v>0</v>
      </c>
      <c r="AD192" s="889">
        <f>-1/E_EQNO2_NO3</f>
        <v>-0.87545157943422891</v>
      </c>
      <c r="AE192" s="889">
        <f>1/E_EQNO2_NO3</f>
        <v>0.87545157943422891</v>
      </c>
      <c r="AF192" s="890">
        <f>0</f>
        <v>0</v>
      </c>
      <c r="AG192" s="890">
        <f>0</f>
        <v>0</v>
      </c>
      <c r="AH192" s="890">
        <f>0</f>
        <v>0</v>
      </c>
      <c r="AI192" s="889">
        <f>0</f>
        <v>0</v>
      </c>
      <c r="AJ192" s="889">
        <f>0</f>
        <v>0</v>
      </c>
      <c r="AK192" s="889">
        <f>0</f>
        <v>0</v>
      </c>
      <c r="AL192" s="889">
        <f>0</f>
        <v>0</v>
      </c>
      <c r="AM192" s="890">
        <f>0</f>
        <v>0</v>
      </c>
      <c r="AN192" s="889">
        <f>0</f>
        <v>0</v>
      </c>
      <c r="AO192" s="890">
        <f>0</f>
        <v>0</v>
      </c>
      <c r="AP192" s="890">
        <f>0</f>
        <v>0</v>
      </c>
      <c r="AQ192" s="890">
        <f>0</f>
        <v>0</v>
      </c>
      <c r="AR192" s="890">
        <f>0</f>
        <v>0</v>
      </c>
      <c r="AS192" s="890">
        <f>0</f>
        <v>0</v>
      </c>
      <c r="AT192" s="890">
        <f>0</f>
        <v>0</v>
      </c>
      <c r="AU192" s="890">
        <f>i_CIT_STC</f>
        <v>0.33847826086956523</v>
      </c>
      <c r="AV192" s="890">
        <f>0</f>
        <v>0</v>
      </c>
      <c r="AW192" s="890">
        <f>0</f>
        <v>0</v>
      </c>
      <c r="AX192" s="890">
        <f>0</f>
        <v>0</v>
      </c>
      <c r="AY192" s="889">
        <f>0</f>
        <v>0</v>
      </c>
      <c r="AZ192" s="889">
        <f>0</f>
        <v>0</v>
      </c>
      <c r="BA192" s="889">
        <f>0</f>
        <v>0</v>
      </c>
      <c r="BB192" s="2557">
        <f>0</f>
        <v>0</v>
      </c>
      <c r="BC192" s="2557">
        <f>0</f>
        <v>0</v>
      </c>
      <c r="BD192" s="2557">
        <f>0</f>
        <v>0</v>
      </c>
      <c r="BE192" s="890">
        <f>0</f>
        <v>0</v>
      </c>
      <c r="BF192" s="890">
        <f>0</f>
        <v>0</v>
      </c>
      <c r="BG192" s="890">
        <f>0</f>
        <v>0</v>
      </c>
      <c r="BH192" s="890">
        <f>0</f>
        <v>0</v>
      </c>
      <c r="BI192" s="890">
        <f>0</f>
        <v>0</v>
      </c>
      <c r="BJ192" s="890">
        <f>0</f>
        <v>0</v>
      </c>
      <c r="BK192" s="890">
        <f>0</f>
        <v>0</v>
      </c>
      <c r="BL192" s="890">
        <f>0</f>
        <v>0</v>
      </c>
      <c r="BM192" s="890">
        <f>0</f>
        <v>0</v>
      </c>
      <c r="BN192" s="890">
        <f>0</f>
        <v>0</v>
      </c>
      <c r="BO192" s="890">
        <f>0</f>
        <v>0</v>
      </c>
      <c r="BP192" s="890">
        <f>0</f>
        <v>0</v>
      </c>
      <c r="BQ192" s="890">
        <f>0</f>
        <v>0</v>
      </c>
      <c r="BR192" s="890">
        <f>0</f>
        <v>0</v>
      </c>
      <c r="BS192" s="890">
        <f>0</f>
        <v>0</v>
      </c>
      <c r="BT192" s="890">
        <f>0</f>
        <v>0</v>
      </c>
      <c r="BU192" s="890">
        <f>0</f>
        <v>0</v>
      </c>
      <c r="BV192" s="890">
        <f>0</f>
        <v>0</v>
      </c>
      <c r="BW192" s="890">
        <f>0</f>
        <v>0</v>
      </c>
      <c r="BX192" s="890">
        <f>0</f>
        <v>0</v>
      </c>
      <c r="BY192" s="2546">
        <f>0</f>
        <v>0</v>
      </c>
      <c r="BZ192" s="890">
        <f>0</f>
        <v>0</v>
      </c>
      <c r="CA192" s="890">
        <f>0</f>
        <v>0</v>
      </c>
      <c r="CB192" s="890">
        <f>0</f>
        <v>0</v>
      </c>
      <c r="CC192" s="890">
        <f>0</f>
        <v>0</v>
      </c>
      <c r="CD192" s="890">
        <f>0</f>
        <v>0</v>
      </c>
      <c r="CE192" s="890">
        <f>0</f>
        <v>0</v>
      </c>
      <c r="CF192" s="890">
        <f>0</f>
        <v>0</v>
      </c>
      <c r="CG192" s="890">
        <f>0</f>
        <v>0</v>
      </c>
      <c r="CH192" s="890">
        <f>0</f>
        <v>0</v>
      </c>
      <c r="CI192" s="890">
        <f>0</f>
        <v>0</v>
      </c>
      <c r="CJ192" s="2546">
        <f>0</f>
        <v>0</v>
      </c>
      <c r="CK192" s="890">
        <f>0</f>
        <v>0</v>
      </c>
      <c r="CL192" s="890">
        <f>0</f>
        <v>0</v>
      </c>
      <c r="CM192" s="890">
        <f>0</f>
        <v>0</v>
      </c>
      <c r="CN192" s="890">
        <f>0</f>
        <v>0</v>
      </c>
      <c r="CO192" s="890">
        <f>0</f>
        <v>0</v>
      </c>
      <c r="CP192" s="890">
        <f>0</f>
        <v>0</v>
      </c>
      <c r="CQ192" s="890">
        <f>0</f>
        <v>0</v>
      </c>
      <c r="CR192" s="890">
        <f>0</f>
        <v>0</v>
      </c>
      <c r="CS192" s="2546">
        <f>0</f>
        <v>0</v>
      </c>
      <c r="CT192" s="2546">
        <f>0</f>
        <v>0</v>
      </c>
      <c r="CU192" s="2546">
        <f>0</f>
        <v>0</v>
      </c>
      <c r="CV192" s="2858">
        <f>b_STC_T*η_bSTC_anox*X_CASTO*M_inhSO2_KO2_CASTO*M_satSNO3_KNO3_CASTO*M_inhSNO2_KNO2_CASTO*M_RsatXSTC_XCASTO_KSTC</f>
        <v>5.8011176405075908E-2</v>
      </c>
      <c r="CX192" s="2880">
        <f>E299*E192+F299*F192+G299*G192+H299*H192+I299*I192+J299*J192+K299*K192+L299*L192+M299*M192+N299*N192+O299*O192+P299*P192+Q299*Q192+R299*R192+S299*S192+T299*T192+U299*U192+V299*V192+W299*W192+X299*X192+Y299*Y192+Z299*Z192+AA299*AA192+AB299*AB192+AC299*AC192+AD299*AD192+AE299*AE192+AF299*AF192+AG299*AG192+AH299*AH192+AI299*AI192+AJ299*AJ192+AK299*AK192+AL299*AL192+AM299*AM192+AN299*AN192+AO299*AO192+AP299*AP192+AQ299*AQ192+AR299*AR192+AS299*AS192+AT299*AT192+AU299*AU192+AV299*AV192+AW299*AW192+AX299*AX192+AY299*AY192+AZ299*AZ192+BA299*BA192+BB299*BB192+BC299*BC192+BD299*BD192+BE299*BE192+BF299*BF192+BG299*BG192+BH299*BH192+BI299*BI192+BJ299*BJ192+BK299*BK192+BL299*BL192+BM299*BM192+BN299*BN192+BO299*BO192+BP299*BP192+BQ299*BQ192+BR299*BR192+BS299*BS192+BT299*BT192+BU299*BU192+BV299*BV192+BW299*BW192+BX299*BX192+BY299*BY192+BZ299*BZ192+CA299*CA192+CB299*CB192+CC299*CC192+CD299*CD192+CE299*CE192+CF299*CF192+CG299*CG192+CH299*CH192+CI299*CI192+CJ299*CJ192+CK299*CK192+CL299*CL192+CM299*CM192+CN299*CN192+CO299*CO192+CP299*CP192+CQ299*CQ192+CR299*CR192+CS299*CS192+CT299*CT192+CU299*CU192</f>
        <v>0</v>
      </c>
      <c r="CY192" s="2880">
        <f>E300*E192+F300*F192+G300*G192+H300*H192+I300*I192+J300*J192+K300*K192+L300*L192+M300*M192+N300*N192+O300*O192+P300*P192+Q300*Q192+R300*R192+S300*S192+T300*T192+U300*U192+V300*V192+W300*W192+X300*X192+Y300*Y192+Z300*Z192+AA300*AA192+AB300*AB192+AC300*AC192+AD300*AD192+AE300*AE192+AF300*AF192+AG300*AG192+AH300*AH192+AI300*AI192+AJ300*AJ192+AK300*AK192+AL300*AL192+AM300*AM192+AN300*AN192+AO300*AO192+AP300*AP192+AQ300*AQ192+AR300*AR192+AS300*AS192+AT300*AT192+AU300*AU192+AV300*AV192+AW300*AW192+AX300*AX192+AY300*AY192+AZ300*AZ192+BA300*BA192+BB300*BB192+BC300*BC192+BD300*BD192+BE300*BE192+BF300*BF192+BG300*BG192+BH300*BH192+BI300*BI192+BJ300*BJ192+BK300*BK192+BL300*BL192+BM300*BM192+BN300*BN192+BO300*BO192+BP300*BP192+BQ300*BQ192+BR300*BR192+BS300*BS192+BT300*BT192+BU300*BU192+BV300*BV192+BW300*BW192+BX300*BX192+BY300*BY192+BZ300*BZ192+CA300*CA192+CB300*CB192+CC300*CC192+CD300*CD192+CE300*CE192+CF300*CF192+CG300*CG192+CH300*CH192+CI300*CI192+CJ300*CJ192+CK300*CK192+CL300*CL192+CM300*CM192+CN300*CN192+CO300*CO192+CP300*CP192+CQ300*CQ192+CR300*CR192+CS300*CS192+CT300*CT192+CU300*CU192</f>
        <v>0</v>
      </c>
      <c r="CZ192" s="2881">
        <f>E301*E192+F301*F192+G301*G192+H301*H192+I301*I192+J301*J192+K301*K192+L301*L192+M301*M192+N301*N192+O301*O192+P301*P192+Q301*Q192+R301*R192+S301*S192+T301*T192+U301*U192+V301*V192+W301*W192+X301*X192+Y301*Y192+Z301*Z192+AA301*AA192+AB301*AB192+AC301*AC192+AD301*AD192+AE301*AE192+AF301*AF192+AG301*AG192+AH301*AH192+AI301*AI192+AJ301*AJ192+AK301*AK192+AL301*AL192+AM301*AM192+AN301*AN192+AO301*AO192+AP301*AP192+AQ301*AQ192+AR301*AR192+AS301*AS192+AT301*AT192+AU301*AU192+AV301*AV192+AW301*AW192+AX301*AX192+AY301*AY192+AZ301*AZ192+BA301*BA192+BB301*BB192+BC301*BC192+BD301*BD192+BE301*BE192+BF301*BF192+BG301*BG192+BH301*BH192+BI301*BI192+BJ301*BJ192+BK301*BK192+BL301*BL192+BM301*BM192+BN301*BN192+BO301*BO192+BP301*BP192+BQ301*BQ192+BR301*BR192+BS301*BS192+BT301*BT192+BU301*BU192+BV301*BV192+BW301*BW192+BX301*BX192+BY301*BY192+BZ301*BZ192+CA301*CA192+CB301*CB192+CC301*CC192+CD301*CD192+CE301*CE192+CF301*CF192+CG301*CG192+CH301*CH192+CI301*CI192+CJ301*CJ192+CK301*CK192+CL301*CL192+CM301*CM192+CN301*CN192+CO301*CO192+CP301*CP192+CQ301*CQ192+CR301*CR192+CS301*CS192+CT301*CT192+CU301*CU192</f>
        <v>0</v>
      </c>
      <c r="DA192" s="2882">
        <f>E302*E192+F302*F192+G302*G192+H302*H192+I302*I192+J302*J192+K302*K192+L302*L192+M302*M192+N302*N192+O302*O192+P302*P192+Q302*Q192+R302*R192+S302*S192+T302*T192+U302*U192+V302*V192+W302*W192+X302*X192+Y302*Y192+Z302*Z192+AA302*AA192+AB302*AB192+AC302*AC192+AD302*AD192+AE302*AE192+AF302*AF192+AG302*AG192+AH302*AH192+AI302*AI192+AJ302*AJ192+AK302*AK192+AL302*AL192+AM302*AM192+AN302*AN192+AO302*AO192+AP302*AP192+AQ302*AQ192+AR302*AR192+AS302*AS192+AT302*AT192+AU302*AU192+AV302*AV192+AW302*AW192+AX302*AX192+AY302*AY192+AZ302*AZ192+BA302*BA192+BB302*BB192+BC302*BC192+BD302*BD192+BE302*BE192+BF302*BF192+BG302*BG192+BH302*BH192+BI302*BI192+BJ302*BJ192+BK302*BK192+BL302*BL192+BM302*BM192+BN302*BN192+BO302*BO192+BP302*BP192+BQ302*BQ192+BR302*BR192+BS302*BS192+BT302*BT192+BU302*BU192+BV302*BV192+BW302*BW192+BX302*BX192+BY302*BY192+BZ302*BZ192+CA302*CA192+CB302*CB192+CC302*CC192+CD302*CD192+CE302*CE192+CF302*CF192+CG302*CG192+CH302*CH192+CI302*CI192+CJ302*CJ192+CK302*CK192+CL302*CL192+CM302*CM192+CN302*CN192+CO302*CO192+CP302*CP192+CQ302*CQ192+CR302*CR192+CS302*CS192+CT302*CT192+CU302*CU192</f>
        <v>0</v>
      </c>
      <c r="DB192" s="2882">
        <f>E303*E192+F303*F192+G303*G192+H303*H192+I303*I192+J303*J192+K303*K192+L303*L192+M303*M192+N303*N192+O303*O192+P303*P192+Q303*Q192+R303*R192+S303*S192+T303*T192+U303*U192+V303*V192+W303*W192+X303*X192+Y303*Y192+Z303*Z192+AA303*AA192+AB303*AB192+AC303*AC192+AD303*AD192+AE303*AE192+AF303*AF192+AG303*AG192+AH303*AH192+AI303*AI192+AJ303*AJ192+AK303*AK192+AL303*AL192+AM303*AM192+AN303*AN192+AO303*AO192+AP303*AP192+AQ303*AQ192+AR303*AR192+AS303*AS192+AT303*AT192+AU303*AU192+AV303*AV192+AW303*AW192+AX303*AX192+AY303*AY192+AZ303*AZ192+BA303*BA192+BB303*BB192+BC303*BC192+BD303*BD192+BE303*BE192+BF303*BF192+BG303*BG192+BH303*BH192+BI303*BI192+BJ303*BJ192+BK303*BK192+BL303*BL192+BM303*BM192+BN303*BN192+BO303*BO192+BP303*BP192+BQ303*BQ192+BR303*BR192+BS303*BS192+BT303*BT192+BU303*BU192+BV303*BV192+BW303*BW192+BX303*BX192+BY303*BY192+BZ303*BZ192+CA303*CA192+CB303*CB192+CC303*CC192+CD303*CD192+CE303*CE192+CF303*CF192+CG303*CG192+CH303*CH192+CI303*CI192+CJ303*CJ192+CK303*CK192+CL303*CL192+CM303*CM192+CN303*CN192+CO303*CO192+CP303*CP192+CQ303*CQ192+CR303*CR192+CS303*CS192+CT303*CT192+CU303*CU192</f>
        <v>0</v>
      </c>
      <c r="DC192" s="2882">
        <f>E304*E192+F304*F192+G304*G192+H304*H192+I304*I192+J304*J192+K304*K192+L304*L192+M304*M192+N304*N192+O304*O192+P304*P192+Q304*Q192+R304*R192+S304*S192+T304*T192+U304*U192+V304*V192+W304*W192+X304*X192+Y304*Y192+Z304*Z192+AA304*AA192+AB304*AB192+AC304*AC192+AD304*AD192+AE304*AE192+AF304*AF192+AG304*AG192+AH304*AH192+AI304*AI192+AJ304*AJ192+AK304*AK192+AL304*AL192+AM304*AM192+AN304*AN192+AO304*AO192+AP304*AP192+AQ304*AQ192+AR304*AR192+AS304*AS192+AT304*AT192+AU304*AU192+AV304*AV192+AW304*AW192+AX304*AX192+AY304*AY192+AZ304*AZ192+BA304*BA192+BB304*BB192+BC304*BC192+BD304*BD192+BE304*BE192+BF304*BF192+BG304*BG192+BH304*BH192+BI304*BI192+BJ304*BJ192+BK304*BK192+BL304*BL192+BM304*BM192+BN304*BN192+BO304*BO192+BP304*BP192+BQ304*BQ192+BR304*BR192+BS304*BS192+BT304*BT192+BU304*BU192+BV304*BV192+BW304*BW192+BX304*BX192+BY304*BY192+BZ304*BZ192+CA304*CA192+CB304*CB192+CC304*CC192+CD304*CD192+CE304*CE192+CF304*CF192+CG304*CG192+CH304*CH192+CI304*CI192+CJ304*CJ192+CK304*CK192+CL304*CL192+CM304*CM192+CN304*CN192+CO304*CO192+CP304*CP192+CQ304*CQ192+CR304*CR192+CS304*CS192+CT304*CT192+CU304*CU192</f>
        <v>0</v>
      </c>
      <c r="DD192" s="2882">
        <f>E305*E192+F305*F192+G305*G192+H305*H192+I305*I192+J305*J192+K305*K192+L305*L192+M305*M192+N305*N192+O305*O192+P305*P192+Q305*Q192+R305*R192+S305*S192+T305*T192+U305*U192+V305*V192+W305*W192+X305*X192+Y305*Y192+Z305*Z192+AA305*AA192+AB305*AB192+AC305*AC192+AD305*AD192+AE305*AE192+AF305*AF192+AG305*AG192+AH305*AH192+AI305*AI192+AJ305*AJ192+AK305*AK192+AL305*AL192+AM305*AM192+AN305*AN192+AO305*AO192+AP305*AP192+AQ305*AQ192+AR305*AR192+AS305*AS192+AT305*AT192+AU305*AU192+AV305*AV192+AW305*AW192+AX305*AX192+AY305*AY192+AZ305*AZ192+BA305*BA192+BB305*BB192+BC305*BC192+BD305*BD192+BE305*BE192+BF305*BF192+BG305*BG192+BH305*BH192+BI305*BI192+BJ305*BJ192+BK305*BK192+BL305*BL192+BM305*BM192+BN305*BN192+BO305*BO192+BP305*BP192+BQ305*BQ192+BR305*BR192+BS305*BS192+BT305*BT192+BU305*BU192+BV305*BV192+BW305*BW192+BX305*BX192+BY305*BY192+BZ305*BZ192+CA305*CA192+CB305*CB192+CC305*CC192+CD305*CD192+CE305*CE192+CF305*CF192+CG305*CG192+CH305*CH192+CI305*CI192+CJ305*CJ192+CK305*CK192+CL305*CL192+CM305*CM192+CN305*CN192+CO305*CO192+CP305*CP192+CQ305*CQ192+CR305*CR192+CS305*CS192+CT305*CT192+CU305*CU192</f>
        <v>0</v>
      </c>
      <c r="DE192" s="2882">
        <f>E306*E192+F306*F192+G306*G192+H306*H192+I306*I192+J306*J192+K306*K192+L306*L192+M306*M192+N306*N192+O306*O192+P306*P192+Q306*Q192+R306*R192+S306*S192+T306*T192+U306*U192+V306*V192+W306*W192+X306*X192+Y306*Y192+Z306*Z192+AA306*AA192+AB306*AB192+AC306*AC192+AD306*AD192+AE306*AE192+AF306*AF192+AG306*AG192+AH306*AH192+AI306*AI192+AJ306*AJ192+AK306*AK192+AL306*AL192+AM306*AM192+AN306*AN192+AO306*AO192+AP306*AP192+AQ306*AQ192+AR306*AR192+AS306*AS192+AT306*AT192+AU306*AU192+AV306*AV192+AW306*AW192+AX306*AX192+AY306*AY192+AZ306*AZ192+BA306*BA192+BB306*BB192+BC306*BC192+BD306*BD192+BE306*BE192+BF306*BF192+BG306*BG192+BH306*BH192+BI306*BI192+BJ306*BJ192+BK306*BK192+BL306*BL192+BM306*BM192+BN306*BN192+BO306*BO192+BP306*BP192+BQ306*BQ192+BR306*BR192+BS306*BS192+BT306*BT192+BU306*BU192+BV306*BV192+BW306*BW192+BX306*BX192+BY306*BY192+BZ306*BZ192+CA306*CA192+CB306*CB192+CC306*CC192+CD306*CD192+CE306*CE192+CF306*CF192+CG306*CG192+CH306*CH192+CI306*CI192+CJ306*CJ192+CK306*CK192+CL306*CL192+CM306*CM192+CN306*CN192+CO306*CO192+CP306*CP192+CQ306*CQ192+CR306*CR192+CS306*CS192+CT306*CT192+CU306*CU192</f>
        <v>0</v>
      </c>
      <c r="DF192" s="2882">
        <f>E307*E192+F307*F192+G307*G192+H307*H192+I307*I192+J307*J192+K307*K192+L307*L192+M307*M192+N307*N192+O307*O192+P307*P192+Q307*Q192+R307*R192+S307*S192+T307*T192+U307*U192+V307*V192+W307*W192+X307*X192+Y307*Y192+Z307*Z192+AA307*AA192+AB307*AB192+AC307*AC192+AD307*AD192+AE307*AE192+AF307*AF192+AG307*AG192+AH307*AH192+AI307*AI192+AJ307*AJ192+AK307*AK192+AL307*AL192+AM307*AM192+AN307*AN192+AO307*AO192+AP307*AP192+AQ307*AQ192+AR307*AR192+AS307*AS192+AT307*AT192+AU307*AU192+AV307*AV192+AW307*AW192+AX307*AX192+AY307*AY192+AZ307*AZ192+BA307*BA192+BB307*BB192+BC307*BC192+BD307*BD192+BE307*BE192+BF307*BF192+BG307*BG192+BH307*BH192+BI307*BI192+BJ307*BJ192+BK307*BK192+BL307*BL192+BM307*BM192+BN307*BN192+BO307*BO192+BP307*BP192+BQ307*BQ192+BR307*BR192+BS307*BS192+BT307*BT192+BU307*BU192+BV307*BV192+BW307*BW192+BX307*BX192+BY307*BY192+BZ307*BZ192+CA307*CA192+CB307*CB192+CC307*CC192+CD307*CD192+CE307*CE192+CF307*CF192+CG307*CG192+CH307*CH192+CI307*CI192+CJ307*CJ192+CK307*CK192+CL307*CL192+CM307*CM192+CN307*CN192+CO307*CO192+CP307*CP192+CQ307*CQ192+CR307*CR192+CS307*CS192+CT307*CT192+CU307*CU192</f>
        <v>0</v>
      </c>
      <c r="DG192" s="2882">
        <f>E308*E192+F308*F192+G308*G192+H308*H192+I308*I192+J308*J192+K308*K192+L308*L192+M308*M192+N308*N192+O308*O192+P308*P192+Q308*Q192+R308*R192+S308*S192+T308*T192+U308*U192+V308*V192+W308*W192+X308*X192+Y308*Y192+Z308*Z192+AA308*AA192+AB308*AB192+AC308*AC192+AD308*AD192+AE308*AE192+AF308*AF192+AG308*AG192+AH308*AH192+AI308*AI192+AJ308*AJ192+AK308*AK192+AL308*AL192+AM308*AM192+AN308*AN192+AO308*AO192+AP308*AP192+AQ308*AQ192+AR308*AR192+AS308*AS192+AT308*AT192+AU308*AU192+AV308*AV192+AW308*AW192+AX308*AX192+AY308*AY192+AZ308*AZ192+BA308*BA192+BB308*BB192+BC308*BC192+BD308*BD192+BE308*BE192+BF308*BF192+BG308*BG192+BH308*BH192+BI308*BI192+BJ308*BJ192+BK308*BK192+BL308*BL192+BM308*BM192+BN308*BN192+BO308*BO192+BP308*BP192+BQ308*BQ192+BR308*BR192+BS308*BS192+BT308*BT192+BU308*BU192+BV308*BV192+BW308*BW192+BX308*BX192+BY308*BY192+BZ308*BZ192+CA308*CA192+CB308*CB192+CC308*CC192+CD308*CD192+CE308*CE192+CF308*CF192+CG308*CG192+CH308*CH192+CI308*CI192+CJ308*CJ192+CK308*CK192+CL308*CL192+CM308*CM192+CN308*CN192+CO308*CO192+CP308*CP192+CQ308*CQ192+CR308*CR192+CS308*CS192+CT308*CT192+CU308*CU192</f>
        <v>0</v>
      </c>
      <c r="DH192" s="2882">
        <f>E309*E192+F309*F192+G309*G192+H309*H192+I309*I192+J309*J192+K309*K192+L309*L192+M309*M192+N309*N192+O309*O192+P309*P192+Q309*Q192+R309*R192+S309*S192+T309*T192+U309*U192+V309*V192+W309*W192+X309*X192+Y309*Y192+Z309*Z192+AA309*AA192+AB309*AB192+AC309*AC192+AD309*AD192+AE309*AE192+AF309*AF192+AG309*AG192+AH309*AH192+AI309*AI192+AJ309*AJ192+AK309*AK192+AL309*AL192+AM309*AM192+AN309*AN192+AO309*AO192+AP309*AP192+AQ309*AQ192+AR309*AR192+AS309*AS192+AT309*AT192+AU309*AU192+AV309*AV192+AW309*AW192+AX309*AX192+AY309*AY192+AZ309*AZ192+BA309*BA192+BB309*BB192+BC309*BC192+BD309*BD192+BE309*BE192+BF309*BF192+BG309*BG192+BH309*BH192+BI309*BI192+BJ309*BJ192+BK309*BK192+BL309*BL192+BM309*BM192+BN309*BN192+BO309*BO192+BP309*BP192+BQ309*BQ192+BR309*BR192+BS309*BS192+BT309*BT192+BU309*BU192+BV309*BV192+BW309*BW192+BX309*BX192+BY309*BY192+BZ309*BZ192+CA309*CA192+CB309*CB192+CC309*CC192+CD309*CD192+CE309*CE192+CF309*CF192+CG309*CG192+CH309*CH192+CI309*CI192+CJ309*CJ192+CK309*CK192+CL309*CL192+CM309*CM192+CN309*CN192+CO309*CO192+CP309*CP192+CQ309*CQ192+CR309*CR192+CS309*CS192+CT309*CT192+CU309*CU192</f>
        <v>0</v>
      </c>
      <c r="DI192" s="2882">
        <f>E310*E192+F310*F192+G310*G192+H310*H192+I310*I192+J310*J192+K310*K192+L310*L192+M310*M192+N310*N192+O310*O192+P310*P192+Q310*Q192+R310*R192+S310*S192+T310*T192+U310*U192+V310*V192+W310*W192+X310*X192+Y310*Y192+Z310*Z192+AA310*AA192+AB310*AB192+AC310*AC192+AD310*AD192+AE310*AE192+AF310*AF192+AG310*AG192+AH310*AH192+AI310*AI192+AJ310*AJ192+AK310*AK192+AL310*AL192+AM310*AM192+AN310*AN192+AO310*AO192+AP310*AP192+AQ310*AQ192+AR310*AR192+AS310*AS192+AT310*AT192+AU310*AU192+AV310*AV192+AW310*AW192+AX310*AX192+AY310*AY192+AZ310*AZ192+BA310*BA192+BB310*BB192+BC310*BC192+BD310*BD192+BE310*BE192+BF310*BF192+BG310*BG192+BH310*BH192+BI310*BI192+BJ310*BJ192+BK310*BK192+BL310*BL192+BM310*BM192+BN310*BN192+BO310*BO192+BP310*BP192+BQ310*BQ192+BR310*BR192+BS310*BS192+BT310*BT192+BU310*BU192+BV310*BV192+BW310*BW192+BX310*BX192+BY310*BY192+BZ310*BZ192+CA310*CA192+CB310*CB192+CC310*CC192+CD310*CD192+CE310*CE192+CF310*CF192+CG310*CG192+CH310*CH192+CI310*CI192+CJ310*CJ192+CK310*CK192+CL310*CL192+CM310*CM192+CN310*CN192+CO310*CO192+CP310*CP192+CQ310*CQ192+CR310*CR192+CS310*CS192+CT310*CT192+CU310*CU192</f>
        <v>0</v>
      </c>
    </row>
    <row r="193" spans="2:113" x14ac:dyDescent="0.45">
      <c r="B193" s="918">
        <v>34</v>
      </c>
      <c r="C193" s="918" t="s">
        <v>292</v>
      </c>
      <c r="D193" s="919" t="s">
        <v>2239</v>
      </c>
      <c r="E193" s="892">
        <f>1</f>
        <v>1</v>
      </c>
      <c r="F193" s="892">
        <f>0</f>
        <v>0</v>
      </c>
      <c r="G193" s="892">
        <f>0</f>
        <v>0</v>
      </c>
      <c r="H193" s="892">
        <f>0</f>
        <v>0</v>
      </c>
      <c r="I193" s="892">
        <f>0</f>
        <v>0</v>
      </c>
      <c r="J193" s="892">
        <f>0</f>
        <v>0</v>
      </c>
      <c r="K193" s="892">
        <f>0</f>
        <v>0</v>
      </c>
      <c r="L193" s="892">
        <f>0</f>
        <v>0</v>
      </c>
      <c r="M193" s="892">
        <f>0</f>
        <v>0</v>
      </c>
      <c r="N193" s="892">
        <f>-1</f>
        <v>-1</v>
      </c>
      <c r="O193" s="892">
        <f>0</f>
        <v>0</v>
      </c>
      <c r="P193" s="892">
        <f>0</f>
        <v>0</v>
      </c>
      <c r="Q193" s="892">
        <f>0</f>
        <v>0</v>
      </c>
      <c r="R193" s="892">
        <f>0</f>
        <v>0</v>
      </c>
      <c r="S193" s="892">
        <f>0</f>
        <v>0</v>
      </c>
      <c r="T193" s="892">
        <f>0</f>
        <v>0</v>
      </c>
      <c r="U193" s="892">
        <f>0</f>
        <v>0</v>
      </c>
      <c r="V193" s="892">
        <f>0</f>
        <v>0</v>
      </c>
      <c r="W193" s="892">
        <f>0</f>
        <v>0</v>
      </c>
      <c r="X193" s="892">
        <f>0</f>
        <v>0</v>
      </c>
      <c r="Y193" s="2547">
        <f>0</f>
        <v>0</v>
      </c>
      <c r="Z193" s="2547">
        <f>0</f>
        <v>0</v>
      </c>
      <c r="AA193" s="2547">
        <f>0</f>
        <v>0</v>
      </c>
      <c r="AB193" s="892">
        <f>0</f>
        <v>0</v>
      </c>
      <c r="AC193" s="891">
        <f>0</f>
        <v>0</v>
      </c>
      <c r="AD193" s="891">
        <f>0</f>
        <v>0</v>
      </c>
      <c r="AE193" s="891">
        <f>0</f>
        <v>0</v>
      </c>
      <c r="AF193" s="892">
        <f>0</f>
        <v>0</v>
      </c>
      <c r="AG193" s="892">
        <f>0</f>
        <v>0</v>
      </c>
      <c r="AH193" s="892">
        <f>0</f>
        <v>0</v>
      </c>
      <c r="AI193" s="891">
        <f>0</f>
        <v>0</v>
      </c>
      <c r="AJ193" s="891">
        <f>0</f>
        <v>0</v>
      </c>
      <c r="AK193" s="891">
        <f>0</f>
        <v>0</v>
      </c>
      <c r="AL193" s="891">
        <f>0</f>
        <v>0</v>
      </c>
      <c r="AM193" s="892">
        <f>0</f>
        <v>0</v>
      </c>
      <c r="AN193" s="891">
        <f>0</f>
        <v>0</v>
      </c>
      <c r="AO193" s="892">
        <f>0</f>
        <v>0</v>
      </c>
      <c r="AP193" s="892">
        <f>0</f>
        <v>0</v>
      </c>
      <c r="AQ193" s="892">
        <f>0</f>
        <v>0</v>
      </c>
      <c r="AR193" s="892">
        <f>0</f>
        <v>0</v>
      </c>
      <c r="AS193" s="892">
        <f>0</f>
        <v>0</v>
      </c>
      <c r="AT193" s="892">
        <f>0</f>
        <v>0</v>
      </c>
      <c r="AU193" s="892">
        <f>i_CIT_GLY-i_CIT_VFA</f>
        <v>0</v>
      </c>
      <c r="AV193" s="891">
        <f>0</f>
        <v>0</v>
      </c>
      <c r="AW193" s="891">
        <f>0</f>
        <v>0</v>
      </c>
      <c r="AX193" s="891">
        <f>0</f>
        <v>0</v>
      </c>
      <c r="AY193" s="891">
        <f>0</f>
        <v>0</v>
      </c>
      <c r="AZ193" s="891">
        <f>0</f>
        <v>0</v>
      </c>
      <c r="BA193" s="891">
        <f>0</f>
        <v>0</v>
      </c>
      <c r="BB193" s="2558">
        <f>0</f>
        <v>0</v>
      </c>
      <c r="BC193" s="2558">
        <f>0</f>
        <v>0</v>
      </c>
      <c r="BD193" s="2558">
        <f>0</f>
        <v>0</v>
      </c>
      <c r="BE193" s="892">
        <f>0</f>
        <v>0</v>
      </c>
      <c r="BF193" s="892">
        <f>0</f>
        <v>0</v>
      </c>
      <c r="BG193" s="892">
        <f>0</f>
        <v>0</v>
      </c>
      <c r="BH193" s="892">
        <f>0</f>
        <v>0</v>
      </c>
      <c r="BI193" s="892">
        <f>0</f>
        <v>0</v>
      </c>
      <c r="BJ193" s="892">
        <f>0</f>
        <v>0</v>
      </c>
      <c r="BK193" s="892">
        <f>0</f>
        <v>0</v>
      </c>
      <c r="BL193" s="892">
        <f>0</f>
        <v>0</v>
      </c>
      <c r="BM193" s="892">
        <f>0</f>
        <v>0</v>
      </c>
      <c r="BN193" s="892">
        <f>0</f>
        <v>0</v>
      </c>
      <c r="BO193" s="892">
        <f>0</f>
        <v>0</v>
      </c>
      <c r="BP193" s="892">
        <f>0</f>
        <v>0</v>
      </c>
      <c r="BQ193" s="892">
        <f>0</f>
        <v>0</v>
      </c>
      <c r="BR193" s="892">
        <f>0</f>
        <v>0</v>
      </c>
      <c r="BS193" s="892">
        <f>0</f>
        <v>0</v>
      </c>
      <c r="BT193" s="892">
        <f>0</f>
        <v>0</v>
      </c>
      <c r="BU193" s="892">
        <f>0</f>
        <v>0</v>
      </c>
      <c r="BV193" s="892">
        <f>0</f>
        <v>0</v>
      </c>
      <c r="BW193" s="892">
        <f>0</f>
        <v>0</v>
      </c>
      <c r="BX193" s="892">
        <f>0</f>
        <v>0</v>
      </c>
      <c r="BY193" s="2547">
        <f>0</f>
        <v>0</v>
      </c>
      <c r="BZ193" s="892">
        <f>0</f>
        <v>0</v>
      </c>
      <c r="CA193" s="892">
        <f>0</f>
        <v>0</v>
      </c>
      <c r="CB193" s="892">
        <f>0</f>
        <v>0</v>
      </c>
      <c r="CC193" s="892">
        <f>0</f>
        <v>0</v>
      </c>
      <c r="CD193" s="892">
        <f>0</f>
        <v>0</v>
      </c>
      <c r="CE193" s="892">
        <f>0</f>
        <v>0</v>
      </c>
      <c r="CF193" s="892">
        <f>0</f>
        <v>0</v>
      </c>
      <c r="CG193" s="892">
        <f>0</f>
        <v>0</v>
      </c>
      <c r="CH193" s="892">
        <f>0</f>
        <v>0</v>
      </c>
      <c r="CI193" s="892">
        <f>0</f>
        <v>0</v>
      </c>
      <c r="CJ193" s="2547">
        <f>0</f>
        <v>0</v>
      </c>
      <c r="CK193" s="892">
        <f>0</f>
        <v>0</v>
      </c>
      <c r="CL193" s="892">
        <f>0</f>
        <v>0</v>
      </c>
      <c r="CM193" s="892">
        <f>0</f>
        <v>0</v>
      </c>
      <c r="CN193" s="892">
        <f>0</f>
        <v>0</v>
      </c>
      <c r="CO193" s="892">
        <f>0</f>
        <v>0</v>
      </c>
      <c r="CP193" s="892">
        <f>0</f>
        <v>0</v>
      </c>
      <c r="CQ193" s="892">
        <f>0</f>
        <v>0</v>
      </c>
      <c r="CR193" s="892">
        <f>0</f>
        <v>0</v>
      </c>
      <c r="CS193" s="2547">
        <f>0</f>
        <v>0</v>
      </c>
      <c r="CT193" s="2547">
        <f>0</f>
        <v>0</v>
      </c>
      <c r="CU193" s="2547">
        <f>0</f>
        <v>0</v>
      </c>
      <c r="CV193" s="2859">
        <f>b_STC_T*η_bGLY_ana*X_GAO*M_inhSO2_KO2_CASTO*M_inhSNO3_KNO3_CASTO*M_inhSNO2_KNO2_CASTO*M_RsatXGLY_XGAO_KGLY</f>
        <v>3.4871672246134239E-5</v>
      </c>
      <c r="CX193" s="2880">
        <f>E299*E193+F299*F193+G299*G193+H299*H193+I299*I193+J299*J193+K299*K193+L299*L193+M299*M193+N299*N193+O299*O193+P299*P193+Q299*Q193+R299*R193+S299*S193+T299*T193+U299*U193+V299*V193+W299*W193+X299*X193+Y299*Y193+Z299*Z193+AA299*AA193+AB299*AB193+AC299*AC193+AD299*AD193+AE299*AE193+AF299*AF193+AG299*AG193+AH299*AH193+AI299*AI193+AJ299*AJ193+AK299*AK193+AL299*AL193+AM299*AM193+AN299*AN193+AO299*AO193+AP299*AP193+AQ299*AQ193+AR299*AR193+AS299*AS193+AT299*AT193+AU299*AU193+AV299*AV193+AW299*AW193+AX299*AX193+AY299*AY193+AZ299*AZ193+BA299*BA193+BB299*BB193+BC299*BC193+BD299*BD193+BE299*BE193+BF299*BF193+BG299*BG193+BH299*BH193+BI299*BI193+BJ299*BJ193+BK299*BK193+BL299*BL193+BM299*BM193+BN299*BN193+BO299*BO193+BP299*BP193+BQ299*BQ193+BR299*BR193+BS299*BS193+BT299*BT193+BU299*BU193+BV299*BV193+BW299*BW193+BX299*BX193+BY299*BY193+BZ299*BZ193+CA299*CA193+CB299*CB193+CC299*CC193+CD299*CD193+CE299*CE193+CF299*CF193+CG299*CG193+CH299*CH193+CI299*CI193+CJ299*CJ193+CK299*CK193+CL299*CL193+CM299*CM193+CN299*CN193+CO299*CO193+CP299*CP193+CQ299*CQ193+CR299*CR193+CS299*CS193+CT299*CT193+CU299*CU193</f>
        <v>0</v>
      </c>
      <c r="CY193" s="2880">
        <f>E300*E193+F300*F193+G300*G193+H300*H193+I300*I193+J300*J193+K300*K193+L300*L193+M300*M193+N300*N193+O300*O193+P300*P193+Q300*Q193+R300*R193+S300*S193+T300*T193+U300*U193+V300*V193+W300*W193+X300*X193+Y300*Y193+Z300*Z193+AA300*AA193+AB300*AB193+AC300*AC193+AD300*AD193+AE300*AE193+AF300*AF193+AG300*AG193+AH300*AH193+AI300*AI193+AJ300*AJ193+AK300*AK193+AL300*AL193+AM300*AM193+AN300*AN193+AO300*AO193+AP300*AP193+AQ300*AQ193+AR300*AR193+AS300*AS193+AT300*AT193+AU300*AU193+AV300*AV193+AW300*AW193+AX300*AX193+AY300*AY193+AZ300*AZ193+BA300*BA193+BB300*BB193+BC300*BC193+BD300*BD193+BE300*BE193+BF300*BF193+BG300*BG193+BH300*BH193+BI300*BI193+BJ300*BJ193+BK300*BK193+BL300*BL193+BM300*BM193+BN300*BN193+BO300*BO193+BP300*BP193+BQ300*BQ193+BR300*BR193+BS300*BS193+BT300*BT193+BU300*BU193+BV300*BV193+BW300*BW193+BX300*BX193+BY300*BY193+BZ300*BZ193+CA300*CA193+CB300*CB193+CC300*CC193+CD300*CD193+CE300*CE193+CF300*CF193+CG300*CG193+CH300*CH193+CI300*CI193+CJ300*CJ193+CK300*CK193+CL300*CL193+CM300*CM193+CN300*CN193+CO300*CO193+CP300*CP193+CQ300*CQ193+CR300*CR193+CS300*CS193+CT300*CT193+CU300*CU193</f>
        <v>0</v>
      </c>
      <c r="CZ193" s="2881">
        <f>E301*E193+F301*F193+G301*G193+H301*H193+I301*I193+J301*J193+K301*K193+L301*L193+M301*M193+N301*N193+O301*O193+P301*P193+Q301*Q193+R301*R193+S301*S193+T301*T193+U301*U193+V301*V193+W301*W193+X301*X193+Y301*Y193+Z301*Z193+AA301*AA193+AB301*AB193+AC301*AC193+AD301*AD193+AE301*AE193+AF301*AF193+AG301*AG193+AH301*AH193+AI301*AI193+AJ301*AJ193+AK301*AK193+AL301*AL193+AM301*AM193+AN301*AN193+AO301*AO193+AP301*AP193+AQ301*AQ193+AR301*AR193+AS301*AS193+AT301*AT193+AU301*AU193+AV301*AV193+AW301*AW193+AX301*AX193+AY301*AY193+AZ301*AZ193+BA301*BA193+BB301*BB193+BC301*BC193+BD301*BD193+BE301*BE193+BF301*BF193+BG301*BG193+BH301*BH193+BI301*BI193+BJ301*BJ193+BK301*BK193+BL301*BL193+BM301*BM193+BN301*BN193+BO301*BO193+BP301*BP193+BQ301*BQ193+BR301*BR193+BS301*BS193+BT301*BT193+BU301*BU193+BV301*BV193+BW301*BW193+BX301*BX193+BY301*BY193+BZ301*BZ193+CA301*CA193+CB301*CB193+CC301*CC193+CD301*CD193+CE301*CE193+CF301*CF193+CG301*CG193+CH301*CH193+CI301*CI193+CJ301*CJ193+CK301*CK193+CL301*CL193+CM301*CM193+CN301*CN193+CO301*CO193+CP301*CP193+CQ301*CQ193+CR301*CR193+CS301*CS193+CT301*CT193+CU301*CU193</f>
        <v>0</v>
      </c>
      <c r="DA193" s="2882">
        <f>E302*E193+F302*F193+G302*G193+H302*H193+I302*I193+J302*J193+K302*K193+L302*L193+M302*M193+N302*N193+O302*O193+P302*P193+Q302*Q193+R302*R193+S302*S193+T302*T193+U302*U193+V302*V193+W302*W193+X302*X193+Y302*Y193+Z302*Z193+AA302*AA193+AB302*AB193+AC302*AC193+AD302*AD193+AE302*AE193+AF302*AF193+AG302*AG193+AH302*AH193+AI302*AI193+AJ302*AJ193+AK302*AK193+AL302*AL193+AM302*AM193+AN302*AN193+AO302*AO193+AP302*AP193+AQ302*AQ193+AR302*AR193+AS302*AS193+AT302*AT193+AU302*AU193+AV302*AV193+AW302*AW193+AX302*AX193+AY302*AY193+AZ302*AZ193+BA302*BA193+BB302*BB193+BC302*BC193+BD302*BD193+BE302*BE193+BF302*BF193+BG302*BG193+BH302*BH193+BI302*BI193+BJ302*BJ193+BK302*BK193+BL302*BL193+BM302*BM193+BN302*BN193+BO302*BO193+BP302*BP193+BQ302*BQ193+BR302*BR193+BS302*BS193+BT302*BT193+BU302*BU193+BV302*BV193+BW302*BW193+BX302*BX193+BY302*BY193+BZ302*BZ193+CA302*CA193+CB302*CB193+CC302*CC193+CD302*CD193+CE302*CE193+CF302*CF193+CG302*CG193+CH302*CH193+CI302*CI193+CJ302*CJ193+CK302*CK193+CL302*CL193+CM302*CM193+CN302*CN193+CO302*CO193+CP302*CP193+CQ302*CQ193+CR302*CR193+CS302*CS193+CT302*CT193+CU302*CU193</f>
        <v>0</v>
      </c>
      <c r="DB193" s="2882">
        <f>E303*E193+F303*F193+G303*G193+H303*H193+I303*I193+J303*J193+K303*K193+L303*L193+M303*M193+N303*N193+O303*O193+P303*P193+Q303*Q193+R303*R193+S303*S193+T303*T193+U303*U193+V303*V193+W303*W193+X303*X193+Y303*Y193+Z303*Z193+AA303*AA193+AB303*AB193+AC303*AC193+AD303*AD193+AE303*AE193+AF303*AF193+AG303*AG193+AH303*AH193+AI303*AI193+AJ303*AJ193+AK303*AK193+AL303*AL193+AM303*AM193+AN303*AN193+AO303*AO193+AP303*AP193+AQ303*AQ193+AR303*AR193+AS303*AS193+AT303*AT193+AU303*AU193+AV303*AV193+AW303*AW193+AX303*AX193+AY303*AY193+AZ303*AZ193+BA303*BA193+BB303*BB193+BC303*BC193+BD303*BD193+BE303*BE193+BF303*BF193+BG303*BG193+BH303*BH193+BI303*BI193+BJ303*BJ193+BK303*BK193+BL303*BL193+BM303*BM193+BN303*BN193+BO303*BO193+BP303*BP193+BQ303*BQ193+BR303*BR193+BS303*BS193+BT303*BT193+BU303*BU193+BV303*BV193+BW303*BW193+BX303*BX193+BY303*BY193+BZ303*BZ193+CA303*CA193+CB303*CB193+CC303*CC193+CD303*CD193+CE303*CE193+CF303*CF193+CG303*CG193+CH303*CH193+CI303*CI193+CJ303*CJ193+CK303*CK193+CL303*CL193+CM303*CM193+CN303*CN193+CO303*CO193+CP303*CP193+CQ303*CQ193+CR303*CR193+CS303*CS193+CT303*CT193+CU303*CU193</f>
        <v>0</v>
      </c>
      <c r="DC193" s="2882">
        <f>E304*E193+F304*F193+G304*G193+H304*H193+I304*I193+J304*J193+K304*K193+L304*L193+M304*M193+N304*N193+O304*O193+P304*P193+Q304*Q193+R304*R193+S304*S193+T304*T193+U304*U193+V304*V193+W304*W193+X304*X193+Y304*Y193+Z304*Z193+AA304*AA193+AB304*AB193+AC304*AC193+AD304*AD193+AE304*AE193+AF304*AF193+AG304*AG193+AH304*AH193+AI304*AI193+AJ304*AJ193+AK304*AK193+AL304*AL193+AM304*AM193+AN304*AN193+AO304*AO193+AP304*AP193+AQ304*AQ193+AR304*AR193+AS304*AS193+AT304*AT193+AU304*AU193+AV304*AV193+AW304*AW193+AX304*AX193+AY304*AY193+AZ304*AZ193+BA304*BA193+BB304*BB193+BC304*BC193+BD304*BD193+BE304*BE193+BF304*BF193+BG304*BG193+BH304*BH193+BI304*BI193+BJ304*BJ193+BK304*BK193+BL304*BL193+BM304*BM193+BN304*BN193+BO304*BO193+BP304*BP193+BQ304*BQ193+BR304*BR193+BS304*BS193+BT304*BT193+BU304*BU193+BV304*BV193+BW304*BW193+BX304*BX193+BY304*BY193+BZ304*BZ193+CA304*CA193+CB304*CB193+CC304*CC193+CD304*CD193+CE304*CE193+CF304*CF193+CG304*CG193+CH304*CH193+CI304*CI193+CJ304*CJ193+CK304*CK193+CL304*CL193+CM304*CM193+CN304*CN193+CO304*CO193+CP304*CP193+CQ304*CQ193+CR304*CR193+CS304*CS193+CT304*CT193+CU304*CU193</f>
        <v>0</v>
      </c>
      <c r="DD193" s="2882">
        <f>E305*E193+F305*F193+G305*G193+H305*H193+I305*I193+J305*J193+K305*K193+L305*L193+M305*M193+N305*N193+O305*O193+P305*P193+Q305*Q193+R305*R193+S305*S193+T305*T193+U305*U193+V305*V193+W305*W193+X305*X193+Y305*Y193+Z305*Z193+AA305*AA193+AB305*AB193+AC305*AC193+AD305*AD193+AE305*AE193+AF305*AF193+AG305*AG193+AH305*AH193+AI305*AI193+AJ305*AJ193+AK305*AK193+AL305*AL193+AM305*AM193+AN305*AN193+AO305*AO193+AP305*AP193+AQ305*AQ193+AR305*AR193+AS305*AS193+AT305*AT193+AU305*AU193+AV305*AV193+AW305*AW193+AX305*AX193+AY305*AY193+AZ305*AZ193+BA305*BA193+BB305*BB193+BC305*BC193+BD305*BD193+BE305*BE193+BF305*BF193+BG305*BG193+BH305*BH193+BI305*BI193+BJ305*BJ193+BK305*BK193+BL305*BL193+BM305*BM193+BN305*BN193+BO305*BO193+BP305*BP193+BQ305*BQ193+BR305*BR193+BS305*BS193+BT305*BT193+BU305*BU193+BV305*BV193+BW305*BW193+BX305*BX193+BY305*BY193+BZ305*BZ193+CA305*CA193+CB305*CB193+CC305*CC193+CD305*CD193+CE305*CE193+CF305*CF193+CG305*CG193+CH305*CH193+CI305*CI193+CJ305*CJ193+CK305*CK193+CL305*CL193+CM305*CM193+CN305*CN193+CO305*CO193+CP305*CP193+CQ305*CQ193+CR305*CR193+CS305*CS193+CT305*CT193+CU305*CU193</f>
        <v>0</v>
      </c>
      <c r="DE193" s="2882">
        <f>E306*E193+F306*F193+G306*G193+H306*H193+I306*I193+J306*J193+K306*K193+L306*L193+M306*M193+N306*N193+O306*O193+P306*P193+Q306*Q193+R306*R193+S306*S193+T306*T193+U306*U193+V306*V193+W306*W193+X306*X193+Y306*Y193+Z306*Z193+AA306*AA193+AB306*AB193+AC306*AC193+AD306*AD193+AE306*AE193+AF306*AF193+AG306*AG193+AH306*AH193+AI306*AI193+AJ306*AJ193+AK306*AK193+AL306*AL193+AM306*AM193+AN306*AN193+AO306*AO193+AP306*AP193+AQ306*AQ193+AR306*AR193+AS306*AS193+AT306*AT193+AU306*AU193+AV306*AV193+AW306*AW193+AX306*AX193+AY306*AY193+AZ306*AZ193+BA306*BA193+BB306*BB193+BC306*BC193+BD306*BD193+BE306*BE193+BF306*BF193+BG306*BG193+BH306*BH193+BI306*BI193+BJ306*BJ193+BK306*BK193+BL306*BL193+BM306*BM193+BN306*BN193+BO306*BO193+BP306*BP193+BQ306*BQ193+BR306*BR193+BS306*BS193+BT306*BT193+BU306*BU193+BV306*BV193+BW306*BW193+BX306*BX193+BY306*BY193+BZ306*BZ193+CA306*CA193+CB306*CB193+CC306*CC193+CD306*CD193+CE306*CE193+CF306*CF193+CG306*CG193+CH306*CH193+CI306*CI193+CJ306*CJ193+CK306*CK193+CL306*CL193+CM306*CM193+CN306*CN193+CO306*CO193+CP306*CP193+CQ306*CQ193+CR306*CR193+CS306*CS193+CT306*CT193+CU306*CU193</f>
        <v>0</v>
      </c>
      <c r="DF193" s="2882">
        <f>E307*E193+F307*F193+G307*G193+H307*H193+I307*I193+J307*J193+K307*K193+L307*L193+M307*M193+N307*N193+O307*O193+P307*P193+Q307*Q193+R307*R193+S307*S193+T307*T193+U307*U193+V307*V193+W307*W193+X307*X193+Y307*Y193+Z307*Z193+AA307*AA193+AB307*AB193+AC307*AC193+AD307*AD193+AE307*AE193+AF307*AF193+AG307*AG193+AH307*AH193+AI307*AI193+AJ307*AJ193+AK307*AK193+AL307*AL193+AM307*AM193+AN307*AN193+AO307*AO193+AP307*AP193+AQ307*AQ193+AR307*AR193+AS307*AS193+AT307*AT193+AU307*AU193+AV307*AV193+AW307*AW193+AX307*AX193+AY307*AY193+AZ307*AZ193+BA307*BA193+BB307*BB193+BC307*BC193+BD307*BD193+BE307*BE193+BF307*BF193+BG307*BG193+BH307*BH193+BI307*BI193+BJ307*BJ193+BK307*BK193+BL307*BL193+BM307*BM193+BN307*BN193+BO307*BO193+BP307*BP193+BQ307*BQ193+BR307*BR193+BS307*BS193+BT307*BT193+BU307*BU193+BV307*BV193+BW307*BW193+BX307*BX193+BY307*BY193+BZ307*BZ193+CA307*CA193+CB307*CB193+CC307*CC193+CD307*CD193+CE307*CE193+CF307*CF193+CG307*CG193+CH307*CH193+CI307*CI193+CJ307*CJ193+CK307*CK193+CL307*CL193+CM307*CM193+CN307*CN193+CO307*CO193+CP307*CP193+CQ307*CQ193+CR307*CR193+CS307*CS193+CT307*CT193+CU307*CU193</f>
        <v>0</v>
      </c>
      <c r="DG193" s="2882">
        <f>E308*E193+F308*F193+G308*G193+H308*H193+I308*I193+J308*J193+K308*K193+L308*L193+M308*M193+N308*N193+O308*O193+P308*P193+Q308*Q193+R308*R193+S308*S193+T308*T193+U308*U193+V308*V193+W308*W193+X308*X193+Y308*Y193+Z308*Z193+AA308*AA193+AB308*AB193+AC308*AC193+AD308*AD193+AE308*AE193+AF308*AF193+AG308*AG193+AH308*AH193+AI308*AI193+AJ308*AJ193+AK308*AK193+AL308*AL193+AM308*AM193+AN308*AN193+AO308*AO193+AP308*AP193+AQ308*AQ193+AR308*AR193+AS308*AS193+AT308*AT193+AU308*AU193+AV308*AV193+AW308*AW193+AX308*AX193+AY308*AY193+AZ308*AZ193+BA308*BA193+BB308*BB193+BC308*BC193+BD308*BD193+BE308*BE193+BF308*BF193+BG308*BG193+BH308*BH193+BI308*BI193+BJ308*BJ193+BK308*BK193+BL308*BL193+BM308*BM193+BN308*BN193+BO308*BO193+BP308*BP193+BQ308*BQ193+BR308*BR193+BS308*BS193+BT308*BT193+BU308*BU193+BV308*BV193+BW308*BW193+BX308*BX193+BY308*BY193+BZ308*BZ193+CA308*CA193+CB308*CB193+CC308*CC193+CD308*CD193+CE308*CE193+CF308*CF193+CG308*CG193+CH308*CH193+CI308*CI193+CJ308*CJ193+CK308*CK193+CL308*CL193+CM308*CM193+CN308*CN193+CO308*CO193+CP308*CP193+CQ308*CQ193+CR308*CR193+CS308*CS193+CT308*CT193+CU308*CU193</f>
        <v>0</v>
      </c>
      <c r="DH193" s="2882">
        <f>E309*E193+F309*F193+G309*G193+H309*H193+I309*I193+J309*J193+K309*K193+L309*L193+M309*M193+N309*N193+O309*O193+P309*P193+Q309*Q193+R309*R193+S309*S193+T309*T193+U309*U193+V309*V193+W309*W193+X309*X193+Y309*Y193+Z309*Z193+AA309*AA193+AB309*AB193+AC309*AC193+AD309*AD193+AE309*AE193+AF309*AF193+AG309*AG193+AH309*AH193+AI309*AI193+AJ309*AJ193+AK309*AK193+AL309*AL193+AM309*AM193+AN309*AN193+AO309*AO193+AP309*AP193+AQ309*AQ193+AR309*AR193+AS309*AS193+AT309*AT193+AU309*AU193+AV309*AV193+AW309*AW193+AX309*AX193+AY309*AY193+AZ309*AZ193+BA309*BA193+BB309*BB193+BC309*BC193+BD309*BD193+BE309*BE193+BF309*BF193+BG309*BG193+BH309*BH193+BI309*BI193+BJ309*BJ193+BK309*BK193+BL309*BL193+BM309*BM193+BN309*BN193+BO309*BO193+BP309*BP193+BQ309*BQ193+BR309*BR193+BS309*BS193+BT309*BT193+BU309*BU193+BV309*BV193+BW309*BW193+BX309*BX193+BY309*BY193+BZ309*BZ193+CA309*CA193+CB309*CB193+CC309*CC193+CD309*CD193+CE309*CE193+CF309*CF193+CG309*CG193+CH309*CH193+CI309*CI193+CJ309*CJ193+CK309*CK193+CL309*CL193+CM309*CM193+CN309*CN193+CO309*CO193+CP309*CP193+CQ309*CQ193+CR309*CR193+CS309*CS193+CT309*CT193+CU309*CU193</f>
        <v>0</v>
      </c>
      <c r="DI193" s="2882">
        <f>E310*E193+F310*F193+G310*G193+H310*H193+I310*I193+J310*J193+K310*K193+L310*L193+M310*M193+N310*N193+O310*O193+P310*P193+Q310*Q193+R310*R193+S310*S193+T310*T193+U310*U193+V310*V193+W310*W193+X310*X193+Y310*Y193+Z310*Z193+AA310*AA193+AB310*AB193+AC310*AC193+AD310*AD193+AE310*AE193+AF310*AF193+AG310*AG193+AH310*AH193+AI310*AI193+AJ310*AJ193+AK310*AK193+AL310*AL193+AM310*AM193+AN310*AN193+AO310*AO193+AP310*AP193+AQ310*AQ193+AR310*AR193+AS310*AS193+AT310*AT193+AU310*AU193+AV310*AV193+AW310*AW193+AX310*AX193+AY310*AY193+AZ310*AZ193+BA310*BA193+BB310*BB193+BC310*BC193+BD310*BD193+BE310*BE193+BF310*BF193+BG310*BG193+BH310*BH193+BI310*BI193+BJ310*BJ193+BK310*BK193+BL310*BL193+BM310*BM193+BN310*BN193+BO310*BO193+BP310*BP193+BQ310*BQ193+BR310*BR193+BS310*BS193+BT310*BT193+BU310*BU193+BV310*BV193+BW310*BW193+BX310*BX193+BY310*BY193+BZ310*BZ193+CA310*CA193+CB310*CB193+CC310*CC193+CD310*CD193+CE310*CE193+CF310*CF193+CG310*CG193+CH310*CH193+CI310*CI193+CJ310*CJ193+CK310*CK193+CL310*CL193+CM310*CM193+CN310*CN193+CO310*CO193+CP310*CP193+CQ310*CQ193+CR310*CR193+CS310*CS193+CT310*CT193+CU310*CU193</f>
        <v>0</v>
      </c>
    </row>
    <row r="194" spans="2:113" x14ac:dyDescent="0.45">
      <c r="B194" s="915">
        <v>35</v>
      </c>
      <c r="C194" s="915" t="s">
        <v>298</v>
      </c>
      <c r="D194" s="916" t="s">
        <v>2245</v>
      </c>
      <c r="E194" s="890">
        <f>0</f>
        <v>0</v>
      </c>
      <c r="F194" s="890">
        <f>0</f>
        <v>0</v>
      </c>
      <c r="G194" s="890">
        <f>0</f>
        <v>0</v>
      </c>
      <c r="H194" s="890">
        <f>0</f>
        <v>0</v>
      </c>
      <c r="I194" s="890">
        <f>0</f>
        <v>0</v>
      </c>
      <c r="J194" s="890">
        <f>0</f>
        <v>0</v>
      </c>
      <c r="K194" s="890">
        <f>0</f>
        <v>0</v>
      </c>
      <c r="L194" s="890">
        <f>0</f>
        <v>0</v>
      </c>
      <c r="M194" s="890">
        <f>0</f>
        <v>0</v>
      </c>
      <c r="N194" s="890">
        <f>0</f>
        <v>0</v>
      </c>
      <c r="O194" s="890">
        <f>0</f>
        <v>0</v>
      </c>
      <c r="P194" s="890">
        <f>0</f>
        <v>0</v>
      </c>
      <c r="Q194" s="890">
        <f>0</f>
        <v>0</v>
      </c>
      <c r="R194" s="890">
        <f>0</f>
        <v>0</v>
      </c>
      <c r="S194" s="890">
        <f>0</f>
        <v>0</v>
      </c>
      <c r="T194" s="890">
        <f>0</f>
        <v>0</v>
      </c>
      <c r="U194" s="890">
        <f>0</f>
        <v>0</v>
      </c>
      <c r="V194" s="890">
        <f>0</f>
        <v>0</v>
      </c>
      <c r="W194" s="890">
        <f>0</f>
        <v>0</v>
      </c>
      <c r="X194" s="890">
        <f>0</f>
        <v>0</v>
      </c>
      <c r="Y194" s="2546">
        <f>0</f>
        <v>0</v>
      </c>
      <c r="Z194" s="2546">
        <f>0</f>
        <v>0</v>
      </c>
      <c r="AA194" s="2546">
        <f>0</f>
        <v>0</v>
      </c>
      <c r="AB194" s="890">
        <f>0</f>
        <v>0</v>
      </c>
      <c r="AC194" s="890">
        <f>0</f>
        <v>0</v>
      </c>
      <c r="AD194" s="890">
        <f>0</f>
        <v>0</v>
      </c>
      <c r="AE194" s="890">
        <f>0</f>
        <v>0</v>
      </c>
      <c r="AF194" s="890">
        <f>0</f>
        <v>0</v>
      </c>
      <c r="AG194" s="890">
        <f>0</f>
        <v>0</v>
      </c>
      <c r="AH194" s="890">
        <f>0</f>
        <v>0</v>
      </c>
      <c r="AI194" s="890">
        <f>0</f>
        <v>0</v>
      </c>
      <c r="AJ194" s="890">
        <f>0</f>
        <v>0</v>
      </c>
      <c r="AK194" s="890">
        <f>0</f>
        <v>0</v>
      </c>
      <c r="AL194" s="890">
        <f>0</f>
        <v>0</v>
      </c>
      <c r="AM194" s="890">
        <f>1</f>
        <v>1</v>
      </c>
      <c r="AN194" s="890">
        <f>-1</f>
        <v>-1</v>
      </c>
      <c r="AO194" s="890">
        <f>0</f>
        <v>0</v>
      </c>
      <c r="AP194" s="890">
        <f>0</f>
        <v>0</v>
      </c>
      <c r="AQ194" s="890">
        <f>0</f>
        <v>0</v>
      </c>
      <c r="AR194" s="890">
        <f>0</f>
        <v>0</v>
      </c>
      <c r="AS194" s="890">
        <f>0</f>
        <v>0</v>
      </c>
      <c r="AT194" s="890">
        <f>0</f>
        <v>0</v>
      </c>
      <c r="AU194" s="890">
        <f>0</f>
        <v>0</v>
      </c>
      <c r="AV194" s="890">
        <f>0</f>
        <v>0</v>
      </c>
      <c r="AW194" s="890">
        <f>0</f>
        <v>0</v>
      </c>
      <c r="AX194" s="890">
        <f>0</f>
        <v>0</v>
      </c>
      <c r="AY194" s="889">
        <f>i_Ca_PP*A_MCa/A_MP</f>
        <v>0.12939338702613273</v>
      </c>
      <c r="AZ194" s="889">
        <f>i_Mg_PP*A_MMg/A_MP</f>
        <v>0.27464374347136938</v>
      </c>
      <c r="BA194" s="889">
        <f>i_K_PP*A_MK/A_MP</f>
        <v>0.12623038734377579</v>
      </c>
      <c r="BB194" s="2557">
        <f>0</f>
        <v>0</v>
      </c>
      <c r="BC194" s="2557">
        <f>0</f>
        <v>0</v>
      </c>
      <c r="BD194" s="2557">
        <f>0</f>
        <v>0</v>
      </c>
      <c r="BE194" s="890">
        <f>0</f>
        <v>0</v>
      </c>
      <c r="BF194" s="890">
        <f>0</f>
        <v>0</v>
      </c>
      <c r="BG194" s="890">
        <f>0</f>
        <v>0</v>
      </c>
      <c r="BH194" s="890">
        <f>0</f>
        <v>0</v>
      </c>
      <c r="BI194" s="890">
        <f>0</f>
        <v>0</v>
      </c>
      <c r="BJ194" s="890">
        <f>0</f>
        <v>0</v>
      </c>
      <c r="BK194" s="890">
        <f>0</f>
        <v>0</v>
      </c>
      <c r="BL194" s="890">
        <f>0</f>
        <v>0</v>
      </c>
      <c r="BM194" s="890">
        <f>0</f>
        <v>0</v>
      </c>
      <c r="BN194" s="890">
        <f>0</f>
        <v>0</v>
      </c>
      <c r="BO194" s="890">
        <f>0</f>
        <v>0</v>
      </c>
      <c r="BP194" s="890">
        <f>0</f>
        <v>0</v>
      </c>
      <c r="BQ194" s="890">
        <f>0</f>
        <v>0</v>
      </c>
      <c r="BR194" s="890">
        <f>0</f>
        <v>0</v>
      </c>
      <c r="BS194" s="890">
        <f>0</f>
        <v>0</v>
      </c>
      <c r="BT194" s="890">
        <f>0</f>
        <v>0</v>
      </c>
      <c r="BU194" s="890">
        <f>0</f>
        <v>0</v>
      </c>
      <c r="BV194" s="890">
        <f>0</f>
        <v>0</v>
      </c>
      <c r="BW194" s="890">
        <f>0</f>
        <v>0</v>
      </c>
      <c r="BX194" s="890">
        <f>0</f>
        <v>0</v>
      </c>
      <c r="BY194" s="2546">
        <f>0</f>
        <v>0</v>
      </c>
      <c r="BZ194" s="890">
        <f>0</f>
        <v>0</v>
      </c>
      <c r="CA194" s="890">
        <f>0</f>
        <v>0</v>
      </c>
      <c r="CB194" s="890">
        <f>0</f>
        <v>0</v>
      </c>
      <c r="CC194" s="890">
        <f>0</f>
        <v>0</v>
      </c>
      <c r="CD194" s="890">
        <f>0</f>
        <v>0</v>
      </c>
      <c r="CE194" s="890">
        <f>0</f>
        <v>0</v>
      </c>
      <c r="CF194" s="890">
        <f>0</f>
        <v>0</v>
      </c>
      <c r="CG194" s="890">
        <f>0</f>
        <v>0</v>
      </c>
      <c r="CH194" s="890">
        <f>0</f>
        <v>0</v>
      </c>
      <c r="CI194" s="890">
        <f>0</f>
        <v>0</v>
      </c>
      <c r="CJ194" s="2546">
        <f>0</f>
        <v>0</v>
      </c>
      <c r="CK194" s="890">
        <f>0</f>
        <v>0</v>
      </c>
      <c r="CL194" s="890">
        <f>0</f>
        <v>0</v>
      </c>
      <c r="CM194" s="890">
        <f>0</f>
        <v>0</v>
      </c>
      <c r="CN194" s="890">
        <f>0</f>
        <v>0</v>
      </c>
      <c r="CO194" s="890">
        <f>0</f>
        <v>0</v>
      </c>
      <c r="CP194" s="890">
        <f>0</f>
        <v>0</v>
      </c>
      <c r="CQ194" s="890">
        <f>0</f>
        <v>0</v>
      </c>
      <c r="CR194" s="890">
        <f>0</f>
        <v>0</v>
      </c>
      <c r="CS194" s="2546">
        <f>0</f>
        <v>0</v>
      </c>
      <c r="CT194" s="2546">
        <f>0</f>
        <v>0</v>
      </c>
      <c r="CU194" s="2546">
        <f>0</f>
        <v>0</v>
      </c>
      <c r="CV194" s="2858">
        <f>b_PP_ana_T*X_PAO*L_ogsatXPP_KPO4_PAO*(η_bPP_aer*M_RinhXPHA_XPAO_KPHA_cle*M_satSO2_KO2_CASTO+η_bPP_anox*M_inhSO2_KO2_CASTO*M_satSNO2_KNO2_CASTO+η_bPP_anox*M_inhSO2_KO2_CASTO*M_satSNO3_KNO3_CASTO*M_inhSNO2_KNO2_CASTO+M_inhSO2_KO2_CASTO*M_inhSNO3_KNO3_CASTO*M_inhSNO2_KNO2_CASTO)</f>
        <v>0.38985063851269147</v>
      </c>
      <c r="CX194" s="2880">
        <f>E299*E194+F299*F194+G299*G194+H299*H194+I299*I194+J299*J194+K299*K194+L299*L194+M299*M194+N299*N194+O299*O194+P299*P194+Q299*Q194+R299*R194+S299*S194+T299*T194+U299*U194+V299*V194+W299*W194+X299*X194+Y299*Y194+Z299*Z194+AA299*AA194+AB299*AB194+AC299*AC194+AD299*AD194+AE299*AE194+AF299*AF194+AG299*AG194+AH299*AH194+AI299*AI194+AJ299*AJ194+AK299*AK194+AL299*AL194+AM299*AM194+AN299*AN194+AO299*AO194+AP299*AP194+AQ299*AQ194+AR299*AR194+AS299*AS194+AT299*AT194+AU299*AU194+AV299*AV194+AW299*AW194+AX299*AX194+AY299*AY194+AZ299*AZ194+BA299*BA194+BB299*BB194+BC299*BC194+BD299*BD194+BE299*BE194+BF299*BF194+BG299*BG194+BH299*BH194+BI299*BI194+BJ299*BJ194+BK299*BK194+BL299*BL194+BM299*BM194+BN299*BN194+BO299*BO194+BP299*BP194+BQ299*BQ194+BR299*BR194+BS299*BS194+BT299*BT194+BU299*BU194+BV299*BV194+BW299*BW194+BX299*BX194+BY299*BY194+BZ299*BZ194+CA299*CA194+CB299*CB194+CC299*CC194+CD299*CD194+CE299*CE194+CF299*CF194+CG299*CG194+CH299*CH194+CI299*CI194+CJ299*CJ194+CK299*CK194+CL299*CL194+CM299*CM194+CN299*CN194+CO299*CO194+CP299*CP194+CQ299*CQ194+CR299*CR194+CS299*CS194+CT299*CT194+CU299*CU194</f>
        <v>0</v>
      </c>
      <c r="CY194" s="2880">
        <f>E300*E194+F300*F194+G300*G194+H300*H194+I300*I194+J300*J194+K300*K194+L300*L194+M300*M194+N300*N194+O300*O194+P300*P194+Q300*Q194+R300*R194+S300*S194+T300*T194+U300*U194+V300*V194+W300*W194+X300*X194+Y300*Y194+Z300*Z194+AA300*AA194+AB300*AB194+AC300*AC194+AD300*AD194+AE300*AE194+AF300*AF194+AG300*AG194+AH300*AH194+AI300*AI194+AJ300*AJ194+AK300*AK194+AL300*AL194+AM300*AM194+AN300*AN194+AO300*AO194+AP300*AP194+AQ300*AQ194+AR300*AR194+AS300*AS194+AT300*AT194+AU300*AU194+AV300*AV194+AW300*AW194+AX300*AX194+AY300*AY194+AZ300*AZ194+BA300*BA194+BB300*BB194+BC300*BC194+BD300*BD194+BE300*BE194+BF300*BF194+BG300*BG194+BH300*BH194+BI300*BI194+BJ300*BJ194+BK300*BK194+BL300*BL194+BM300*BM194+BN300*BN194+BO300*BO194+BP300*BP194+BQ300*BQ194+BR300*BR194+BS300*BS194+BT300*BT194+BU300*BU194+BV300*BV194+BW300*BW194+BX300*BX194+BY300*BY194+BZ300*BZ194+CA300*CA194+CB300*CB194+CC300*CC194+CD300*CD194+CE300*CE194+CF300*CF194+CG300*CG194+CH300*CH194+CI300*CI194+CJ300*CJ194+CK300*CK194+CL300*CL194+CM300*CM194+CN300*CN194+CO300*CO194+CP300*CP194+CQ300*CQ194+CR300*CR194+CS300*CS194+CT300*CT194+CU300*CU194</f>
        <v>0</v>
      </c>
      <c r="CZ194" s="2881">
        <f>E301*E194+F301*F194+G301*G194+H301*H194+I301*I194+J301*J194+K301*K194+L301*L194+M301*M194+N301*N194+O301*O194+P301*P194+Q301*Q194+R301*R194+S301*S194+T301*T194+U301*U194+V301*V194+W301*W194+X301*X194+Y301*Y194+Z301*Z194+AA301*AA194+AB301*AB194+AC301*AC194+AD301*AD194+AE301*AE194+AF301*AF194+AG301*AG194+AH301*AH194+AI301*AI194+AJ301*AJ194+AK301*AK194+AL301*AL194+AM301*AM194+AN301*AN194+AO301*AO194+AP301*AP194+AQ301*AQ194+AR301*AR194+AS301*AS194+AT301*AT194+AU301*AU194+AV301*AV194+AW301*AW194+AX301*AX194+AY301*AY194+AZ301*AZ194+BA301*BA194+BB301*BB194+BC301*BC194+BD301*BD194+BE301*BE194+BF301*BF194+BG301*BG194+BH301*BH194+BI301*BI194+BJ301*BJ194+BK301*BK194+BL301*BL194+BM301*BM194+BN301*BN194+BO301*BO194+BP301*BP194+BQ301*BQ194+BR301*BR194+BS301*BS194+BT301*BT194+BU301*BU194+BV301*BV194+BW301*BW194+BX301*BX194+BY301*BY194+BZ301*BZ194+CA301*CA194+CB301*CB194+CC301*CC194+CD301*CD194+CE301*CE194+CF301*CF194+CG301*CG194+CH301*CH194+CI301*CI194+CJ301*CJ194+CK301*CK194+CL301*CL194+CM301*CM194+CN301*CN194+CO301*CO194+CP301*CP194+CQ301*CQ194+CR301*CR194+CS301*CS194+CT301*CT194+CU301*CU194</f>
        <v>0</v>
      </c>
      <c r="DA194" s="2882">
        <f>E302*E194+F302*F194+G302*G194+H302*H194+I302*I194+J302*J194+K302*K194+L302*L194+M302*M194+N302*N194+O302*O194+P302*P194+Q302*Q194+R302*R194+S302*S194+T302*T194+U302*U194+V302*V194+W302*W194+X302*X194+Y302*Y194+Z302*Z194+AA302*AA194+AB302*AB194+AC302*AC194+AD302*AD194+AE302*AE194+AF302*AF194+AG302*AG194+AH302*AH194+AI302*AI194+AJ302*AJ194+AK302*AK194+AL302*AL194+AM302*AM194+AN302*AN194+AO302*AO194+AP302*AP194+AQ302*AQ194+AR302*AR194+AS302*AS194+AT302*AT194+AU302*AU194+AV302*AV194+AW302*AW194+AX302*AX194+AY302*AY194+AZ302*AZ194+BA302*BA194+BB302*BB194+BC302*BC194+BD302*BD194+BE302*BE194+BF302*BF194+BG302*BG194+BH302*BH194+BI302*BI194+BJ302*BJ194+BK302*BK194+BL302*BL194+BM302*BM194+BN302*BN194+BO302*BO194+BP302*BP194+BQ302*BQ194+BR302*BR194+BS302*BS194+BT302*BT194+BU302*BU194+BV302*BV194+BW302*BW194+BX302*BX194+BY302*BY194+BZ302*BZ194+CA302*CA194+CB302*CB194+CC302*CC194+CD302*CD194+CE302*CE194+CF302*CF194+CG302*CG194+CH302*CH194+CI302*CI194+CJ302*CJ194+CK302*CK194+CL302*CL194+CM302*CM194+CN302*CN194+CO302*CO194+CP302*CP194+CQ302*CQ194+CR302*CR194+CS302*CS194+CT302*CT194+CU302*CU194</f>
        <v>0</v>
      </c>
      <c r="DB194" s="2882">
        <f>E303*E194+F303*F194+G303*G194+H303*H194+I303*I194+J303*J194+K303*K194+L303*L194+M303*M194+N303*N194+O303*O194+P303*P194+Q303*Q194+R303*R194+S303*S194+T303*T194+U303*U194+V303*V194+W303*W194+X303*X194+Y303*Y194+Z303*Z194+AA303*AA194+AB303*AB194+AC303*AC194+AD303*AD194+AE303*AE194+AF303*AF194+AG303*AG194+AH303*AH194+AI303*AI194+AJ303*AJ194+AK303*AK194+AL303*AL194+AM303*AM194+AN303*AN194+AO303*AO194+AP303*AP194+AQ303*AQ194+AR303*AR194+AS303*AS194+AT303*AT194+AU303*AU194+AV303*AV194+AW303*AW194+AX303*AX194+AY303*AY194+AZ303*AZ194+BA303*BA194+BB303*BB194+BC303*BC194+BD303*BD194+BE303*BE194+BF303*BF194+BG303*BG194+BH303*BH194+BI303*BI194+BJ303*BJ194+BK303*BK194+BL303*BL194+BM303*BM194+BN303*BN194+BO303*BO194+BP303*BP194+BQ303*BQ194+BR303*BR194+BS303*BS194+BT303*BT194+BU303*BU194+BV303*BV194+BW303*BW194+BX303*BX194+BY303*BY194+BZ303*BZ194+CA303*CA194+CB303*CB194+CC303*CC194+CD303*CD194+CE303*CE194+CF303*CF194+CG303*CG194+CH303*CH194+CI303*CI194+CJ303*CJ194+CK303*CK194+CL303*CL194+CM303*CM194+CN303*CN194+CO303*CO194+CP303*CP194+CQ303*CQ194+CR303*CR194+CS303*CS194+CT303*CT194+CU303*CU194</f>
        <v>0</v>
      </c>
      <c r="DC194" s="2882">
        <f>E304*E194+F304*F194+G304*G194+H304*H194+I304*I194+J304*J194+K304*K194+L304*L194+M304*M194+N304*N194+O304*O194+P304*P194+Q304*Q194+R304*R194+S304*S194+T304*T194+U304*U194+V304*V194+W304*W194+X304*X194+Y304*Y194+Z304*Z194+AA304*AA194+AB304*AB194+AC304*AC194+AD304*AD194+AE304*AE194+AF304*AF194+AG304*AG194+AH304*AH194+AI304*AI194+AJ304*AJ194+AK304*AK194+AL304*AL194+AM304*AM194+AN304*AN194+AO304*AO194+AP304*AP194+AQ304*AQ194+AR304*AR194+AS304*AS194+AT304*AT194+AU304*AU194+AV304*AV194+AW304*AW194+AX304*AX194+AY304*AY194+AZ304*AZ194+BA304*BA194+BB304*BB194+BC304*BC194+BD304*BD194+BE304*BE194+BF304*BF194+BG304*BG194+BH304*BH194+BI304*BI194+BJ304*BJ194+BK304*BK194+BL304*BL194+BM304*BM194+BN304*BN194+BO304*BO194+BP304*BP194+BQ304*BQ194+BR304*BR194+BS304*BS194+BT304*BT194+BU304*BU194+BV304*BV194+BW304*BW194+BX304*BX194+BY304*BY194+BZ304*BZ194+CA304*CA194+CB304*CB194+CC304*CC194+CD304*CD194+CE304*CE194+CF304*CF194+CG304*CG194+CH304*CH194+CI304*CI194+CJ304*CJ194+CK304*CK194+CL304*CL194+CM304*CM194+CN304*CN194+CO304*CO194+CP304*CP194+CQ304*CQ194+CR304*CR194+CS304*CS194+CT304*CT194+CU304*CU194</f>
        <v>0</v>
      </c>
      <c r="DD194" s="2882">
        <f>E305*E194+F305*F194+G305*G194+H305*H194+I305*I194+J305*J194+K305*K194+L305*L194+M305*M194+N305*N194+O305*O194+P305*P194+Q305*Q194+R305*R194+S305*S194+T305*T194+U305*U194+V305*V194+W305*W194+X305*X194+Y305*Y194+Z305*Z194+AA305*AA194+AB305*AB194+AC305*AC194+AD305*AD194+AE305*AE194+AF305*AF194+AG305*AG194+AH305*AH194+AI305*AI194+AJ305*AJ194+AK305*AK194+AL305*AL194+AM305*AM194+AN305*AN194+AO305*AO194+AP305*AP194+AQ305*AQ194+AR305*AR194+AS305*AS194+AT305*AT194+AU305*AU194+AV305*AV194+AW305*AW194+AX305*AX194+AY305*AY194+AZ305*AZ194+BA305*BA194+BB305*BB194+BC305*BC194+BD305*BD194+BE305*BE194+BF305*BF194+BG305*BG194+BH305*BH194+BI305*BI194+BJ305*BJ194+BK305*BK194+BL305*BL194+BM305*BM194+BN305*BN194+BO305*BO194+BP305*BP194+BQ305*BQ194+BR305*BR194+BS305*BS194+BT305*BT194+BU305*BU194+BV305*BV194+BW305*BW194+BX305*BX194+BY305*BY194+BZ305*BZ194+CA305*CA194+CB305*CB194+CC305*CC194+CD305*CD194+CE305*CE194+CF305*CF194+CG305*CG194+CH305*CH194+CI305*CI194+CJ305*CJ194+CK305*CK194+CL305*CL194+CM305*CM194+CN305*CN194+CO305*CO194+CP305*CP194+CQ305*CQ194+CR305*CR194+CS305*CS194+CT305*CT194+CU305*CU194</f>
        <v>0</v>
      </c>
      <c r="DE194" s="2882">
        <f>E306*E194+F306*F194+G306*G194+H306*H194+I306*I194+J306*J194+K306*K194+L306*L194+M306*M194+N306*N194+O306*O194+P306*P194+Q306*Q194+R306*R194+S306*S194+T306*T194+U306*U194+V306*V194+W306*W194+X306*X194+Y306*Y194+Z306*Z194+AA306*AA194+AB306*AB194+AC306*AC194+AD306*AD194+AE306*AE194+AF306*AF194+AG306*AG194+AH306*AH194+AI306*AI194+AJ306*AJ194+AK306*AK194+AL306*AL194+AM306*AM194+AN306*AN194+AO306*AO194+AP306*AP194+AQ306*AQ194+AR306*AR194+AS306*AS194+AT306*AT194+AU306*AU194+AV306*AV194+AW306*AW194+AX306*AX194+AY306*AY194+AZ306*AZ194+BA306*BA194+BB306*BB194+BC306*BC194+BD306*BD194+BE306*BE194+BF306*BF194+BG306*BG194+BH306*BH194+BI306*BI194+BJ306*BJ194+BK306*BK194+BL306*BL194+BM306*BM194+BN306*BN194+BO306*BO194+BP306*BP194+BQ306*BQ194+BR306*BR194+BS306*BS194+BT306*BT194+BU306*BU194+BV306*BV194+BW306*BW194+BX306*BX194+BY306*BY194+BZ306*BZ194+CA306*CA194+CB306*CB194+CC306*CC194+CD306*CD194+CE306*CE194+CF306*CF194+CG306*CG194+CH306*CH194+CI306*CI194+CJ306*CJ194+CK306*CK194+CL306*CL194+CM306*CM194+CN306*CN194+CO306*CO194+CP306*CP194+CQ306*CQ194+CR306*CR194+CS306*CS194+CT306*CT194+CU306*CU194</f>
        <v>0</v>
      </c>
      <c r="DF194" s="2882">
        <f>E307*E194+F307*F194+G307*G194+H307*H194+I307*I194+J307*J194+K307*K194+L307*L194+M307*M194+N307*N194+O307*O194+P307*P194+Q307*Q194+R307*R194+S307*S194+T307*T194+U307*U194+V307*V194+W307*W194+X307*X194+Y307*Y194+Z307*Z194+AA307*AA194+AB307*AB194+AC307*AC194+AD307*AD194+AE307*AE194+AF307*AF194+AG307*AG194+AH307*AH194+AI307*AI194+AJ307*AJ194+AK307*AK194+AL307*AL194+AM307*AM194+AN307*AN194+AO307*AO194+AP307*AP194+AQ307*AQ194+AR307*AR194+AS307*AS194+AT307*AT194+AU307*AU194+AV307*AV194+AW307*AW194+AX307*AX194+AY307*AY194+AZ307*AZ194+BA307*BA194+BB307*BB194+BC307*BC194+BD307*BD194+BE307*BE194+BF307*BF194+BG307*BG194+BH307*BH194+BI307*BI194+BJ307*BJ194+BK307*BK194+BL307*BL194+BM307*BM194+BN307*BN194+BO307*BO194+BP307*BP194+BQ307*BQ194+BR307*BR194+BS307*BS194+BT307*BT194+BU307*BU194+BV307*BV194+BW307*BW194+BX307*BX194+BY307*BY194+BZ307*BZ194+CA307*CA194+CB307*CB194+CC307*CC194+CD307*CD194+CE307*CE194+CF307*CF194+CG307*CG194+CH307*CH194+CI307*CI194+CJ307*CJ194+CK307*CK194+CL307*CL194+CM307*CM194+CN307*CN194+CO307*CO194+CP307*CP194+CQ307*CQ194+CR307*CR194+CS307*CS194+CT307*CT194+CU307*CU194</f>
        <v>0</v>
      </c>
      <c r="DG194" s="2882">
        <f>E308*E194+F308*F194+G308*G194+H308*H194+I308*I194+J308*J194+K308*K194+L308*L194+M308*M194+N308*N194+O308*O194+P308*P194+Q308*Q194+R308*R194+S308*S194+T308*T194+U308*U194+V308*V194+W308*W194+X308*X194+Y308*Y194+Z308*Z194+AA308*AA194+AB308*AB194+AC308*AC194+AD308*AD194+AE308*AE194+AF308*AF194+AG308*AG194+AH308*AH194+AI308*AI194+AJ308*AJ194+AK308*AK194+AL308*AL194+AM308*AM194+AN308*AN194+AO308*AO194+AP308*AP194+AQ308*AQ194+AR308*AR194+AS308*AS194+AT308*AT194+AU308*AU194+AV308*AV194+AW308*AW194+AX308*AX194+AY308*AY194+AZ308*AZ194+BA308*BA194+BB308*BB194+BC308*BC194+BD308*BD194+BE308*BE194+BF308*BF194+BG308*BG194+BH308*BH194+BI308*BI194+BJ308*BJ194+BK308*BK194+BL308*BL194+BM308*BM194+BN308*BN194+BO308*BO194+BP308*BP194+BQ308*BQ194+BR308*BR194+BS308*BS194+BT308*BT194+BU308*BU194+BV308*BV194+BW308*BW194+BX308*BX194+BY308*BY194+BZ308*BZ194+CA308*CA194+CB308*CB194+CC308*CC194+CD308*CD194+CE308*CE194+CF308*CF194+CG308*CG194+CH308*CH194+CI308*CI194+CJ308*CJ194+CK308*CK194+CL308*CL194+CM308*CM194+CN308*CN194+CO308*CO194+CP308*CP194+CQ308*CQ194+CR308*CR194+CS308*CS194+CT308*CT194+CU308*CU194</f>
        <v>0</v>
      </c>
      <c r="DH194" s="2882">
        <f>E309*E194+F309*F194+G309*G194+H309*H194+I309*I194+J309*J194+K309*K194+L309*L194+M309*M194+N309*N194+O309*O194+P309*P194+Q309*Q194+R309*R194+S309*S194+T309*T194+U309*U194+V309*V194+W309*W194+X309*X194+Y309*Y194+Z309*Z194+AA309*AA194+AB309*AB194+AC309*AC194+AD309*AD194+AE309*AE194+AF309*AF194+AG309*AG194+AH309*AH194+AI309*AI194+AJ309*AJ194+AK309*AK194+AL309*AL194+AM309*AM194+AN309*AN194+AO309*AO194+AP309*AP194+AQ309*AQ194+AR309*AR194+AS309*AS194+AT309*AT194+AU309*AU194+AV309*AV194+AW309*AW194+AX309*AX194+AY309*AY194+AZ309*AZ194+BA309*BA194+BB309*BB194+BC309*BC194+BD309*BD194+BE309*BE194+BF309*BF194+BG309*BG194+BH309*BH194+BI309*BI194+BJ309*BJ194+BK309*BK194+BL309*BL194+BM309*BM194+BN309*BN194+BO309*BO194+BP309*BP194+BQ309*BQ194+BR309*BR194+BS309*BS194+BT309*BT194+BU309*BU194+BV309*BV194+BW309*BW194+BX309*BX194+BY309*BY194+BZ309*BZ194+CA309*CA194+CB309*CB194+CC309*CC194+CD309*CD194+CE309*CE194+CF309*CF194+CG309*CG194+CH309*CH194+CI309*CI194+CJ309*CJ194+CK309*CK194+CL309*CL194+CM309*CM194+CN309*CN194+CO309*CO194+CP309*CP194+CQ309*CQ194+CR309*CR194+CS309*CS194+CT309*CT194+CU309*CU194</f>
        <v>0</v>
      </c>
      <c r="DI194" s="2882">
        <f>E310*E194+F310*F194+G310*G194+H310*H194+I310*I194+J310*J194+K310*K194+L310*L194+M310*M194+N310*N194+O310*O194+P310*P194+Q310*Q194+R310*R194+S310*S194+T310*T194+U310*U194+V310*V194+W310*W194+X310*X194+Y310*Y194+Z310*Z194+AA310*AA194+AB310*AB194+AC310*AC194+AD310*AD194+AE310*AE194+AF310*AF194+AG310*AG194+AH310*AH194+AI310*AI194+AJ310*AJ194+AK310*AK194+AL310*AL194+AM310*AM194+AN310*AN194+AO310*AO194+AP310*AP194+AQ310*AQ194+AR310*AR194+AS310*AS194+AT310*AT194+AU310*AU194+AV310*AV194+AW310*AW194+AX310*AX194+AY310*AY194+AZ310*AZ194+BA310*BA194+BB310*BB194+BC310*BC194+BD310*BD194+BE310*BE194+BF310*BF194+BG310*BG194+BH310*BH194+BI310*BI194+BJ310*BJ194+BK310*BK194+BL310*BL194+BM310*BM194+BN310*BN194+BO310*BO194+BP310*BP194+BQ310*BQ194+BR310*BR194+BS310*BS194+BT310*BT194+BU310*BU194+BV310*BV194+BW310*BW194+BX310*BX194+BY310*BY194+BZ310*BZ194+CA310*CA194+CB310*CB194+CC310*CC194+CD310*CD194+CE310*CE194+CF310*CF194+CG310*CG194+CH310*CH194+CI310*CI194+CJ310*CJ194+CK310*CK194+CL310*CL194+CM310*CM194+CN310*CN194+CO310*CO194+CP310*CP194+CQ310*CQ194+CR310*CR194+CS310*CS194+CT310*CT194+CU310*CU194</f>
        <v>0</v>
      </c>
    </row>
    <row r="195" spans="2:113" ht="15.75" x14ac:dyDescent="0.45">
      <c r="B195" s="915">
        <v>36</v>
      </c>
      <c r="C195" s="915" t="s">
        <v>4893</v>
      </c>
      <c r="D195" s="916" t="s">
        <v>3166</v>
      </c>
      <c r="E195" s="890">
        <f>(1-Y_CASTO_SB_ana-Y_CASTO_H2_ana_high)/Y_CASTO_SB_ana</f>
        <v>5.5</v>
      </c>
      <c r="F195" s="889">
        <f>-1/Y_CASTO_SB_ana</f>
        <v>-10</v>
      </c>
      <c r="G195" s="890">
        <f>0</f>
        <v>0</v>
      </c>
      <c r="H195" s="890">
        <f>0</f>
        <v>0</v>
      </c>
      <c r="I195" s="890">
        <f>0</f>
        <v>0</v>
      </c>
      <c r="J195" s="890">
        <f>0</f>
        <v>0</v>
      </c>
      <c r="K195" s="890">
        <f>0</f>
        <v>0</v>
      </c>
      <c r="L195" s="890">
        <f>0</f>
        <v>0</v>
      </c>
      <c r="M195" s="889">
        <f>0</f>
        <v>0</v>
      </c>
      <c r="N195" s="889">
        <f>0</f>
        <v>0</v>
      </c>
      <c r="O195" s="890">
        <f>0</f>
        <v>0</v>
      </c>
      <c r="P195" s="890">
        <f>0</f>
        <v>0</v>
      </c>
      <c r="Q195" s="890">
        <f>0</f>
        <v>0</v>
      </c>
      <c r="R195" s="890">
        <f>1</f>
        <v>1</v>
      </c>
      <c r="S195" s="890">
        <f>0</f>
        <v>0</v>
      </c>
      <c r="T195" s="890">
        <f>0</f>
        <v>0</v>
      </c>
      <c r="U195" s="890">
        <f>0</f>
        <v>0</v>
      </c>
      <c r="V195" s="890">
        <f>0</f>
        <v>0</v>
      </c>
      <c r="W195" s="890">
        <f>0</f>
        <v>0</v>
      </c>
      <c r="X195" s="890">
        <f>0</f>
        <v>0</v>
      </c>
      <c r="Y195" s="2546">
        <f>0</f>
        <v>0</v>
      </c>
      <c r="Z195" s="2546">
        <f>0</f>
        <v>0</v>
      </c>
      <c r="AA195" s="2546">
        <f>0</f>
        <v>0</v>
      </c>
      <c r="AB195" s="890">
        <f>-i_N_BIO</f>
        <v>-7.0000000000000007E-2</v>
      </c>
      <c r="AC195" s="889">
        <f>0</f>
        <v>0</v>
      </c>
      <c r="AD195" s="889">
        <f>0</f>
        <v>0</v>
      </c>
      <c r="AE195" s="889">
        <f>0</f>
        <v>0</v>
      </c>
      <c r="AF195" s="890">
        <f>0</f>
        <v>0</v>
      </c>
      <c r="AG195" s="890">
        <f>0</f>
        <v>0</v>
      </c>
      <c r="AH195" s="890">
        <f>0</f>
        <v>0</v>
      </c>
      <c r="AI195" s="889">
        <f>0</f>
        <v>0</v>
      </c>
      <c r="AJ195" s="889">
        <f>0</f>
        <v>0</v>
      </c>
      <c r="AK195" s="889">
        <f>0</f>
        <v>0</v>
      </c>
      <c r="AL195" s="889">
        <f>0</f>
        <v>0</v>
      </c>
      <c r="AM195" s="890">
        <f>-i_P_BIO</f>
        <v>-0.02</v>
      </c>
      <c r="AN195" s="889">
        <f>0</f>
        <v>0</v>
      </c>
      <c r="AO195" s="890">
        <f>0</f>
        <v>0</v>
      </c>
      <c r="AP195" s="890">
        <f>0</f>
        <v>0</v>
      </c>
      <c r="AQ195" s="890">
        <f>0</f>
        <v>0</v>
      </c>
      <c r="AR195" s="890">
        <f>0</f>
        <v>0</v>
      </c>
      <c r="AS195" s="890">
        <f>0</f>
        <v>0</v>
      </c>
      <c r="AT195" s="890">
        <f>Y_CASTO_H2_ana_high/Y_CASTO_SB_ana</f>
        <v>3.4999999999999996</v>
      </c>
      <c r="AU195" s="890">
        <f>(i_CIT_SB-i_CIT_VFA*(1-Y_CASTO_SB_ana-Y_CASTO_H2_ana_high)-i_CIT_BIO*Y_CASTO_SB_ana)/Y_CASTO_SB_ana</f>
        <v>0.44549999999999956</v>
      </c>
      <c r="AV195" s="889">
        <f>i_INORG</f>
        <v>0.11</v>
      </c>
      <c r="AW195" s="889">
        <f>-i_INORG*(1-i_Ca_INORG*(A_MCa+2*A_MCl)/A_MCa-i_Mg_INORG*(A_MMg+2*A_MCl)/A_MMg)*f_Na</f>
        <v>-2.8804303582798466E-2</v>
      </c>
      <c r="AX195" s="889">
        <f>-i_INORG*(i_Ca_INORG*(2*A_MCl)/A_MCa+i_Mg_INORG*(2*A_MCl)/A_MMg)-i_INORG*(1-i_Ca_INORG*(A_MCa+2*A_MCl)/A_MCa-i_Mg_INORG*(A_MMg+2*A_MCl)/A_MMg)*(1-f_Na)</f>
        <v>-7.0195696417201539E-2</v>
      </c>
      <c r="AY195" s="889">
        <f>-i_INORG*i_Ca_INORG</f>
        <v>-5.5000000000000005E-3</v>
      </c>
      <c r="AZ195" s="889">
        <f>-i_INORG*i_Mg_INORG</f>
        <v>-5.5000000000000005E-3</v>
      </c>
      <c r="BA195" s="889">
        <f>0</f>
        <v>0</v>
      </c>
      <c r="BB195" s="2557">
        <f>0</f>
        <v>0</v>
      </c>
      <c r="BC195" s="2557">
        <f>-i_S_BIO+1/Y_CASTO_SB_ana*i_S_SB</f>
        <v>4.9999999999999992E-3</v>
      </c>
      <c r="BD195" s="2557">
        <f>0</f>
        <v>0</v>
      </c>
      <c r="BE195" s="889">
        <f>0</f>
        <v>0</v>
      </c>
      <c r="BF195" s="889">
        <f>0</f>
        <v>0</v>
      </c>
      <c r="BG195" s="889">
        <f>0</f>
        <v>0</v>
      </c>
      <c r="BH195" s="889">
        <f>0</f>
        <v>0</v>
      </c>
      <c r="BI195" s="889">
        <f>0</f>
        <v>0</v>
      </c>
      <c r="BJ195" s="889">
        <f>0</f>
        <v>0</v>
      </c>
      <c r="BK195" s="889">
        <f>0</f>
        <v>0</v>
      </c>
      <c r="BL195" s="889">
        <f>0</f>
        <v>0</v>
      </c>
      <c r="BM195" s="889">
        <f>0</f>
        <v>0</v>
      </c>
      <c r="BN195" s="889">
        <f>0</f>
        <v>0</v>
      </c>
      <c r="BO195" s="889">
        <f>0</f>
        <v>0</v>
      </c>
      <c r="BP195" s="889">
        <f>0</f>
        <v>0</v>
      </c>
      <c r="BQ195" s="889">
        <f>0</f>
        <v>0</v>
      </c>
      <c r="BR195" s="889">
        <f>0</f>
        <v>0</v>
      </c>
      <c r="BS195" s="889">
        <f>0</f>
        <v>0</v>
      </c>
      <c r="BT195" s="889">
        <f>0</f>
        <v>0</v>
      </c>
      <c r="BU195" s="889">
        <f>0</f>
        <v>0</v>
      </c>
      <c r="BV195" s="890">
        <f>0</f>
        <v>0</v>
      </c>
      <c r="BW195" s="889">
        <f>0</f>
        <v>0</v>
      </c>
      <c r="BX195" s="889">
        <f>0</f>
        <v>0</v>
      </c>
      <c r="BY195" s="2557">
        <f>0</f>
        <v>0</v>
      </c>
      <c r="BZ195" s="889">
        <f>0</f>
        <v>0</v>
      </c>
      <c r="CA195" s="889">
        <f>0</f>
        <v>0</v>
      </c>
      <c r="CB195" s="889">
        <f>0</f>
        <v>0</v>
      </c>
      <c r="CC195" s="889">
        <f>0</f>
        <v>0</v>
      </c>
      <c r="CD195" s="889">
        <f>0</f>
        <v>0</v>
      </c>
      <c r="CE195" s="889">
        <f>0</f>
        <v>0</v>
      </c>
      <c r="CF195" s="889">
        <f>0</f>
        <v>0</v>
      </c>
      <c r="CG195" s="889">
        <f>0</f>
        <v>0</v>
      </c>
      <c r="CH195" s="889">
        <f>0</f>
        <v>0</v>
      </c>
      <c r="CI195" s="889">
        <f>0</f>
        <v>0</v>
      </c>
      <c r="CJ195" s="2557">
        <f>0</f>
        <v>0</v>
      </c>
      <c r="CK195" s="889">
        <f>0</f>
        <v>0</v>
      </c>
      <c r="CL195" s="889">
        <f>0</f>
        <v>0</v>
      </c>
      <c r="CM195" s="889">
        <f>0</f>
        <v>0</v>
      </c>
      <c r="CN195" s="889">
        <f>0</f>
        <v>0</v>
      </c>
      <c r="CO195" s="889">
        <f>0</f>
        <v>0</v>
      </c>
      <c r="CP195" s="889">
        <f>0</f>
        <v>0</v>
      </c>
      <c r="CQ195" s="889">
        <f>0</f>
        <v>0</v>
      </c>
      <c r="CR195" s="889">
        <f>0</f>
        <v>0</v>
      </c>
      <c r="CS195" s="2557">
        <f>0</f>
        <v>0</v>
      </c>
      <c r="CT195" s="2557">
        <f>0</f>
        <v>0</v>
      </c>
      <c r="CU195" s="2557">
        <f>0</f>
        <v>0</v>
      </c>
      <c r="CV195" s="2858">
        <f>µ_FERM_PAO_T*X_CASTO*actferm_PAO_ORP*L_ogsatSVFA_KVFA_FERM*M_satSB_KSB_ana*M_satSNHx_KNHx_BIO*M_satSPO4_KPO4_BIO*M_satSCAT_KCAT*M_satSAN_KAN*M_satSCa_KCa*M_satSMg_KMg*B_ellinhpH</f>
        <v>1.1005152829000029E-240</v>
      </c>
      <c r="CX195" s="2880">
        <f>E299*E195+F299*F195+G299*G195+H299*H195+I299*I195+J299*J195+K299*K195+L299*L195+M299*M195+N299*N195+O299*O195+P299*P195+Q299*Q195+R299*R195+S299*S195+T299*T195+U299*U195+V299*V195+W299*W195+X299*X195+Y299*Y195+Z299*Z195+AA299*AA195+AB299*AB195+AC299*AC195+AD299*AD195+AE299*AE195+AF299*AF195+AG299*AG195+AH299*AH195+AI299*AI195+AJ299*AJ195+AK299*AK195+AL299*AL195+AM299*AM195+AN299*AN195+AO299*AO195+AP299*AP195+AQ299*AQ195+AR299*AR195+AS299*AS195+AT299*AT195+AU299*AU195+AV299*AV195+AW299*AW195+AX299*AX195+AY299*AY195+AZ299*AZ195+BA299*BA195+BB299*BB195+BC299*BC195+BD299*BD195+BE299*BE195+BF299*BF195+BG299*BG195+BH299*BH195+BI299*BI195+BJ299*BJ195+BK299*BK195+BL299*BL195+BM299*BM195+BN299*BN195+BO299*BO195+BP299*BP195+BQ299*BQ195+BR299*BR195+BS299*BS195+BT299*BT195+BU299*BU195+BV299*BV195+BW299*BW195+BX299*BX195+BY299*BY195+BZ299*BZ195+CA299*CA195+CB299*CB195+CC299*CC195+CD299*CD195+CE299*CE195+CF299*CF195+CG299*CG195+CH299*CH195+CI299*CI195+CJ299*CJ195+CK299*CK195+CL299*CL195+CM299*CM195+CN299*CN195+CO299*CO195+CP299*CP195+CQ299*CQ195+CR299*CR195+CS299*CS195+CT299*CT195+CU299*CU195</f>
        <v>-4.4408920985006262E-16</v>
      </c>
      <c r="CY195" s="2880">
        <f>E300*E195+F300*F195+G300*G195+H300*H195+I300*I195+J300*J195+K300*K195+L300*L195+M300*M195+N300*N195+O300*O195+P300*P195+Q300*Q195+R300*R195+S300*S195+T300*T195+U300*U195+V300*V195+W300*W195+X300*X195+Y300*Y195+Z300*Z195+AA300*AA195+AB300*AB195+AC300*AC195+AD300*AD195+AE300*AE195+AF300*AF195+AG300*AG195+AH300*AH195+AI300*AI195+AJ300*AJ195+AK300*AK195+AL300*AL195+AM300*AM195+AN300*AN195+AO300*AO195+AP300*AP195+AQ300*AQ195+AR300*AR195+AS300*AS195+AT300*AT195+AU300*AU195+AV300*AV195+AW300*AW195+AX300*AX195+AY300*AY195+AZ300*AZ195+BA300*BA195+BB300*BB195+BC300*BC195+BD300*BD195+BE300*BE195+BF300*BF195+BG300*BG195+BH300*BH195+BI300*BI195+BJ300*BJ195+BK300*BK195+BL300*BL195+BM300*BM195+BN300*BN195+BO300*BO195+BP300*BP195+BQ300*BQ195+BR300*BR195+BS300*BS195+BT300*BT195+BU300*BU195+BV300*BV195+BW300*BW195+BX300*BX195+BY300*BY195+BZ300*BZ195+CA300*CA195+CB300*CB195+CC300*CC195+CD300*CD195+CE300*CE195+CF300*CF195+CG300*CG195+CH300*CH195+CI300*CI195+CJ300*CJ195+CK300*CK195+CL300*CL195+CM300*CM195+CN300*CN195+CO300*CO195+CP300*CP195+CQ300*CQ195+CR300*CR195+CS300*CS195+CT300*CT195+CU300*CU195</f>
        <v>-3.3306690738754696E-16</v>
      </c>
      <c r="CZ195" s="2881">
        <f>E301*E195+F301*F195+G301*G195+H301*H195+I301*I195+J301*J195+K301*K195+L301*L195+M301*M195+N301*N195+O301*O195+P301*P195+Q301*Q195+R301*R195+S301*S195+T301*T195+U301*U195+V301*V195+W301*W195+X301*X195+Y301*Y195+Z301*Z195+AA301*AA195+AB301*AB195+AC301*AC195+AD301*AD195+AE301*AE195+AF301*AF195+AG301*AG195+AH301*AH195+AI301*AI195+AJ301*AJ195+AK301*AK195+AL301*AL195+AM301*AM195+AN301*AN195+AO301*AO195+AP301*AP195+AQ301*AQ195+AR301*AR195+AS301*AS195+AT301*AT195+AU301*AU195+AV301*AV195+AW301*AW195+AX301*AX195+AY301*AY195+AZ301*AZ195+BA301*BA195+BB301*BB195+BC301*BC195+BD301*BD195+BE301*BE195+BF301*BF195+BG301*BG195+BH301*BH195+BI301*BI195+BJ301*BJ195+BK301*BK195+BL301*BL195+BM301*BM195+BN301*BN195+BO301*BO195+BP301*BP195+BQ301*BQ195+BR301*BR195+BS301*BS195+BT301*BT195+BU301*BU195+BV301*BV195+BW301*BW195+BX301*BX195+BY301*BY195+BZ301*BZ195+CA301*CA195+CB301*CB195+CC301*CC195+CD301*CD195+CE301*CE195+CF301*CF195+CG301*CG195+CH301*CH195+CI301*CI195+CJ301*CJ195+CK301*CK195+CL301*CL195+CM301*CM195+CN301*CN195+CO301*CO195+CP301*CP195+CQ301*CQ195+CR301*CR195+CS301*CS195+CT301*CT195+CU301*CU195</f>
        <v>0</v>
      </c>
      <c r="DA195" s="2882">
        <f>E302*E195+F302*F195+G302*G195+H302*H195+I302*I195+J302*J195+K302*K195+L302*L195+M302*M195+N302*N195+O302*O195+P302*P195+Q302*Q195+R302*R195+S302*S195+T302*T195+U302*U195+V302*V195+W302*W195+X302*X195+Y302*Y195+Z302*Z195+AA302*AA195+AB302*AB195+AC302*AC195+AD302*AD195+AE302*AE195+AF302*AF195+AG302*AG195+AH302*AH195+AI302*AI195+AJ302*AJ195+AK302*AK195+AL302*AL195+AM302*AM195+AN302*AN195+AO302*AO195+AP302*AP195+AQ302*AQ195+AR302*AR195+AS302*AS195+AT302*AT195+AU302*AU195+AV302*AV195+AW302*AW195+AX302*AX195+AY302*AY195+AZ302*AZ195+BA302*BA195+BB302*BB195+BC302*BC195+BD302*BD195+BE302*BE195+BF302*BF195+BG302*BG195+BH302*BH195+BI302*BI195+BJ302*BJ195+BK302*BK195+BL302*BL195+BM302*BM195+BN302*BN195+BO302*BO195+BP302*BP195+BQ302*BQ195+BR302*BR195+BS302*BS195+BT302*BT195+BU302*BU195+BV302*BV195+BW302*BW195+BX302*BX195+BY302*BY195+BZ302*BZ195+CA302*CA195+CB302*CB195+CC302*CC195+CD302*CD195+CE302*CE195+CF302*CF195+CG302*CG195+CH302*CH195+CI302*CI195+CJ302*CJ195+CK302*CK195+CL302*CL195+CM302*CM195+CN302*CN195+CO302*CO195+CP302*CP195+CQ302*CQ195+CR302*CR195+CS302*CS195+CT302*CT195+CU302*CU195</f>
        <v>0</v>
      </c>
      <c r="DB195" s="2882">
        <f>E303*E195+F303*F195+G303*G195+H303*H195+I303*I195+J303*J195+K303*K195+L303*L195+M303*M195+N303*N195+O303*O195+P303*P195+Q303*Q195+R303*R195+S303*S195+T303*T195+U303*U195+V303*V195+W303*W195+X303*X195+Y303*Y195+Z303*Z195+AA303*AA195+AB303*AB195+AC303*AC195+AD303*AD195+AE303*AE195+AF303*AF195+AG303*AG195+AH303*AH195+AI303*AI195+AJ303*AJ195+AK303*AK195+AL303*AL195+AM303*AM195+AN303*AN195+AO303*AO195+AP303*AP195+AQ303*AQ195+AR303*AR195+AS303*AS195+AT303*AT195+AU303*AU195+AV303*AV195+AW303*AW195+AX303*AX195+AY303*AY195+AZ303*AZ195+BA303*BA195+BB303*BB195+BC303*BC195+BD303*BD195+BE303*BE195+BF303*BF195+BG303*BG195+BH303*BH195+BI303*BI195+BJ303*BJ195+BK303*BK195+BL303*BL195+BM303*BM195+BN303*BN195+BO303*BO195+BP303*BP195+BQ303*BQ195+BR303*BR195+BS303*BS195+BT303*BT195+BU303*BU195+BV303*BV195+BW303*BW195+BX303*BX195+BY303*BY195+BZ303*BZ195+CA303*CA195+CB303*CB195+CC303*CC195+CD303*CD195+CE303*CE195+CF303*CF195+CG303*CG195+CH303*CH195+CI303*CI195+CJ303*CJ195+CK303*CK195+CL303*CL195+CM303*CM195+CN303*CN195+CO303*CO195+CP303*CP195+CQ303*CQ195+CR303*CR195+CS303*CS195+CT303*CT195+CU303*CU195</f>
        <v>0</v>
      </c>
      <c r="DC195" s="2882">
        <f>E304*E195+F304*F195+G304*G195+H304*H195+I304*I195+J304*J195+K304*K195+L304*L195+M304*M195+N304*N195+O304*O195+P304*P195+Q304*Q195+R304*R195+S304*S195+T304*T195+U304*U195+V304*V195+W304*W195+X304*X195+Y304*Y195+Z304*Z195+AA304*AA195+AB304*AB195+AC304*AC195+AD304*AD195+AE304*AE195+AF304*AF195+AG304*AG195+AH304*AH195+AI304*AI195+AJ304*AJ195+AK304*AK195+AL304*AL195+AM304*AM195+AN304*AN195+AO304*AO195+AP304*AP195+AQ304*AQ195+AR304*AR195+AS304*AS195+AT304*AT195+AU304*AU195+AV304*AV195+AW304*AW195+AX304*AX195+AY304*AY195+AZ304*AZ195+BA304*BA195+BB304*BB195+BC304*BC195+BD304*BD195+BE304*BE195+BF304*BF195+BG304*BG195+BH304*BH195+BI304*BI195+BJ304*BJ195+BK304*BK195+BL304*BL195+BM304*BM195+BN304*BN195+BO304*BO195+BP304*BP195+BQ304*BQ195+BR304*BR195+BS304*BS195+BT304*BT195+BU304*BU195+BV304*BV195+BW304*BW195+BX304*BX195+BY304*BY195+BZ304*BZ195+CA304*CA195+CB304*CB195+CC304*CC195+CD304*CD195+CE304*CE195+CF304*CF195+CG304*CG195+CH304*CH195+CI304*CI195+CJ304*CJ195+CK304*CK195+CL304*CL195+CM304*CM195+CN304*CN195+CO304*CO195+CP304*CP195+CQ304*CQ195+CR304*CR195+CS304*CS195+CT304*CT195+CU304*CU195</f>
        <v>0</v>
      </c>
      <c r="DD195" s="2882">
        <f>E305*E195+F305*F195+G305*G195+H305*H195+I305*I195+J305*J195+K305*K195+L305*L195+M305*M195+N305*N195+O305*O195+P305*P195+Q305*Q195+R305*R195+S305*S195+T305*T195+U305*U195+V305*V195+W305*W195+X305*X195+Y305*Y195+Z305*Z195+AA305*AA195+AB305*AB195+AC305*AC195+AD305*AD195+AE305*AE195+AF305*AF195+AG305*AG195+AH305*AH195+AI305*AI195+AJ305*AJ195+AK305*AK195+AL305*AL195+AM305*AM195+AN305*AN195+AO305*AO195+AP305*AP195+AQ305*AQ195+AR305*AR195+AS305*AS195+AT305*AT195+AU305*AU195+AV305*AV195+AW305*AW195+AX305*AX195+AY305*AY195+AZ305*AZ195+BA305*BA195+BB305*BB195+BC305*BC195+BD305*BD195+BE305*BE195+BF305*BF195+BG305*BG195+BH305*BH195+BI305*BI195+BJ305*BJ195+BK305*BK195+BL305*BL195+BM305*BM195+BN305*BN195+BO305*BO195+BP305*BP195+BQ305*BQ195+BR305*BR195+BS305*BS195+BT305*BT195+BU305*BU195+BV305*BV195+BW305*BW195+BX305*BX195+BY305*BY195+BZ305*BZ195+CA305*CA195+CB305*CB195+CC305*CC195+CD305*CD195+CE305*CE195+CF305*CF195+CG305*CG195+CH305*CH195+CI305*CI195+CJ305*CJ195+CK305*CK195+CL305*CL195+CM305*CM195+CN305*CN195+CO305*CO195+CP305*CP195+CQ305*CQ195+CR305*CR195+CS305*CS195+CT305*CT195+CU305*CU195</f>
        <v>0</v>
      </c>
      <c r="DE195" s="2882">
        <f>E306*E195+F306*F195+G306*G195+H306*H195+I306*I195+J306*J195+K306*K195+L306*L195+M306*M195+N306*N195+O306*O195+P306*P195+Q306*Q195+R306*R195+S306*S195+T306*T195+U306*U195+V306*V195+W306*W195+X306*X195+Y306*Y195+Z306*Z195+AA306*AA195+AB306*AB195+AC306*AC195+AD306*AD195+AE306*AE195+AF306*AF195+AG306*AG195+AH306*AH195+AI306*AI195+AJ306*AJ195+AK306*AK195+AL306*AL195+AM306*AM195+AN306*AN195+AO306*AO195+AP306*AP195+AQ306*AQ195+AR306*AR195+AS306*AS195+AT306*AT195+AU306*AU195+AV306*AV195+AW306*AW195+AX306*AX195+AY306*AY195+AZ306*AZ195+BA306*BA195+BB306*BB195+BC306*BC195+BD306*BD195+BE306*BE195+BF306*BF195+BG306*BG195+BH306*BH195+BI306*BI195+BJ306*BJ195+BK306*BK195+BL306*BL195+BM306*BM195+BN306*BN195+BO306*BO195+BP306*BP195+BQ306*BQ195+BR306*BR195+BS306*BS195+BT306*BT195+BU306*BU195+BV306*BV195+BW306*BW195+BX306*BX195+BY306*BY195+BZ306*BZ195+CA306*CA195+CB306*CB195+CC306*CC195+CD306*CD195+CE306*CE195+CF306*CF195+CG306*CG195+CH306*CH195+CI306*CI195+CJ306*CJ195+CK306*CK195+CL306*CL195+CM306*CM195+CN306*CN195+CO306*CO195+CP306*CP195+CQ306*CQ195+CR306*CR195+CS306*CS195+CT306*CT195+CU306*CU195</f>
        <v>0</v>
      </c>
      <c r="DF195" s="2882">
        <f>E307*E195+F307*F195+G307*G195+H307*H195+I307*I195+J307*J195+K307*K195+L307*L195+M307*M195+N307*N195+O307*O195+P307*P195+Q307*Q195+R307*R195+S307*S195+T307*T195+U307*U195+V307*V195+W307*W195+X307*X195+Y307*Y195+Z307*Z195+AA307*AA195+AB307*AB195+AC307*AC195+AD307*AD195+AE307*AE195+AF307*AF195+AG307*AG195+AH307*AH195+AI307*AI195+AJ307*AJ195+AK307*AK195+AL307*AL195+AM307*AM195+AN307*AN195+AO307*AO195+AP307*AP195+AQ307*AQ195+AR307*AR195+AS307*AS195+AT307*AT195+AU307*AU195+AV307*AV195+AW307*AW195+AX307*AX195+AY307*AY195+AZ307*AZ195+BA307*BA195+BB307*BB195+BC307*BC195+BD307*BD195+BE307*BE195+BF307*BF195+BG307*BG195+BH307*BH195+BI307*BI195+BJ307*BJ195+BK307*BK195+BL307*BL195+BM307*BM195+BN307*BN195+BO307*BO195+BP307*BP195+BQ307*BQ195+BR307*BR195+BS307*BS195+BT307*BT195+BU307*BU195+BV307*BV195+BW307*BW195+BX307*BX195+BY307*BY195+BZ307*BZ195+CA307*CA195+CB307*CB195+CC307*CC195+CD307*CD195+CE307*CE195+CF307*CF195+CG307*CG195+CH307*CH195+CI307*CI195+CJ307*CJ195+CK307*CK195+CL307*CL195+CM307*CM195+CN307*CN195+CO307*CO195+CP307*CP195+CQ307*CQ195+CR307*CR195+CS307*CS195+CT307*CT195+CU307*CU195</f>
        <v>0</v>
      </c>
      <c r="DG195" s="2882">
        <f>E308*E195+F308*F195+G308*G195+H308*H195+I308*I195+J308*J195+K308*K195+L308*L195+M308*M195+N308*N195+O308*O195+P308*P195+Q308*Q195+R308*R195+S308*S195+T308*T195+U308*U195+V308*V195+W308*W195+X308*X195+Y308*Y195+Z308*Z195+AA308*AA195+AB308*AB195+AC308*AC195+AD308*AD195+AE308*AE195+AF308*AF195+AG308*AG195+AH308*AH195+AI308*AI195+AJ308*AJ195+AK308*AK195+AL308*AL195+AM308*AM195+AN308*AN195+AO308*AO195+AP308*AP195+AQ308*AQ195+AR308*AR195+AS308*AS195+AT308*AT195+AU308*AU195+AV308*AV195+AW308*AW195+AX308*AX195+AY308*AY195+AZ308*AZ195+BA308*BA195+BB308*BB195+BC308*BC195+BD308*BD195+BE308*BE195+BF308*BF195+BG308*BG195+BH308*BH195+BI308*BI195+BJ308*BJ195+BK308*BK195+BL308*BL195+BM308*BM195+BN308*BN195+BO308*BO195+BP308*BP195+BQ308*BQ195+BR308*BR195+BS308*BS195+BT308*BT195+BU308*BU195+BV308*BV195+BW308*BW195+BX308*BX195+BY308*BY195+BZ308*BZ195+CA308*CA195+CB308*CB195+CC308*CC195+CD308*CD195+CE308*CE195+CF308*CF195+CG308*CG195+CH308*CH195+CI308*CI195+CJ308*CJ195+CK308*CK195+CL308*CL195+CM308*CM195+CN308*CN195+CO308*CO195+CP308*CP195+CQ308*CQ195+CR308*CR195+CS308*CS195+CT308*CT195+CU308*CU195</f>
        <v>0</v>
      </c>
      <c r="DH195" s="2882">
        <f>E309*E195+F309*F195+G309*G195+H309*H195+I309*I195+J309*J195+K309*K195+L309*L195+M309*M195+N309*N195+O309*O195+P309*P195+Q309*Q195+R309*R195+S309*S195+T309*T195+U309*U195+V309*V195+W309*W195+X309*X195+Y309*Y195+Z309*Z195+AA309*AA195+AB309*AB195+AC309*AC195+AD309*AD195+AE309*AE195+AF309*AF195+AG309*AG195+AH309*AH195+AI309*AI195+AJ309*AJ195+AK309*AK195+AL309*AL195+AM309*AM195+AN309*AN195+AO309*AO195+AP309*AP195+AQ309*AQ195+AR309*AR195+AS309*AS195+AT309*AT195+AU309*AU195+AV309*AV195+AW309*AW195+AX309*AX195+AY309*AY195+AZ309*AZ195+BA309*BA195+BB309*BB195+BC309*BC195+BD309*BD195+BE309*BE195+BF309*BF195+BG309*BG195+BH309*BH195+BI309*BI195+BJ309*BJ195+BK309*BK195+BL309*BL195+BM309*BM195+BN309*BN195+BO309*BO195+BP309*BP195+BQ309*BQ195+BR309*BR195+BS309*BS195+BT309*BT195+BU309*BU195+BV309*BV195+BW309*BW195+BX309*BX195+BY309*BY195+BZ309*BZ195+CA309*CA195+CB309*CB195+CC309*CC195+CD309*CD195+CE309*CE195+CF309*CF195+CG309*CG195+CH309*CH195+CI309*CI195+CJ309*CJ195+CK309*CK195+CL309*CL195+CM309*CM195+CN309*CN195+CO309*CO195+CP309*CP195+CQ309*CQ195+CR309*CR195+CS309*CS195+CT309*CT195+CU309*CU195</f>
        <v>0</v>
      </c>
      <c r="DI195" s="2882">
        <f>E310*E195+F310*F195+G310*G195+H310*H195+I310*I195+J310*J195+K310*K195+L310*L195+M310*M195+N310*N195+O310*O195+P310*P195+Q310*Q195+R310*R195+S310*S195+T310*T195+U310*U195+V310*V195+W310*W195+X310*X195+Y310*Y195+Z310*Z195+AA310*AA195+AB310*AB195+AC310*AC195+AD310*AD195+AE310*AE195+AF310*AF195+AG310*AG195+AH310*AH195+AI310*AI195+AJ310*AJ195+AK310*AK195+AL310*AL195+AM310*AM195+AN310*AN195+AO310*AO195+AP310*AP195+AQ310*AQ195+AR310*AR195+AS310*AS195+AT310*AT195+AU310*AU195+AV310*AV195+AW310*AW195+AX310*AX195+AY310*AY195+AZ310*AZ195+BA310*BA195+BB310*BB195+BC310*BC195+BD310*BD195+BE310*BE195+BF310*BF195+BG310*BG195+BH310*BH195+BI310*BI195+BJ310*BJ195+BK310*BK195+BL310*BL195+BM310*BM195+BN310*BN195+BO310*BO195+BP310*BP195+BQ310*BQ195+BR310*BR195+BS310*BS195+BT310*BT195+BU310*BU195+BV310*BV195+BW310*BW195+BX310*BX195+BY310*BY195+BZ310*BZ195+CA310*CA195+CB310*CB195+CC310*CC195+CD310*CD195+CE310*CE195+CF310*CF195+CG310*CG195+CH310*CH195+CI310*CI195+CJ310*CJ195+CK310*CK195+CL310*CL195+CM310*CM195+CN310*CN195+CO310*CO195+CP310*CP195+CQ310*CQ195+CR310*CR195+CS310*CS195+CT310*CT195+CU310*CU195</f>
        <v>0</v>
      </c>
    </row>
    <row r="196" spans="2:113" ht="15.75" x14ac:dyDescent="0.45">
      <c r="B196" s="915">
        <v>37</v>
      </c>
      <c r="C196" s="915" t="s">
        <v>4894</v>
      </c>
      <c r="D196" s="916" t="s">
        <v>3167</v>
      </c>
      <c r="E196" s="890">
        <f>(1-Y_CASTO_SB_ana-Y_CASTO_H2_ana_low)/Y_CASTO_SB_ana</f>
        <v>8</v>
      </c>
      <c r="F196" s="889">
        <f>-1/Y_CASTO_SB_ana</f>
        <v>-10</v>
      </c>
      <c r="G196" s="890">
        <f>0</f>
        <v>0</v>
      </c>
      <c r="H196" s="890">
        <f>0</f>
        <v>0</v>
      </c>
      <c r="I196" s="890">
        <f>0</f>
        <v>0</v>
      </c>
      <c r="J196" s="890">
        <f>0</f>
        <v>0</v>
      </c>
      <c r="K196" s="890">
        <f>0</f>
        <v>0</v>
      </c>
      <c r="L196" s="890">
        <f>0</f>
        <v>0</v>
      </c>
      <c r="M196" s="889">
        <f>0</f>
        <v>0</v>
      </c>
      <c r="N196" s="889">
        <f>0</f>
        <v>0</v>
      </c>
      <c r="O196" s="890">
        <f>0</f>
        <v>0</v>
      </c>
      <c r="P196" s="890">
        <f>0</f>
        <v>0</v>
      </c>
      <c r="Q196" s="890">
        <f>0</f>
        <v>0</v>
      </c>
      <c r="R196" s="890">
        <f>1</f>
        <v>1</v>
      </c>
      <c r="S196" s="890">
        <f>0</f>
        <v>0</v>
      </c>
      <c r="T196" s="890">
        <f>0</f>
        <v>0</v>
      </c>
      <c r="U196" s="890">
        <f>0</f>
        <v>0</v>
      </c>
      <c r="V196" s="890">
        <f>0</f>
        <v>0</v>
      </c>
      <c r="W196" s="890">
        <f>0</f>
        <v>0</v>
      </c>
      <c r="X196" s="890">
        <f>0</f>
        <v>0</v>
      </c>
      <c r="Y196" s="2546">
        <f>0</f>
        <v>0</v>
      </c>
      <c r="Z196" s="2546">
        <f>0</f>
        <v>0</v>
      </c>
      <c r="AA196" s="2546">
        <f>0</f>
        <v>0</v>
      </c>
      <c r="AB196" s="890">
        <f>-i_N_BIO</f>
        <v>-7.0000000000000007E-2</v>
      </c>
      <c r="AC196" s="889">
        <f>0</f>
        <v>0</v>
      </c>
      <c r="AD196" s="889">
        <f>0</f>
        <v>0</v>
      </c>
      <c r="AE196" s="889">
        <f>0</f>
        <v>0</v>
      </c>
      <c r="AF196" s="890">
        <f>0</f>
        <v>0</v>
      </c>
      <c r="AG196" s="890">
        <f>0</f>
        <v>0</v>
      </c>
      <c r="AH196" s="890">
        <f>0</f>
        <v>0</v>
      </c>
      <c r="AI196" s="889">
        <f>0</f>
        <v>0</v>
      </c>
      <c r="AJ196" s="889">
        <f>0</f>
        <v>0</v>
      </c>
      <c r="AK196" s="889">
        <f>0</f>
        <v>0</v>
      </c>
      <c r="AL196" s="889">
        <f>0</f>
        <v>0</v>
      </c>
      <c r="AM196" s="890">
        <f>-i_P_BIO</f>
        <v>-0.02</v>
      </c>
      <c r="AN196" s="889">
        <f>0</f>
        <v>0</v>
      </c>
      <c r="AO196" s="890">
        <f>0</f>
        <v>0</v>
      </c>
      <c r="AP196" s="890">
        <f>0</f>
        <v>0</v>
      </c>
      <c r="AQ196" s="890">
        <f>0</f>
        <v>0</v>
      </c>
      <c r="AR196" s="890">
        <f>0</f>
        <v>0</v>
      </c>
      <c r="AS196" s="890">
        <f>0</f>
        <v>0</v>
      </c>
      <c r="AT196" s="890">
        <f>Y_CASTO_H2_ana_low/Y_CASTO_SB_ana</f>
        <v>1</v>
      </c>
      <c r="AU196" s="890">
        <f>(i_CIT_SB-i_CIT_VFA*(1-Y_CASTO_SB_ana-Y_CASTO_H2_ana_low)-i_CIT_BIO*Y_CASTO_SB_ana)/Y_CASTO_SB_ana</f>
        <v>-0.49200000000000066</v>
      </c>
      <c r="AV196" s="889">
        <f>i_INORG</f>
        <v>0.11</v>
      </c>
      <c r="AW196" s="889">
        <f>-i_INORG*(1-i_Ca_INORG*(A_MCa+2*A_MCl)/A_MCa-i_Mg_INORG*(A_MMg+2*A_MCl)/A_MMg)*f_Na</f>
        <v>-2.8804303582798466E-2</v>
      </c>
      <c r="AX196" s="889">
        <f>-i_INORG*(i_Ca_INORG*(2*A_MCl)/A_MCa+i_Mg_INORG*(2*A_MCl)/A_MMg)-i_INORG*(1-i_Ca_INORG*(A_MCa+2*A_MCl)/A_MCa-i_Mg_INORG*(A_MMg+2*A_MCl)/A_MMg)*(1-f_Na)</f>
        <v>-7.0195696417201539E-2</v>
      </c>
      <c r="AY196" s="889">
        <f>-i_INORG*i_Ca_INORG</f>
        <v>-5.5000000000000005E-3</v>
      </c>
      <c r="AZ196" s="889">
        <f>-i_INORG*i_Mg_INORG</f>
        <v>-5.5000000000000005E-3</v>
      </c>
      <c r="BA196" s="889">
        <f>0</f>
        <v>0</v>
      </c>
      <c r="BB196" s="2557">
        <f>0</f>
        <v>0</v>
      </c>
      <c r="BC196" s="2557">
        <f>-i_S_BIO+1/Y_CASTO_SB_ana*i_S_SB</f>
        <v>4.9999999999999992E-3</v>
      </c>
      <c r="BD196" s="2557">
        <f>0</f>
        <v>0</v>
      </c>
      <c r="BE196" s="889">
        <f>0</f>
        <v>0</v>
      </c>
      <c r="BF196" s="889">
        <f>0</f>
        <v>0</v>
      </c>
      <c r="BG196" s="889">
        <f>0</f>
        <v>0</v>
      </c>
      <c r="BH196" s="889">
        <f>0</f>
        <v>0</v>
      </c>
      <c r="BI196" s="889">
        <f>0</f>
        <v>0</v>
      </c>
      <c r="BJ196" s="889">
        <f>0</f>
        <v>0</v>
      </c>
      <c r="BK196" s="889">
        <f>0</f>
        <v>0</v>
      </c>
      <c r="BL196" s="889">
        <f>0</f>
        <v>0</v>
      </c>
      <c r="BM196" s="889">
        <f>0</f>
        <v>0</v>
      </c>
      <c r="BN196" s="889">
        <f>0</f>
        <v>0</v>
      </c>
      <c r="BO196" s="889">
        <f>0</f>
        <v>0</v>
      </c>
      <c r="BP196" s="889">
        <f>0</f>
        <v>0</v>
      </c>
      <c r="BQ196" s="889">
        <f>0</f>
        <v>0</v>
      </c>
      <c r="BR196" s="889">
        <f>0</f>
        <v>0</v>
      </c>
      <c r="BS196" s="889">
        <f>0</f>
        <v>0</v>
      </c>
      <c r="BT196" s="889">
        <f>0</f>
        <v>0</v>
      </c>
      <c r="BU196" s="889">
        <f>0</f>
        <v>0</v>
      </c>
      <c r="BV196" s="890">
        <f>0</f>
        <v>0</v>
      </c>
      <c r="BW196" s="889">
        <f>0</f>
        <v>0</v>
      </c>
      <c r="BX196" s="889">
        <f>0</f>
        <v>0</v>
      </c>
      <c r="BY196" s="2557">
        <f>0</f>
        <v>0</v>
      </c>
      <c r="BZ196" s="889">
        <f>0</f>
        <v>0</v>
      </c>
      <c r="CA196" s="889">
        <f>0</f>
        <v>0</v>
      </c>
      <c r="CB196" s="889">
        <f>0</f>
        <v>0</v>
      </c>
      <c r="CC196" s="889">
        <f>0</f>
        <v>0</v>
      </c>
      <c r="CD196" s="889">
        <f>0</f>
        <v>0</v>
      </c>
      <c r="CE196" s="889">
        <f>0</f>
        <v>0</v>
      </c>
      <c r="CF196" s="889">
        <f>0</f>
        <v>0</v>
      </c>
      <c r="CG196" s="889">
        <f>0</f>
        <v>0</v>
      </c>
      <c r="CH196" s="889">
        <f>0</f>
        <v>0</v>
      </c>
      <c r="CI196" s="889">
        <f>0</f>
        <v>0</v>
      </c>
      <c r="CJ196" s="2557">
        <f>0</f>
        <v>0</v>
      </c>
      <c r="CK196" s="889">
        <f>0</f>
        <v>0</v>
      </c>
      <c r="CL196" s="889">
        <f>0</f>
        <v>0</v>
      </c>
      <c r="CM196" s="889">
        <f>0</f>
        <v>0</v>
      </c>
      <c r="CN196" s="889">
        <f>0</f>
        <v>0</v>
      </c>
      <c r="CO196" s="889">
        <f>0</f>
        <v>0</v>
      </c>
      <c r="CP196" s="889">
        <f>0</f>
        <v>0</v>
      </c>
      <c r="CQ196" s="889">
        <f>0</f>
        <v>0</v>
      </c>
      <c r="CR196" s="889">
        <f>0</f>
        <v>0</v>
      </c>
      <c r="CS196" s="2557">
        <f>0</f>
        <v>0</v>
      </c>
      <c r="CT196" s="2557">
        <f>0</f>
        <v>0</v>
      </c>
      <c r="CU196" s="2557">
        <f>0</f>
        <v>0</v>
      </c>
      <c r="CV196" s="2858">
        <f>µ_FERM_PAO_T*X_CASTO*actferm_PAO_ORP*L_oginhSVFA_KVFA_FERM*M_satSB_KSB_ana*M_satSNHx_KNHx_BIO*M_satSPO4_KPO4_BIO*M_satSCAT_KCAT*M_satSAN_KAN*M_satSCa_KCa*M_satSMg_KMg*M_satSCO2_KCO2_BIO*B_ellinhpH</f>
        <v>2.4190498214542316E-24</v>
      </c>
      <c r="CX196" s="2880">
        <f>E299*E196+F299*F196+G299*G196+H299*H196+I299*I196+J299*J196+K299*K196+L299*L196+M299*M196+N299*N196+O299*O196+P299*P196+Q299*Q196+R299*R196+S299*S196+T299*T196+U299*U196+V299*V196+W299*W196+X299*X196+Y299*Y196+Z299*Z196+AA299*AA196+AB299*AB196+AC299*AC196+AD299*AD196+AE299*AE196+AF299*AF196+AG299*AG196+AH299*AH196+AI299*AI196+AJ299*AJ196+AK299*AK196+AL299*AL196+AM299*AM196+AN299*AN196+AO299*AO196+AP299*AP196+AQ299*AQ196+AR299*AR196+AS299*AS196+AT299*AT196+AU299*AU196+AV299*AV196+AW299*AW196+AX299*AX196+AY299*AY196+AZ299*AZ196+BA299*BA196+BB299*BB196+BC299*BC196+BD299*BD196+BE299*BE196+BF299*BF196+BG299*BG196+BH299*BH196+BI299*BI196+BJ299*BJ196+BK299*BK196+BL299*BL196+BM299*BM196+BN299*BN196+BO299*BO196+BP299*BP196+BQ299*BQ196+BR299*BR196+BS299*BS196+BT299*BT196+BU299*BU196+BV299*BV196+BW299*BW196+BX299*BX196+BY299*BY196+BZ299*BZ196+CA299*CA196+CB299*CB196+CC299*CC196+CD299*CD196+CE299*CE196+CF299*CF196+CG299*CG196+CH299*CH196+CI299*CI196+CJ299*CJ196+CK299*CK196+CL299*CL196+CM299*CM196+CN299*CN196+CO299*CO196+CP299*CP196+CQ299*CQ196+CR299*CR196+CS299*CS196+CT299*CT196+CU299*CU196</f>
        <v>0</v>
      </c>
      <c r="CY196" s="2880">
        <f>E300*E196+F300*F196+G300*G196+H300*H196+I300*I196+J300*J196+K300*K196+L300*L196+M300*M196+N300*N196+O300*O196+P300*P196+Q300*Q196+R300*R196+S300*S196+T300*T196+U300*U196+V300*V196+W300*W196+X300*X196+Y300*Y196+Z300*Z196+AA300*AA196+AB300*AB196+AC300*AC196+AD300*AD196+AE300*AE196+AF300*AF196+AG300*AG196+AH300*AH196+AI300*AI196+AJ300*AJ196+AK300*AK196+AL300*AL196+AM300*AM196+AN300*AN196+AO300*AO196+AP300*AP196+AQ300*AQ196+AR300*AR196+AS300*AS196+AT300*AT196+AU300*AU196+AV300*AV196+AW300*AW196+AX300*AX196+AY300*AY196+AZ300*AZ196+BA300*BA196+BB300*BB196+BC300*BC196+BD300*BD196+BE300*BE196+BF300*BF196+BG300*BG196+BH300*BH196+BI300*BI196+BJ300*BJ196+BK300*BK196+BL300*BL196+BM300*BM196+BN300*BN196+BO300*BO196+BP300*BP196+BQ300*BQ196+BR300*BR196+BS300*BS196+BT300*BT196+BU300*BU196+BV300*BV196+BW300*BW196+BX300*BX196+BY300*BY196+BZ300*BZ196+CA300*CA196+CB300*CB196+CC300*CC196+CD300*CD196+CE300*CE196+CF300*CF196+CG300*CG196+CH300*CH196+CI300*CI196+CJ300*CJ196+CK300*CK196+CL300*CL196+CM300*CM196+CN300*CN196+CO300*CO196+CP300*CP196+CQ300*CQ196+CR300*CR196+CS300*CS196+CT300*CT196+CU300*CU196</f>
        <v>-5.5511151231257827E-16</v>
      </c>
      <c r="CZ196" s="2881">
        <f>E301*E196+F301*F196+G301*G196+H301*H196+I301*I196+J301*J196+K301*K196+L301*L196+M301*M196+N301*N196+O301*O196+P301*P196+Q301*Q196+R301*R196+S301*S196+T301*T196+U301*U196+V301*V196+W301*W196+X301*X196+Y301*Y196+Z301*Z196+AA301*AA196+AB301*AB196+AC301*AC196+AD301*AD196+AE301*AE196+AF301*AF196+AG301*AG196+AH301*AH196+AI301*AI196+AJ301*AJ196+AK301*AK196+AL301*AL196+AM301*AM196+AN301*AN196+AO301*AO196+AP301*AP196+AQ301*AQ196+AR301*AR196+AS301*AS196+AT301*AT196+AU301*AU196+AV301*AV196+AW301*AW196+AX301*AX196+AY301*AY196+AZ301*AZ196+BA301*BA196+BB301*BB196+BC301*BC196+BD301*BD196+BE301*BE196+BF301*BF196+BG301*BG196+BH301*BH196+BI301*BI196+BJ301*BJ196+BK301*BK196+BL301*BL196+BM301*BM196+BN301*BN196+BO301*BO196+BP301*BP196+BQ301*BQ196+BR301*BR196+BS301*BS196+BT301*BT196+BU301*BU196+BV301*BV196+BW301*BW196+BX301*BX196+BY301*BY196+BZ301*BZ196+CA301*CA196+CB301*CB196+CC301*CC196+CD301*CD196+CE301*CE196+CF301*CF196+CG301*CG196+CH301*CH196+CI301*CI196+CJ301*CJ196+CK301*CK196+CL301*CL196+CM301*CM196+CN301*CN196+CO301*CO196+CP301*CP196+CQ301*CQ196+CR301*CR196+CS301*CS196+CT301*CT196+CU301*CU196</f>
        <v>0</v>
      </c>
      <c r="DA196" s="2882">
        <f>E302*E196+F302*F196+G302*G196+H302*H196+I302*I196+J302*J196+K302*K196+L302*L196+M302*M196+N302*N196+O302*O196+P302*P196+Q302*Q196+R302*R196+S302*S196+T302*T196+U302*U196+V302*V196+W302*W196+X302*X196+Y302*Y196+Z302*Z196+AA302*AA196+AB302*AB196+AC302*AC196+AD302*AD196+AE302*AE196+AF302*AF196+AG302*AG196+AH302*AH196+AI302*AI196+AJ302*AJ196+AK302*AK196+AL302*AL196+AM302*AM196+AN302*AN196+AO302*AO196+AP302*AP196+AQ302*AQ196+AR302*AR196+AS302*AS196+AT302*AT196+AU302*AU196+AV302*AV196+AW302*AW196+AX302*AX196+AY302*AY196+AZ302*AZ196+BA302*BA196+BB302*BB196+BC302*BC196+BD302*BD196+BE302*BE196+BF302*BF196+BG302*BG196+BH302*BH196+BI302*BI196+BJ302*BJ196+BK302*BK196+BL302*BL196+BM302*BM196+BN302*BN196+BO302*BO196+BP302*BP196+BQ302*BQ196+BR302*BR196+BS302*BS196+BT302*BT196+BU302*BU196+BV302*BV196+BW302*BW196+BX302*BX196+BY302*BY196+BZ302*BZ196+CA302*CA196+CB302*CB196+CC302*CC196+CD302*CD196+CE302*CE196+CF302*CF196+CG302*CG196+CH302*CH196+CI302*CI196+CJ302*CJ196+CK302*CK196+CL302*CL196+CM302*CM196+CN302*CN196+CO302*CO196+CP302*CP196+CQ302*CQ196+CR302*CR196+CS302*CS196+CT302*CT196+CU302*CU196</f>
        <v>0</v>
      </c>
      <c r="DB196" s="2882">
        <f>E303*E196+F303*F196+G303*G196+H303*H196+I303*I196+J303*J196+K303*K196+L303*L196+M303*M196+N303*N196+O303*O196+P303*P196+Q303*Q196+R303*R196+S303*S196+T303*T196+U303*U196+V303*V196+W303*W196+X303*X196+Y303*Y196+Z303*Z196+AA303*AA196+AB303*AB196+AC303*AC196+AD303*AD196+AE303*AE196+AF303*AF196+AG303*AG196+AH303*AH196+AI303*AI196+AJ303*AJ196+AK303*AK196+AL303*AL196+AM303*AM196+AN303*AN196+AO303*AO196+AP303*AP196+AQ303*AQ196+AR303*AR196+AS303*AS196+AT303*AT196+AU303*AU196+AV303*AV196+AW303*AW196+AX303*AX196+AY303*AY196+AZ303*AZ196+BA303*BA196+BB303*BB196+BC303*BC196+BD303*BD196+BE303*BE196+BF303*BF196+BG303*BG196+BH303*BH196+BI303*BI196+BJ303*BJ196+BK303*BK196+BL303*BL196+BM303*BM196+BN303*BN196+BO303*BO196+BP303*BP196+BQ303*BQ196+BR303*BR196+BS303*BS196+BT303*BT196+BU303*BU196+BV303*BV196+BW303*BW196+BX303*BX196+BY303*BY196+BZ303*BZ196+CA303*CA196+CB303*CB196+CC303*CC196+CD303*CD196+CE303*CE196+CF303*CF196+CG303*CG196+CH303*CH196+CI303*CI196+CJ303*CJ196+CK303*CK196+CL303*CL196+CM303*CM196+CN303*CN196+CO303*CO196+CP303*CP196+CQ303*CQ196+CR303*CR196+CS303*CS196+CT303*CT196+CU303*CU196</f>
        <v>0</v>
      </c>
      <c r="DC196" s="2882">
        <f>E304*E196+F304*F196+G304*G196+H304*H196+I304*I196+J304*J196+K304*K196+L304*L196+M304*M196+N304*N196+O304*O196+P304*P196+Q304*Q196+R304*R196+S304*S196+T304*T196+U304*U196+V304*V196+W304*W196+X304*X196+Y304*Y196+Z304*Z196+AA304*AA196+AB304*AB196+AC304*AC196+AD304*AD196+AE304*AE196+AF304*AF196+AG304*AG196+AH304*AH196+AI304*AI196+AJ304*AJ196+AK304*AK196+AL304*AL196+AM304*AM196+AN304*AN196+AO304*AO196+AP304*AP196+AQ304*AQ196+AR304*AR196+AS304*AS196+AT304*AT196+AU304*AU196+AV304*AV196+AW304*AW196+AX304*AX196+AY304*AY196+AZ304*AZ196+BA304*BA196+BB304*BB196+BC304*BC196+BD304*BD196+BE304*BE196+BF304*BF196+BG304*BG196+BH304*BH196+BI304*BI196+BJ304*BJ196+BK304*BK196+BL304*BL196+BM304*BM196+BN304*BN196+BO304*BO196+BP304*BP196+BQ304*BQ196+BR304*BR196+BS304*BS196+BT304*BT196+BU304*BU196+BV304*BV196+BW304*BW196+BX304*BX196+BY304*BY196+BZ304*BZ196+CA304*CA196+CB304*CB196+CC304*CC196+CD304*CD196+CE304*CE196+CF304*CF196+CG304*CG196+CH304*CH196+CI304*CI196+CJ304*CJ196+CK304*CK196+CL304*CL196+CM304*CM196+CN304*CN196+CO304*CO196+CP304*CP196+CQ304*CQ196+CR304*CR196+CS304*CS196+CT304*CT196+CU304*CU196</f>
        <v>0</v>
      </c>
      <c r="DD196" s="2882">
        <f>E305*E196+F305*F196+G305*G196+H305*H196+I305*I196+J305*J196+K305*K196+L305*L196+M305*M196+N305*N196+O305*O196+P305*P196+Q305*Q196+R305*R196+S305*S196+T305*T196+U305*U196+V305*V196+W305*W196+X305*X196+Y305*Y196+Z305*Z196+AA305*AA196+AB305*AB196+AC305*AC196+AD305*AD196+AE305*AE196+AF305*AF196+AG305*AG196+AH305*AH196+AI305*AI196+AJ305*AJ196+AK305*AK196+AL305*AL196+AM305*AM196+AN305*AN196+AO305*AO196+AP305*AP196+AQ305*AQ196+AR305*AR196+AS305*AS196+AT305*AT196+AU305*AU196+AV305*AV196+AW305*AW196+AX305*AX196+AY305*AY196+AZ305*AZ196+BA305*BA196+BB305*BB196+BC305*BC196+BD305*BD196+BE305*BE196+BF305*BF196+BG305*BG196+BH305*BH196+BI305*BI196+BJ305*BJ196+BK305*BK196+BL305*BL196+BM305*BM196+BN305*BN196+BO305*BO196+BP305*BP196+BQ305*BQ196+BR305*BR196+BS305*BS196+BT305*BT196+BU305*BU196+BV305*BV196+BW305*BW196+BX305*BX196+BY305*BY196+BZ305*BZ196+CA305*CA196+CB305*CB196+CC305*CC196+CD305*CD196+CE305*CE196+CF305*CF196+CG305*CG196+CH305*CH196+CI305*CI196+CJ305*CJ196+CK305*CK196+CL305*CL196+CM305*CM196+CN305*CN196+CO305*CO196+CP305*CP196+CQ305*CQ196+CR305*CR196+CS305*CS196+CT305*CT196+CU305*CU196</f>
        <v>0</v>
      </c>
      <c r="DE196" s="2882">
        <f>E306*E196+F306*F196+G306*G196+H306*H196+I306*I196+J306*J196+K306*K196+L306*L196+M306*M196+N306*N196+O306*O196+P306*P196+Q306*Q196+R306*R196+S306*S196+T306*T196+U306*U196+V306*V196+W306*W196+X306*X196+Y306*Y196+Z306*Z196+AA306*AA196+AB306*AB196+AC306*AC196+AD306*AD196+AE306*AE196+AF306*AF196+AG306*AG196+AH306*AH196+AI306*AI196+AJ306*AJ196+AK306*AK196+AL306*AL196+AM306*AM196+AN306*AN196+AO306*AO196+AP306*AP196+AQ306*AQ196+AR306*AR196+AS306*AS196+AT306*AT196+AU306*AU196+AV306*AV196+AW306*AW196+AX306*AX196+AY306*AY196+AZ306*AZ196+BA306*BA196+BB306*BB196+BC306*BC196+BD306*BD196+BE306*BE196+BF306*BF196+BG306*BG196+BH306*BH196+BI306*BI196+BJ306*BJ196+BK306*BK196+BL306*BL196+BM306*BM196+BN306*BN196+BO306*BO196+BP306*BP196+BQ306*BQ196+BR306*BR196+BS306*BS196+BT306*BT196+BU306*BU196+BV306*BV196+BW306*BW196+BX306*BX196+BY306*BY196+BZ306*BZ196+CA306*CA196+CB306*CB196+CC306*CC196+CD306*CD196+CE306*CE196+CF306*CF196+CG306*CG196+CH306*CH196+CI306*CI196+CJ306*CJ196+CK306*CK196+CL306*CL196+CM306*CM196+CN306*CN196+CO306*CO196+CP306*CP196+CQ306*CQ196+CR306*CR196+CS306*CS196+CT306*CT196+CU306*CU196</f>
        <v>0</v>
      </c>
      <c r="DF196" s="2882">
        <f>E307*E196+F307*F196+G307*G196+H307*H196+I307*I196+J307*J196+K307*K196+L307*L196+M307*M196+N307*N196+O307*O196+P307*P196+Q307*Q196+R307*R196+S307*S196+T307*T196+U307*U196+V307*V196+W307*W196+X307*X196+Y307*Y196+Z307*Z196+AA307*AA196+AB307*AB196+AC307*AC196+AD307*AD196+AE307*AE196+AF307*AF196+AG307*AG196+AH307*AH196+AI307*AI196+AJ307*AJ196+AK307*AK196+AL307*AL196+AM307*AM196+AN307*AN196+AO307*AO196+AP307*AP196+AQ307*AQ196+AR307*AR196+AS307*AS196+AT307*AT196+AU307*AU196+AV307*AV196+AW307*AW196+AX307*AX196+AY307*AY196+AZ307*AZ196+BA307*BA196+BB307*BB196+BC307*BC196+BD307*BD196+BE307*BE196+BF307*BF196+BG307*BG196+BH307*BH196+BI307*BI196+BJ307*BJ196+BK307*BK196+BL307*BL196+BM307*BM196+BN307*BN196+BO307*BO196+BP307*BP196+BQ307*BQ196+BR307*BR196+BS307*BS196+BT307*BT196+BU307*BU196+BV307*BV196+BW307*BW196+BX307*BX196+BY307*BY196+BZ307*BZ196+CA307*CA196+CB307*CB196+CC307*CC196+CD307*CD196+CE307*CE196+CF307*CF196+CG307*CG196+CH307*CH196+CI307*CI196+CJ307*CJ196+CK307*CK196+CL307*CL196+CM307*CM196+CN307*CN196+CO307*CO196+CP307*CP196+CQ307*CQ196+CR307*CR196+CS307*CS196+CT307*CT196+CU307*CU196</f>
        <v>0</v>
      </c>
      <c r="DG196" s="2882">
        <f>E308*E196+F308*F196+G308*G196+H308*H196+I308*I196+J308*J196+K308*K196+L308*L196+M308*M196+N308*N196+O308*O196+P308*P196+Q308*Q196+R308*R196+S308*S196+T308*T196+U308*U196+V308*V196+W308*W196+X308*X196+Y308*Y196+Z308*Z196+AA308*AA196+AB308*AB196+AC308*AC196+AD308*AD196+AE308*AE196+AF308*AF196+AG308*AG196+AH308*AH196+AI308*AI196+AJ308*AJ196+AK308*AK196+AL308*AL196+AM308*AM196+AN308*AN196+AO308*AO196+AP308*AP196+AQ308*AQ196+AR308*AR196+AS308*AS196+AT308*AT196+AU308*AU196+AV308*AV196+AW308*AW196+AX308*AX196+AY308*AY196+AZ308*AZ196+BA308*BA196+BB308*BB196+BC308*BC196+BD308*BD196+BE308*BE196+BF308*BF196+BG308*BG196+BH308*BH196+BI308*BI196+BJ308*BJ196+BK308*BK196+BL308*BL196+BM308*BM196+BN308*BN196+BO308*BO196+BP308*BP196+BQ308*BQ196+BR308*BR196+BS308*BS196+BT308*BT196+BU308*BU196+BV308*BV196+BW308*BW196+BX308*BX196+BY308*BY196+BZ308*BZ196+CA308*CA196+CB308*CB196+CC308*CC196+CD308*CD196+CE308*CE196+CF308*CF196+CG308*CG196+CH308*CH196+CI308*CI196+CJ308*CJ196+CK308*CK196+CL308*CL196+CM308*CM196+CN308*CN196+CO308*CO196+CP308*CP196+CQ308*CQ196+CR308*CR196+CS308*CS196+CT308*CT196+CU308*CU196</f>
        <v>0</v>
      </c>
      <c r="DH196" s="2882">
        <f>E309*E196+F309*F196+G309*G196+H309*H196+I309*I196+J309*J196+K309*K196+L309*L196+M309*M196+N309*N196+O309*O196+P309*P196+Q309*Q196+R309*R196+S309*S196+T309*T196+U309*U196+V309*V196+W309*W196+X309*X196+Y309*Y196+Z309*Z196+AA309*AA196+AB309*AB196+AC309*AC196+AD309*AD196+AE309*AE196+AF309*AF196+AG309*AG196+AH309*AH196+AI309*AI196+AJ309*AJ196+AK309*AK196+AL309*AL196+AM309*AM196+AN309*AN196+AO309*AO196+AP309*AP196+AQ309*AQ196+AR309*AR196+AS309*AS196+AT309*AT196+AU309*AU196+AV309*AV196+AW309*AW196+AX309*AX196+AY309*AY196+AZ309*AZ196+BA309*BA196+BB309*BB196+BC309*BC196+BD309*BD196+BE309*BE196+BF309*BF196+BG309*BG196+BH309*BH196+BI309*BI196+BJ309*BJ196+BK309*BK196+BL309*BL196+BM309*BM196+BN309*BN196+BO309*BO196+BP309*BP196+BQ309*BQ196+BR309*BR196+BS309*BS196+BT309*BT196+BU309*BU196+BV309*BV196+BW309*BW196+BX309*BX196+BY309*BY196+BZ309*BZ196+CA309*CA196+CB309*CB196+CC309*CC196+CD309*CD196+CE309*CE196+CF309*CF196+CG309*CG196+CH309*CH196+CI309*CI196+CJ309*CJ196+CK309*CK196+CL309*CL196+CM309*CM196+CN309*CN196+CO309*CO196+CP309*CP196+CQ309*CQ196+CR309*CR196+CS309*CS196+CT309*CT196+CU309*CU196</f>
        <v>0</v>
      </c>
      <c r="DI196" s="2882">
        <f>E310*E196+F310*F196+G310*G196+H310*H196+I310*I196+J310*J196+K310*K196+L310*L196+M310*M196+N310*N196+O310*O196+P310*P196+Q310*Q196+R310*R196+S310*S196+T310*T196+U310*U196+V310*V196+W310*W196+X310*X196+Y310*Y196+Z310*Z196+AA310*AA196+AB310*AB196+AC310*AC196+AD310*AD196+AE310*AE196+AF310*AF196+AG310*AG196+AH310*AH196+AI310*AI196+AJ310*AJ196+AK310*AK196+AL310*AL196+AM310*AM196+AN310*AN196+AO310*AO196+AP310*AP196+AQ310*AQ196+AR310*AR196+AS310*AS196+AT310*AT196+AU310*AU196+AV310*AV196+AW310*AW196+AX310*AX196+AY310*AY196+AZ310*AZ196+BA310*BA196+BB310*BB196+BC310*BC196+BD310*BD196+BE310*BE196+BF310*BF196+BG310*BG196+BH310*BH196+BI310*BI196+BJ310*BJ196+BK310*BK196+BL310*BL196+BM310*BM196+BN310*BN196+BO310*BO196+BP310*BP196+BQ310*BQ196+BR310*BR196+BS310*BS196+BT310*BT196+BU310*BU196+BV310*BV196+BW310*BW196+BX310*BX196+BY310*BY196+BZ310*BZ196+CA310*CA196+CB310*CB196+CC310*CC196+CD310*CD196+CE310*CE196+CF310*CF196+CG310*CG196+CH310*CH196+CI310*CI196+CJ310*CJ196+CK310*CK196+CL310*CL196+CM310*CM196+CN310*CN196+CO310*CO196+CP310*CP196+CQ310*CQ196+CR310*CR196+CS310*CS196+CT310*CT196+CU310*CU196</f>
        <v>0</v>
      </c>
    </row>
    <row r="197" spans="2:113" x14ac:dyDescent="0.45">
      <c r="B197" s="915">
        <v>38</v>
      </c>
      <c r="C197" s="915" t="s">
        <v>4895</v>
      </c>
      <c r="D197" s="916" t="s">
        <v>4433</v>
      </c>
      <c r="E197" s="889">
        <f>X_STC/X_CASTO</f>
        <v>4.5999999999999999E-2</v>
      </c>
      <c r="F197" s="890">
        <f>0</f>
        <v>0</v>
      </c>
      <c r="G197" s="890">
        <f>0</f>
        <v>0</v>
      </c>
      <c r="H197" s="890">
        <f>0</f>
        <v>0</v>
      </c>
      <c r="I197" s="890">
        <f>1-f_E</f>
        <v>0.92</v>
      </c>
      <c r="J197" s="890">
        <f>0</f>
        <v>0</v>
      </c>
      <c r="K197" s="890">
        <f>0</f>
        <v>0</v>
      </c>
      <c r="L197" s="890">
        <f>0</f>
        <v>0</v>
      </c>
      <c r="M197" s="889">
        <f>-X_PHA/X_CASTO</f>
        <v>-0.04</v>
      </c>
      <c r="N197" s="889">
        <f>-X_GLY/X_CASTO</f>
        <v>-6.0000000000000001E-3</v>
      </c>
      <c r="O197" s="890">
        <f>f_E</f>
        <v>0.08</v>
      </c>
      <c r="P197" s="890">
        <f>0</f>
        <v>0</v>
      </c>
      <c r="Q197" s="890">
        <f>0</f>
        <v>0</v>
      </c>
      <c r="R197" s="890">
        <f>-1</f>
        <v>-1</v>
      </c>
      <c r="S197" s="890">
        <f>0</f>
        <v>0</v>
      </c>
      <c r="T197" s="890">
        <f>0</f>
        <v>0</v>
      </c>
      <c r="U197" s="890">
        <f>0</f>
        <v>0</v>
      </c>
      <c r="V197" s="890">
        <f>0</f>
        <v>0</v>
      </c>
      <c r="W197" s="890">
        <f>0</f>
        <v>0</v>
      </c>
      <c r="X197" s="890">
        <f>0</f>
        <v>0</v>
      </c>
      <c r="Y197" s="2546">
        <f>0</f>
        <v>0</v>
      </c>
      <c r="Z197" s="2546">
        <f>0</f>
        <v>0</v>
      </c>
      <c r="AA197" s="2546">
        <f>0</f>
        <v>0</v>
      </c>
      <c r="AB197" s="890">
        <f>-f_E*(i_N_XE-i_N_BIO)</f>
        <v>8.0000000000000069E-4</v>
      </c>
      <c r="AC197" s="890">
        <f>0</f>
        <v>0</v>
      </c>
      <c r="AD197" s="890">
        <f>0</f>
        <v>0</v>
      </c>
      <c r="AE197" s="890">
        <f>0</f>
        <v>0</v>
      </c>
      <c r="AF197" s="890">
        <f>0</f>
        <v>0</v>
      </c>
      <c r="AG197" s="890">
        <f>0</f>
        <v>0</v>
      </c>
      <c r="AH197" s="890">
        <f>0</f>
        <v>0</v>
      </c>
      <c r="AI197" s="890">
        <f>0</f>
        <v>0</v>
      </c>
      <c r="AJ197" s="890">
        <f>0</f>
        <v>0</v>
      </c>
      <c r="AK197" s="890">
        <f>(1-f_E)*i_N_BIO</f>
        <v>6.4400000000000013E-2</v>
      </c>
      <c r="AL197" s="890">
        <f>0</f>
        <v>0</v>
      </c>
      <c r="AM197" s="889">
        <f>X_PP/X_CASTO</f>
        <v>0.12</v>
      </c>
      <c r="AN197" s="889">
        <f>-X_PP/X_CASTO</f>
        <v>-0.12</v>
      </c>
      <c r="AO197" s="890">
        <f>0</f>
        <v>0</v>
      </c>
      <c r="AP197" s="890">
        <f>(1-f_E)*i_P_BIO</f>
        <v>1.84E-2</v>
      </c>
      <c r="AQ197" s="890">
        <f>0</f>
        <v>0</v>
      </c>
      <c r="AR197" s="890">
        <f>0</f>
        <v>0</v>
      </c>
      <c r="AS197" s="890">
        <f>0</f>
        <v>0</v>
      </c>
      <c r="AT197" s="890">
        <f>0</f>
        <v>0</v>
      </c>
      <c r="AU197" s="890">
        <f>(1-f_E)*(i_CIT_BIO-i_CIT_SB)+(i_CIT_STC-i_CIT_VFA)*X_STC/X_CASTO</f>
        <v>5.9040000000000002E-2</v>
      </c>
      <c r="AV197" s="890">
        <f>-i_INORG</f>
        <v>-0.11</v>
      </c>
      <c r="AW197" s="889">
        <f>i_INORG*(1-i_Ca_INORG*(A_MCa+2*A_MCl)/A_MCa-i_Mg_INORG*(A_MMg+2*A_MCl)/A_MMg)*f_Na</f>
        <v>2.8804303582798466E-2</v>
      </c>
      <c r="AX197" s="889">
        <f>i_INORG*(i_Ca_INORG*(2*A_MCl)/A_MCa+i_Mg_INORG*(2*A_MCl)/A_MMg)+i_INORG*(1-i_Ca_INORG*(A_MCa+2*A_MCl)/A_MCa-i_Mg_INORG*(A_MMg+2*A_MCl)/A_MMg)*(1-f_Na)</f>
        <v>7.0195696417201539E-2</v>
      </c>
      <c r="AY197" s="889">
        <f>i_INORG*i_Ca_INORG+X_PP*A_MCa/A_MP*i_Ca_PP/X_CASTO</f>
        <v>2.102720644313593E-2</v>
      </c>
      <c r="AZ197" s="889">
        <f>i_INORG*i_Mg_INORG+X_PP*A_MMg/A_MP*i_Mg_PP/X_CASTO</f>
        <v>3.8457249216564328E-2</v>
      </c>
      <c r="BA197" s="889">
        <f>X_PP*A_MK/A_MP*i_K_PP/X_CASTO</f>
        <v>1.5147646481253094E-2</v>
      </c>
      <c r="BB197" s="2557">
        <f>0</f>
        <v>0</v>
      </c>
      <c r="BC197" s="2557">
        <f>(1-f_E)*i_S_BIO-(1-f_E)*i_S_XB</f>
        <v>7.8200000000000006E-3</v>
      </c>
      <c r="BD197" s="2557">
        <f>0</f>
        <v>0</v>
      </c>
      <c r="BE197" s="890">
        <f>0</f>
        <v>0</v>
      </c>
      <c r="BF197" s="890">
        <f>0</f>
        <v>0</v>
      </c>
      <c r="BG197" s="890">
        <f>0</f>
        <v>0</v>
      </c>
      <c r="BH197" s="890">
        <f>0</f>
        <v>0</v>
      </c>
      <c r="BI197" s="890">
        <f>0</f>
        <v>0</v>
      </c>
      <c r="BJ197" s="890">
        <f>0</f>
        <v>0</v>
      </c>
      <c r="BK197" s="890">
        <f>0</f>
        <v>0</v>
      </c>
      <c r="BL197" s="890">
        <f>0</f>
        <v>0</v>
      </c>
      <c r="BM197" s="890">
        <f>0</f>
        <v>0</v>
      </c>
      <c r="BN197" s="890">
        <f>0</f>
        <v>0</v>
      </c>
      <c r="BO197" s="890">
        <f>0</f>
        <v>0</v>
      </c>
      <c r="BP197" s="890">
        <f>0</f>
        <v>0</v>
      </c>
      <c r="BQ197" s="890">
        <f>0</f>
        <v>0</v>
      </c>
      <c r="BR197" s="890">
        <f>0</f>
        <v>0</v>
      </c>
      <c r="BS197" s="890">
        <f>0</f>
        <v>0</v>
      </c>
      <c r="BT197" s="890">
        <f>0</f>
        <v>0</v>
      </c>
      <c r="BU197" s="890">
        <f>0</f>
        <v>0</v>
      </c>
      <c r="BV197" s="890">
        <f>0</f>
        <v>0</v>
      </c>
      <c r="BW197" s="890">
        <f>0</f>
        <v>0</v>
      </c>
      <c r="BX197" s="890">
        <f>0</f>
        <v>0</v>
      </c>
      <c r="BY197" s="2546">
        <f>0</f>
        <v>0</v>
      </c>
      <c r="BZ197" s="890">
        <f>0</f>
        <v>0</v>
      </c>
      <c r="CA197" s="890">
        <f>0</f>
        <v>0</v>
      </c>
      <c r="CB197" s="890">
        <f>0</f>
        <v>0</v>
      </c>
      <c r="CC197" s="890">
        <f>0</f>
        <v>0</v>
      </c>
      <c r="CD197" s="890">
        <f>0</f>
        <v>0</v>
      </c>
      <c r="CE197" s="890">
        <f>0</f>
        <v>0</v>
      </c>
      <c r="CF197" s="890">
        <f>0</f>
        <v>0</v>
      </c>
      <c r="CG197" s="890">
        <f>0</f>
        <v>0</v>
      </c>
      <c r="CH197" s="890">
        <f>0</f>
        <v>0</v>
      </c>
      <c r="CI197" s="890">
        <f>0</f>
        <v>0</v>
      </c>
      <c r="CJ197" s="2546">
        <f>0</f>
        <v>0</v>
      </c>
      <c r="CK197" s="890">
        <f>0</f>
        <v>0</v>
      </c>
      <c r="CL197" s="890">
        <f>0</f>
        <v>0</v>
      </c>
      <c r="CM197" s="890">
        <f>0</f>
        <v>0</v>
      </c>
      <c r="CN197" s="890">
        <f>0</f>
        <v>0</v>
      </c>
      <c r="CO197" s="890">
        <f>0</f>
        <v>0</v>
      </c>
      <c r="CP197" s="890">
        <f>0</f>
        <v>0</v>
      </c>
      <c r="CQ197" s="890">
        <f>0</f>
        <v>0</v>
      </c>
      <c r="CR197" s="890">
        <f>0</f>
        <v>0</v>
      </c>
      <c r="CS197" s="2546">
        <f>0</f>
        <v>0</v>
      </c>
      <c r="CT197" s="2546">
        <f>0</f>
        <v>0</v>
      </c>
      <c r="CU197" s="2546">
        <f>0</f>
        <v>0</v>
      </c>
      <c r="CV197" s="2858">
        <f>b_CASTO_T*M_RinhXSTC_XCASTO_KSTC*(X_CASTO*M_satSO2_KO2_CASTO+η_bCASTO_anox*(X_GAO+X_PAO*M_RinhXPP_XPAO_KPP)*(M_satSNO2_KNO2_CASTO+M_inhSNO2_KNO2_CASTO*M_satSNO3_KNO3_CASTO)*M_inhSO2_KO2_CASTO)</f>
        <v>26.791831827110222</v>
      </c>
      <c r="CX197" s="2880">
        <f>E299*E197+F299*F197+G299*G197+H299*H197+I299*I197+J299*J197+K299*K197+L299*L197+M299*M197+N299*N197+O299*O197+P299*P197+Q299*Q197+R299*R197+S299*S197+T299*T197+U299*U197+V299*V197+W299*W197+X299*X197+Y299*Y197+Z299*Z197+AA299*AA197+AB299*AB197+AC299*AC197+AD299*AD197+AE299*AE197+AF299*AF197+AG299*AG197+AH299*AH197+AI299*AI197+AJ299*AJ197+AK299*AK197+AL299*AL197+AM299*AM197+AN299*AN197+AO299*AO197+AP299*AP197+AQ299*AQ197+AR299*AR197+AS299*AS197+AT299*AT197+AU299*AU197+AV299*AV197+AW299*AW197+AX299*AX197+AY299*AY197+AZ299*AZ197+BA299*BA197+BB299*BB197+BC299*BC197+BD299*BD197+BE299*BE197+BF299*BF197+BG299*BG197+BH299*BH197+BI299*BI197+BJ299*BJ197+BK299*BK197+BL299*BL197+BM299*BM197+BN299*BN197+BO299*BO197+BP299*BP197+BQ299*BQ197+BR299*BR197+BS299*BS197+BT299*BT197+BU299*BU197+BV299*BV197+BW299*BW197+BX299*BX197+BY299*BY197+BZ299*BZ197+CA299*CA197+CB299*CB197+CC299*CC197+CD299*CD197+CE299*CE197+CF299*CF197+CG299*CG197+CH299*CH197+CI299*CI197+CJ299*CJ197+CK299*CK197+CL299*CL197+CM299*CM197+CN299*CN197+CO299*CO197+CP299*CP197+CQ299*CQ197+CR299*CR197+CS299*CS197+CT299*CT197+CU299*CU197</f>
        <v>0</v>
      </c>
      <c r="CY197" s="2880">
        <f>E300*E197+F300*F197+G300*G197+H300*H197+I300*I197+J300*J197+K300*K197+L300*L197+M300*M197+N300*N197+O300*O197+P300*P197+Q300*Q197+R300*R197+S300*S197+T300*T197+U300*U197+V300*V197+W300*W197+X300*X197+Y300*Y197+Z300*Z197+AA300*AA197+AB300*AB197+AC300*AC197+AD300*AD197+AE300*AE197+AF300*AF197+AG300*AG197+AH300*AH197+AI300*AI197+AJ300*AJ197+AK300*AK197+AL300*AL197+AM300*AM197+AN300*AN197+AO300*AO197+AP300*AP197+AQ300*AQ197+AR300*AR197+AS300*AS197+AT300*AT197+AU300*AU197+AV300*AV197+AW300*AW197+AX300*AX197+AY300*AY197+AZ300*AZ197+BA300*BA197+BB300*BB197+BC300*BC197+BD300*BD197+BE300*BE197+BF300*BF197+BG300*BG197+BH300*BH197+BI300*BI197+BJ300*BJ197+BK300*BK197+BL300*BL197+BM300*BM197+BN300*BN197+BO300*BO197+BP300*BP197+BQ300*BQ197+BR300*BR197+BS300*BS197+BT300*BT197+BU300*BU197+BV300*BV197+BW300*BW197+BX300*BX197+BY300*BY197+BZ300*BZ197+CA300*CA197+CB300*CB197+CC300*CC197+CD300*CD197+CE300*CE197+CF300*CF197+CG300*CG197+CH300*CH197+CI300*CI197+CJ300*CJ197+CK300*CK197+CL300*CL197+CM300*CM197+CN300*CN197+CO300*CO197+CP300*CP197+CQ300*CQ197+CR300*CR197+CS300*CS197+CT300*CT197+CU300*CU197</f>
        <v>2.0816681711721685E-17</v>
      </c>
      <c r="CZ197" s="2881">
        <f>E301*E197+F301*F197+G301*G197+H301*H197+I301*I197+J301*J197+K301*K197+L301*L197+M301*M197+N301*N197+O301*O197+P301*P197+Q301*Q197+R301*R197+S301*S197+T301*T197+U301*U197+V301*V197+W301*W197+X301*X197+Y301*Y197+Z301*Z197+AA301*AA197+AB301*AB197+AC301*AC197+AD301*AD197+AE301*AE197+AF301*AF197+AG301*AG197+AH301*AH197+AI301*AI197+AJ301*AJ197+AK301*AK197+AL301*AL197+AM301*AM197+AN301*AN197+AO301*AO197+AP301*AP197+AQ301*AQ197+AR301*AR197+AS301*AS197+AT301*AT197+AU301*AU197+AV301*AV197+AW301*AW197+AX301*AX197+AY301*AY197+AZ301*AZ197+BA301*BA197+BB301*BB197+BC301*BC197+BD301*BD197+BE301*BE197+BF301*BF197+BG301*BG197+BH301*BH197+BI301*BI197+BJ301*BJ197+BK301*BK197+BL301*BL197+BM301*BM197+BN301*BN197+BO301*BO197+BP301*BP197+BQ301*BQ197+BR301*BR197+BS301*BS197+BT301*BT197+BU301*BU197+BV301*BV197+BW301*BW197+BX301*BX197+BY301*BY197+BZ301*BZ197+CA301*CA197+CB301*CB197+CC301*CC197+CD301*CD197+CE301*CE197+CF301*CF197+CG301*CG197+CH301*CH197+CI301*CI197+CJ301*CJ197+CK301*CK197+CL301*CL197+CM301*CM197+CN301*CN197+CO301*CO197+CP301*CP197+CQ301*CQ197+CR301*CR197+CS301*CS197+CT301*CT197+CU301*CU197</f>
        <v>0</v>
      </c>
      <c r="DA197" s="2882">
        <f>E302*E197+F302*F197+G302*G197+H302*H197+I302*I197+J302*J197+K302*K197+L302*L197+M302*M197+N302*N197+O302*O197+P302*P197+Q302*Q197+R302*R197+S302*S197+T302*T197+U302*U197+V302*V197+W302*W197+X302*X197+Y302*Y197+Z302*Z197+AA302*AA197+AB302*AB197+AC302*AC197+AD302*AD197+AE302*AE197+AF302*AF197+AG302*AG197+AH302*AH197+AI302*AI197+AJ302*AJ197+AK302*AK197+AL302*AL197+AM302*AM197+AN302*AN197+AO302*AO197+AP302*AP197+AQ302*AQ197+AR302*AR197+AS302*AS197+AT302*AT197+AU302*AU197+AV302*AV197+AW302*AW197+AX302*AX197+AY302*AY197+AZ302*AZ197+BA302*BA197+BB302*BB197+BC302*BC197+BD302*BD197+BE302*BE197+BF302*BF197+BG302*BG197+BH302*BH197+BI302*BI197+BJ302*BJ197+BK302*BK197+BL302*BL197+BM302*BM197+BN302*BN197+BO302*BO197+BP302*BP197+BQ302*BQ197+BR302*BR197+BS302*BS197+BT302*BT197+BU302*BU197+BV302*BV197+BW302*BW197+BX302*BX197+BY302*BY197+BZ302*BZ197+CA302*CA197+CB302*CB197+CC302*CC197+CD302*CD197+CE302*CE197+CF302*CF197+CG302*CG197+CH302*CH197+CI302*CI197+CJ302*CJ197+CK302*CK197+CL302*CL197+CM302*CM197+CN302*CN197+CO302*CO197+CP302*CP197+CQ302*CQ197+CR302*CR197+CS302*CS197+CT302*CT197+CU302*CU197</f>
        <v>0</v>
      </c>
      <c r="DB197" s="2882">
        <f>E303*E197+F303*F197+G303*G197+H303*H197+I303*I197+J303*J197+K303*K197+L303*L197+M303*M197+N303*N197+O303*O197+P303*P197+Q303*Q197+R303*R197+S303*S197+T303*T197+U303*U197+V303*V197+W303*W197+X303*X197+Y303*Y197+Z303*Z197+AA303*AA197+AB303*AB197+AC303*AC197+AD303*AD197+AE303*AE197+AF303*AF197+AG303*AG197+AH303*AH197+AI303*AI197+AJ303*AJ197+AK303*AK197+AL303*AL197+AM303*AM197+AN303*AN197+AO303*AO197+AP303*AP197+AQ303*AQ197+AR303*AR197+AS303*AS197+AT303*AT197+AU303*AU197+AV303*AV197+AW303*AW197+AX303*AX197+AY303*AY197+AZ303*AZ197+BA303*BA197+BB303*BB197+BC303*BC197+BD303*BD197+BE303*BE197+BF303*BF197+BG303*BG197+BH303*BH197+BI303*BI197+BJ303*BJ197+BK303*BK197+BL303*BL197+BM303*BM197+BN303*BN197+BO303*BO197+BP303*BP197+BQ303*BQ197+BR303*BR197+BS303*BS197+BT303*BT197+BU303*BU197+BV303*BV197+BW303*BW197+BX303*BX197+BY303*BY197+BZ303*BZ197+CA303*CA197+CB303*CB197+CC303*CC197+CD303*CD197+CE303*CE197+CF303*CF197+CG303*CG197+CH303*CH197+CI303*CI197+CJ303*CJ197+CK303*CK197+CL303*CL197+CM303*CM197+CN303*CN197+CO303*CO197+CP303*CP197+CQ303*CQ197+CR303*CR197+CS303*CS197+CT303*CT197+CU303*CU197</f>
        <v>0</v>
      </c>
      <c r="DC197" s="2882">
        <f>E304*E197+F304*F197+G304*G197+H304*H197+I304*I197+J304*J197+K304*K197+L304*L197+M304*M197+N304*N197+O304*O197+P304*P197+Q304*Q197+R304*R197+S304*S197+T304*T197+U304*U197+V304*V197+W304*W197+X304*X197+Y304*Y197+Z304*Z197+AA304*AA197+AB304*AB197+AC304*AC197+AD304*AD197+AE304*AE197+AF304*AF197+AG304*AG197+AH304*AH197+AI304*AI197+AJ304*AJ197+AK304*AK197+AL304*AL197+AM304*AM197+AN304*AN197+AO304*AO197+AP304*AP197+AQ304*AQ197+AR304*AR197+AS304*AS197+AT304*AT197+AU304*AU197+AV304*AV197+AW304*AW197+AX304*AX197+AY304*AY197+AZ304*AZ197+BA304*BA197+BB304*BB197+BC304*BC197+BD304*BD197+BE304*BE197+BF304*BF197+BG304*BG197+BH304*BH197+BI304*BI197+BJ304*BJ197+BK304*BK197+BL304*BL197+BM304*BM197+BN304*BN197+BO304*BO197+BP304*BP197+BQ304*BQ197+BR304*BR197+BS304*BS197+BT304*BT197+BU304*BU197+BV304*BV197+BW304*BW197+BX304*BX197+BY304*BY197+BZ304*BZ197+CA304*CA197+CB304*CB197+CC304*CC197+CD304*CD197+CE304*CE197+CF304*CF197+CG304*CG197+CH304*CH197+CI304*CI197+CJ304*CJ197+CK304*CK197+CL304*CL197+CM304*CM197+CN304*CN197+CO304*CO197+CP304*CP197+CQ304*CQ197+CR304*CR197+CS304*CS197+CT304*CT197+CU304*CU197</f>
        <v>0</v>
      </c>
      <c r="DD197" s="2882">
        <f>E305*E197+F305*F197+G305*G197+H305*H197+I305*I197+J305*J197+K305*K197+L305*L197+M305*M197+N305*N197+O305*O197+P305*P197+Q305*Q197+R305*R197+S305*S197+T305*T197+U305*U197+V305*V197+W305*W197+X305*X197+Y305*Y197+Z305*Z197+AA305*AA197+AB305*AB197+AC305*AC197+AD305*AD197+AE305*AE197+AF305*AF197+AG305*AG197+AH305*AH197+AI305*AI197+AJ305*AJ197+AK305*AK197+AL305*AL197+AM305*AM197+AN305*AN197+AO305*AO197+AP305*AP197+AQ305*AQ197+AR305*AR197+AS305*AS197+AT305*AT197+AU305*AU197+AV305*AV197+AW305*AW197+AX305*AX197+AY305*AY197+AZ305*AZ197+BA305*BA197+BB305*BB197+BC305*BC197+BD305*BD197+BE305*BE197+BF305*BF197+BG305*BG197+BH305*BH197+BI305*BI197+BJ305*BJ197+BK305*BK197+BL305*BL197+BM305*BM197+BN305*BN197+BO305*BO197+BP305*BP197+BQ305*BQ197+BR305*BR197+BS305*BS197+BT305*BT197+BU305*BU197+BV305*BV197+BW305*BW197+BX305*BX197+BY305*BY197+BZ305*BZ197+CA305*CA197+CB305*CB197+CC305*CC197+CD305*CD197+CE305*CE197+CF305*CF197+CG305*CG197+CH305*CH197+CI305*CI197+CJ305*CJ197+CK305*CK197+CL305*CL197+CM305*CM197+CN305*CN197+CO305*CO197+CP305*CP197+CQ305*CQ197+CR305*CR197+CS305*CS197+CT305*CT197+CU305*CU197</f>
        <v>0</v>
      </c>
      <c r="DE197" s="2882">
        <f>E306*E197+F306*F197+G306*G197+H306*H197+I306*I197+J306*J197+K306*K197+L306*L197+M306*M197+N306*N197+O306*O197+P306*P197+Q306*Q197+R306*R197+S306*S197+T306*T197+U306*U197+V306*V197+W306*W197+X306*X197+Y306*Y197+Z306*Z197+AA306*AA197+AB306*AB197+AC306*AC197+AD306*AD197+AE306*AE197+AF306*AF197+AG306*AG197+AH306*AH197+AI306*AI197+AJ306*AJ197+AK306*AK197+AL306*AL197+AM306*AM197+AN306*AN197+AO306*AO197+AP306*AP197+AQ306*AQ197+AR306*AR197+AS306*AS197+AT306*AT197+AU306*AU197+AV306*AV197+AW306*AW197+AX306*AX197+AY306*AY197+AZ306*AZ197+BA306*BA197+BB306*BB197+BC306*BC197+BD306*BD197+BE306*BE197+BF306*BF197+BG306*BG197+BH306*BH197+BI306*BI197+BJ306*BJ197+BK306*BK197+BL306*BL197+BM306*BM197+BN306*BN197+BO306*BO197+BP306*BP197+BQ306*BQ197+BR306*BR197+BS306*BS197+BT306*BT197+BU306*BU197+BV306*BV197+BW306*BW197+BX306*BX197+BY306*BY197+BZ306*BZ197+CA306*CA197+CB306*CB197+CC306*CC197+CD306*CD197+CE306*CE197+CF306*CF197+CG306*CG197+CH306*CH197+CI306*CI197+CJ306*CJ197+CK306*CK197+CL306*CL197+CM306*CM197+CN306*CN197+CO306*CO197+CP306*CP197+CQ306*CQ197+CR306*CR197+CS306*CS197+CT306*CT197+CU306*CU197</f>
        <v>3.4694469519536142E-18</v>
      </c>
      <c r="DF197" s="2882">
        <f>E307*E197+F307*F197+G307*G197+H307*H197+I307*I197+J307*J197+K307*K197+L307*L197+M307*M197+N307*N197+O307*O197+P307*P197+Q307*Q197+R307*R197+S307*S197+T307*T197+U307*U197+V307*V197+W307*W197+X307*X197+Y307*Y197+Z307*Z197+AA307*AA197+AB307*AB197+AC307*AC197+AD307*AD197+AE307*AE197+AF307*AF197+AG307*AG197+AH307*AH197+AI307*AI197+AJ307*AJ197+AK307*AK197+AL307*AL197+AM307*AM197+AN307*AN197+AO307*AO197+AP307*AP197+AQ307*AQ197+AR307*AR197+AS307*AS197+AT307*AT197+AU307*AU197+AV307*AV197+AW307*AW197+AX307*AX197+AY307*AY197+AZ307*AZ197+BA307*BA197+BB307*BB197+BC307*BC197+BD307*BD197+BE307*BE197+BF307*BF197+BG307*BG197+BH307*BH197+BI307*BI197+BJ307*BJ197+BK307*BK197+BL307*BL197+BM307*BM197+BN307*BN197+BO307*BO197+BP307*BP197+BQ307*BQ197+BR307*BR197+BS307*BS197+BT307*BT197+BU307*BU197+BV307*BV197+BW307*BW197+BX307*BX197+BY307*BY197+BZ307*BZ197+CA307*CA197+CB307*CB197+CC307*CC197+CD307*CD197+CE307*CE197+CF307*CF197+CG307*CG197+CH307*CH197+CI307*CI197+CJ307*CJ197+CK307*CK197+CL307*CL197+CM307*CM197+CN307*CN197+CO307*CO197+CP307*CP197+CQ307*CQ197+CR307*CR197+CS307*CS197+CT307*CT197+CU307*CU197</f>
        <v>6.9388939039072284E-18</v>
      </c>
      <c r="DG197" s="2882">
        <f>E308*E197+F308*F197+G308*G197+H308*H197+I308*I197+J308*J197+K308*K197+L308*L197+M308*M197+N308*N197+O308*O197+P308*P197+Q308*Q197+R308*R197+S308*S197+T308*T197+U308*U197+V308*V197+W308*W197+X308*X197+Y308*Y197+Z308*Z197+AA308*AA197+AB308*AB197+AC308*AC197+AD308*AD197+AE308*AE197+AF308*AF197+AG308*AG197+AH308*AH197+AI308*AI197+AJ308*AJ197+AK308*AK197+AL308*AL197+AM308*AM197+AN308*AN197+AO308*AO197+AP308*AP197+AQ308*AQ197+AR308*AR197+AS308*AS197+AT308*AT197+AU308*AU197+AV308*AV197+AW308*AW197+AX308*AX197+AY308*AY197+AZ308*AZ197+BA308*BA197+BB308*BB197+BC308*BC197+BD308*BD197+BE308*BE197+BF308*BF197+BG308*BG197+BH308*BH197+BI308*BI197+BJ308*BJ197+BK308*BK197+BL308*BL197+BM308*BM197+BN308*BN197+BO308*BO197+BP308*BP197+BQ308*BQ197+BR308*BR197+BS308*BS197+BT308*BT197+BU308*BU197+BV308*BV197+BW308*BW197+BX308*BX197+BY308*BY197+BZ308*BZ197+CA308*CA197+CB308*CB197+CC308*CC197+CD308*CD197+CE308*CE197+CF308*CF197+CG308*CG197+CH308*CH197+CI308*CI197+CJ308*CJ197+CK308*CK197+CL308*CL197+CM308*CM197+CN308*CN197+CO308*CO197+CP308*CP197+CQ308*CQ197+CR308*CR197+CS308*CS197+CT308*CT197+CU308*CU197</f>
        <v>0</v>
      </c>
      <c r="DH197" s="2882">
        <f>E309*E197+F309*F197+G309*G197+H309*H197+I309*I197+J309*J197+K309*K197+L309*L197+M309*M197+N309*N197+O309*O197+P309*P197+Q309*Q197+R309*R197+S309*S197+T309*T197+U309*U197+V309*V197+W309*W197+X309*X197+Y309*Y197+Z309*Z197+AA309*AA197+AB309*AB197+AC309*AC197+AD309*AD197+AE309*AE197+AF309*AF197+AG309*AG197+AH309*AH197+AI309*AI197+AJ309*AJ197+AK309*AK197+AL309*AL197+AM309*AM197+AN309*AN197+AO309*AO197+AP309*AP197+AQ309*AQ197+AR309*AR197+AS309*AS197+AT309*AT197+AU309*AU197+AV309*AV197+AW309*AW197+AX309*AX197+AY309*AY197+AZ309*AZ197+BA309*BA197+BB309*BB197+BC309*BC197+BD309*BD197+BE309*BE197+BF309*BF197+BG309*BG197+BH309*BH197+BI309*BI197+BJ309*BJ197+BK309*BK197+BL309*BL197+BM309*BM197+BN309*BN197+BO309*BO197+BP309*BP197+BQ309*BQ197+BR309*BR197+BS309*BS197+BT309*BT197+BU309*BU197+BV309*BV197+BW309*BW197+BX309*BX197+BY309*BY197+BZ309*BZ197+CA309*CA197+CB309*CB197+CC309*CC197+CD309*CD197+CE309*CE197+CF309*CF197+CG309*CG197+CH309*CH197+CI309*CI197+CJ309*CJ197+CK309*CK197+CL309*CL197+CM309*CM197+CN309*CN197+CO309*CO197+CP309*CP197+CQ309*CQ197+CR309*CR197+CS309*CS197+CT309*CT197+CU309*CU197</f>
        <v>0</v>
      </c>
      <c r="DI197" s="2882">
        <f>E310*E197+F310*F197+G310*G197+H310*H197+I310*I197+J310*J197+K310*K197+L310*L197+M310*M197+N310*N197+O310*O197+P310*P197+Q310*Q197+R310*R197+S310*S197+T310*T197+U310*U197+V310*V197+W310*W197+X310*X197+Y310*Y197+Z310*Z197+AA310*AA197+AB310*AB197+AC310*AC197+AD310*AD197+AE310*AE197+AF310*AF197+AG310*AG197+AH310*AH197+AI310*AI197+AJ310*AJ197+AK310*AK197+AL310*AL197+AM310*AM197+AN310*AN197+AO310*AO197+AP310*AP197+AQ310*AQ197+AR310*AR197+AS310*AS197+AT310*AT197+AU310*AU197+AV310*AV197+AW310*AW197+AX310*AX197+AY310*AY197+AZ310*AZ197+BA310*BA197+BB310*BB197+BC310*BC197+BD310*BD197+BE310*BE197+BF310*BF197+BG310*BG197+BH310*BH197+BI310*BI197+BJ310*BJ197+BK310*BK197+BL310*BL197+BM310*BM197+BN310*BN197+BO310*BO197+BP310*BP197+BQ310*BQ197+BR310*BR197+BS310*BS197+BT310*BT197+BU310*BU197+BV310*BV197+BW310*BW197+BX310*BX197+BY310*BY197+BZ310*BZ197+CA310*CA197+CB310*CB197+CC310*CC197+CD310*CD197+CE310*CE197+CF310*CF197+CG310*CG197+CH310*CH197+CI310*CI197+CJ310*CJ197+CK310*CK197+CL310*CL197+CM310*CM197+CN310*CN197+CO310*CO197+CP310*CP197+CQ310*CQ197+CR310*CR197+CS310*CS197+CT310*CT197+CU310*CU197</f>
        <v>0</v>
      </c>
    </row>
    <row r="198" spans="2:113" x14ac:dyDescent="0.45">
      <c r="B198" s="915">
        <v>39</v>
      </c>
      <c r="C198" s="915" t="s">
        <v>4896</v>
      </c>
      <c r="D198" s="916" t="s">
        <v>4444</v>
      </c>
      <c r="E198" s="889">
        <f>X_STC/X_CASTO</f>
        <v>4.5999999999999999E-2</v>
      </c>
      <c r="F198" s="890">
        <f>0</f>
        <v>0</v>
      </c>
      <c r="G198" s="890">
        <f>0</f>
        <v>0</v>
      </c>
      <c r="H198" s="890">
        <f>0</f>
        <v>0</v>
      </c>
      <c r="I198" s="890">
        <f>1-f_E</f>
        <v>0.92</v>
      </c>
      <c r="J198" s="890">
        <f>0</f>
        <v>0</v>
      </c>
      <c r="K198" s="890">
        <f>0</f>
        <v>0</v>
      </c>
      <c r="L198" s="890">
        <f>0</f>
        <v>0</v>
      </c>
      <c r="M198" s="889">
        <f>-X_PHA/X_CASTO</f>
        <v>-0.04</v>
      </c>
      <c r="N198" s="889">
        <f>-X_GLY/X_CASTO</f>
        <v>-6.0000000000000001E-3</v>
      </c>
      <c r="O198" s="890">
        <f>0</f>
        <v>0</v>
      </c>
      <c r="P198" s="890">
        <f>f_E</f>
        <v>0.08</v>
      </c>
      <c r="Q198" s="890">
        <f>0</f>
        <v>0</v>
      </c>
      <c r="R198" s="890">
        <f>-1</f>
        <v>-1</v>
      </c>
      <c r="S198" s="890">
        <f>0</f>
        <v>0</v>
      </c>
      <c r="T198" s="890">
        <f>0</f>
        <v>0</v>
      </c>
      <c r="U198" s="890">
        <f>0</f>
        <v>0</v>
      </c>
      <c r="V198" s="890">
        <f>0</f>
        <v>0</v>
      </c>
      <c r="W198" s="890">
        <f>0</f>
        <v>0</v>
      </c>
      <c r="X198" s="890">
        <f>0</f>
        <v>0</v>
      </c>
      <c r="Y198" s="2546">
        <f>0</f>
        <v>0</v>
      </c>
      <c r="Z198" s="2546">
        <f>0</f>
        <v>0</v>
      </c>
      <c r="AA198" s="2546">
        <f>0</f>
        <v>0</v>
      </c>
      <c r="AB198" s="890">
        <f>-f_E*(i_N_XE-i_N_BIO)</f>
        <v>8.0000000000000069E-4</v>
      </c>
      <c r="AC198" s="890">
        <f>0</f>
        <v>0</v>
      </c>
      <c r="AD198" s="890">
        <f>0</f>
        <v>0</v>
      </c>
      <c r="AE198" s="890">
        <f>0</f>
        <v>0</v>
      </c>
      <c r="AF198" s="890">
        <f>0</f>
        <v>0</v>
      </c>
      <c r="AG198" s="890">
        <f>0</f>
        <v>0</v>
      </c>
      <c r="AH198" s="890">
        <f>0</f>
        <v>0</v>
      </c>
      <c r="AI198" s="890">
        <f>0</f>
        <v>0</v>
      </c>
      <c r="AJ198" s="890">
        <f>0</f>
        <v>0</v>
      </c>
      <c r="AK198" s="890">
        <f>(1-f_E)*i_N_BIO</f>
        <v>6.4400000000000013E-2</v>
      </c>
      <c r="AL198" s="890">
        <f>0</f>
        <v>0</v>
      </c>
      <c r="AM198" s="889">
        <f>X_PP/X_CASTO</f>
        <v>0.12</v>
      </c>
      <c r="AN198" s="889">
        <f>-X_PP/X_CASTO</f>
        <v>-0.12</v>
      </c>
      <c r="AO198" s="890">
        <f>0</f>
        <v>0</v>
      </c>
      <c r="AP198" s="890">
        <f>(1-f_E)*i_P_BIO</f>
        <v>1.84E-2</v>
      </c>
      <c r="AQ198" s="890">
        <f>0</f>
        <v>0</v>
      </c>
      <c r="AR198" s="890">
        <f>0</f>
        <v>0</v>
      </c>
      <c r="AS198" s="890">
        <f>0</f>
        <v>0</v>
      </c>
      <c r="AT198" s="890">
        <f>0</f>
        <v>0</v>
      </c>
      <c r="AU198" s="890">
        <f>(1-f_E)*(i_CIT_BIO-i_CIT_SB)+(i_CIT_STC-i_CIT_VFA)*X_STC/X_CASTO</f>
        <v>5.9040000000000002E-2</v>
      </c>
      <c r="AV198" s="890">
        <f>-i_INORG</f>
        <v>-0.11</v>
      </c>
      <c r="AW198" s="889">
        <f>i_INORG*(1-i_Ca_INORG*(A_MCa+2*A_MCl)/A_MCa-i_Mg_INORG*(A_MMg+2*A_MCl)/A_MMg)*f_Na</f>
        <v>2.8804303582798466E-2</v>
      </c>
      <c r="AX198" s="889">
        <f>i_INORG*(i_Ca_INORG*(2*A_MCl)/A_MCa+i_Mg_INORG*(2*A_MCl)/A_MMg)+i_INORG*(1-i_Ca_INORG*(A_MCa+2*A_MCl)/A_MCa-i_Mg_INORG*(A_MMg+2*A_MCl)/A_MMg)*(1-f_Na)</f>
        <v>7.0195696417201539E-2</v>
      </c>
      <c r="AY198" s="889">
        <f>i_INORG*i_Ca_INORG+X_PP*A_MCa/A_MP*i_Ca_PP/X_CASTO</f>
        <v>2.102720644313593E-2</v>
      </c>
      <c r="AZ198" s="889">
        <f>i_INORG*i_Mg_INORG+X_PP*A_MMg/A_MP*i_Mg_PP/X_CASTO</f>
        <v>3.8457249216564328E-2</v>
      </c>
      <c r="BA198" s="889">
        <f>X_PP*A_MK/A_MP*i_K_PP/X_CASTO</f>
        <v>1.5147646481253094E-2</v>
      </c>
      <c r="BB198" s="2557">
        <f>0</f>
        <v>0</v>
      </c>
      <c r="BC198" s="2557">
        <f>(1-f_E)*i_S_BIO-(1-f_E)*i_S_XB</f>
        <v>7.8200000000000006E-3</v>
      </c>
      <c r="BD198" s="2557">
        <f>0</f>
        <v>0</v>
      </c>
      <c r="BE198" s="890">
        <f>0</f>
        <v>0</v>
      </c>
      <c r="BF198" s="890">
        <f>0</f>
        <v>0</v>
      </c>
      <c r="BG198" s="890">
        <f>0</f>
        <v>0</v>
      </c>
      <c r="BH198" s="890">
        <f>0</f>
        <v>0</v>
      </c>
      <c r="BI198" s="890">
        <f>0</f>
        <v>0</v>
      </c>
      <c r="BJ198" s="890">
        <f>0</f>
        <v>0</v>
      </c>
      <c r="BK198" s="890">
        <f>0</f>
        <v>0</v>
      </c>
      <c r="BL198" s="890">
        <f>0</f>
        <v>0</v>
      </c>
      <c r="BM198" s="890">
        <f>0</f>
        <v>0</v>
      </c>
      <c r="BN198" s="890">
        <f>0</f>
        <v>0</v>
      </c>
      <c r="BO198" s="890">
        <f>0</f>
        <v>0</v>
      </c>
      <c r="BP198" s="890">
        <f>0</f>
        <v>0</v>
      </c>
      <c r="BQ198" s="890">
        <f>0</f>
        <v>0</v>
      </c>
      <c r="BR198" s="890">
        <f>0</f>
        <v>0</v>
      </c>
      <c r="BS198" s="890">
        <f>0</f>
        <v>0</v>
      </c>
      <c r="BT198" s="890">
        <f>0</f>
        <v>0</v>
      </c>
      <c r="BU198" s="890">
        <f>0</f>
        <v>0</v>
      </c>
      <c r="BV198" s="890">
        <f>0</f>
        <v>0</v>
      </c>
      <c r="BW198" s="890">
        <f>0</f>
        <v>0</v>
      </c>
      <c r="BX198" s="890">
        <f>0</f>
        <v>0</v>
      </c>
      <c r="BY198" s="2546">
        <f>0</f>
        <v>0</v>
      </c>
      <c r="BZ198" s="890">
        <f>0</f>
        <v>0</v>
      </c>
      <c r="CA198" s="890">
        <f>0</f>
        <v>0</v>
      </c>
      <c r="CB198" s="890">
        <f>0</f>
        <v>0</v>
      </c>
      <c r="CC198" s="890">
        <f>0</f>
        <v>0</v>
      </c>
      <c r="CD198" s="890">
        <f>0</f>
        <v>0</v>
      </c>
      <c r="CE198" s="890">
        <f>0</f>
        <v>0</v>
      </c>
      <c r="CF198" s="890">
        <f>0</f>
        <v>0</v>
      </c>
      <c r="CG198" s="890">
        <f>0</f>
        <v>0</v>
      </c>
      <c r="CH198" s="890">
        <f>0</f>
        <v>0</v>
      </c>
      <c r="CI198" s="890">
        <f>0</f>
        <v>0</v>
      </c>
      <c r="CJ198" s="2546">
        <f>0</f>
        <v>0</v>
      </c>
      <c r="CK198" s="890">
        <f>0</f>
        <v>0</v>
      </c>
      <c r="CL198" s="890">
        <f>0</f>
        <v>0</v>
      </c>
      <c r="CM198" s="890">
        <f>0</f>
        <v>0</v>
      </c>
      <c r="CN198" s="890">
        <f>0</f>
        <v>0</v>
      </c>
      <c r="CO198" s="890">
        <f>0</f>
        <v>0</v>
      </c>
      <c r="CP198" s="890">
        <f>0</f>
        <v>0</v>
      </c>
      <c r="CQ198" s="890">
        <f>0</f>
        <v>0</v>
      </c>
      <c r="CR198" s="890">
        <f>0</f>
        <v>0</v>
      </c>
      <c r="CS198" s="2546">
        <f>0</f>
        <v>0</v>
      </c>
      <c r="CT198" s="2546">
        <f>0</f>
        <v>0</v>
      </c>
      <c r="CU198" s="2546">
        <f>0</f>
        <v>0</v>
      </c>
      <c r="CV198" s="2858">
        <f>b_CASTO_T*(η_bCASTO_ana*(X_PAO*M_RinhXPP_XPAO_KPP+X_GAO*M_RinhXGLY_XGAO_KGLY)*M_inhSNO3_KNO3_CASTO*M_inhSNO2_KNO2_CASTO*M_inhSO2_KO2_CASTO+X_CASTO*m_tox_ana)</f>
        <v>2.019594917729782E-4</v>
      </c>
      <c r="CX198" s="2880">
        <f>E299*E198+F299*F198+G299*G198+H299*H198+I299*I198+J299*J198+K299*K198+L299*L198+M299*M198+N299*N198+O299*O198+P299*P198+Q299*Q198+R299*R198+S299*S198+T299*T198+U299*U198+V299*V198+W299*W198+X299*X198+Y299*Y198+Z299*Z198+AA299*AA198+AB299*AB198+AC299*AC198+AD299*AD198+AE299*AE198+AF299*AF198+AG299*AG198+AH299*AH198+AI299*AI198+AJ299*AJ198+AK299*AK198+AL299*AL198+AM299*AM198+AN299*AN198+AO299*AO198+AP299*AP198+AQ299*AQ198+AR299*AR198+AS299*AS198+AT299*AT198+AU299*AU198+AV299*AV198+AW299*AW198+AX299*AX198+AY299*AY198+AZ299*AZ198+BA299*BA198+BB299*BB198+BC299*BC198+BD299*BD198+BE299*BE198+BF299*BF198+BG299*BG198+BH299*BH198+BI299*BI198+BJ299*BJ198+BK299*BK198+BL299*BL198+BM299*BM198+BN299*BN198+BO299*BO198+BP299*BP198+BQ299*BQ198+BR299*BR198+BS299*BS198+BT299*BT198+BU299*BU198+BV299*BV198+BW299*BW198+BX299*BX198+BY299*BY198+BZ299*BZ198+CA299*CA198+CB299*CB198+CC299*CC198+CD299*CD198+CE299*CE198+CF299*CF198+CG299*CG198+CH299*CH198+CI299*CI198+CJ299*CJ198+CK299*CK198+CL299*CL198+CM299*CM198+CN299*CN198+CO299*CO198+CP299*CP198+CQ299*CQ198+CR299*CR198+CS299*CS198+CT299*CT198+CU299*CU198</f>
        <v>0</v>
      </c>
      <c r="CY198" s="2880">
        <f>E300*E198+F300*F198+G300*G198+H300*H198+I300*I198+J300*J198+K300*K198+L300*L198+M300*M198+N300*N198+O300*O198+P300*P198+Q300*Q198+R300*R198+S300*S198+T300*T198+U300*U198+V300*V198+W300*W198+X300*X198+Y300*Y198+Z300*Z198+AA300*AA198+AB300*AB198+AC300*AC198+AD300*AD198+AE300*AE198+AF300*AF198+AG300*AG198+AH300*AH198+AI300*AI198+AJ300*AJ198+AK300*AK198+AL300*AL198+AM300*AM198+AN300*AN198+AO300*AO198+AP300*AP198+AQ300*AQ198+AR300*AR198+AS300*AS198+AT300*AT198+AU300*AU198+AV300*AV198+AW300*AW198+AX300*AX198+AY300*AY198+AZ300*AZ198+BA300*BA198+BB300*BB198+BC300*BC198+BD300*BD198+BE300*BE198+BF300*BF198+BG300*BG198+BH300*BH198+BI300*BI198+BJ300*BJ198+BK300*BK198+BL300*BL198+BM300*BM198+BN300*BN198+BO300*BO198+BP300*BP198+BQ300*BQ198+BR300*BR198+BS300*BS198+BT300*BT198+BU300*BU198+BV300*BV198+BW300*BW198+BX300*BX198+BY300*BY198+BZ300*BZ198+CA300*CA198+CB300*CB198+CC300*CC198+CD300*CD198+CE300*CE198+CF300*CF198+CG300*CG198+CH300*CH198+CI300*CI198+CJ300*CJ198+CK300*CK198+CL300*CL198+CM300*CM198+CN300*CN198+CO300*CO198+CP300*CP198+CQ300*CQ198+CR300*CR198+CS300*CS198+CT300*CT198+CU300*CU198</f>
        <v>2.0816681711721685E-17</v>
      </c>
      <c r="CZ198" s="2881">
        <f>E301*E198+F301*F198+G301*G198+H301*H198+I301*I198+J301*J198+K301*K198+L301*L198+M301*M198+N301*N198+O301*O198+P301*P198+Q301*Q198+R301*R198+S301*S198+T301*T198+U301*U198+V301*V198+W301*W198+X301*X198+Y301*Y198+Z301*Z198+AA301*AA198+AB301*AB198+AC301*AC198+AD301*AD198+AE301*AE198+AF301*AF198+AG301*AG198+AH301*AH198+AI301*AI198+AJ301*AJ198+AK301*AK198+AL301*AL198+AM301*AM198+AN301*AN198+AO301*AO198+AP301*AP198+AQ301*AQ198+AR301*AR198+AS301*AS198+AT301*AT198+AU301*AU198+AV301*AV198+AW301*AW198+AX301*AX198+AY301*AY198+AZ301*AZ198+BA301*BA198+BB301*BB198+BC301*BC198+BD301*BD198+BE301*BE198+BF301*BF198+BG301*BG198+BH301*BH198+BI301*BI198+BJ301*BJ198+BK301*BK198+BL301*BL198+BM301*BM198+BN301*BN198+BO301*BO198+BP301*BP198+BQ301*BQ198+BR301*BR198+BS301*BS198+BT301*BT198+BU301*BU198+BV301*BV198+BW301*BW198+BX301*BX198+BY301*BY198+BZ301*BZ198+CA301*CA198+CB301*CB198+CC301*CC198+CD301*CD198+CE301*CE198+CF301*CF198+CG301*CG198+CH301*CH198+CI301*CI198+CJ301*CJ198+CK301*CK198+CL301*CL198+CM301*CM198+CN301*CN198+CO301*CO198+CP301*CP198+CQ301*CQ198+CR301*CR198+CS301*CS198+CT301*CT198+CU301*CU198</f>
        <v>0</v>
      </c>
      <c r="DA198" s="2882">
        <f>E302*E198+F302*F198+G302*G198+H302*H198+I302*I198+J302*J198+K302*K198+L302*L198+M302*M198+N302*N198+O302*O198+P302*P198+Q302*Q198+R302*R198+S302*S198+T302*T198+U302*U198+V302*V198+W302*W198+X302*X198+Y302*Y198+Z302*Z198+AA302*AA198+AB302*AB198+AC302*AC198+AD302*AD198+AE302*AE198+AF302*AF198+AG302*AG198+AH302*AH198+AI302*AI198+AJ302*AJ198+AK302*AK198+AL302*AL198+AM302*AM198+AN302*AN198+AO302*AO198+AP302*AP198+AQ302*AQ198+AR302*AR198+AS302*AS198+AT302*AT198+AU302*AU198+AV302*AV198+AW302*AW198+AX302*AX198+AY302*AY198+AZ302*AZ198+BA302*BA198+BB302*BB198+BC302*BC198+BD302*BD198+BE302*BE198+BF302*BF198+BG302*BG198+BH302*BH198+BI302*BI198+BJ302*BJ198+BK302*BK198+BL302*BL198+BM302*BM198+BN302*BN198+BO302*BO198+BP302*BP198+BQ302*BQ198+BR302*BR198+BS302*BS198+BT302*BT198+BU302*BU198+BV302*BV198+BW302*BW198+BX302*BX198+BY302*BY198+BZ302*BZ198+CA302*CA198+CB302*CB198+CC302*CC198+CD302*CD198+CE302*CE198+CF302*CF198+CG302*CG198+CH302*CH198+CI302*CI198+CJ302*CJ198+CK302*CK198+CL302*CL198+CM302*CM198+CN302*CN198+CO302*CO198+CP302*CP198+CQ302*CQ198+CR302*CR198+CS302*CS198+CT302*CT198+CU302*CU198</f>
        <v>0</v>
      </c>
      <c r="DB198" s="2882">
        <f>E303*E198+F303*F198+G303*G198+H303*H198+I303*I198+J303*J198+K303*K198+L303*L198+M303*M198+N303*N198+O303*O198+P303*P198+Q303*Q198+R303*R198+S303*S198+T303*T198+U303*U198+V303*V198+W303*W198+X303*X198+Y303*Y198+Z303*Z198+AA303*AA198+AB303*AB198+AC303*AC198+AD303*AD198+AE303*AE198+AF303*AF198+AG303*AG198+AH303*AH198+AI303*AI198+AJ303*AJ198+AK303*AK198+AL303*AL198+AM303*AM198+AN303*AN198+AO303*AO198+AP303*AP198+AQ303*AQ198+AR303*AR198+AS303*AS198+AT303*AT198+AU303*AU198+AV303*AV198+AW303*AW198+AX303*AX198+AY303*AY198+AZ303*AZ198+BA303*BA198+BB303*BB198+BC303*BC198+BD303*BD198+BE303*BE198+BF303*BF198+BG303*BG198+BH303*BH198+BI303*BI198+BJ303*BJ198+BK303*BK198+BL303*BL198+BM303*BM198+BN303*BN198+BO303*BO198+BP303*BP198+BQ303*BQ198+BR303*BR198+BS303*BS198+BT303*BT198+BU303*BU198+BV303*BV198+BW303*BW198+BX303*BX198+BY303*BY198+BZ303*BZ198+CA303*CA198+CB303*CB198+CC303*CC198+CD303*CD198+CE303*CE198+CF303*CF198+CG303*CG198+CH303*CH198+CI303*CI198+CJ303*CJ198+CK303*CK198+CL303*CL198+CM303*CM198+CN303*CN198+CO303*CO198+CP303*CP198+CQ303*CQ198+CR303*CR198+CS303*CS198+CT303*CT198+CU303*CU198</f>
        <v>0</v>
      </c>
      <c r="DC198" s="2882">
        <f>E304*E198+F304*F198+G304*G198+H304*H198+I304*I198+J304*J198+K304*K198+L304*L198+M304*M198+N304*N198+O304*O198+P304*P198+Q304*Q198+R304*R198+S304*S198+T304*T198+U304*U198+V304*V198+W304*W198+X304*X198+Y304*Y198+Z304*Z198+AA304*AA198+AB304*AB198+AC304*AC198+AD304*AD198+AE304*AE198+AF304*AF198+AG304*AG198+AH304*AH198+AI304*AI198+AJ304*AJ198+AK304*AK198+AL304*AL198+AM304*AM198+AN304*AN198+AO304*AO198+AP304*AP198+AQ304*AQ198+AR304*AR198+AS304*AS198+AT304*AT198+AU304*AU198+AV304*AV198+AW304*AW198+AX304*AX198+AY304*AY198+AZ304*AZ198+BA304*BA198+BB304*BB198+BC304*BC198+BD304*BD198+BE304*BE198+BF304*BF198+BG304*BG198+BH304*BH198+BI304*BI198+BJ304*BJ198+BK304*BK198+BL304*BL198+BM304*BM198+BN304*BN198+BO304*BO198+BP304*BP198+BQ304*BQ198+BR304*BR198+BS304*BS198+BT304*BT198+BU304*BU198+BV304*BV198+BW304*BW198+BX304*BX198+BY304*BY198+BZ304*BZ198+CA304*CA198+CB304*CB198+CC304*CC198+CD304*CD198+CE304*CE198+CF304*CF198+CG304*CG198+CH304*CH198+CI304*CI198+CJ304*CJ198+CK304*CK198+CL304*CL198+CM304*CM198+CN304*CN198+CO304*CO198+CP304*CP198+CQ304*CQ198+CR304*CR198+CS304*CS198+CT304*CT198+CU304*CU198</f>
        <v>0</v>
      </c>
      <c r="DD198" s="2882">
        <f>E305*E198+F305*F198+G305*G198+H305*H198+I305*I198+J305*J198+K305*K198+L305*L198+M305*M198+N305*N198+O305*O198+P305*P198+Q305*Q198+R305*R198+S305*S198+T305*T198+U305*U198+V305*V198+W305*W198+X305*X198+Y305*Y198+Z305*Z198+AA305*AA198+AB305*AB198+AC305*AC198+AD305*AD198+AE305*AE198+AF305*AF198+AG305*AG198+AH305*AH198+AI305*AI198+AJ305*AJ198+AK305*AK198+AL305*AL198+AM305*AM198+AN305*AN198+AO305*AO198+AP305*AP198+AQ305*AQ198+AR305*AR198+AS305*AS198+AT305*AT198+AU305*AU198+AV305*AV198+AW305*AW198+AX305*AX198+AY305*AY198+AZ305*AZ198+BA305*BA198+BB305*BB198+BC305*BC198+BD305*BD198+BE305*BE198+BF305*BF198+BG305*BG198+BH305*BH198+BI305*BI198+BJ305*BJ198+BK305*BK198+BL305*BL198+BM305*BM198+BN305*BN198+BO305*BO198+BP305*BP198+BQ305*BQ198+BR305*BR198+BS305*BS198+BT305*BT198+BU305*BU198+BV305*BV198+BW305*BW198+BX305*BX198+BY305*BY198+BZ305*BZ198+CA305*CA198+CB305*CB198+CC305*CC198+CD305*CD198+CE305*CE198+CF305*CF198+CG305*CG198+CH305*CH198+CI305*CI198+CJ305*CJ198+CK305*CK198+CL305*CL198+CM305*CM198+CN305*CN198+CO305*CO198+CP305*CP198+CQ305*CQ198+CR305*CR198+CS305*CS198+CT305*CT198+CU305*CU198</f>
        <v>0</v>
      </c>
      <c r="DE198" s="2882">
        <f>E306*E198+F306*F198+G306*G198+H306*H198+I306*I198+J306*J198+K306*K198+L306*L198+M306*M198+N306*N198+O306*O198+P306*P198+Q306*Q198+R306*R198+S306*S198+T306*T198+U306*U198+V306*V198+W306*W198+X306*X198+Y306*Y198+Z306*Z198+AA306*AA198+AB306*AB198+AC306*AC198+AD306*AD198+AE306*AE198+AF306*AF198+AG306*AG198+AH306*AH198+AI306*AI198+AJ306*AJ198+AK306*AK198+AL306*AL198+AM306*AM198+AN306*AN198+AO306*AO198+AP306*AP198+AQ306*AQ198+AR306*AR198+AS306*AS198+AT306*AT198+AU306*AU198+AV306*AV198+AW306*AW198+AX306*AX198+AY306*AY198+AZ306*AZ198+BA306*BA198+BB306*BB198+BC306*BC198+BD306*BD198+BE306*BE198+BF306*BF198+BG306*BG198+BH306*BH198+BI306*BI198+BJ306*BJ198+BK306*BK198+BL306*BL198+BM306*BM198+BN306*BN198+BO306*BO198+BP306*BP198+BQ306*BQ198+BR306*BR198+BS306*BS198+BT306*BT198+BU306*BU198+BV306*BV198+BW306*BW198+BX306*BX198+BY306*BY198+BZ306*BZ198+CA306*CA198+CB306*CB198+CC306*CC198+CD306*CD198+CE306*CE198+CF306*CF198+CG306*CG198+CH306*CH198+CI306*CI198+CJ306*CJ198+CK306*CK198+CL306*CL198+CM306*CM198+CN306*CN198+CO306*CO198+CP306*CP198+CQ306*CQ198+CR306*CR198+CS306*CS198+CT306*CT198+CU306*CU198</f>
        <v>3.4694469519536142E-18</v>
      </c>
      <c r="DF198" s="2882">
        <f>E307*E198+F307*F198+G307*G198+H307*H198+I307*I198+J307*J198+K307*K198+L307*L198+M307*M198+N307*N198+O307*O198+P307*P198+Q307*Q198+R307*R198+S307*S198+T307*T198+U307*U198+V307*V198+W307*W198+X307*X198+Y307*Y198+Z307*Z198+AA307*AA198+AB307*AB198+AC307*AC198+AD307*AD198+AE307*AE198+AF307*AF198+AG307*AG198+AH307*AH198+AI307*AI198+AJ307*AJ198+AK307*AK198+AL307*AL198+AM307*AM198+AN307*AN198+AO307*AO198+AP307*AP198+AQ307*AQ198+AR307*AR198+AS307*AS198+AT307*AT198+AU307*AU198+AV307*AV198+AW307*AW198+AX307*AX198+AY307*AY198+AZ307*AZ198+BA307*BA198+BB307*BB198+BC307*BC198+BD307*BD198+BE307*BE198+BF307*BF198+BG307*BG198+BH307*BH198+BI307*BI198+BJ307*BJ198+BK307*BK198+BL307*BL198+BM307*BM198+BN307*BN198+BO307*BO198+BP307*BP198+BQ307*BQ198+BR307*BR198+BS307*BS198+BT307*BT198+BU307*BU198+BV307*BV198+BW307*BW198+BX307*BX198+BY307*BY198+BZ307*BZ198+CA307*CA198+CB307*CB198+CC307*CC198+CD307*CD198+CE307*CE198+CF307*CF198+CG307*CG198+CH307*CH198+CI307*CI198+CJ307*CJ198+CK307*CK198+CL307*CL198+CM307*CM198+CN307*CN198+CO307*CO198+CP307*CP198+CQ307*CQ198+CR307*CR198+CS307*CS198+CT307*CT198+CU307*CU198</f>
        <v>6.9388939039072284E-18</v>
      </c>
      <c r="DG198" s="2882">
        <f>E308*E198+F308*F198+G308*G198+H308*H198+I308*I198+J308*J198+K308*K198+L308*L198+M308*M198+N308*N198+O308*O198+P308*P198+Q308*Q198+R308*R198+S308*S198+T308*T198+U308*U198+V308*V198+W308*W198+X308*X198+Y308*Y198+Z308*Z198+AA308*AA198+AB308*AB198+AC308*AC198+AD308*AD198+AE308*AE198+AF308*AF198+AG308*AG198+AH308*AH198+AI308*AI198+AJ308*AJ198+AK308*AK198+AL308*AL198+AM308*AM198+AN308*AN198+AO308*AO198+AP308*AP198+AQ308*AQ198+AR308*AR198+AS308*AS198+AT308*AT198+AU308*AU198+AV308*AV198+AW308*AW198+AX308*AX198+AY308*AY198+AZ308*AZ198+BA308*BA198+BB308*BB198+BC308*BC198+BD308*BD198+BE308*BE198+BF308*BF198+BG308*BG198+BH308*BH198+BI308*BI198+BJ308*BJ198+BK308*BK198+BL308*BL198+BM308*BM198+BN308*BN198+BO308*BO198+BP308*BP198+BQ308*BQ198+BR308*BR198+BS308*BS198+BT308*BT198+BU308*BU198+BV308*BV198+BW308*BW198+BX308*BX198+BY308*BY198+BZ308*BZ198+CA308*CA198+CB308*CB198+CC308*CC198+CD308*CD198+CE308*CE198+CF308*CF198+CG308*CG198+CH308*CH198+CI308*CI198+CJ308*CJ198+CK308*CK198+CL308*CL198+CM308*CM198+CN308*CN198+CO308*CO198+CP308*CP198+CQ308*CQ198+CR308*CR198+CS308*CS198+CT308*CT198+CU308*CU198</f>
        <v>0</v>
      </c>
      <c r="DH198" s="2882">
        <f>E309*E198+F309*F198+G309*G198+H309*H198+I309*I198+J309*J198+K309*K198+L309*L198+M309*M198+N309*N198+O309*O198+P309*P198+Q309*Q198+R309*R198+S309*S198+T309*T198+U309*U198+V309*V198+W309*W198+X309*X198+Y309*Y198+Z309*Z198+AA309*AA198+AB309*AB198+AC309*AC198+AD309*AD198+AE309*AE198+AF309*AF198+AG309*AG198+AH309*AH198+AI309*AI198+AJ309*AJ198+AK309*AK198+AL309*AL198+AM309*AM198+AN309*AN198+AO309*AO198+AP309*AP198+AQ309*AQ198+AR309*AR198+AS309*AS198+AT309*AT198+AU309*AU198+AV309*AV198+AW309*AW198+AX309*AX198+AY309*AY198+AZ309*AZ198+BA309*BA198+BB309*BB198+BC309*BC198+BD309*BD198+BE309*BE198+BF309*BF198+BG309*BG198+BH309*BH198+BI309*BI198+BJ309*BJ198+BK309*BK198+BL309*BL198+BM309*BM198+BN309*BN198+BO309*BO198+BP309*BP198+BQ309*BQ198+BR309*BR198+BS309*BS198+BT309*BT198+BU309*BU198+BV309*BV198+BW309*BW198+BX309*BX198+BY309*BY198+BZ309*BZ198+CA309*CA198+CB309*CB198+CC309*CC198+CD309*CD198+CE309*CE198+CF309*CF198+CG309*CG198+CH309*CH198+CI309*CI198+CJ309*CJ198+CK309*CK198+CL309*CL198+CM309*CM198+CN309*CN198+CO309*CO198+CP309*CP198+CQ309*CQ198+CR309*CR198+CS309*CS198+CT309*CT198+CU309*CU198</f>
        <v>0</v>
      </c>
      <c r="DI198" s="2882">
        <f>E310*E198+F310*F198+G310*G198+H310*H198+I310*I198+J310*J198+K310*K198+L310*L198+M310*M198+N310*N198+O310*O198+P310*P198+Q310*Q198+R310*R198+S310*S198+T310*T198+U310*U198+V310*V198+W310*W198+X310*X198+Y310*Y198+Z310*Z198+AA310*AA198+AB310*AB198+AC310*AC198+AD310*AD198+AE310*AE198+AF310*AF198+AG310*AG198+AH310*AH198+AI310*AI198+AJ310*AJ198+AK310*AK198+AL310*AL198+AM310*AM198+AN310*AN198+AO310*AO198+AP310*AP198+AQ310*AQ198+AR310*AR198+AS310*AS198+AT310*AT198+AU310*AU198+AV310*AV198+AW310*AW198+AX310*AX198+AY310*AY198+AZ310*AZ198+BA310*BA198+BB310*BB198+BC310*BC198+BD310*BD198+BE310*BE198+BF310*BF198+BG310*BG198+BH310*BH198+BI310*BI198+BJ310*BJ198+BK310*BK198+BL310*BL198+BM310*BM198+BN310*BN198+BO310*BO198+BP310*BP198+BQ310*BQ198+BR310*BR198+BS310*BS198+BT310*BT198+BU310*BU198+BV310*BV198+BW310*BW198+BX310*BX198+BY310*BY198+BZ310*BZ198+CA310*CA198+CB310*CB198+CC310*CC198+CD310*CD198+CE310*CE198+CF310*CF198+CG310*CG198+CH310*CH198+CI310*CI198+CJ310*CJ198+CK310*CK198+CL310*CL198+CM310*CM198+CN310*CN198+CO310*CO198+CP310*CP198+CQ310*CQ198+CR310*CR198+CS310*CS198+CT310*CT198+CU310*CU198</f>
        <v>0</v>
      </c>
    </row>
    <row r="199" spans="2:113" x14ac:dyDescent="0.45">
      <c r="B199" s="768">
        <v>40</v>
      </c>
      <c r="C199" s="768" t="s">
        <v>4897</v>
      </c>
      <c r="D199" s="769" t="s">
        <v>4047</v>
      </c>
      <c r="E199" s="770">
        <f>0</f>
        <v>0</v>
      </c>
      <c r="F199" s="728">
        <f>0</f>
        <v>0</v>
      </c>
      <c r="G199" s="728">
        <f>0</f>
        <v>0</v>
      </c>
      <c r="H199" s="728">
        <f>0</f>
        <v>0</v>
      </c>
      <c r="I199" s="728">
        <f>0</f>
        <v>0</v>
      </c>
      <c r="J199" s="728">
        <f>0</f>
        <v>0</v>
      </c>
      <c r="K199" s="728">
        <f>0</f>
        <v>0</v>
      </c>
      <c r="L199" s="728">
        <f>0</f>
        <v>0</v>
      </c>
      <c r="M199" s="770">
        <f>0</f>
        <v>0</v>
      </c>
      <c r="N199" s="770">
        <f>0</f>
        <v>0</v>
      </c>
      <c r="O199" s="728">
        <f>0</f>
        <v>0</v>
      </c>
      <c r="P199" s="728">
        <f>0</f>
        <v>0</v>
      </c>
      <c r="Q199" s="728">
        <f>0</f>
        <v>0</v>
      </c>
      <c r="R199" s="728">
        <f>0</f>
        <v>0</v>
      </c>
      <c r="S199" s="728">
        <f>0</f>
        <v>0</v>
      </c>
      <c r="T199" s="728">
        <f>0</f>
        <v>0</v>
      </c>
      <c r="U199" s="728">
        <f>0</f>
        <v>0</v>
      </c>
      <c r="V199" s="728">
        <f>0</f>
        <v>0</v>
      </c>
      <c r="W199" s="728">
        <f>0</f>
        <v>0</v>
      </c>
      <c r="X199" s="728">
        <f>0</f>
        <v>0</v>
      </c>
      <c r="Y199" s="728">
        <f>0</f>
        <v>0</v>
      </c>
      <c r="Z199" s="728">
        <f>0</f>
        <v>0</v>
      </c>
      <c r="AA199" s="728">
        <f>0</f>
        <v>0</v>
      </c>
      <c r="AB199" s="728">
        <f>-1</f>
        <v>-1</v>
      </c>
      <c r="AC199" s="728">
        <f>1</f>
        <v>1</v>
      </c>
      <c r="AD199" s="770">
        <f>0</f>
        <v>0</v>
      </c>
      <c r="AE199" s="770">
        <f>0</f>
        <v>0</v>
      </c>
      <c r="AF199" s="770">
        <f>0</f>
        <v>0</v>
      </c>
      <c r="AG199" s="770">
        <f>0</f>
        <v>0</v>
      </c>
      <c r="AH199" s="770">
        <f>0</f>
        <v>0</v>
      </c>
      <c r="AI199" s="728">
        <f>0</f>
        <v>0</v>
      </c>
      <c r="AJ199" s="728">
        <f>0</f>
        <v>0</v>
      </c>
      <c r="AK199" s="728">
        <f>0</f>
        <v>0</v>
      </c>
      <c r="AL199" s="728">
        <f>0</f>
        <v>0</v>
      </c>
      <c r="AM199" s="770">
        <f>0</f>
        <v>0</v>
      </c>
      <c r="AN199" s="770">
        <f>0</f>
        <v>0</v>
      </c>
      <c r="AO199" s="728">
        <f>0</f>
        <v>0</v>
      </c>
      <c r="AP199" s="728">
        <f>0</f>
        <v>0</v>
      </c>
      <c r="AQ199" s="728">
        <f>0</f>
        <v>0</v>
      </c>
      <c r="AR199" s="770">
        <f>-E_EQNH2OH</f>
        <v>-1.1422676290632339</v>
      </c>
      <c r="AS199" s="728">
        <f>0</f>
        <v>0</v>
      </c>
      <c r="AT199" s="728">
        <f>0</f>
        <v>0</v>
      </c>
      <c r="AU199" s="770">
        <f>0</f>
        <v>0</v>
      </c>
      <c r="AV199" s="770">
        <f>0</f>
        <v>0</v>
      </c>
      <c r="AW199" s="770">
        <f>0</f>
        <v>0</v>
      </c>
      <c r="AX199" s="770">
        <f>0</f>
        <v>0</v>
      </c>
      <c r="AY199" s="770">
        <f>0</f>
        <v>0</v>
      </c>
      <c r="AZ199" s="770">
        <f>0</f>
        <v>0</v>
      </c>
      <c r="BA199" s="748">
        <f>0</f>
        <v>0</v>
      </c>
      <c r="BB199" s="748">
        <f>0</f>
        <v>0</v>
      </c>
      <c r="BC199" s="748">
        <f>0</f>
        <v>0</v>
      </c>
      <c r="BD199" s="748">
        <f>0</f>
        <v>0</v>
      </c>
      <c r="BE199" s="728">
        <f>0</f>
        <v>0</v>
      </c>
      <c r="BF199" s="728">
        <f>0</f>
        <v>0</v>
      </c>
      <c r="BG199" s="728">
        <f>0</f>
        <v>0</v>
      </c>
      <c r="BH199" s="728">
        <f>0</f>
        <v>0</v>
      </c>
      <c r="BI199" s="728">
        <f>0</f>
        <v>0</v>
      </c>
      <c r="BJ199" s="728">
        <f>0</f>
        <v>0</v>
      </c>
      <c r="BK199" s="728">
        <f>0</f>
        <v>0</v>
      </c>
      <c r="BL199" s="728">
        <f>0</f>
        <v>0</v>
      </c>
      <c r="BM199" s="728">
        <f>0</f>
        <v>0</v>
      </c>
      <c r="BN199" s="728">
        <f>0</f>
        <v>0</v>
      </c>
      <c r="BO199" s="728">
        <f>0</f>
        <v>0</v>
      </c>
      <c r="BP199" s="728">
        <f>0</f>
        <v>0</v>
      </c>
      <c r="BQ199" s="728">
        <f>0</f>
        <v>0</v>
      </c>
      <c r="BR199" s="728">
        <f>0</f>
        <v>0</v>
      </c>
      <c r="BS199" s="728">
        <f>0</f>
        <v>0</v>
      </c>
      <c r="BT199" s="728">
        <f>0</f>
        <v>0</v>
      </c>
      <c r="BU199" s="728">
        <f>0</f>
        <v>0</v>
      </c>
      <c r="BV199" s="893">
        <f>0</f>
        <v>0</v>
      </c>
      <c r="BW199" s="728">
        <f>0</f>
        <v>0</v>
      </c>
      <c r="BX199" s="728">
        <f>0</f>
        <v>0</v>
      </c>
      <c r="BY199" s="728">
        <f>0</f>
        <v>0</v>
      </c>
      <c r="BZ199" s="728">
        <f>0</f>
        <v>0</v>
      </c>
      <c r="CA199" s="893">
        <f>0</f>
        <v>0</v>
      </c>
      <c r="CB199" s="728">
        <f>0</f>
        <v>0</v>
      </c>
      <c r="CC199" s="728">
        <f>0</f>
        <v>0</v>
      </c>
      <c r="CD199" s="728">
        <f>0</f>
        <v>0</v>
      </c>
      <c r="CE199" s="728">
        <f>0</f>
        <v>0</v>
      </c>
      <c r="CF199" s="728">
        <f>0</f>
        <v>0</v>
      </c>
      <c r="CG199" s="728">
        <f>0</f>
        <v>0</v>
      </c>
      <c r="CH199" s="728">
        <f>0</f>
        <v>0</v>
      </c>
      <c r="CI199" s="728">
        <f>0</f>
        <v>0</v>
      </c>
      <c r="CJ199" s="728">
        <f>0</f>
        <v>0</v>
      </c>
      <c r="CK199" s="728">
        <f>0</f>
        <v>0</v>
      </c>
      <c r="CL199" s="728">
        <f>0</f>
        <v>0</v>
      </c>
      <c r="CM199" s="728">
        <f>0</f>
        <v>0</v>
      </c>
      <c r="CN199" s="728">
        <f>0</f>
        <v>0</v>
      </c>
      <c r="CO199" s="728">
        <f>0</f>
        <v>0</v>
      </c>
      <c r="CP199" s="728">
        <f>0</f>
        <v>0</v>
      </c>
      <c r="CQ199" s="728">
        <f>0</f>
        <v>0</v>
      </c>
      <c r="CR199" s="728">
        <f>0</f>
        <v>0</v>
      </c>
      <c r="CS199" s="728">
        <f>0</f>
        <v>0</v>
      </c>
      <c r="CT199" s="728">
        <f>0</f>
        <v>0</v>
      </c>
      <c r="CU199" s="728">
        <f>0</f>
        <v>0</v>
      </c>
      <c r="CV199" s="748">
        <f>µ_AOB_T/Y_AOB*X_AOB*M_satSO2_KO2_NHx_AOB*M_satSNHx_KNHx_NH2OH_AOB</f>
        <v>103.52941176470588</v>
      </c>
      <c r="CX199" s="2880">
        <f>E299*E199+F299*F199+G299*G199+H299*H199+I299*I199+J299*J199+K299*K199+L299*L199+M299*M199+N299*N199+O299*O199+P299*P199+Q299*Q199+R299*R199+S299*S199+T299*T199+U299*U199+V299*V199+W299*W199+X299*X199+Y299*Y199+Z299*Z199+AA299*AA199+AB299*AB199+AC299*AC199+AD299*AD199+AE299*AE199+AF299*AF199+AG299*AG199+AH299*AH199+AI299*AI199+AJ299*AJ199+AK299*AK199+AL299*AL199+AM299*AM199+AN299*AN199+AO299*AO199+AP299*AP199+AQ299*AQ199+AR299*AR199+AS299*AS199+AT299*AT199+AU299*AU199+AV299*AV199+AW299*AW199+AX299*AX199+AY299*AY199+AZ299*AZ199+BA299*BA199+BB299*BB199+BC299*BC199+BD299*BD199+BE299*BE199+BF299*BF199+BG299*BG199+BH299*BH199+BI299*BI199+BJ299*BJ199+BK299*BK199+BL299*BL199+BM299*BM199+BN299*BN199+BO299*BO199+BP299*BP199+BQ299*BQ199+BR299*BR199+BS299*BS199+BT299*BT199+BU299*BU199+BV299*BV199+BW299*BW199+BX299*BX199+BY299*BY199+BZ299*BZ199+CA299*CA199+CB299*CB199+CC299*CC199+CD299*CD199+CE299*CE199+CF299*CF199+CG299*CG199+CH299*CH199+CI299*CI199+CJ299*CJ199+CK299*CK199+CL299*CL199+CM299*CM199+CN299*CN199+CO299*CO199+CP299*CP199+CQ299*CQ199+CR299*CR199+CS299*CS199+CT299*CT199+CU299*CU199</f>
        <v>0</v>
      </c>
      <c r="CY199" s="2880">
        <f>E300*E199+F300*F199+G300*G199+H300*H199+I300*I199+J300*J199+K300*K199+L300*L199+M300*M199+N300*N199+O300*O199+P300*P199+Q300*Q199+R300*R199+S300*S199+T300*T199+U300*U199+V300*V199+W300*W199+X300*X199+Y300*Y199+Z300*Z199+AA300*AA199+AB300*AB199+AC300*AC199+AD300*AD199+AE300*AE199+AF300*AF199+AG300*AG199+AH300*AH199+AI300*AI199+AJ300*AJ199+AK300*AK199+AL300*AL199+AM300*AM199+AN300*AN199+AO300*AO199+AP300*AP199+AQ300*AQ199+AR300*AR199+AS300*AS199+AT300*AT199+AU300*AU199+AV300*AV199+AW300*AW199+AX300*AX199+AY300*AY199+AZ300*AZ199+BA300*BA199+BB300*BB199+BC300*BC199+BD300*BD199+BE300*BE199+BF300*BF199+BG300*BG199+BH300*BH199+BI300*BI199+BJ300*BJ199+BK300*BK199+BL300*BL199+BM300*BM199+BN300*BN199+BO300*BO199+BP300*BP199+BQ300*BQ199+BR300*BR199+BS300*BS199+BT300*BT199+BU300*BU199+BV300*BV199+BW300*BW199+BX300*BX199+BY300*BY199+BZ300*BZ199+CA300*CA199+CB300*CB199+CC300*CC199+CD300*CD199+CE300*CE199+CF300*CF199+CG300*CG199+CH300*CH199+CI300*CI199+CJ300*CJ199+CK300*CK199+CL300*CL199+CM300*CM199+CN300*CN199+CO300*CO199+CP300*CP199+CQ300*CQ199+CR300*CR199+CS300*CS199+CT300*CT199+CU300*CU199</f>
        <v>0</v>
      </c>
      <c r="CZ199" s="2881">
        <f>E301*E199+F301*F199+G301*G199+H301*H199+I301*I199+J301*J199+K301*K199+L301*L199+M301*M199+N301*N199+O301*O199+P301*P199+Q301*Q199+R301*R199+S301*S199+T301*T199+U301*U199+V301*V199+W301*W199+X301*X199+Y301*Y199+Z301*Z199+AA301*AA199+AB301*AB199+AC301*AC199+AD301*AD199+AE301*AE199+AF301*AF199+AG301*AG199+AH301*AH199+AI301*AI199+AJ301*AJ199+AK301*AK199+AL301*AL199+AM301*AM199+AN301*AN199+AO301*AO199+AP301*AP199+AQ301*AQ199+AR301*AR199+AS301*AS199+AT301*AT199+AU301*AU199+AV301*AV199+AW301*AW199+AX301*AX199+AY301*AY199+AZ301*AZ199+BA301*BA199+BB301*BB199+BC301*BC199+BD301*BD199+BE301*BE199+BF301*BF199+BG301*BG199+BH301*BH199+BI301*BI199+BJ301*BJ199+BK301*BK199+BL301*BL199+BM301*BM199+BN301*BN199+BO301*BO199+BP301*BP199+BQ301*BQ199+BR301*BR199+BS301*BS199+BT301*BT199+BU301*BU199+BV301*BV199+BW301*BW199+BX301*BX199+BY301*BY199+BZ301*BZ199+CA301*CA199+CB301*CB199+CC301*CC199+CD301*CD199+CE301*CE199+CF301*CF199+CG301*CG199+CH301*CH199+CI301*CI199+CJ301*CJ199+CK301*CK199+CL301*CL199+CM301*CM199+CN301*CN199+CO301*CO199+CP301*CP199+CQ301*CQ199+CR301*CR199+CS301*CS199+CT301*CT199+CU301*CU199</f>
        <v>0</v>
      </c>
      <c r="DA199" s="2882">
        <f>E302*E199+F302*F199+G302*G199+H302*H199+I302*I199+J302*J199+K302*K199+L302*L199+M302*M199+N302*N199+O302*O199+P302*P199+Q302*Q199+R302*R199+S302*S199+T302*T199+U302*U199+V302*V199+W302*W199+X302*X199+Y302*Y199+Z302*Z199+AA302*AA199+AB302*AB199+AC302*AC199+AD302*AD199+AE302*AE199+AF302*AF199+AG302*AG199+AH302*AH199+AI302*AI199+AJ302*AJ199+AK302*AK199+AL302*AL199+AM302*AM199+AN302*AN199+AO302*AO199+AP302*AP199+AQ302*AQ199+AR302*AR199+AS302*AS199+AT302*AT199+AU302*AU199+AV302*AV199+AW302*AW199+AX302*AX199+AY302*AY199+AZ302*AZ199+BA302*BA199+BB302*BB199+BC302*BC199+BD302*BD199+BE302*BE199+BF302*BF199+BG302*BG199+BH302*BH199+BI302*BI199+BJ302*BJ199+BK302*BK199+BL302*BL199+BM302*BM199+BN302*BN199+BO302*BO199+BP302*BP199+BQ302*BQ199+BR302*BR199+BS302*BS199+BT302*BT199+BU302*BU199+BV302*BV199+BW302*BW199+BX302*BX199+BY302*BY199+BZ302*BZ199+CA302*CA199+CB302*CB199+CC302*CC199+CD302*CD199+CE302*CE199+CF302*CF199+CG302*CG199+CH302*CH199+CI302*CI199+CJ302*CJ199+CK302*CK199+CL302*CL199+CM302*CM199+CN302*CN199+CO302*CO199+CP302*CP199+CQ302*CQ199+CR302*CR199+CS302*CS199+CT302*CT199+CU302*CU199</f>
        <v>0</v>
      </c>
      <c r="DB199" s="2882">
        <f>E303*E199+F303*F199+G303*G199+H303*H199+I303*I199+J303*J199+K303*K199+L303*L199+M303*M199+N303*N199+O303*O199+P303*P199+Q303*Q199+R303*R199+S303*S199+T303*T199+U303*U199+V303*V199+W303*W199+X303*X199+Y303*Y199+Z303*Z199+AA303*AA199+AB303*AB199+AC303*AC199+AD303*AD199+AE303*AE199+AF303*AF199+AG303*AG199+AH303*AH199+AI303*AI199+AJ303*AJ199+AK303*AK199+AL303*AL199+AM303*AM199+AN303*AN199+AO303*AO199+AP303*AP199+AQ303*AQ199+AR303*AR199+AS303*AS199+AT303*AT199+AU303*AU199+AV303*AV199+AW303*AW199+AX303*AX199+AY303*AY199+AZ303*AZ199+BA303*BA199+BB303*BB199+BC303*BC199+BD303*BD199+BE303*BE199+BF303*BF199+BG303*BG199+BH303*BH199+BI303*BI199+BJ303*BJ199+BK303*BK199+BL303*BL199+BM303*BM199+BN303*BN199+BO303*BO199+BP303*BP199+BQ303*BQ199+BR303*BR199+BS303*BS199+BT303*BT199+BU303*BU199+BV303*BV199+BW303*BW199+BX303*BX199+BY303*BY199+BZ303*BZ199+CA303*CA199+CB303*CB199+CC303*CC199+CD303*CD199+CE303*CE199+CF303*CF199+CG303*CG199+CH303*CH199+CI303*CI199+CJ303*CJ199+CK303*CK199+CL303*CL199+CM303*CM199+CN303*CN199+CO303*CO199+CP303*CP199+CQ303*CQ199+CR303*CR199+CS303*CS199+CT303*CT199+CU303*CU199</f>
        <v>0</v>
      </c>
      <c r="DC199" s="2882">
        <f>E304*E199+F304*F199+G304*G199+H304*H199+I304*I199+J304*J199+K304*K199+L304*L199+M304*M199+N304*N199+O304*O199+P304*P199+Q304*Q199+R304*R199+S304*S199+T304*T199+U304*U199+V304*V199+W304*W199+X304*X199+Y304*Y199+Z304*Z199+AA304*AA199+AB304*AB199+AC304*AC199+AD304*AD199+AE304*AE199+AF304*AF199+AG304*AG199+AH304*AH199+AI304*AI199+AJ304*AJ199+AK304*AK199+AL304*AL199+AM304*AM199+AN304*AN199+AO304*AO199+AP304*AP199+AQ304*AQ199+AR304*AR199+AS304*AS199+AT304*AT199+AU304*AU199+AV304*AV199+AW304*AW199+AX304*AX199+AY304*AY199+AZ304*AZ199+BA304*BA199+BB304*BB199+BC304*BC199+BD304*BD199+BE304*BE199+BF304*BF199+BG304*BG199+BH304*BH199+BI304*BI199+BJ304*BJ199+BK304*BK199+BL304*BL199+BM304*BM199+BN304*BN199+BO304*BO199+BP304*BP199+BQ304*BQ199+BR304*BR199+BS304*BS199+BT304*BT199+BU304*BU199+BV304*BV199+BW304*BW199+BX304*BX199+BY304*BY199+BZ304*BZ199+CA304*CA199+CB304*CB199+CC304*CC199+CD304*CD199+CE304*CE199+CF304*CF199+CG304*CG199+CH304*CH199+CI304*CI199+CJ304*CJ199+CK304*CK199+CL304*CL199+CM304*CM199+CN304*CN199+CO304*CO199+CP304*CP199+CQ304*CQ199+CR304*CR199+CS304*CS199+CT304*CT199+CU304*CU199</f>
        <v>0</v>
      </c>
      <c r="DD199" s="2882">
        <f>E305*E199+F305*F199+G305*G199+H305*H199+I305*I199+J305*J199+K305*K199+L305*L199+M305*M199+N305*N199+O305*O199+P305*P199+Q305*Q199+R305*R199+S305*S199+T305*T199+U305*U199+V305*V199+W305*W199+X305*X199+Y305*Y199+Z305*Z199+AA305*AA199+AB305*AB199+AC305*AC199+AD305*AD199+AE305*AE199+AF305*AF199+AG305*AG199+AH305*AH199+AI305*AI199+AJ305*AJ199+AK305*AK199+AL305*AL199+AM305*AM199+AN305*AN199+AO305*AO199+AP305*AP199+AQ305*AQ199+AR305*AR199+AS305*AS199+AT305*AT199+AU305*AU199+AV305*AV199+AW305*AW199+AX305*AX199+AY305*AY199+AZ305*AZ199+BA305*BA199+BB305*BB199+BC305*BC199+BD305*BD199+BE305*BE199+BF305*BF199+BG305*BG199+BH305*BH199+BI305*BI199+BJ305*BJ199+BK305*BK199+BL305*BL199+BM305*BM199+BN305*BN199+BO305*BO199+BP305*BP199+BQ305*BQ199+BR305*BR199+BS305*BS199+BT305*BT199+BU305*BU199+BV305*BV199+BW305*BW199+BX305*BX199+BY305*BY199+BZ305*BZ199+CA305*CA199+CB305*CB199+CC305*CC199+CD305*CD199+CE305*CE199+CF305*CF199+CG305*CG199+CH305*CH199+CI305*CI199+CJ305*CJ199+CK305*CK199+CL305*CL199+CM305*CM199+CN305*CN199+CO305*CO199+CP305*CP199+CQ305*CQ199+CR305*CR199+CS305*CS199+CT305*CT199+CU305*CU199</f>
        <v>0</v>
      </c>
      <c r="DE199" s="2882">
        <f>E306*E199+F306*F199+G306*G199+H306*H199+I306*I199+J306*J199+K306*K199+L306*L199+M306*M199+N306*N199+O306*O199+P306*P199+Q306*Q199+R306*R199+S306*S199+T306*T199+U306*U199+V306*V199+W306*W199+X306*X199+Y306*Y199+Z306*Z199+AA306*AA199+AB306*AB199+AC306*AC199+AD306*AD199+AE306*AE199+AF306*AF199+AG306*AG199+AH306*AH199+AI306*AI199+AJ306*AJ199+AK306*AK199+AL306*AL199+AM306*AM199+AN306*AN199+AO306*AO199+AP306*AP199+AQ306*AQ199+AR306*AR199+AS306*AS199+AT306*AT199+AU306*AU199+AV306*AV199+AW306*AW199+AX306*AX199+AY306*AY199+AZ306*AZ199+BA306*BA199+BB306*BB199+BC306*BC199+BD306*BD199+BE306*BE199+BF306*BF199+BG306*BG199+BH306*BH199+BI306*BI199+BJ306*BJ199+BK306*BK199+BL306*BL199+BM306*BM199+BN306*BN199+BO306*BO199+BP306*BP199+BQ306*BQ199+BR306*BR199+BS306*BS199+BT306*BT199+BU306*BU199+BV306*BV199+BW306*BW199+BX306*BX199+BY306*BY199+BZ306*BZ199+CA306*CA199+CB306*CB199+CC306*CC199+CD306*CD199+CE306*CE199+CF306*CF199+CG306*CG199+CH306*CH199+CI306*CI199+CJ306*CJ199+CK306*CK199+CL306*CL199+CM306*CM199+CN306*CN199+CO306*CO199+CP306*CP199+CQ306*CQ199+CR306*CR199+CS306*CS199+CT306*CT199+CU306*CU199</f>
        <v>0</v>
      </c>
      <c r="DF199" s="2882">
        <f>E307*E199+F307*F199+G307*G199+H307*H199+I307*I199+J307*J199+K307*K199+L307*L199+M307*M199+N307*N199+O307*O199+P307*P199+Q307*Q199+R307*R199+S307*S199+T307*T199+U307*U199+V307*V199+W307*W199+X307*X199+Y307*Y199+Z307*Z199+AA307*AA199+AB307*AB199+AC307*AC199+AD307*AD199+AE307*AE199+AF307*AF199+AG307*AG199+AH307*AH199+AI307*AI199+AJ307*AJ199+AK307*AK199+AL307*AL199+AM307*AM199+AN307*AN199+AO307*AO199+AP307*AP199+AQ307*AQ199+AR307*AR199+AS307*AS199+AT307*AT199+AU307*AU199+AV307*AV199+AW307*AW199+AX307*AX199+AY307*AY199+AZ307*AZ199+BA307*BA199+BB307*BB199+BC307*BC199+BD307*BD199+BE307*BE199+BF307*BF199+BG307*BG199+BH307*BH199+BI307*BI199+BJ307*BJ199+BK307*BK199+BL307*BL199+BM307*BM199+BN307*BN199+BO307*BO199+BP307*BP199+BQ307*BQ199+BR307*BR199+BS307*BS199+BT307*BT199+BU307*BU199+BV307*BV199+BW307*BW199+BX307*BX199+BY307*BY199+BZ307*BZ199+CA307*CA199+CB307*CB199+CC307*CC199+CD307*CD199+CE307*CE199+CF307*CF199+CG307*CG199+CH307*CH199+CI307*CI199+CJ307*CJ199+CK307*CK199+CL307*CL199+CM307*CM199+CN307*CN199+CO307*CO199+CP307*CP199+CQ307*CQ199+CR307*CR199+CS307*CS199+CT307*CT199+CU307*CU199</f>
        <v>0</v>
      </c>
      <c r="DG199" s="2882">
        <f>E308*E199+F308*F199+G308*G199+H308*H199+I308*I199+J308*J199+K308*K199+L308*L199+M308*M199+N308*N199+O308*O199+P308*P199+Q308*Q199+R308*R199+S308*S199+T308*T199+U308*U199+V308*V199+W308*W199+X308*X199+Y308*Y199+Z308*Z199+AA308*AA199+AB308*AB199+AC308*AC199+AD308*AD199+AE308*AE199+AF308*AF199+AG308*AG199+AH308*AH199+AI308*AI199+AJ308*AJ199+AK308*AK199+AL308*AL199+AM308*AM199+AN308*AN199+AO308*AO199+AP308*AP199+AQ308*AQ199+AR308*AR199+AS308*AS199+AT308*AT199+AU308*AU199+AV308*AV199+AW308*AW199+AX308*AX199+AY308*AY199+AZ308*AZ199+BA308*BA199+BB308*BB199+BC308*BC199+BD308*BD199+BE308*BE199+BF308*BF199+BG308*BG199+BH308*BH199+BI308*BI199+BJ308*BJ199+BK308*BK199+BL308*BL199+BM308*BM199+BN308*BN199+BO308*BO199+BP308*BP199+BQ308*BQ199+BR308*BR199+BS308*BS199+BT308*BT199+BU308*BU199+BV308*BV199+BW308*BW199+BX308*BX199+BY308*BY199+BZ308*BZ199+CA308*CA199+CB308*CB199+CC308*CC199+CD308*CD199+CE308*CE199+CF308*CF199+CG308*CG199+CH308*CH199+CI308*CI199+CJ308*CJ199+CK308*CK199+CL308*CL199+CM308*CM199+CN308*CN199+CO308*CO199+CP308*CP199+CQ308*CQ199+CR308*CR199+CS308*CS199+CT308*CT199+CU308*CU199</f>
        <v>0</v>
      </c>
      <c r="DH199" s="2882">
        <f>E309*E199+F309*F199+G309*G199+H309*H199+I309*I199+J309*J199+K309*K199+L309*L199+M309*M199+N309*N199+O309*O199+P309*P199+Q309*Q199+R309*R199+S309*S199+T309*T199+U309*U199+V309*V199+W309*W199+X309*X199+Y309*Y199+Z309*Z199+AA309*AA199+AB309*AB199+AC309*AC199+AD309*AD199+AE309*AE199+AF309*AF199+AG309*AG199+AH309*AH199+AI309*AI199+AJ309*AJ199+AK309*AK199+AL309*AL199+AM309*AM199+AN309*AN199+AO309*AO199+AP309*AP199+AQ309*AQ199+AR309*AR199+AS309*AS199+AT309*AT199+AU309*AU199+AV309*AV199+AW309*AW199+AX309*AX199+AY309*AY199+AZ309*AZ199+BA309*BA199+BB309*BB199+BC309*BC199+BD309*BD199+BE309*BE199+BF309*BF199+BG309*BG199+BH309*BH199+BI309*BI199+BJ309*BJ199+BK309*BK199+BL309*BL199+BM309*BM199+BN309*BN199+BO309*BO199+BP309*BP199+BQ309*BQ199+BR309*BR199+BS309*BS199+BT309*BT199+BU309*BU199+BV309*BV199+BW309*BW199+BX309*BX199+BY309*BY199+BZ309*BZ199+CA309*CA199+CB309*CB199+CC309*CC199+CD309*CD199+CE309*CE199+CF309*CF199+CG309*CG199+CH309*CH199+CI309*CI199+CJ309*CJ199+CK309*CK199+CL309*CL199+CM309*CM199+CN309*CN199+CO309*CO199+CP309*CP199+CQ309*CQ199+CR309*CR199+CS309*CS199+CT309*CT199+CU309*CU199</f>
        <v>0</v>
      </c>
      <c r="DI199" s="2882">
        <f>E310*E199+F310*F199+G310*G199+H310*H199+I310*I199+J310*J199+K310*K199+L310*L199+M310*M199+N310*N199+O310*O199+P310*P199+Q310*Q199+R310*R199+S310*S199+T310*T199+U310*U199+V310*V199+W310*W199+X310*X199+Y310*Y199+Z310*Z199+AA310*AA199+AB310*AB199+AC310*AC199+AD310*AD199+AE310*AE199+AF310*AF199+AG310*AG199+AH310*AH199+AI310*AI199+AJ310*AJ199+AK310*AK199+AL310*AL199+AM310*AM199+AN310*AN199+AO310*AO199+AP310*AP199+AQ310*AQ199+AR310*AR199+AS310*AS199+AT310*AT199+AU310*AU199+AV310*AV199+AW310*AW199+AX310*AX199+AY310*AY199+AZ310*AZ199+BA310*BA199+BB310*BB199+BC310*BC199+BD310*BD199+BE310*BE199+BF310*BF199+BG310*BG199+BH310*BH199+BI310*BI199+BJ310*BJ199+BK310*BK199+BL310*BL199+BM310*BM199+BN310*BN199+BO310*BO199+BP310*BP199+BQ310*BQ199+BR310*BR199+BS310*BS199+BT310*BT199+BU310*BU199+BV310*BV199+BW310*BW199+BX310*BX199+BY310*BY199+BZ310*BZ199+CA310*CA199+CB310*CB199+CC310*CC199+CD310*CD199+CE310*CE199+CF310*CF199+CG310*CG199+CH310*CH199+CI310*CI199+CJ310*CJ199+CK310*CK199+CL310*CL199+CM310*CM199+CN310*CN199+CO310*CO199+CP310*CP199+CQ310*CQ199+CR310*CR199+CS310*CS199+CT310*CT199+CU310*CU199</f>
        <v>0</v>
      </c>
    </row>
    <row r="200" spans="2:113" x14ac:dyDescent="0.45">
      <c r="B200" s="768">
        <v>41</v>
      </c>
      <c r="C200" s="768" t="s">
        <v>4898</v>
      </c>
      <c r="D200" s="769" t="s">
        <v>4023</v>
      </c>
      <c r="E200" s="770">
        <f>0</f>
        <v>0</v>
      </c>
      <c r="F200" s="728">
        <f>0</f>
        <v>0</v>
      </c>
      <c r="G200" s="728">
        <f>0</f>
        <v>0</v>
      </c>
      <c r="H200" s="728">
        <f>0</f>
        <v>0</v>
      </c>
      <c r="I200" s="728">
        <f>0</f>
        <v>0</v>
      </c>
      <c r="J200" s="728">
        <f>0</f>
        <v>0</v>
      </c>
      <c r="K200" s="728">
        <f>0</f>
        <v>0</v>
      </c>
      <c r="L200" s="728">
        <f>0</f>
        <v>0</v>
      </c>
      <c r="M200" s="770">
        <f>0</f>
        <v>0</v>
      </c>
      <c r="N200" s="770">
        <f>0</f>
        <v>0</v>
      </c>
      <c r="O200" s="728">
        <f>0</f>
        <v>0</v>
      </c>
      <c r="P200" s="728">
        <f>0</f>
        <v>0</v>
      </c>
      <c r="Q200" s="728">
        <f>0</f>
        <v>0</v>
      </c>
      <c r="R200" s="728">
        <f>0</f>
        <v>0</v>
      </c>
      <c r="S200" s="728">
        <f>0</f>
        <v>0</v>
      </c>
      <c r="T200" s="728">
        <f>1</f>
        <v>1</v>
      </c>
      <c r="U200" s="728">
        <f>0</f>
        <v>0</v>
      </c>
      <c r="V200" s="728">
        <f>0</f>
        <v>0</v>
      </c>
      <c r="W200" s="728">
        <f>0</f>
        <v>0</v>
      </c>
      <c r="X200" s="728">
        <f>0</f>
        <v>0</v>
      </c>
      <c r="Y200" s="728">
        <f>0</f>
        <v>0</v>
      </c>
      <c r="Z200" s="728">
        <f>0</f>
        <v>0</v>
      </c>
      <c r="AA200" s="728">
        <f>0</f>
        <v>0</v>
      </c>
      <c r="AB200" s="770">
        <f>-i_N_BIO</f>
        <v>-7.0000000000000007E-2</v>
      </c>
      <c r="AC200" s="770">
        <f>-1/Y_AOB</f>
        <v>-6.666666666666667</v>
      </c>
      <c r="AD200" s="770">
        <f>0</f>
        <v>0</v>
      </c>
      <c r="AE200" s="770">
        <f>0</f>
        <v>0</v>
      </c>
      <c r="AF200" s="770">
        <f>1/Y_AOB</f>
        <v>6.666666666666667</v>
      </c>
      <c r="AG200" s="770">
        <f>0</f>
        <v>0</v>
      </c>
      <c r="AH200" s="770">
        <f>0</f>
        <v>0</v>
      </c>
      <c r="AI200" s="728">
        <f>0</f>
        <v>0</v>
      </c>
      <c r="AJ200" s="728">
        <f>0</f>
        <v>0</v>
      </c>
      <c r="AK200" s="728">
        <f>0</f>
        <v>0</v>
      </c>
      <c r="AL200" s="728">
        <f>0</f>
        <v>0</v>
      </c>
      <c r="AM200" s="770">
        <f>-i_P_BIO</f>
        <v>-0.02</v>
      </c>
      <c r="AN200" s="770">
        <f>0</f>
        <v>0</v>
      </c>
      <c r="AO200" s="728">
        <f>0</f>
        <v>0</v>
      </c>
      <c r="AP200" s="728">
        <f>0</f>
        <v>0</v>
      </c>
      <c r="AQ200" s="728">
        <f>0</f>
        <v>0</v>
      </c>
      <c r="AR200" s="770">
        <f>-(E_EQNH2OH_NO-Y_AOB)/Y_AOB</f>
        <v>-10.42267629063234</v>
      </c>
      <c r="AS200" s="728">
        <f>0</f>
        <v>0</v>
      </c>
      <c r="AT200" s="728">
        <f>0</f>
        <v>0</v>
      </c>
      <c r="AU200" s="770">
        <f>-i_CIT_BIO</f>
        <v>-0.35199999999999998</v>
      </c>
      <c r="AV200" s="770">
        <f>i_INORG</f>
        <v>0.11</v>
      </c>
      <c r="AW200" s="770">
        <f>-i_INORG*(1-i_Ca_INORG*(A_MCa+2*A_MCl)/A_MCa-i_Mg_INORG*(A_MMg+2*A_MCl)/A_MMg)*f_Na</f>
        <v>-2.8804303582798466E-2</v>
      </c>
      <c r="AX200" s="770">
        <f>-i_INORG*(i_Ca_INORG*(2*A_MCl)/A_MCa+i_Mg_INORG*(2*A_MCl)/A_MMg)-i_INORG*(1-i_Ca_INORG*(A_MCa+2*A_MCl)/A_MCa-i_Mg_INORG*(A_MMg+2*A_MCl)/A_MMg)*(1-f_Na)</f>
        <v>-7.0195696417201539E-2</v>
      </c>
      <c r="AY200" s="770">
        <f>-i_INORG*i_Ca_INORG</f>
        <v>-5.5000000000000005E-3</v>
      </c>
      <c r="AZ200" s="770">
        <f>-i_INORG*i_Mg_INORG</f>
        <v>-5.5000000000000005E-3</v>
      </c>
      <c r="BA200" s="748">
        <f>0</f>
        <v>0</v>
      </c>
      <c r="BB200" s="748">
        <f>0</f>
        <v>0</v>
      </c>
      <c r="BC200" s="2851">
        <f>-i_S_BIO</f>
        <v>-0.01</v>
      </c>
      <c r="BD200" s="748">
        <f>0</f>
        <v>0</v>
      </c>
      <c r="BE200" s="728">
        <f>0</f>
        <v>0</v>
      </c>
      <c r="BF200" s="728">
        <f>0</f>
        <v>0</v>
      </c>
      <c r="BG200" s="728">
        <f>0</f>
        <v>0</v>
      </c>
      <c r="BH200" s="728">
        <f>0</f>
        <v>0</v>
      </c>
      <c r="BI200" s="728">
        <f>0</f>
        <v>0</v>
      </c>
      <c r="BJ200" s="728">
        <f>0</f>
        <v>0</v>
      </c>
      <c r="BK200" s="728">
        <f>0</f>
        <v>0</v>
      </c>
      <c r="BL200" s="728">
        <f>0</f>
        <v>0</v>
      </c>
      <c r="BM200" s="728">
        <f>0</f>
        <v>0</v>
      </c>
      <c r="BN200" s="728">
        <f>0</f>
        <v>0</v>
      </c>
      <c r="BO200" s="728">
        <f>0</f>
        <v>0</v>
      </c>
      <c r="BP200" s="728">
        <f>0</f>
        <v>0</v>
      </c>
      <c r="BQ200" s="728">
        <f>0</f>
        <v>0</v>
      </c>
      <c r="BR200" s="728">
        <f>0</f>
        <v>0</v>
      </c>
      <c r="BS200" s="728">
        <f>0</f>
        <v>0</v>
      </c>
      <c r="BT200" s="728">
        <f>0</f>
        <v>0</v>
      </c>
      <c r="BU200" s="728">
        <f>0</f>
        <v>0</v>
      </c>
      <c r="BV200" s="893">
        <f>0</f>
        <v>0</v>
      </c>
      <c r="BW200" s="728">
        <f>0</f>
        <v>0</v>
      </c>
      <c r="BX200" s="728">
        <f>0</f>
        <v>0</v>
      </c>
      <c r="BY200" s="728">
        <f>0</f>
        <v>0</v>
      </c>
      <c r="BZ200" s="728">
        <f>0</f>
        <v>0</v>
      </c>
      <c r="CA200" s="893">
        <f>0</f>
        <v>0</v>
      </c>
      <c r="CB200" s="728">
        <f>0</f>
        <v>0</v>
      </c>
      <c r="CC200" s="728">
        <f>0</f>
        <v>0</v>
      </c>
      <c r="CD200" s="728">
        <f>0</f>
        <v>0</v>
      </c>
      <c r="CE200" s="728">
        <f>0</f>
        <v>0</v>
      </c>
      <c r="CF200" s="728">
        <f>0</f>
        <v>0</v>
      </c>
      <c r="CG200" s="728">
        <f>0</f>
        <v>0</v>
      </c>
      <c r="CH200" s="728">
        <f>0</f>
        <v>0</v>
      </c>
      <c r="CI200" s="728">
        <f>0</f>
        <v>0</v>
      </c>
      <c r="CJ200" s="728">
        <f>0</f>
        <v>0</v>
      </c>
      <c r="CK200" s="728">
        <f>0</f>
        <v>0</v>
      </c>
      <c r="CL200" s="728">
        <f>0</f>
        <v>0</v>
      </c>
      <c r="CM200" s="728">
        <f>0</f>
        <v>0</v>
      </c>
      <c r="CN200" s="728">
        <f>0</f>
        <v>0</v>
      </c>
      <c r="CO200" s="728">
        <f>0</f>
        <v>0</v>
      </c>
      <c r="CP200" s="728">
        <f>0</f>
        <v>0</v>
      </c>
      <c r="CQ200" s="728">
        <f>0</f>
        <v>0</v>
      </c>
      <c r="CR200" s="728">
        <f>0</f>
        <v>0</v>
      </c>
      <c r="CS200" s="728">
        <f>0</f>
        <v>0</v>
      </c>
      <c r="CT200" s="728">
        <f>0</f>
        <v>0</v>
      </c>
      <c r="CU200" s="728">
        <f>0</f>
        <v>0</v>
      </c>
      <c r="CV200" s="748">
        <f>µ_AOB_T*X_AOB*M_satSNH2OH_KNH2OH_AOB*M_satSO2_KO2_NH2OH_AOB*M_satSNHx_KNHx_AOB*L_ogsatpHCO2_AOB*M_satSPO4_KPO4_BIO*M_satSCAT_KCAT*M_satSAN_KAN*M_satSCa_KCa*M_satSMg_KMg*B_ellinhpH</f>
        <v>0.29833928442751123</v>
      </c>
      <c r="CX200" s="2880">
        <f>E299*E200+F299*F200+G299*G200+H299*H200+I299*I200+J299*J200+K299*K200+L299*L200+M299*M200+N299*N200+O299*O200+P299*P200+Q299*Q200+R299*R200+S299*S200+T299*T200+U299*U200+V299*V200+W299*W200+X299*X200+Y299*Y200+Z299*Z200+AA299*AA200+AB299*AB200+AC299*AC200+AD299*AD200+AE299*AE200+AF299*AF200+AG299*AG200+AH299*AH200+AI299*AI200+AJ299*AJ200+AK299*AK200+AL299*AL200+AM299*AM200+AN299*AN200+AO299*AO200+AP299*AP200+AQ299*AQ200+AR299*AR200+AS299*AS200+AT299*AT200+AU299*AU200+AV299*AV200+AW299*AW200+AX299*AX200+AY299*AY200+AZ299*AZ200+BA299*BA200+BB299*BB200+BC299*BC200+BD299*BD200+BE299*BE200+BF299*BF200+BG299*BG200+BH299*BH200+BI299*BI200+BJ299*BJ200+BK299*BK200+BL299*BL200+BM299*BM200+BN299*BN200+BO299*BO200+BP299*BP200+BQ299*BQ200+BR299*BR200+BS299*BS200+BT299*BT200+BU299*BU200+BV299*BV200+BW299*BW200+BX299*BX200+BY299*BY200+BZ299*BZ200+CA299*CA200+CB299*CB200+CC299*CC200+CD299*CD200+CE299*CE200+CF299*CF200+CG299*CG200+CH299*CH200+CI299*CI200+CJ299*CJ200+CK299*CK200+CL299*CL200+CM299*CM200+CN299*CN200+CO299*CO200+CP299*CP200+CQ299*CQ200+CR299*CR200+CS299*CS200+CT299*CT200+CU299*CU200</f>
        <v>-1.7763568394002505E-15</v>
      </c>
      <c r="CY200" s="2880">
        <f>E300*E200+F300*F200+G300*G200+H300*H200+I300*I200+J300*J200+K300*K200+L300*L200+M300*M200+N300*N200+O300*O200+P300*P200+Q300*Q200+R300*R200+S300*S200+T300*T200+U300*U200+V300*V200+W300*W200+X300*X200+Y300*Y200+Z300*Z200+AA300*AA200+AB300*AB200+AC300*AC200+AD300*AD200+AE300*AE200+AF300*AF200+AG300*AG200+AH300*AH200+AI300*AI200+AJ300*AJ200+AK300*AK200+AL300*AL200+AM300*AM200+AN300*AN200+AO300*AO200+AP300*AP200+AQ300*AQ200+AR300*AR200+AS300*AS200+AT300*AT200+AU300*AU200+AV300*AV200+AW300*AW200+AX300*AX200+AY300*AY200+AZ300*AZ200+BA300*BA200+BB300*BB200+BC300*BC200+BD300*BD200+BE300*BE200+BF300*BF200+BG300*BG200+BH300*BH200+BI300*BI200+BJ300*BJ200+BK300*BK200+BL300*BL200+BM300*BM200+BN300*BN200+BO300*BO200+BP300*BP200+BQ300*BQ200+BR300*BR200+BS300*BS200+BT300*BT200+BU300*BU200+BV300*BV200+BW300*BW200+BX300*BX200+BY300*BY200+BZ300*BZ200+CA300*CA200+CB300*CB200+CC300*CC200+CD300*CD200+CE300*CE200+CF300*CF200+CG300*CG200+CH300*CH200+CI300*CI200+CJ300*CJ200+CK300*CK200+CL300*CL200+CM300*CM200+CN300*CN200+CO300*CO200+CP300*CP200+CQ300*CQ200+CR300*CR200+CS300*CS200+CT300*CT200+CU300*CU200</f>
        <v>0</v>
      </c>
      <c r="CZ200" s="2881">
        <f>E301*E200+F301*F200+G301*G200+H301*H200+I301*I200+J301*J200+K301*K200+L301*L200+M301*M200+N301*N200+O301*O200+P301*P200+Q301*Q200+R301*R200+S301*S200+T301*T200+U301*U200+V301*V200+W301*W200+X301*X200+Y301*Y200+Z301*Z200+AA301*AA200+AB301*AB200+AC301*AC200+AD301*AD200+AE301*AE200+AF301*AF200+AG301*AG200+AH301*AH200+AI301*AI200+AJ301*AJ200+AK301*AK200+AL301*AL200+AM301*AM200+AN301*AN200+AO301*AO200+AP301*AP200+AQ301*AQ200+AR301*AR200+AS301*AS200+AT301*AT200+AU301*AU200+AV301*AV200+AW301*AW200+AX301*AX200+AY301*AY200+AZ301*AZ200+BA301*BA200+BB301*BB200+BC301*BC200+BD301*BD200+BE301*BE200+BF301*BF200+BG301*BG200+BH301*BH200+BI301*BI200+BJ301*BJ200+BK301*BK200+BL301*BL200+BM301*BM200+BN301*BN200+BO301*BO200+BP301*BP200+BQ301*BQ200+BR301*BR200+BS301*BS200+BT301*BT200+BU301*BU200+BV301*BV200+BW301*BW200+BX301*BX200+BY301*BY200+BZ301*BZ200+CA301*CA200+CB301*CB200+CC301*CC200+CD301*CD200+CE301*CE200+CF301*CF200+CG301*CG200+CH301*CH200+CI301*CI200+CJ301*CJ200+CK301*CK200+CL301*CL200+CM301*CM200+CN301*CN200+CO301*CO200+CP301*CP200+CQ301*CQ200+CR301*CR200+CS301*CS200+CT301*CT200+CU301*CU200</f>
        <v>0</v>
      </c>
      <c r="DA200" s="2882">
        <f>E302*E200+F302*F200+G302*G200+H302*H200+I302*I200+J302*J200+K302*K200+L302*L200+M302*M200+N302*N200+O302*O200+P302*P200+Q302*Q200+R302*R200+S302*S200+T302*T200+U302*U200+V302*V200+W302*W200+X302*X200+Y302*Y200+Z302*Z200+AA302*AA200+AB302*AB200+AC302*AC200+AD302*AD200+AE302*AE200+AF302*AF200+AG302*AG200+AH302*AH200+AI302*AI200+AJ302*AJ200+AK302*AK200+AL302*AL200+AM302*AM200+AN302*AN200+AO302*AO200+AP302*AP200+AQ302*AQ200+AR302*AR200+AS302*AS200+AT302*AT200+AU302*AU200+AV302*AV200+AW302*AW200+AX302*AX200+AY302*AY200+AZ302*AZ200+BA302*BA200+BB302*BB200+BC302*BC200+BD302*BD200+BE302*BE200+BF302*BF200+BG302*BG200+BH302*BH200+BI302*BI200+BJ302*BJ200+BK302*BK200+BL302*BL200+BM302*BM200+BN302*BN200+BO302*BO200+BP302*BP200+BQ302*BQ200+BR302*BR200+BS302*BS200+BT302*BT200+BU302*BU200+BV302*BV200+BW302*BW200+BX302*BX200+BY302*BY200+BZ302*BZ200+CA302*CA200+CB302*CB200+CC302*CC200+CD302*CD200+CE302*CE200+CF302*CF200+CG302*CG200+CH302*CH200+CI302*CI200+CJ302*CJ200+CK302*CK200+CL302*CL200+CM302*CM200+CN302*CN200+CO302*CO200+CP302*CP200+CQ302*CQ200+CR302*CR200+CS302*CS200+CT302*CT200+CU302*CU200</f>
        <v>0</v>
      </c>
      <c r="DB200" s="2882">
        <f>E303*E200+F303*F200+G303*G200+H303*H200+I303*I200+J303*J200+K303*K200+L303*L200+M303*M200+N303*N200+O303*O200+P303*P200+Q303*Q200+R303*R200+S303*S200+T303*T200+U303*U200+V303*V200+W303*W200+X303*X200+Y303*Y200+Z303*Z200+AA303*AA200+AB303*AB200+AC303*AC200+AD303*AD200+AE303*AE200+AF303*AF200+AG303*AG200+AH303*AH200+AI303*AI200+AJ303*AJ200+AK303*AK200+AL303*AL200+AM303*AM200+AN303*AN200+AO303*AO200+AP303*AP200+AQ303*AQ200+AR303*AR200+AS303*AS200+AT303*AT200+AU303*AU200+AV303*AV200+AW303*AW200+AX303*AX200+AY303*AY200+AZ303*AZ200+BA303*BA200+BB303*BB200+BC303*BC200+BD303*BD200+BE303*BE200+BF303*BF200+BG303*BG200+BH303*BH200+BI303*BI200+BJ303*BJ200+BK303*BK200+BL303*BL200+BM303*BM200+BN303*BN200+BO303*BO200+BP303*BP200+BQ303*BQ200+BR303*BR200+BS303*BS200+BT303*BT200+BU303*BU200+BV303*BV200+BW303*BW200+BX303*BX200+BY303*BY200+BZ303*BZ200+CA303*CA200+CB303*CB200+CC303*CC200+CD303*CD200+CE303*CE200+CF303*CF200+CG303*CG200+CH303*CH200+CI303*CI200+CJ303*CJ200+CK303*CK200+CL303*CL200+CM303*CM200+CN303*CN200+CO303*CO200+CP303*CP200+CQ303*CQ200+CR303*CR200+CS303*CS200+CT303*CT200+CU303*CU200</f>
        <v>0</v>
      </c>
      <c r="DC200" s="2882">
        <f>E304*E200+F304*F200+G304*G200+H304*H200+I304*I200+J304*J200+K304*K200+L304*L200+M304*M200+N304*N200+O304*O200+P304*P200+Q304*Q200+R304*R200+S304*S200+T304*T200+U304*U200+V304*V200+W304*W200+X304*X200+Y304*Y200+Z304*Z200+AA304*AA200+AB304*AB200+AC304*AC200+AD304*AD200+AE304*AE200+AF304*AF200+AG304*AG200+AH304*AH200+AI304*AI200+AJ304*AJ200+AK304*AK200+AL304*AL200+AM304*AM200+AN304*AN200+AO304*AO200+AP304*AP200+AQ304*AQ200+AR304*AR200+AS304*AS200+AT304*AT200+AU304*AU200+AV304*AV200+AW304*AW200+AX304*AX200+AY304*AY200+AZ304*AZ200+BA304*BA200+BB304*BB200+BC304*BC200+BD304*BD200+BE304*BE200+BF304*BF200+BG304*BG200+BH304*BH200+BI304*BI200+BJ304*BJ200+BK304*BK200+BL304*BL200+BM304*BM200+BN304*BN200+BO304*BO200+BP304*BP200+BQ304*BQ200+BR304*BR200+BS304*BS200+BT304*BT200+BU304*BU200+BV304*BV200+BW304*BW200+BX304*BX200+BY304*BY200+BZ304*BZ200+CA304*CA200+CB304*CB200+CC304*CC200+CD304*CD200+CE304*CE200+CF304*CF200+CG304*CG200+CH304*CH200+CI304*CI200+CJ304*CJ200+CK304*CK200+CL304*CL200+CM304*CM200+CN304*CN200+CO304*CO200+CP304*CP200+CQ304*CQ200+CR304*CR200+CS304*CS200+CT304*CT200+CU304*CU200</f>
        <v>0</v>
      </c>
      <c r="DD200" s="2882">
        <f>E305*E200+F305*F200+G305*G200+H305*H200+I305*I200+J305*J200+K305*K200+L305*L200+M305*M200+N305*N200+O305*O200+P305*P200+Q305*Q200+R305*R200+S305*S200+T305*T200+U305*U200+V305*V200+W305*W200+X305*X200+Y305*Y200+Z305*Z200+AA305*AA200+AB305*AB200+AC305*AC200+AD305*AD200+AE305*AE200+AF305*AF200+AG305*AG200+AH305*AH200+AI305*AI200+AJ305*AJ200+AK305*AK200+AL305*AL200+AM305*AM200+AN305*AN200+AO305*AO200+AP305*AP200+AQ305*AQ200+AR305*AR200+AS305*AS200+AT305*AT200+AU305*AU200+AV305*AV200+AW305*AW200+AX305*AX200+AY305*AY200+AZ305*AZ200+BA305*BA200+BB305*BB200+BC305*BC200+BD305*BD200+BE305*BE200+BF305*BF200+BG305*BG200+BH305*BH200+BI305*BI200+BJ305*BJ200+BK305*BK200+BL305*BL200+BM305*BM200+BN305*BN200+BO305*BO200+BP305*BP200+BQ305*BQ200+BR305*BR200+BS305*BS200+BT305*BT200+BU305*BU200+BV305*BV200+BW305*BW200+BX305*BX200+BY305*BY200+BZ305*BZ200+CA305*CA200+CB305*CB200+CC305*CC200+CD305*CD200+CE305*CE200+CF305*CF200+CG305*CG200+CH305*CH200+CI305*CI200+CJ305*CJ200+CK305*CK200+CL305*CL200+CM305*CM200+CN305*CN200+CO305*CO200+CP305*CP200+CQ305*CQ200+CR305*CR200+CS305*CS200+CT305*CT200+CU305*CU200</f>
        <v>0</v>
      </c>
      <c r="DE200" s="2882">
        <f>E306*E200+F306*F200+G306*G200+H306*H200+I306*I200+J306*J200+K306*K200+L306*L200+M306*M200+N306*N200+O306*O200+P306*P200+Q306*Q200+R306*R200+S306*S200+T306*T200+U306*U200+V306*V200+W306*W200+X306*X200+Y306*Y200+Z306*Z200+AA306*AA200+AB306*AB200+AC306*AC200+AD306*AD200+AE306*AE200+AF306*AF200+AG306*AG200+AH306*AH200+AI306*AI200+AJ306*AJ200+AK306*AK200+AL306*AL200+AM306*AM200+AN306*AN200+AO306*AO200+AP306*AP200+AQ306*AQ200+AR306*AR200+AS306*AS200+AT306*AT200+AU306*AU200+AV306*AV200+AW306*AW200+AX306*AX200+AY306*AY200+AZ306*AZ200+BA306*BA200+BB306*BB200+BC306*BC200+BD306*BD200+BE306*BE200+BF306*BF200+BG306*BG200+BH306*BH200+BI306*BI200+BJ306*BJ200+BK306*BK200+BL306*BL200+BM306*BM200+BN306*BN200+BO306*BO200+BP306*BP200+BQ306*BQ200+BR306*BR200+BS306*BS200+BT306*BT200+BU306*BU200+BV306*BV200+BW306*BW200+BX306*BX200+BY306*BY200+BZ306*BZ200+CA306*CA200+CB306*CB200+CC306*CC200+CD306*CD200+CE306*CE200+CF306*CF200+CG306*CG200+CH306*CH200+CI306*CI200+CJ306*CJ200+CK306*CK200+CL306*CL200+CM306*CM200+CN306*CN200+CO306*CO200+CP306*CP200+CQ306*CQ200+CR306*CR200+CS306*CS200+CT306*CT200+CU306*CU200</f>
        <v>0</v>
      </c>
      <c r="DF200" s="2882">
        <f>E307*E200+F307*F200+G307*G200+H307*H200+I307*I200+J307*J200+K307*K200+L307*L200+M307*M200+N307*N200+O307*O200+P307*P200+Q307*Q200+R307*R200+S307*S200+T307*T200+U307*U200+V307*V200+W307*W200+X307*X200+Y307*Y200+Z307*Z200+AA307*AA200+AB307*AB200+AC307*AC200+AD307*AD200+AE307*AE200+AF307*AF200+AG307*AG200+AH307*AH200+AI307*AI200+AJ307*AJ200+AK307*AK200+AL307*AL200+AM307*AM200+AN307*AN200+AO307*AO200+AP307*AP200+AQ307*AQ200+AR307*AR200+AS307*AS200+AT307*AT200+AU307*AU200+AV307*AV200+AW307*AW200+AX307*AX200+AY307*AY200+AZ307*AZ200+BA307*BA200+BB307*BB200+BC307*BC200+BD307*BD200+BE307*BE200+BF307*BF200+BG307*BG200+BH307*BH200+BI307*BI200+BJ307*BJ200+BK307*BK200+BL307*BL200+BM307*BM200+BN307*BN200+BO307*BO200+BP307*BP200+BQ307*BQ200+BR307*BR200+BS307*BS200+BT307*BT200+BU307*BU200+BV307*BV200+BW307*BW200+BX307*BX200+BY307*BY200+BZ307*BZ200+CA307*CA200+CB307*CB200+CC307*CC200+CD307*CD200+CE307*CE200+CF307*CF200+CG307*CG200+CH307*CH200+CI307*CI200+CJ307*CJ200+CK307*CK200+CL307*CL200+CM307*CM200+CN307*CN200+CO307*CO200+CP307*CP200+CQ307*CQ200+CR307*CR200+CS307*CS200+CT307*CT200+CU307*CU200</f>
        <v>0</v>
      </c>
      <c r="DG200" s="2882">
        <f>E308*E200+F308*F200+G308*G200+H308*H200+I308*I200+J308*J200+K308*K200+L308*L200+M308*M200+N308*N200+O308*O200+P308*P200+Q308*Q200+R308*R200+S308*S200+T308*T200+U308*U200+V308*V200+W308*W200+X308*X200+Y308*Y200+Z308*Z200+AA308*AA200+AB308*AB200+AC308*AC200+AD308*AD200+AE308*AE200+AF308*AF200+AG308*AG200+AH308*AH200+AI308*AI200+AJ308*AJ200+AK308*AK200+AL308*AL200+AM308*AM200+AN308*AN200+AO308*AO200+AP308*AP200+AQ308*AQ200+AR308*AR200+AS308*AS200+AT308*AT200+AU308*AU200+AV308*AV200+AW308*AW200+AX308*AX200+AY308*AY200+AZ308*AZ200+BA308*BA200+BB308*BB200+BC308*BC200+BD308*BD200+BE308*BE200+BF308*BF200+BG308*BG200+BH308*BH200+BI308*BI200+BJ308*BJ200+BK308*BK200+BL308*BL200+BM308*BM200+BN308*BN200+BO308*BO200+BP308*BP200+BQ308*BQ200+BR308*BR200+BS308*BS200+BT308*BT200+BU308*BU200+BV308*BV200+BW308*BW200+BX308*BX200+BY308*BY200+BZ308*BZ200+CA308*CA200+CB308*CB200+CC308*CC200+CD308*CD200+CE308*CE200+CF308*CF200+CG308*CG200+CH308*CH200+CI308*CI200+CJ308*CJ200+CK308*CK200+CL308*CL200+CM308*CM200+CN308*CN200+CO308*CO200+CP308*CP200+CQ308*CQ200+CR308*CR200+CS308*CS200+CT308*CT200+CU308*CU200</f>
        <v>0</v>
      </c>
      <c r="DH200" s="2882">
        <f>E309*E200+F309*F200+G309*G200+H309*H200+I309*I200+J309*J200+K309*K200+L309*L200+M309*M200+N309*N200+O309*O200+P309*P200+Q309*Q200+R309*R200+S309*S200+T309*T200+U309*U200+V309*V200+W309*W200+X309*X200+Y309*Y200+Z309*Z200+AA309*AA200+AB309*AB200+AC309*AC200+AD309*AD200+AE309*AE200+AF309*AF200+AG309*AG200+AH309*AH200+AI309*AI200+AJ309*AJ200+AK309*AK200+AL309*AL200+AM309*AM200+AN309*AN200+AO309*AO200+AP309*AP200+AQ309*AQ200+AR309*AR200+AS309*AS200+AT309*AT200+AU309*AU200+AV309*AV200+AW309*AW200+AX309*AX200+AY309*AY200+AZ309*AZ200+BA309*BA200+BB309*BB200+BC309*BC200+BD309*BD200+BE309*BE200+BF309*BF200+BG309*BG200+BH309*BH200+BI309*BI200+BJ309*BJ200+BK309*BK200+BL309*BL200+BM309*BM200+BN309*BN200+BO309*BO200+BP309*BP200+BQ309*BQ200+BR309*BR200+BS309*BS200+BT309*BT200+BU309*BU200+BV309*BV200+BW309*BW200+BX309*BX200+BY309*BY200+BZ309*BZ200+CA309*CA200+CB309*CB200+CC309*CC200+CD309*CD200+CE309*CE200+CF309*CF200+CG309*CG200+CH309*CH200+CI309*CI200+CJ309*CJ200+CK309*CK200+CL309*CL200+CM309*CM200+CN309*CN200+CO309*CO200+CP309*CP200+CQ309*CQ200+CR309*CR200+CS309*CS200+CT309*CT200+CU309*CU200</f>
        <v>0</v>
      </c>
      <c r="DI200" s="2882">
        <f>E310*E200+F310*F200+G310*G200+H310*H200+I310*I200+J310*J200+K310*K200+L310*L200+M310*M200+N310*N200+O310*O200+P310*P200+Q310*Q200+R310*R200+S310*S200+T310*T200+U310*U200+V310*V200+W310*W200+X310*X200+Y310*Y200+Z310*Z200+AA310*AA200+AB310*AB200+AC310*AC200+AD310*AD200+AE310*AE200+AF310*AF200+AG310*AG200+AH310*AH200+AI310*AI200+AJ310*AJ200+AK310*AK200+AL310*AL200+AM310*AM200+AN310*AN200+AO310*AO200+AP310*AP200+AQ310*AQ200+AR310*AR200+AS310*AS200+AT310*AT200+AU310*AU200+AV310*AV200+AW310*AW200+AX310*AX200+AY310*AY200+AZ310*AZ200+BA310*BA200+BB310*BB200+BC310*BC200+BD310*BD200+BE310*BE200+BF310*BF200+BG310*BG200+BH310*BH200+BI310*BI200+BJ310*BJ200+BK310*BK200+BL310*BL200+BM310*BM200+BN310*BN200+BO310*BO200+BP310*BP200+BQ310*BQ200+BR310*BR200+BS310*BS200+BT310*BT200+BU310*BU200+BV310*BV200+BW310*BW200+BX310*BX200+BY310*BY200+BZ310*BZ200+CA310*CA200+CB310*CB200+CC310*CC200+CD310*CD200+CE310*CE200+CF310*CF200+CG310*CG200+CH310*CH200+CI310*CI200+CJ310*CJ200+CK310*CK200+CL310*CL200+CM310*CM200+CN310*CN200+CO310*CO200+CP310*CP200+CQ310*CQ200+CR310*CR200+CS310*CS200+CT310*CT200+CU310*CU200</f>
        <v>0</v>
      </c>
    </row>
    <row r="201" spans="2:113" x14ac:dyDescent="0.45">
      <c r="B201" s="768">
        <v>42</v>
      </c>
      <c r="C201" s="768" t="s">
        <v>4899</v>
      </c>
      <c r="D201" s="769" t="s">
        <v>4024</v>
      </c>
      <c r="E201" s="770">
        <f>0</f>
        <v>0</v>
      </c>
      <c r="F201" s="728">
        <f>0</f>
        <v>0</v>
      </c>
      <c r="G201" s="728">
        <f>0</f>
        <v>0</v>
      </c>
      <c r="H201" s="728">
        <f>0</f>
        <v>0</v>
      </c>
      <c r="I201" s="728">
        <f>0</f>
        <v>0</v>
      </c>
      <c r="J201" s="728">
        <f>0</f>
        <v>0</v>
      </c>
      <c r="K201" s="728">
        <f>0</f>
        <v>0</v>
      </c>
      <c r="L201" s="728">
        <f>0</f>
        <v>0</v>
      </c>
      <c r="M201" s="770">
        <f>0</f>
        <v>0</v>
      </c>
      <c r="N201" s="770">
        <f>0</f>
        <v>0</v>
      </c>
      <c r="O201" s="728">
        <f>0</f>
        <v>0</v>
      </c>
      <c r="P201" s="728">
        <f>0</f>
        <v>0</v>
      </c>
      <c r="Q201" s="728">
        <f>0</f>
        <v>0</v>
      </c>
      <c r="R201" s="728">
        <f>0</f>
        <v>0</v>
      </c>
      <c r="S201" s="728">
        <f>0</f>
        <v>0</v>
      </c>
      <c r="T201" s="728">
        <f>0</f>
        <v>0</v>
      </c>
      <c r="U201" s="728">
        <f>0</f>
        <v>0</v>
      </c>
      <c r="V201" s="728">
        <f>0</f>
        <v>0</v>
      </c>
      <c r="W201" s="728">
        <f>0</f>
        <v>0</v>
      </c>
      <c r="X201" s="728">
        <f>0</f>
        <v>0</v>
      </c>
      <c r="Y201" s="728">
        <f>0</f>
        <v>0</v>
      </c>
      <c r="Z201" s="728">
        <f>0</f>
        <v>0</v>
      </c>
      <c r="AA201" s="728">
        <f>0</f>
        <v>0</v>
      </c>
      <c r="AB201" s="728">
        <f>0</f>
        <v>0</v>
      </c>
      <c r="AC201" s="728">
        <f>0</f>
        <v>0</v>
      </c>
      <c r="AD201" s="770">
        <f>0</f>
        <v>0</v>
      </c>
      <c r="AE201" s="770">
        <f>1</f>
        <v>1</v>
      </c>
      <c r="AF201" s="770">
        <f>-1</f>
        <v>-1</v>
      </c>
      <c r="AG201" s="770">
        <f>0</f>
        <v>0</v>
      </c>
      <c r="AH201" s="770">
        <f>0</f>
        <v>0</v>
      </c>
      <c r="AI201" s="728">
        <f>0</f>
        <v>0</v>
      </c>
      <c r="AJ201" s="728">
        <f>0</f>
        <v>0</v>
      </c>
      <c r="AK201" s="728">
        <f>0</f>
        <v>0</v>
      </c>
      <c r="AL201" s="728">
        <f>0</f>
        <v>0</v>
      </c>
      <c r="AM201" s="770">
        <f>0</f>
        <v>0</v>
      </c>
      <c r="AN201" s="770">
        <f>0</f>
        <v>0</v>
      </c>
      <c r="AO201" s="728">
        <f>0</f>
        <v>0</v>
      </c>
      <c r="AP201" s="728">
        <f>0</f>
        <v>0</v>
      </c>
      <c r="AQ201" s="728">
        <f>0</f>
        <v>0</v>
      </c>
      <c r="AR201" s="770">
        <f>-E_EQNO_NO2</f>
        <v>-0.57113381453161693</v>
      </c>
      <c r="AS201" s="728">
        <f>0</f>
        <v>0</v>
      </c>
      <c r="AT201" s="728">
        <f>0</f>
        <v>0</v>
      </c>
      <c r="AU201" s="770">
        <f>0</f>
        <v>0</v>
      </c>
      <c r="AV201" s="770">
        <f>0</f>
        <v>0</v>
      </c>
      <c r="AW201" s="770">
        <f>0</f>
        <v>0</v>
      </c>
      <c r="AX201" s="770">
        <f>0</f>
        <v>0</v>
      </c>
      <c r="AY201" s="770">
        <f>0</f>
        <v>0</v>
      </c>
      <c r="AZ201" s="770">
        <f>0</f>
        <v>0</v>
      </c>
      <c r="BA201" s="748">
        <f>0</f>
        <v>0</v>
      </c>
      <c r="BB201" s="748">
        <f>0</f>
        <v>0</v>
      </c>
      <c r="BC201" s="748">
        <f>0</f>
        <v>0</v>
      </c>
      <c r="BD201" s="748">
        <f>0</f>
        <v>0</v>
      </c>
      <c r="BE201" s="728">
        <f>0</f>
        <v>0</v>
      </c>
      <c r="BF201" s="728">
        <f>0</f>
        <v>0</v>
      </c>
      <c r="BG201" s="728">
        <f>0</f>
        <v>0</v>
      </c>
      <c r="BH201" s="728">
        <f>0</f>
        <v>0</v>
      </c>
      <c r="BI201" s="728">
        <f>0</f>
        <v>0</v>
      </c>
      <c r="BJ201" s="728">
        <f>0</f>
        <v>0</v>
      </c>
      <c r="BK201" s="728">
        <f>0</f>
        <v>0</v>
      </c>
      <c r="BL201" s="728">
        <f>0</f>
        <v>0</v>
      </c>
      <c r="BM201" s="728">
        <f>0</f>
        <v>0</v>
      </c>
      <c r="BN201" s="728">
        <f>0</f>
        <v>0</v>
      </c>
      <c r="BO201" s="728">
        <f>0</f>
        <v>0</v>
      </c>
      <c r="BP201" s="728">
        <f>0</f>
        <v>0</v>
      </c>
      <c r="BQ201" s="728">
        <f>0</f>
        <v>0</v>
      </c>
      <c r="BR201" s="728">
        <f>0</f>
        <v>0</v>
      </c>
      <c r="BS201" s="728">
        <f>0</f>
        <v>0</v>
      </c>
      <c r="BT201" s="728">
        <f>0</f>
        <v>0</v>
      </c>
      <c r="BU201" s="728">
        <f>0</f>
        <v>0</v>
      </c>
      <c r="BV201" s="893">
        <f>0</f>
        <v>0</v>
      </c>
      <c r="BW201" s="728">
        <f>0</f>
        <v>0</v>
      </c>
      <c r="BX201" s="728">
        <f>0</f>
        <v>0</v>
      </c>
      <c r="BY201" s="728">
        <f>0</f>
        <v>0</v>
      </c>
      <c r="BZ201" s="728">
        <f>0</f>
        <v>0</v>
      </c>
      <c r="CA201" s="893">
        <f>0</f>
        <v>0</v>
      </c>
      <c r="CB201" s="728">
        <f>0</f>
        <v>0</v>
      </c>
      <c r="CC201" s="728">
        <f>0</f>
        <v>0</v>
      </c>
      <c r="CD201" s="728">
        <f>0</f>
        <v>0</v>
      </c>
      <c r="CE201" s="728">
        <f>0</f>
        <v>0</v>
      </c>
      <c r="CF201" s="728">
        <f>0</f>
        <v>0</v>
      </c>
      <c r="CG201" s="728">
        <f>0</f>
        <v>0</v>
      </c>
      <c r="CH201" s="728">
        <f>0</f>
        <v>0</v>
      </c>
      <c r="CI201" s="728">
        <f>0</f>
        <v>0</v>
      </c>
      <c r="CJ201" s="728">
        <f>0</f>
        <v>0</v>
      </c>
      <c r="CK201" s="728">
        <f>0</f>
        <v>0</v>
      </c>
      <c r="CL201" s="728">
        <f>0</f>
        <v>0</v>
      </c>
      <c r="CM201" s="728">
        <f>0</f>
        <v>0</v>
      </c>
      <c r="CN201" s="728">
        <f>0</f>
        <v>0</v>
      </c>
      <c r="CO201" s="728">
        <f>0</f>
        <v>0</v>
      </c>
      <c r="CP201" s="728">
        <f>0</f>
        <v>0</v>
      </c>
      <c r="CQ201" s="728">
        <f>0</f>
        <v>0</v>
      </c>
      <c r="CR201" s="728">
        <f>0</f>
        <v>0</v>
      </c>
      <c r="CS201" s="728">
        <f>0</f>
        <v>0</v>
      </c>
      <c r="CT201" s="728">
        <f>0</f>
        <v>0</v>
      </c>
      <c r="CU201" s="728">
        <f>0</f>
        <v>0</v>
      </c>
      <c r="CV201" s="748">
        <f>µ_AOB_T/Y_AOB*X_AOB*M_satSO2_KO2_NH2OH_AOB*M_satSNO_KNO_NO2_AOB</f>
        <v>178.82140438022125</v>
      </c>
      <c r="CX201" s="2880">
        <f>E299*E201+F299*F201+G299*G201+H299*H201+I299*I201+J299*J201+K299*K201+L299*L201+M299*M201+N299*N201+O299*O201+P299*P201+Q299*Q201+R299*R201+S299*S201+T299*T201+U299*U201+V299*V201+W299*W201+X299*X201+Y299*Y201+Z299*Z201+AA299*AA201+AB299*AB201+AC299*AC201+AD299*AD201+AE299*AE201+AF299*AF201+AG299*AG201+AH299*AH201+AI299*AI201+AJ299*AJ201+AK299*AK201+AL299*AL201+AM299*AM201+AN299*AN201+AO299*AO201+AP299*AP201+AQ299*AQ201+AR299*AR201+AS299*AS201+AT299*AT201+AU299*AU201+AV299*AV201+AW299*AW201+AX299*AX201+AY299*AY201+AZ299*AZ201+BA299*BA201+BB299*BB201+BC299*BC201+BD299*BD201+BE299*BE201+BF299*BF201+BG299*BG201+BH299*BH201+BI299*BI201+BJ299*BJ201+BK299*BK201+BL299*BL201+BM299*BM201+BN299*BN201+BO299*BO201+BP299*BP201+BQ299*BQ201+BR299*BR201+BS299*BS201+BT299*BT201+BU299*BU201+BV299*BV201+BW299*BW201+BX299*BX201+BY299*BY201+BZ299*BZ201+CA299*CA201+CB299*CB201+CC299*CC201+CD299*CD201+CE299*CE201+CF299*CF201+CG299*CG201+CH299*CH201+CI299*CI201+CJ299*CJ201+CK299*CK201+CL299*CL201+CM299*CM201+CN299*CN201+CO299*CO201+CP299*CP201+CQ299*CQ201+CR299*CR201+CS299*CS201+CT299*CT201+CU299*CU201</f>
        <v>4.4408920985006262E-16</v>
      </c>
      <c r="CY201" s="2880">
        <f>E300*E201+F300*F201+G300*G201+H300*H201+I300*I201+J300*J201+K300*K201+L300*L201+M300*M201+N300*N201+O300*O201+P300*P201+Q300*Q201+R300*R201+S300*S201+T300*T201+U300*U201+V300*V201+W300*W201+X300*X201+Y300*Y201+Z300*Z201+AA300*AA201+AB300*AB201+AC300*AC201+AD300*AD201+AE300*AE201+AF300*AF201+AG300*AG201+AH300*AH201+AI300*AI201+AJ300*AJ201+AK300*AK201+AL300*AL201+AM300*AM201+AN300*AN201+AO300*AO201+AP300*AP201+AQ300*AQ201+AR300*AR201+AS300*AS201+AT300*AT201+AU300*AU201+AV300*AV201+AW300*AW201+AX300*AX201+AY300*AY201+AZ300*AZ201+BA300*BA201+BB300*BB201+BC300*BC201+BD300*BD201+BE300*BE201+BF300*BF201+BG300*BG201+BH300*BH201+BI300*BI201+BJ300*BJ201+BK300*BK201+BL300*BL201+BM300*BM201+BN300*BN201+BO300*BO201+BP300*BP201+BQ300*BQ201+BR300*BR201+BS300*BS201+BT300*BT201+BU300*BU201+BV300*BV201+BW300*BW201+BX300*BX201+BY300*BY201+BZ300*BZ201+CA300*CA201+CB300*CB201+CC300*CC201+CD300*CD201+CE300*CE201+CF300*CF201+CG300*CG201+CH300*CH201+CI300*CI201+CJ300*CJ201+CK300*CK201+CL300*CL201+CM300*CM201+CN300*CN201+CO300*CO201+CP300*CP201+CQ300*CQ201+CR300*CR201+CS300*CS201+CT300*CT201+CU300*CU201</f>
        <v>0</v>
      </c>
      <c r="CZ201" s="2881">
        <f>E301*E201+F301*F201+G301*G201+H301*H201+I301*I201+J301*J201+K301*K201+L301*L201+M301*M201+N301*N201+O301*O201+P301*P201+Q301*Q201+R301*R201+S301*S201+T301*T201+U301*U201+V301*V201+W301*W201+X301*X201+Y301*Y201+Z301*Z201+AA301*AA201+AB301*AB201+AC301*AC201+AD301*AD201+AE301*AE201+AF301*AF201+AG301*AG201+AH301*AH201+AI301*AI201+AJ301*AJ201+AK301*AK201+AL301*AL201+AM301*AM201+AN301*AN201+AO301*AO201+AP301*AP201+AQ301*AQ201+AR301*AR201+AS301*AS201+AT301*AT201+AU301*AU201+AV301*AV201+AW301*AW201+AX301*AX201+AY301*AY201+AZ301*AZ201+BA301*BA201+BB301*BB201+BC301*BC201+BD301*BD201+BE301*BE201+BF301*BF201+BG301*BG201+BH301*BH201+BI301*BI201+BJ301*BJ201+BK301*BK201+BL301*BL201+BM301*BM201+BN301*BN201+BO301*BO201+BP301*BP201+BQ301*BQ201+BR301*BR201+BS301*BS201+BT301*BT201+BU301*BU201+BV301*BV201+BW301*BW201+BX301*BX201+BY301*BY201+BZ301*BZ201+CA301*CA201+CB301*CB201+CC301*CC201+CD301*CD201+CE301*CE201+CF301*CF201+CG301*CG201+CH301*CH201+CI301*CI201+CJ301*CJ201+CK301*CK201+CL301*CL201+CM301*CM201+CN301*CN201+CO301*CO201+CP301*CP201+CQ301*CQ201+CR301*CR201+CS301*CS201+CT301*CT201+CU301*CU201</f>
        <v>0</v>
      </c>
      <c r="DA201" s="2882">
        <f>E302*E201+F302*F201+G302*G201+H302*H201+I302*I201+J302*J201+K302*K201+L302*L201+M302*M201+N302*N201+O302*O201+P302*P201+Q302*Q201+R302*R201+S302*S201+T302*T201+U302*U201+V302*V201+W302*W201+X302*X201+Y302*Y201+Z302*Z201+AA302*AA201+AB302*AB201+AC302*AC201+AD302*AD201+AE302*AE201+AF302*AF201+AG302*AG201+AH302*AH201+AI302*AI201+AJ302*AJ201+AK302*AK201+AL302*AL201+AM302*AM201+AN302*AN201+AO302*AO201+AP302*AP201+AQ302*AQ201+AR302*AR201+AS302*AS201+AT302*AT201+AU302*AU201+AV302*AV201+AW302*AW201+AX302*AX201+AY302*AY201+AZ302*AZ201+BA302*BA201+BB302*BB201+BC302*BC201+BD302*BD201+BE302*BE201+BF302*BF201+BG302*BG201+BH302*BH201+BI302*BI201+BJ302*BJ201+BK302*BK201+BL302*BL201+BM302*BM201+BN302*BN201+BO302*BO201+BP302*BP201+BQ302*BQ201+BR302*BR201+BS302*BS201+BT302*BT201+BU302*BU201+BV302*BV201+BW302*BW201+BX302*BX201+BY302*BY201+BZ302*BZ201+CA302*CA201+CB302*CB201+CC302*CC201+CD302*CD201+CE302*CE201+CF302*CF201+CG302*CG201+CH302*CH201+CI302*CI201+CJ302*CJ201+CK302*CK201+CL302*CL201+CM302*CM201+CN302*CN201+CO302*CO201+CP302*CP201+CQ302*CQ201+CR302*CR201+CS302*CS201+CT302*CT201+CU302*CU201</f>
        <v>0</v>
      </c>
      <c r="DB201" s="2882">
        <f>E303*E201+F303*F201+G303*G201+H303*H201+I303*I201+J303*J201+K303*K201+L303*L201+M303*M201+N303*N201+O303*O201+P303*P201+Q303*Q201+R303*R201+S303*S201+T303*T201+U303*U201+V303*V201+W303*W201+X303*X201+Y303*Y201+Z303*Z201+AA303*AA201+AB303*AB201+AC303*AC201+AD303*AD201+AE303*AE201+AF303*AF201+AG303*AG201+AH303*AH201+AI303*AI201+AJ303*AJ201+AK303*AK201+AL303*AL201+AM303*AM201+AN303*AN201+AO303*AO201+AP303*AP201+AQ303*AQ201+AR303*AR201+AS303*AS201+AT303*AT201+AU303*AU201+AV303*AV201+AW303*AW201+AX303*AX201+AY303*AY201+AZ303*AZ201+BA303*BA201+BB303*BB201+BC303*BC201+BD303*BD201+BE303*BE201+BF303*BF201+BG303*BG201+BH303*BH201+BI303*BI201+BJ303*BJ201+BK303*BK201+BL303*BL201+BM303*BM201+BN303*BN201+BO303*BO201+BP303*BP201+BQ303*BQ201+BR303*BR201+BS303*BS201+BT303*BT201+BU303*BU201+BV303*BV201+BW303*BW201+BX303*BX201+BY303*BY201+BZ303*BZ201+CA303*CA201+CB303*CB201+CC303*CC201+CD303*CD201+CE303*CE201+CF303*CF201+CG303*CG201+CH303*CH201+CI303*CI201+CJ303*CJ201+CK303*CK201+CL303*CL201+CM303*CM201+CN303*CN201+CO303*CO201+CP303*CP201+CQ303*CQ201+CR303*CR201+CS303*CS201+CT303*CT201+CU303*CU201</f>
        <v>0</v>
      </c>
      <c r="DC201" s="2882">
        <f>E304*E201+F304*F201+G304*G201+H304*H201+I304*I201+J304*J201+K304*K201+L304*L201+M304*M201+N304*N201+O304*O201+P304*P201+Q304*Q201+R304*R201+S304*S201+T304*T201+U304*U201+V304*V201+W304*W201+X304*X201+Y304*Y201+Z304*Z201+AA304*AA201+AB304*AB201+AC304*AC201+AD304*AD201+AE304*AE201+AF304*AF201+AG304*AG201+AH304*AH201+AI304*AI201+AJ304*AJ201+AK304*AK201+AL304*AL201+AM304*AM201+AN304*AN201+AO304*AO201+AP304*AP201+AQ304*AQ201+AR304*AR201+AS304*AS201+AT304*AT201+AU304*AU201+AV304*AV201+AW304*AW201+AX304*AX201+AY304*AY201+AZ304*AZ201+BA304*BA201+BB304*BB201+BC304*BC201+BD304*BD201+BE304*BE201+BF304*BF201+BG304*BG201+BH304*BH201+BI304*BI201+BJ304*BJ201+BK304*BK201+BL304*BL201+BM304*BM201+BN304*BN201+BO304*BO201+BP304*BP201+BQ304*BQ201+BR304*BR201+BS304*BS201+BT304*BT201+BU304*BU201+BV304*BV201+BW304*BW201+BX304*BX201+BY304*BY201+BZ304*BZ201+CA304*CA201+CB304*CB201+CC304*CC201+CD304*CD201+CE304*CE201+CF304*CF201+CG304*CG201+CH304*CH201+CI304*CI201+CJ304*CJ201+CK304*CK201+CL304*CL201+CM304*CM201+CN304*CN201+CO304*CO201+CP304*CP201+CQ304*CQ201+CR304*CR201+CS304*CS201+CT304*CT201+CU304*CU201</f>
        <v>0</v>
      </c>
      <c r="DD201" s="2882">
        <f>E305*E201+F305*F201+G305*G201+H305*H201+I305*I201+J305*J201+K305*K201+L305*L201+M305*M201+N305*N201+O305*O201+P305*P201+Q305*Q201+R305*R201+S305*S201+T305*T201+U305*U201+V305*V201+W305*W201+X305*X201+Y305*Y201+Z305*Z201+AA305*AA201+AB305*AB201+AC305*AC201+AD305*AD201+AE305*AE201+AF305*AF201+AG305*AG201+AH305*AH201+AI305*AI201+AJ305*AJ201+AK305*AK201+AL305*AL201+AM305*AM201+AN305*AN201+AO305*AO201+AP305*AP201+AQ305*AQ201+AR305*AR201+AS305*AS201+AT305*AT201+AU305*AU201+AV305*AV201+AW305*AW201+AX305*AX201+AY305*AY201+AZ305*AZ201+BA305*BA201+BB305*BB201+BC305*BC201+BD305*BD201+BE305*BE201+BF305*BF201+BG305*BG201+BH305*BH201+BI305*BI201+BJ305*BJ201+BK305*BK201+BL305*BL201+BM305*BM201+BN305*BN201+BO305*BO201+BP305*BP201+BQ305*BQ201+BR305*BR201+BS305*BS201+BT305*BT201+BU305*BU201+BV305*BV201+BW305*BW201+BX305*BX201+BY305*BY201+BZ305*BZ201+CA305*CA201+CB305*CB201+CC305*CC201+CD305*CD201+CE305*CE201+CF305*CF201+CG305*CG201+CH305*CH201+CI305*CI201+CJ305*CJ201+CK305*CK201+CL305*CL201+CM305*CM201+CN305*CN201+CO305*CO201+CP305*CP201+CQ305*CQ201+CR305*CR201+CS305*CS201+CT305*CT201+CU305*CU201</f>
        <v>0</v>
      </c>
      <c r="DE201" s="2882">
        <f>E306*E201+F306*F201+G306*G201+H306*H201+I306*I201+J306*J201+K306*K201+L306*L201+M306*M201+N306*N201+O306*O201+P306*P201+Q306*Q201+R306*R201+S306*S201+T306*T201+U306*U201+V306*V201+W306*W201+X306*X201+Y306*Y201+Z306*Z201+AA306*AA201+AB306*AB201+AC306*AC201+AD306*AD201+AE306*AE201+AF306*AF201+AG306*AG201+AH306*AH201+AI306*AI201+AJ306*AJ201+AK306*AK201+AL306*AL201+AM306*AM201+AN306*AN201+AO306*AO201+AP306*AP201+AQ306*AQ201+AR306*AR201+AS306*AS201+AT306*AT201+AU306*AU201+AV306*AV201+AW306*AW201+AX306*AX201+AY306*AY201+AZ306*AZ201+BA306*BA201+BB306*BB201+BC306*BC201+BD306*BD201+BE306*BE201+BF306*BF201+BG306*BG201+BH306*BH201+BI306*BI201+BJ306*BJ201+BK306*BK201+BL306*BL201+BM306*BM201+BN306*BN201+BO306*BO201+BP306*BP201+BQ306*BQ201+BR306*BR201+BS306*BS201+BT306*BT201+BU306*BU201+BV306*BV201+BW306*BW201+BX306*BX201+BY306*BY201+BZ306*BZ201+CA306*CA201+CB306*CB201+CC306*CC201+CD306*CD201+CE306*CE201+CF306*CF201+CG306*CG201+CH306*CH201+CI306*CI201+CJ306*CJ201+CK306*CK201+CL306*CL201+CM306*CM201+CN306*CN201+CO306*CO201+CP306*CP201+CQ306*CQ201+CR306*CR201+CS306*CS201+CT306*CT201+CU306*CU201</f>
        <v>0</v>
      </c>
      <c r="DF201" s="2882">
        <f>E307*E201+F307*F201+G307*G201+H307*H201+I307*I201+J307*J201+K307*K201+L307*L201+M307*M201+N307*N201+O307*O201+P307*P201+Q307*Q201+R307*R201+S307*S201+T307*T201+U307*U201+V307*V201+W307*W201+X307*X201+Y307*Y201+Z307*Z201+AA307*AA201+AB307*AB201+AC307*AC201+AD307*AD201+AE307*AE201+AF307*AF201+AG307*AG201+AH307*AH201+AI307*AI201+AJ307*AJ201+AK307*AK201+AL307*AL201+AM307*AM201+AN307*AN201+AO307*AO201+AP307*AP201+AQ307*AQ201+AR307*AR201+AS307*AS201+AT307*AT201+AU307*AU201+AV307*AV201+AW307*AW201+AX307*AX201+AY307*AY201+AZ307*AZ201+BA307*BA201+BB307*BB201+BC307*BC201+BD307*BD201+BE307*BE201+BF307*BF201+BG307*BG201+BH307*BH201+BI307*BI201+BJ307*BJ201+BK307*BK201+BL307*BL201+BM307*BM201+BN307*BN201+BO307*BO201+BP307*BP201+BQ307*BQ201+BR307*BR201+BS307*BS201+BT307*BT201+BU307*BU201+BV307*BV201+BW307*BW201+BX307*BX201+BY307*BY201+BZ307*BZ201+CA307*CA201+CB307*CB201+CC307*CC201+CD307*CD201+CE307*CE201+CF307*CF201+CG307*CG201+CH307*CH201+CI307*CI201+CJ307*CJ201+CK307*CK201+CL307*CL201+CM307*CM201+CN307*CN201+CO307*CO201+CP307*CP201+CQ307*CQ201+CR307*CR201+CS307*CS201+CT307*CT201+CU307*CU201</f>
        <v>0</v>
      </c>
      <c r="DG201" s="2882">
        <f>E308*E201+F308*F201+G308*G201+H308*H201+I308*I201+J308*J201+K308*K201+L308*L201+M308*M201+N308*N201+O308*O201+P308*P201+Q308*Q201+R308*R201+S308*S201+T308*T201+U308*U201+V308*V201+W308*W201+X308*X201+Y308*Y201+Z308*Z201+AA308*AA201+AB308*AB201+AC308*AC201+AD308*AD201+AE308*AE201+AF308*AF201+AG308*AG201+AH308*AH201+AI308*AI201+AJ308*AJ201+AK308*AK201+AL308*AL201+AM308*AM201+AN308*AN201+AO308*AO201+AP308*AP201+AQ308*AQ201+AR308*AR201+AS308*AS201+AT308*AT201+AU308*AU201+AV308*AV201+AW308*AW201+AX308*AX201+AY308*AY201+AZ308*AZ201+BA308*BA201+BB308*BB201+BC308*BC201+BD308*BD201+BE308*BE201+BF308*BF201+BG308*BG201+BH308*BH201+BI308*BI201+BJ308*BJ201+BK308*BK201+BL308*BL201+BM308*BM201+BN308*BN201+BO308*BO201+BP308*BP201+BQ308*BQ201+BR308*BR201+BS308*BS201+BT308*BT201+BU308*BU201+BV308*BV201+BW308*BW201+BX308*BX201+BY308*BY201+BZ308*BZ201+CA308*CA201+CB308*CB201+CC308*CC201+CD308*CD201+CE308*CE201+CF308*CF201+CG308*CG201+CH308*CH201+CI308*CI201+CJ308*CJ201+CK308*CK201+CL308*CL201+CM308*CM201+CN308*CN201+CO308*CO201+CP308*CP201+CQ308*CQ201+CR308*CR201+CS308*CS201+CT308*CT201+CU308*CU201</f>
        <v>0</v>
      </c>
      <c r="DH201" s="2882">
        <f>E309*E201+F309*F201+G309*G201+H309*H201+I309*I201+J309*J201+K309*K201+L309*L201+M309*M201+N309*N201+O309*O201+P309*P201+Q309*Q201+R309*R201+S309*S201+T309*T201+U309*U201+V309*V201+W309*W201+X309*X201+Y309*Y201+Z309*Z201+AA309*AA201+AB309*AB201+AC309*AC201+AD309*AD201+AE309*AE201+AF309*AF201+AG309*AG201+AH309*AH201+AI309*AI201+AJ309*AJ201+AK309*AK201+AL309*AL201+AM309*AM201+AN309*AN201+AO309*AO201+AP309*AP201+AQ309*AQ201+AR309*AR201+AS309*AS201+AT309*AT201+AU309*AU201+AV309*AV201+AW309*AW201+AX309*AX201+AY309*AY201+AZ309*AZ201+BA309*BA201+BB309*BB201+BC309*BC201+BD309*BD201+BE309*BE201+BF309*BF201+BG309*BG201+BH309*BH201+BI309*BI201+BJ309*BJ201+BK309*BK201+BL309*BL201+BM309*BM201+BN309*BN201+BO309*BO201+BP309*BP201+BQ309*BQ201+BR309*BR201+BS309*BS201+BT309*BT201+BU309*BU201+BV309*BV201+BW309*BW201+BX309*BX201+BY309*BY201+BZ309*BZ201+CA309*CA201+CB309*CB201+CC309*CC201+CD309*CD201+CE309*CE201+CF309*CF201+CG309*CG201+CH309*CH201+CI309*CI201+CJ309*CJ201+CK309*CK201+CL309*CL201+CM309*CM201+CN309*CN201+CO309*CO201+CP309*CP201+CQ309*CQ201+CR309*CR201+CS309*CS201+CT309*CT201+CU309*CU201</f>
        <v>0</v>
      </c>
      <c r="DI201" s="2882">
        <f>E310*E201+F310*F201+G310*G201+H310*H201+I310*I201+J310*J201+K310*K201+L310*L201+M310*M201+N310*N201+O310*O201+P310*P201+Q310*Q201+R310*R201+S310*S201+T310*T201+U310*U201+V310*V201+W310*W201+X310*X201+Y310*Y201+Z310*Z201+AA310*AA201+AB310*AB201+AC310*AC201+AD310*AD201+AE310*AE201+AF310*AF201+AG310*AG201+AH310*AH201+AI310*AI201+AJ310*AJ201+AK310*AK201+AL310*AL201+AM310*AM201+AN310*AN201+AO310*AO201+AP310*AP201+AQ310*AQ201+AR310*AR201+AS310*AS201+AT310*AT201+AU310*AU201+AV310*AV201+AW310*AW201+AX310*AX201+AY310*AY201+AZ310*AZ201+BA310*BA201+BB310*BB201+BC310*BC201+BD310*BD201+BE310*BE201+BF310*BF201+BG310*BG201+BH310*BH201+BI310*BI201+BJ310*BJ201+BK310*BK201+BL310*BL201+BM310*BM201+BN310*BN201+BO310*BO201+BP310*BP201+BQ310*BQ201+BR310*BR201+BS310*BS201+BT310*BT201+BU310*BU201+BV310*BV201+BW310*BW201+BX310*BX201+BY310*BY201+BZ310*BZ201+CA310*CA201+CB310*CB201+CC310*CC201+CD310*CD201+CE310*CE201+CF310*CF201+CG310*CG201+CH310*CH201+CI310*CI201+CJ310*CJ201+CK310*CK201+CL310*CL201+CM310*CM201+CN310*CN201+CO310*CO201+CP310*CP201+CQ310*CQ201+CR310*CR201+CS310*CS201+CT310*CT201+CU310*CU201</f>
        <v>0</v>
      </c>
    </row>
    <row r="202" spans="2:113" x14ac:dyDescent="0.45">
      <c r="B202" s="768">
        <v>43</v>
      </c>
      <c r="C202" s="768" t="s">
        <v>4900</v>
      </c>
      <c r="D202" s="769" t="s">
        <v>4095</v>
      </c>
      <c r="E202" s="770">
        <f>0</f>
        <v>0</v>
      </c>
      <c r="F202" s="728">
        <f>0</f>
        <v>0</v>
      </c>
      <c r="G202" s="728">
        <f>0</f>
        <v>0</v>
      </c>
      <c r="H202" s="728">
        <f>0</f>
        <v>0</v>
      </c>
      <c r="I202" s="728">
        <f>0</f>
        <v>0</v>
      </c>
      <c r="J202" s="728">
        <f>0</f>
        <v>0</v>
      </c>
      <c r="K202" s="728">
        <f>0</f>
        <v>0</v>
      </c>
      <c r="L202" s="728">
        <f>0</f>
        <v>0</v>
      </c>
      <c r="M202" s="770">
        <f>0</f>
        <v>0</v>
      </c>
      <c r="N202" s="770">
        <f>0</f>
        <v>0</v>
      </c>
      <c r="O202" s="728">
        <f>0</f>
        <v>0</v>
      </c>
      <c r="P202" s="728">
        <f>0</f>
        <v>0</v>
      </c>
      <c r="Q202" s="728">
        <f>0</f>
        <v>0</v>
      </c>
      <c r="R202" s="728">
        <f>0</f>
        <v>0</v>
      </c>
      <c r="S202" s="728">
        <f>0</f>
        <v>0</v>
      </c>
      <c r="T202" s="728">
        <f>0</f>
        <v>0</v>
      </c>
      <c r="U202" s="728">
        <f>0</f>
        <v>0</v>
      </c>
      <c r="V202" s="728">
        <f>0</f>
        <v>0</v>
      </c>
      <c r="W202" s="728">
        <f>0</f>
        <v>0</v>
      </c>
      <c r="X202" s="728">
        <f>0</f>
        <v>0</v>
      </c>
      <c r="Y202" s="728">
        <f>0</f>
        <v>0</v>
      </c>
      <c r="Z202" s="728">
        <f>0</f>
        <v>0</v>
      </c>
      <c r="AA202" s="728">
        <f>0</f>
        <v>0</v>
      </c>
      <c r="AB202" s="728">
        <f>0</f>
        <v>0</v>
      </c>
      <c r="AC202" s="728">
        <f>-1</f>
        <v>-1</v>
      </c>
      <c r="AD202" s="770">
        <f>0</f>
        <v>0</v>
      </c>
      <c r="AE202" s="770">
        <f>1</f>
        <v>1</v>
      </c>
      <c r="AF202" s="770">
        <f>-4</f>
        <v>-4</v>
      </c>
      <c r="AG202" s="770">
        <f>0</f>
        <v>0</v>
      </c>
      <c r="AH202" s="770">
        <f>4</f>
        <v>4</v>
      </c>
      <c r="AI202" s="728">
        <f>0</f>
        <v>0</v>
      </c>
      <c r="AJ202" s="728">
        <f>0</f>
        <v>0</v>
      </c>
      <c r="AK202" s="728">
        <f>0</f>
        <v>0</v>
      </c>
      <c r="AL202" s="728">
        <f>0</f>
        <v>0</v>
      </c>
      <c r="AM202" s="770">
        <f>0</f>
        <v>0</v>
      </c>
      <c r="AN202" s="770">
        <f>0</f>
        <v>0</v>
      </c>
      <c r="AO202" s="728">
        <f>0</f>
        <v>0</v>
      </c>
      <c r="AP202" s="728">
        <f>0</f>
        <v>0</v>
      </c>
      <c r="AQ202" s="728">
        <f>0</f>
        <v>0</v>
      </c>
      <c r="AR202" s="770">
        <f>0</f>
        <v>0</v>
      </c>
      <c r="AS202" s="728">
        <f>0</f>
        <v>0</v>
      </c>
      <c r="AT202" s="728">
        <f>0</f>
        <v>0</v>
      </c>
      <c r="AU202" s="770">
        <f>0</f>
        <v>0</v>
      </c>
      <c r="AV202" s="770">
        <f>0</f>
        <v>0</v>
      </c>
      <c r="AW202" s="770">
        <f>0</f>
        <v>0</v>
      </c>
      <c r="AX202" s="770">
        <f>0</f>
        <v>0</v>
      </c>
      <c r="AY202" s="770">
        <f>0</f>
        <v>0</v>
      </c>
      <c r="AZ202" s="770">
        <f>0</f>
        <v>0</v>
      </c>
      <c r="BA202" s="748">
        <f>0</f>
        <v>0</v>
      </c>
      <c r="BB202" s="748">
        <f>0</f>
        <v>0</v>
      </c>
      <c r="BC202" s="748">
        <f>0</f>
        <v>0</v>
      </c>
      <c r="BD202" s="748">
        <f>0</f>
        <v>0</v>
      </c>
      <c r="BE202" s="728">
        <f>0</f>
        <v>0</v>
      </c>
      <c r="BF202" s="728">
        <f>0</f>
        <v>0</v>
      </c>
      <c r="BG202" s="728">
        <f>0</f>
        <v>0</v>
      </c>
      <c r="BH202" s="728">
        <f>0</f>
        <v>0</v>
      </c>
      <c r="BI202" s="728">
        <f>0</f>
        <v>0</v>
      </c>
      <c r="BJ202" s="728">
        <f>0</f>
        <v>0</v>
      </c>
      <c r="BK202" s="728">
        <f>0</f>
        <v>0</v>
      </c>
      <c r="BL202" s="728">
        <f>0</f>
        <v>0</v>
      </c>
      <c r="BM202" s="728">
        <f>0</f>
        <v>0</v>
      </c>
      <c r="BN202" s="728">
        <f>0</f>
        <v>0</v>
      </c>
      <c r="BO202" s="728">
        <f>0</f>
        <v>0</v>
      </c>
      <c r="BP202" s="728">
        <f>0</f>
        <v>0</v>
      </c>
      <c r="BQ202" s="728">
        <f>0</f>
        <v>0</v>
      </c>
      <c r="BR202" s="728">
        <f>0</f>
        <v>0</v>
      </c>
      <c r="BS202" s="728">
        <f>0</f>
        <v>0</v>
      </c>
      <c r="BT202" s="728">
        <f>0</f>
        <v>0</v>
      </c>
      <c r="BU202" s="728">
        <f>0</f>
        <v>0</v>
      </c>
      <c r="BV202" s="893">
        <f>0</f>
        <v>0</v>
      </c>
      <c r="BW202" s="728">
        <f>0</f>
        <v>0</v>
      </c>
      <c r="BX202" s="728">
        <f>0</f>
        <v>0</v>
      </c>
      <c r="BY202" s="728">
        <f>0</f>
        <v>0</v>
      </c>
      <c r="BZ202" s="728">
        <f>0</f>
        <v>0</v>
      </c>
      <c r="CA202" s="893">
        <f>0</f>
        <v>0</v>
      </c>
      <c r="CB202" s="728">
        <f>0</f>
        <v>0</v>
      </c>
      <c r="CC202" s="728">
        <f>0</f>
        <v>0</v>
      </c>
      <c r="CD202" s="728">
        <f>0</f>
        <v>0</v>
      </c>
      <c r="CE202" s="728">
        <f>0</f>
        <v>0</v>
      </c>
      <c r="CF202" s="728">
        <f>0</f>
        <v>0</v>
      </c>
      <c r="CG202" s="728">
        <f>0</f>
        <v>0</v>
      </c>
      <c r="CH202" s="728">
        <f>0</f>
        <v>0</v>
      </c>
      <c r="CI202" s="728">
        <f>0</f>
        <v>0</v>
      </c>
      <c r="CJ202" s="728">
        <f>0</f>
        <v>0</v>
      </c>
      <c r="CK202" s="728">
        <f>0</f>
        <v>0</v>
      </c>
      <c r="CL202" s="728">
        <f>0</f>
        <v>0</v>
      </c>
      <c r="CM202" s="728">
        <f>0</f>
        <v>0</v>
      </c>
      <c r="CN202" s="728">
        <f>0</f>
        <v>0</v>
      </c>
      <c r="CO202" s="728">
        <f>0</f>
        <v>0</v>
      </c>
      <c r="CP202" s="728">
        <f>0</f>
        <v>0</v>
      </c>
      <c r="CQ202" s="728">
        <f>0</f>
        <v>0</v>
      </c>
      <c r="CR202" s="728">
        <f>0</f>
        <v>0</v>
      </c>
      <c r="CS202" s="728">
        <f>0</f>
        <v>0</v>
      </c>
      <c r="CT202" s="728">
        <f>0</f>
        <v>0</v>
      </c>
      <c r="CU202" s="728">
        <f>0</f>
        <v>0</v>
      </c>
      <c r="CV202" s="748">
        <f>µ_AOB_T/Y_AOB*ƞ_AOB_NO_N2O*X_AOB*M_satSNH2OH_KNH2OH_AOB*M_satSNO_KNO_N2O_AOB</f>
        <v>1.8131868131868131E-3</v>
      </c>
      <c r="CX202" s="2880">
        <f>E299*E202+F299*F202+G299*G202+H299*H202+I299*I202+J299*J202+K299*K202+L299*L202+M299*M202+N299*N202+O299*O202+P299*P202+Q299*Q202+R299*R202+S299*S202+T299*T202+U299*U202+V299*V202+W299*W202+X299*X202+Y299*Y202+Z299*Z202+AA299*AA202+AB299*AB202+AC299*AC202+AD299*AD202+AE299*AE202+AF299*AF202+AG299*AG202+AH299*AH202+AI299*AI202+AJ299*AJ202+AK299*AK202+AL299*AL202+AM299*AM202+AN299*AN202+AO299*AO202+AP299*AP202+AQ299*AQ202+AR299*AR202+AS299*AS202+AT299*AT202+AU299*AU202+AV299*AV202+AW299*AW202+AX299*AX202+AY299*AY202+AZ299*AZ202+BA299*BA202+BB299*BB202+BC299*BC202+BD299*BD202+BE299*BE202+BF299*BF202+BG299*BG202+BH299*BH202+BI299*BI202+BJ299*BJ202+BK299*BK202+BL299*BL202+BM299*BM202+BN299*BN202+BO299*BO202+BP299*BP202+BQ299*BQ202+BR299*BR202+BS299*BS202+BT299*BT202+BU299*BU202+BV299*BV202+BW299*BW202+BX299*BX202+BY299*BY202+BZ299*BZ202+CA299*CA202+CB299*CB202+CC299*CC202+CD299*CD202+CE299*CE202+CF299*CF202+CG299*CG202+CH299*CH202+CI299*CI202+CJ299*CJ202+CK299*CK202+CL299*CL202+CM299*CM202+CN299*CN202+CO299*CO202+CP299*CP202+CQ299*CQ202+CR299*CR202+CS299*CS202+CT299*CT202+CU299*CU202</f>
        <v>1.7763568394002505E-15</v>
      </c>
      <c r="CY202" s="2880">
        <f>E300*E202+F300*F202+G300*G202+H300*H202+I300*I202+J300*J202+K300*K202+L300*L202+M300*M202+N300*N202+O300*O202+P300*P202+Q300*Q202+R300*R202+S300*S202+T300*T202+U300*U202+V300*V202+W300*W202+X300*X202+Y300*Y202+Z300*Z202+AA300*AA202+AB300*AB202+AC300*AC202+AD300*AD202+AE300*AE202+AF300*AF202+AG300*AG202+AH300*AH202+AI300*AI202+AJ300*AJ202+AK300*AK202+AL300*AL202+AM300*AM202+AN300*AN202+AO300*AO202+AP300*AP202+AQ300*AQ202+AR300*AR202+AS300*AS202+AT300*AT202+AU300*AU202+AV300*AV202+AW300*AW202+AX300*AX202+AY300*AY202+AZ300*AZ202+BA300*BA202+BB300*BB202+BC300*BC202+BD300*BD202+BE300*BE202+BF300*BF202+BG300*BG202+BH300*BH202+BI300*BI202+BJ300*BJ202+BK300*BK202+BL300*BL202+BM300*BM202+BN300*BN202+BO300*BO202+BP300*BP202+BQ300*BQ202+BR300*BR202+BS300*BS202+BT300*BT202+BU300*BU202+BV300*BV202+BW300*BW202+BX300*BX202+BY300*BY202+BZ300*BZ202+CA300*CA202+CB300*CB202+CC300*CC202+CD300*CD202+CE300*CE202+CF300*CF202+CG300*CG202+CH300*CH202+CI300*CI202+CJ300*CJ202+CK300*CK202+CL300*CL202+CM300*CM202+CN300*CN202+CO300*CO202+CP300*CP202+CQ300*CQ202+CR300*CR202+CS300*CS202+CT300*CT202+CU300*CU202</f>
        <v>0</v>
      </c>
      <c r="CZ202" s="2881">
        <f>E301*E202+F301*F202+G301*G202+H301*H202+I301*I202+J301*J202+K301*K202+L301*L202+M301*M202+N301*N202+O301*O202+P301*P202+Q301*Q202+R301*R202+S301*S202+T301*T202+U301*U202+V301*V202+W301*W202+X301*X202+Y301*Y202+Z301*Z202+AA301*AA202+AB301*AB202+AC301*AC202+AD301*AD202+AE301*AE202+AF301*AF202+AG301*AG202+AH301*AH202+AI301*AI202+AJ301*AJ202+AK301*AK202+AL301*AL202+AM301*AM202+AN301*AN202+AO301*AO202+AP301*AP202+AQ301*AQ202+AR301*AR202+AS301*AS202+AT301*AT202+AU301*AU202+AV301*AV202+AW301*AW202+AX301*AX202+AY301*AY202+AZ301*AZ202+BA301*BA202+BB301*BB202+BC301*BC202+BD301*BD202+BE301*BE202+BF301*BF202+BG301*BG202+BH301*BH202+BI301*BI202+BJ301*BJ202+BK301*BK202+BL301*BL202+BM301*BM202+BN301*BN202+BO301*BO202+BP301*BP202+BQ301*BQ202+BR301*BR202+BS301*BS202+BT301*BT202+BU301*BU202+BV301*BV202+BW301*BW202+BX301*BX202+BY301*BY202+BZ301*BZ202+CA301*CA202+CB301*CB202+CC301*CC202+CD301*CD202+CE301*CE202+CF301*CF202+CG301*CG202+CH301*CH202+CI301*CI202+CJ301*CJ202+CK301*CK202+CL301*CL202+CM301*CM202+CN301*CN202+CO301*CO202+CP301*CP202+CQ301*CQ202+CR301*CR202+CS301*CS202+CT301*CT202+CU301*CU202</f>
        <v>0</v>
      </c>
      <c r="DA202" s="2882">
        <f>E302*E202+F302*F202+G302*G202+H302*H202+I302*I202+J302*J202+K302*K202+L302*L202+M302*M202+N302*N202+O302*O202+P302*P202+Q302*Q202+R302*R202+S302*S202+T302*T202+U302*U202+V302*V202+W302*W202+X302*X202+Y302*Y202+Z302*Z202+AA302*AA202+AB302*AB202+AC302*AC202+AD302*AD202+AE302*AE202+AF302*AF202+AG302*AG202+AH302*AH202+AI302*AI202+AJ302*AJ202+AK302*AK202+AL302*AL202+AM302*AM202+AN302*AN202+AO302*AO202+AP302*AP202+AQ302*AQ202+AR302*AR202+AS302*AS202+AT302*AT202+AU302*AU202+AV302*AV202+AW302*AW202+AX302*AX202+AY302*AY202+AZ302*AZ202+BA302*BA202+BB302*BB202+BC302*BC202+BD302*BD202+BE302*BE202+BF302*BF202+BG302*BG202+BH302*BH202+BI302*BI202+BJ302*BJ202+BK302*BK202+BL302*BL202+BM302*BM202+BN302*BN202+BO302*BO202+BP302*BP202+BQ302*BQ202+BR302*BR202+BS302*BS202+BT302*BT202+BU302*BU202+BV302*BV202+BW302*BW202+BX302*BX202+BY302*BY202+BZ302*BZ202+CA302*CA202+CB302*CB202+CC302*CC202+CD302*CD202+CE302*CE202+CF302*CF202+CG302*CG202+CH302*CH202+CI302*CI202+CJ302*CJ202+CK302*CK202+CL302*CL202+CM302*CM202+CN302*CN202+CO302*CO202+CP302*CP202+CQ302*CQ202+CR302*CR202+CS302*CS202+CT302*CT202+CU302*CU202</f>
        <v>0</v>
      </c>
      <c r="DB202" s="2882">
        <f>E303*E202+F303*F202+G303*G202+H303*H202+I303*I202+J303*J202+K303*K202+L303*L202+M303*M202+N303*N202+O303*O202+P303*P202+Q303*Q202+R303*R202+S303*S202+T303*T202+U303*U202+V303*V202+W303*W202+X303*X202+Y303*Y202+Z303*Z202+AA303*AA202+AB303*AB202+AC303*AC202+AD303*AD202+AE303*AE202+AF303*AF202+AG303*AG202+AH303*AH202+AI303*AI202+AJ303*AJ202+AK303*AK202+AL303*AL202+AM303*AM202+AN303*AN202+AO303*AO202+AP303*AP202+AQ303*AQ202+AR303*AR202+AS303*AS202+AT303*AT202+AU303*AU202+AV303*AV202+AW303*AW202+AX303*AX202+AY303*AY202+AZ303*AZ202+BA303*BA202+BB303*BB202+BC303*BC202+BD303*BD202+BE303*BE202+BF303*BF202+BG303*BG202+BH303*BH202+BI303*BI202+BJ303*BJ202+BK303*BK202+BL303*BL202+BM303*BM202+BN303*BN202+BO303*BO202+BP303*BP202+BQ303*BQ202+BR303*BR202+BS303*BS202+BT303*BT202+BU303*BU202+BV303*BV202+BW303*BW202+BX303*BX202+BY303*BY202+BZ303*BZ202+CA303*CA202+CB303*CB202+CC303*CC202+CD303*CD202+CE303*CE202+CF303*CF202+CG303*CG202+CH303*CH202+CI303*CI202+CJ303*CJ202+CK303*CK202+CL303*CL202+CM303*CM202+CN303*CN202+CO303*CO202+CP303*CP202+CQ303*CQ202+CR303*CR202+CS303*CS202+CT303*CT202+CU303*CU202</f>
        <v>0</v>
      </c>
      <c r="DC202" s="2882">
        <f>E304*E202+F304*F202+G304*G202+H304*H202+I304*I202+J304*J202+K304*K202+L304*L202+M304*M202+N304*N202+O304*O202+P304*P202+Q304*Q202+R304*R202+S304*S202+T304*T202+U304*U202+V304*V202+W304*W202+X304*X202+Y304*Y202+Z304*Z202+AA304*AA202+AB304*AB202+AC304*AC202+AD304*AD202+AE304*AE202+AF304*AF202+AG304*AG202+AH304*AH202+AI304*AI202+AJ304*AJ202+AK304*AK202+AL304*AL202+AM304*AM202+AN304*AN202+AO304*AO202+AP304*AP202+AQ304*AQ202+AR304*AR202+AS304*AS202+AT304*AT202+AU304*AU202+AV304*AV202+AW304*AW202+AX304*AX202+AY304*AY202+AZ304*AZ202+BA304*BA202+BB304*BB202+BC304*BC202+BD304*BD202+BE304*BE202+BF304*BF202+BG304*BG202+BH304*BH202+BI304*BI202+BJ304*BJ202+BK304*BK202+BL304*BL202+BM304*BM202+BN304*BN202+BO304*BO202+BP304*BP202+BQ304*BQ202+BR304*BR202+BS304*BS202+BT304*BT202+BU304*BU202+BV304*BV202+BW304*BW202+BX304*BX202+BY304*BY202+BZ304*BZ202+CA304*CA202+CB304*CB202+CC304*CC202+CD304*CD202+CE304*CE202+CF304*CF202+CG304*CG202+CH304*CH202+CI304*CI202+CJ304*CJ202+CK304*CK202+CL304*CL202+CM304*CM202+CN304*CN202+CO304*CO202+CP304*CP202+CQ304*CQ202+CR304*CR202+CS304*CS202+CT304*CT202+CU304*CU202</f>
        <v>0</v>
      </c>
      <c r="DD202" s="2882">
        <f>E305*E202+F305*F202+G305*G202+H305*H202+I305*I202+J305*J202+K305*K202+L305*L202+M305*M202+N305*N202+O305*O202+P305*P202+Q305*Q202+R305*R202+S305*S202+T305*T202+U305*U202+V305*V202+W305*W202+X305*X202+Y305*Y202+Z305*Z202+AA305*AA202+AB305*AB202+AC305*AC202+AD305*AD202+AE305*AE202+AF305*AF202+AG305*AG202+AH305*AH202+AI305*AI202+AJ305*AJ202+AK305*AK202+AL305*AL202+AM305*AM202+AN305*AN202+AO305*AO202+AP305*AP202+AQ305*AQ202+AR305*AR202+AS305*AS202+AT305*AT202+AU305*AU202+AV305*AV202+AW305*AW202+AX305*AX202+AY305*AY202+AZ305*AZ202+BA305*BA202+BB305*BB202+BC305*BC202+BD305*BD202+BE305*BE202+BF305*BF202+BG305*BG202+BH305*BH202+BI305*BI202+BJ305*BJ202+BK305*BK202+BL305*BL202+BM305*BM202+BN305*BN202+BO305*BO202+BP305*BP202+BQ305*BQ202+BR305*BR202+BS305*BS202+BT305*BT202+BU305*BU202+BV305*BV202+BW305*BW202+BX305*BX202+BY305*BY202+BZ305*BZ202+CA305*CA202+CB305*CB202+CC305*CC202+CD305*CD202+CE305*CE202+CF305*CF202+CG305*CG202+CH305*CH202+CI305*CI202+CJ305*CJ202+CK305*CK202+CL305*CL202+CM305*CM202+CN305*CN202+CO305*CO202+CP305*CP202+CQ305*CQ202+CR305*CR202+CS305*CS202+CT305*CT202+CU305*CU202</f>
        <v>0</v>
      </c>
      <c r="DE202" s="2882">
        <f>E306*E202+F306*F202+G306*G202+H306*H202+I306*I202+J306*J202+K306*K202+L306*L202+M306*M202+N306*N202+O306*O202+P306*P202+Q306*Q202+R306*R202+S306*S202+T306*T202+U306*U202+V306*V202+W306*W202+X306*X202+Y306*Y202+Z306*Z202+AA306*AA202+AB306*AB202+AC306*AC202+AD306*AD202+AE306*AE202+AF306*AF202+AG306*AG202+AH306*AH202+AI306*AI202+AJ306*AJ202+AK306*AK202+AL306*AL202+AM306*AM202+AN306*AN202+AO306*AO202+AP306*AP202+AQ306*AQ202+AR306*AR202+AS306*AS202+AT306*AT202+AU306*AU202+AV306*AV202+AW306*AW202+AX306*AX202+AY306*AY202+AZ306*AZ202+BA306*BA202+BB306*BB202+BC306*BC202+BD306*BD202+BE306*BE202+BF306*BF202+BG306*BG202+BH306*BH202+BI306*BI202+BJ306*BJ202+BK306*BK202+BL306*BL202+BM306*BM202+BN306*BN202+BO306*BO202+BP306*BP202+BQ306*BQ202+BR306*BR202+BS306*BS202+BT306*BT202+BU306*BU202+BV306*BV202+BW306*BW202+BX306*BX202+BY306*BY202+BZ306*BZ202+CA306*CA202+CB306*CB202+CC306*CC202+CD306*CD202+CE306*CE202+CF306*CF202+CG306*CG202+CH306*CH202+CI306*CI202+CJ306*CJ202+CK306*CK202+CL306*CL202+CM306*CM202+CN306*CN202+CO306*CO202+CP306*CP202+CQ306*CQ202+CR306*CR202+CS306*CS202+CT306*CT202+CU306*CU202</f>
        <v>0</v>
      </c>
      <c r="DF202" s="2882">
        <f>E307*E202+F307*F202+G307*G202+H307*H202+I307*I202+J307*J202+K307*K202+L307*L202+M307*M202+N307*N202+O307*O202+P307*P202+Q307*Q202+R307*R202+S307*S202+T307*T202+U307*U202+V307*V202+W307*W202+X307*X202+Y307*Y202+Z307*Z202+AA307*AA202+AB307*AB202+AC307*AC202+AD307*AD202+AE307*AE202+AF307*AF202+AG307*AG202+AH307*AH202+AI307*AI202+AJ307*AJ202+AK307*AK202+AL307*AL202+AM307*AM202+AN307*AN202+AO307*AO202+AP307*AP202+AQ307*AQ202+AR307*AR202+AS307*AS202+AT307*AT202+AU307*AU202+AV307*AV202+AW307*AW202+AX307*AX202+AY307*AY202+AZ307*AZ202+BA307*BA202+BB307*BB202+BC307*BC202+BD307*BD202+BE307*BE202+BF307*BF202+BG307*BG202+BH307*BH202+BI307*BI202+BJ307*BJ202+BK307*BK202+BL307*BL202+BM307*BM202+BN307*BN202+BO307*BO202+BP307*BP202+BQ307*BQ202+BR307*BR202+BS307*BS202+BT307*BT202+BU307*BU202+BV307*BV202+BW307*BW202+BX307*BX202+BY307*BY202+BZ307*BZ202+CA307*CA202+CB307*CB202+CC307*CC202+CD307*CD202+CE307*CE202+CF307*CF202+CG307*CG202+CH307*CH202+CI307*CI202+CJ307*CJ202+CK307*CK202+CL307*CL202+CM307*CM202+CN307*CN202+CO307*CO202+CP307*CP202+CQ307*CQ202+CR307*CR202+CS307*CS202+CT307*CT202+CU307*CU202</f>
        <v>0</v>
      </c>
      <c r="DG202" s="2882">
        <f>E308*E202+F308*F202+G308*G202+H308*H202+I308*I202+J308*J202+K308*K202+L308*L202+M308*M202+N308*N202+O308*O202+P308*P202+Q308*Q202+R308*R202+S308*S202+T308*T202+U308*U202+V308*V202+W308*W202+X308*X202+Y308*Y202+Z308*Z202+AA308*AA202+AB308*AB202+AC308*AC202+AD308*AD202+AE308*AE202+AF308*AF202+AG308*AG202+AH308*AH202+AI308*AI202+AJ308*AJ202+AK308*AK202+AL308*AL202+AM308*AM202+AN308*AN202+AO308*AO202+AP308*AP202+AQ308*AQ202+AR308*AR202+AS308*AS202+AT308*AT202+AU308*AU202+AV308*AV202+AW308*AW202+AX308*AX202+AY308*AY202+AZ308*AZ202+BA308*BA202+BB308*BB202+BC308*BC202+BD308*BD202+BE308*BE202+BF308*BF202+BG308*BG202+BH308*BH202+BI308*BI202+BJ308*BJ202+BK308*BK202+BL308*BL202+BM308*BM202+BN308*BN202+BO308*BO202+BP308*BP202+BQ308*BQ202+BR308*BR202+BS308*BS202+BT308*BT202+BU308*BU202+BV308*BV202+BW308*BW202+BX308*BX202+BY308*BY202+BZ308*BZ202+CA308*CA202+CB308*CB202+CC308*CC202+CD308*CD202+CE308*CE202+CF308*CF202+CG308*CG202+CH308*CH202+CI308*CI202+CJ308*CJ202+CK308*CK202+CL308*CL202+CM308*CM202+CN308*CN202+CO308*CO202+CP308*CP202+CQ308*CQ202+CR308*CR202+CS308*CS202+CT308*CT202+CU308*CU202</f>
        <v>0</v>
      </c>
      <c r="DH202" s="2882">
        <f>E309*E202+F309*F202+G309*G202+H309*H202+I309*I202+J309*J202+K309*K202+L309*L202+M309*M202+N309*N202+O309*O202+P309*P202+Q309*Q202+R309*R202+S309*S202+T309*T202+U309*U202+V309*V202+W309*W202+X309*X202+Y309*Y202+Z309*Z202+AA309*AA202+AB309*AB202+AC309*AC202+AD309*AD202+AE309*AE202+AF309*AF202+AG309*AG202+AH309*AH202+AI309*AI202+AJ309*AJ202+AK309*AK202+AL309*AL202+AM309*AM202+AN309*AN202+AO309*AO202+AP309*AP202+AQ309*AQ202+AR309*AR202+AS309*AS202+AT309*AT202+AU309*AU202+AV309*AV202+AW309*AW202+AX309*AX202+AY309*AY202+AZ309*AZ202+BA309*BA202+BB309*BB202+BC309*BC202+BD309*BD202+BE309*BE202+BF309*BF202+BG309*BG202+BH309*BH202+BI309*BI202+BJ309*BJ202+BK309*BK202+BL309*BL202+BM309*BM202+BN309*BN202+BO309*BO202+BP309*BP202+BQ309*BQ202+BR309*BR202+BS309*BS202+BT309*BT202+BU309*BU202+BV309*BV202+BW309*BW202+BX309*BX202+BY309*BY202+BZ309*BZ202+CA309*CA202+CB309*CB202+CC309*CC202+CD309*CD202+CE309*CE202+CF309*CF202+CG309*CG202+CH309*CH202+CI309*CI202+CJ309*CJ202+CK309*CK202+CL309*CL202+CM309*CM202+CN309*CN202+CO309*CO202+CP309*CP202+CQ309*CQ202+CR309*CR202+CS309*CS202+CT309*CT202+CU309*CU202</f>
        <v>0</v>
      </c>
      <c r="DI202" s="2882">
        <f>E310*E202+F310*F202+G310*G202+H310*H202+I310*I202+J310*J202+K310*K202+L310*L202+M310*M202+N310*N202+O310*O202+P310*P202+Q310*Q202+R310*R202+S310*S202+T310*T202+U310*U202+V310*V202+W310*W202+X310*X202+Y310*Y202+Z310*Z202+AA310*AA202+AB310*AB202+AC310*AC202+AD310*AD202+AE310*AE202+AF310*AF202+AG310*AG202+AH310*AH202+AI310*AI202+AJ310*AJ202+AK310*AK202+AL310*AL202+AM310*AM202+AN310*AN202+AO310*AO202+AP310*AP202+AQ310*AQ202+AR310*AR202+AS310*AS202+AT310*AT202+AU310*AU202+AV310*AV202+AW310*AW202+AX310*AX202+AY310*AY202+AZ310*AZ202+BA310*BA202+BB310*BB202+BC310*BC202+BD310*BD202+BE310*BE202+BF310*BF202+BG310*BG202+BH310*BH202+BI310*BI202+BJ310*BJ202+BK310*BK202+BL310*BL202+BM310*BM202+BN310*BN202+BO310*BO202+BP310*BP202+BQ310*BQ202+BR310*BR202+BS310*BS202+BT310*BT202+BU310*BU202+BV310*BV202+BW310*BW202+BX310*BX202+BY310*BY202+BZ310*BZ202+CA310*CA202+CB310*CB202+CC310*CC202+CD310*CD202+CE310*CE202+CF310*CF202+CG310*CG202+CH310*CH202+CI310*CI202+CJ310*CJ202+CK310*CK202+CL310*CL202+CM310*CM202+CN310*CN202+CO310*CO202+CP310*CP202+CQ310*CQ202+CR310*CR202+CS310*CS202+CT310*CT202+CU310*CU202</f>
        <v>0</v>
      </c>
    </row>
    <row r="203" spans="2:113" x14ac:dyDescent="0.45">
      <c r="B203" s="768">
        <v>44</v>
      </c>
      <c r="C203" s="768" t="s">
        <v>4901</v>
      </c>
      <c r="D203" s="769" t="s">
        <v>4096</v>
      </c>
      <c r="E203" s="770">
        <f>0</f>
        <v>0</v>
      </c>
      <c r="F203" s="728">
        <f>0</f>
        <v>0</v>
      </c>
      <c r="G203" s="728">
        <f>0</f>
        <v>0</v>
      </c>
      <c r="H203" s="728">
        <f>0</f>
        <v>0</v>
      </c>
      <c r="I203" s="728">
        <f>0</f>
        <v>0</v>
      </c>
      <c r="J203" s="728">
        <f>0</f>
        <v>0</v>
      </c>
      <c r="K203" s="728">
        <f>0</f>
        <v>0</v>
      </c>
      <c r="L203" s="728">
        <f>0</f>
        <v>0</v>
      </c>
      <c r="M203" s="770">
        <f>0</f>
        <v>0</v>
      </c>
      <c r="N203" s="770">
        <f>0</f>
        <v>0</v>
      </c>
      <c r="O203" s="728">
        <f>0</f>
        <v>0</v>
      </c>
      <c r="P203" s="728">
        <f>0</f>
        <v>0</v>
      </c>
      <c r="Q203" s="728">
        <f>0</f>
        <v>0</v>
      </c>
      <c r="R203" s="728">
        <f>0</f>
        <v>0</v>
      </c>
      <c r="S203" s="728">
        <f>0</f>
        <v>0</v>
      </c>
      <c r="T203" s="728">
        <f>0</f>
        <v>0</v>
      </c>
      <c r="U203" s="728">
        <f>0</f>
        <v>0</v>
      </c>
      <c r="V203" s="728">
        <f>0</f>
        <v>0</v>
      </c>
      <c r="W203" s="728">
        <f>0</f>
        <v>0</v>
      </c>
      <c r="X203" s="728">
        <f>0</f>
        <v>0</v>
      </c>
      <c r="Y203" s="728">
        <f>0</f>
        <v>0</v>
      </c>
      <c r="Z203" s="728">
        <f>0</f>
        <v>0</v>
      </c>
      <c r="AA203" s="728">
        <f>0</f>
        <v>0</v>
      </c>
      <c r="AB203" s="728">
        <f>0</f>
        <v>0</v>
      </c>
      <c r="AC203" s="728">
        <f>-1</f>
        <v>-1</v>
      </c>
      <c r="AD203" s="770">
        <f>0</f>
        <v>0</v>
      </c>
      <c r="AE203" s="2850">
        <f>-1</f>
        <v>-1</v>
      </c>
      <c r="AF203" s="770">
        <f>0</f>
        <v>0</v>
      </c>
      <c r="AG203" s="770">
        <f>0</f>
        <v>0</v>
      </c>
      <c r="AH203" s="770">
        <f>2</f>
        <v>2</v>
      </c>
      <c r="AI203" s="728">
        <f>0</f>
        <v>0</v>
      </c>
      <c r="AJ203" s="728">
        <f>0</f>
        <v>0</v>
      </c>
      <c r="AK203" s="728">
        <f>0</f>
        <v>0</v>
      </c>
      <c r="AL203" s="728">
        <f>0</f>
        <v>0</v>
      </c>
      <c r="AM203" s="770">
        <f>0</f>
        <v>0</v>
      </c>
      <c r="AN203" s="770">
        <f>0</f>
        <v>0</v>
      </c>
      <c r="AO203" s="728">
        <f>0</f>
        <v>0</v>
      </c>
      <c r="AP203" s="728">
        <f>0</f>
        <v>0</v>
      </c>
      <c r="AQ203" s="728">
        <f>0</f>
        <v>0</v>
      </c>
      <c r="AR203" s="770">
        <f>0</f>
        <v>0</v>
      </c>
      <c r="AS203" s="728">
        <f>0</f>
        <v>0</v>
      </c>
      <c r="AT203" s="728">
        <f>0</f>
        <v>0</v>
      </c>
      <c r="AU203" s="770">
        <f>0</f>
        <v>0</v>
      </c>
      <c r="AV203" s="770">
        <f>0</f>
        <v>0</v>
      </c>
      <c r="AW203" s="770">
        <f>0</f>
        <v>0</v>
      </c>
      <c r="AX203" s="770">
        <f>0</f>
        <v>0</v>
      </c>
      <c r="AY203" s="770">
        <f>0</f>
        <v>0</v>
      </c>
      <c r="AZ203" s="770">
        <f>0</f>
        <v>0</v>
      </c>
      <c r="BA203" s="748">
        <f>0</f>
        <v>0</v>
      </c>
      <c r="BB203" s="748">
        <f>0</f>
        <v>0</v>
      </c>
      <c r="BC203" s="748">
        <f>0</f>
        <v>0</v>
      </c>
      <c r="BD203" s="748">
        <f>0</f>
        <v>0</v>
      </c>
      <c r="BE203" s="728">
        <f>0</f>
        <v>0</v>
      </c>
      <c r="BF203" s="728">
        <f>0</f>
        <v>0</v>
      </c>
      <c r="BG203" s="728">
        <f>0</f>
        <v>0</v>
      </c>
      <c r="BH203" s="728">
        <f>0</f>
        <v>0</v>
      </c>
      <c r="BI203" s="728">
        <f>0</f>
        <v>0</v>
      </c>
      <c r="BJ203" s="728">
        <f>0</f>
        <v>0</v>
      </c>
      <c r="BK203" s="728">
        <f>0</f>
        <v>0</v>
      </c>
      <c r="BL203" s="728">
        <f>0</f>
        <v>0</v>
      </c>
      <c r="BM203" s="728">
        <f>0</f>
        <v>0</v>
      </c>
      <c r="BN203" s="728">
        <f>0</f>
        <v>0</v>
      </c>
      <c r="BO203" s="728">
        <f>0</f>
        <v>0</v>
      </c>
      <c r="BP203" s="728">
        <f>0</f>
        <v>0</v>
      </c>
      <c r="BQ203" s="728">
        <f>0</f>
        <v>0</v>
      </c>
      <c r="BR203" s="728">
        <f>0</f>
        <v>0</v>
      </c>
      <c r="BS203" s="728">
        <f>0</f>
        <v>0</v>
      </c>
      <c r="BT203" s="728">
        <f>0</f>
        <v>0</v>
      </c>
      <c r="BU203" s="728">
        <f>0</f>
        <v>0</v>
      </c>
      <c r="BV203" s="893">
        <f>0</f>
        <v>0</v>
      </c>
      <c r="BW203" s="728">
        <f>0</f>
        <v>0</v>
      </c>
      <c r="BX203" s="728">
        <f>0</f>
        <v>0</v>
      </c>
      <c r="BY203" s="728">
        <f>0</f>
        <v>0</v>
      </c>
      <c r="BZ203" s="728">
        <f>0</f>
        <v>0</v>
      </c>
      <c r="CA203" s="893">
        <f>0</f>
        <v>0</v>
      </c>
      <c r="CB203" s="728">
        <f>0</f>
        <v>0</v>
      </c>
      <c r="CC203" s="728">
        <f>0</f>
        <v>0</v>
      </c>
      <c r="CD203" s="728">
        <f>0</f>
        <v>0</v>
      </c>
      <c r="CE203" s="728">
        <f>0</f>
        <v>0</v>
      </c>
      <c r="CF203" s="728">
        <f>0</f>
        <v>0</v>
      </c>
      <c r="CG203" s="728">
        <f>0</f>
        <v>0</v>
      </c>
      <c r="CH203" s="728">
        <f>0</f>
        <v>0</v>
      </c>
      <c r="CI203" s="728">
        <f>0</f>
        <v>0</v>
      </c>
      <c r="CJ203" s="728">
        <f>0</f>
        <v>0</v>
      </c>
      <c r="CK203" s="728">
        <f>0</f>
        <v>0</v>
      </c>
      <c r="CL203" s="728">
        <f>0</f>
        <v>0</v>
      </c>
      <c r="CM203" s="728">
        <f>0</f>
        <v>0</v>
      </c>
      <c r="CN203" s="728">
        <f>0</f>
        <v>0</v>
      </c>
      <c r="CO203" s="728">
        <f>0</f>
        <v>0</v>
      </c>
      <c r="CP203" s="728">
        <f>0</f>
        <v>0</v>
      </c>
      <c r="CQ203" s="728">
        <f>0</f>
        <v>0</v>
      </c>
      <c r="CR203" s="728">
        <f>0</f>
        <v>0</v>
      </c>
      <c r="CS203" s="728">
        <f>0</f>
        <v>0</v>
      </c>
      <c r="CT203" s="728">
        <f>0</f>
        <v>0</v>
      </c>
      <c r="CU203" s="728">
        <f>0</f>
        <v>0</v>
      </c>
      <c r="CV203" s="748">
        <f>µ_AOB_T/Y_AOB*ƞ_AOB_NO2_N2O*X_AOB*M_satSNH2OH_KNH2OH_AOB*M_satSHNO2_KHNO2_AOB*M_inhSO2_KiO2_AOB</f>
        <v>4.6662719827577417E-4</v>
      </c>
      <c r="CX203" s="2880">
        <f>E299*E203+F299*F203+G299*G203+H299*H203+I299*I203+J299*J203+K299*K203+L299*L203+M299*M203+N299*N203+O299*O203+P299*P203+Q299*Q203+R299*R203+S299*S203+T299*T203+U299*U203+V299*V203+W299*W203+X299*X203+Y299*Y203+Z299*Z203+AA299*AA203+AB299*AB203+AC299*AC203+AD299*AD203+AE299*AE203+AF299*AF203+AG299*AG203+AH299*AH203+AI299*AI203+AJ299*AJ203+AK299*AK203+AL299*AL203+AM299*AM203+AN299*AN203+AO299*AO203+AP299*AP203+AQ299*AQ203+AR299*AR203+AS299*AS203+AT299*AT203+AU299*AU203+AV299*AV203+AW299*AW203+AX299*AX203+AY299*AY203+AZ299*AZ203+BA299*BA203+BB299*BB203+BC299*BC203+BD299*BD203+BE299*BE203+BF299*BF203+BG299*BG203+BH299*BH203+BI299*BI203+BJ299*BJ203+BK299*BK203+BL299*BL203+BM299*BM203+BN299*BN203+BO299*BO203+BP299*BP203+BQ299*BQ203+BR299*BR203+BS299*BS203+BT299*BT203+BU299*BU203+BV299*BV203+BW299*BW203+BX299*BX203+BY299*BY203+BZ299*BZ203+CA299*CA203+CB299*CB203+CC299*CC203+CD299*CD203+CE299*CE203+CF299*CF203+CG299*CG203+CH299*CH203+CI299*CI203+CJ299*CJ203+CK299*CK203+CL299*CL203+CM299*CM203+CN299*CN203+CO299*CO203+CP299*CP203+CQ299*CQ203+CR299*CR203+CS299*CS203+CT299*CT203+CU299*CU203</f>
        <v>0</v>
      </c>
      <c r="CY203" s="2880">
        <f>E300*E203+F300*F203+G300*G203+H300*H203+I300*I203+J300*J203+K300*K203+L300*L203+M300*M203+N300*N203+O300*O203+P300*P203+Q300*Q203+R300*R203+S300*S203+T300*T203+U300*U203+V300*V203+W300*W203+X300*X203+Y300*Y203+Z300*Z203+AA300*AA203+AB300*AB203+AC300*AC203+AD300*AD203+AE300*AE203+AF300*AF203+AG300*AG203+AH300*AH203+AI300*AI203+AJ300*AJ203+AK300*AK203+AL300*AL203+AM300*AM203+AN300*AN203+AO300*AO203+AP300*AP203+AQ300*AQ203+AR300*AR203+AS300*AS203+AT300*AT203+AU300*AU203+AV300*AV203+AW300*AW203+AX300*AX203+AY300*AY203+AZ300*AZ203+BA300*BA203+BB300*BB203+BC300*BC203+BD300*BD203+BE300*BE203+BF300*BF203+BG300*BG203+BH300*BH203+BI300*BI203+BJ300*BJ203+BK300*BK203+BL300*BL203+BM300*BM203+BN300*BN203+BO300*BO203+BP300*BP203+BQ300*BQ203+BR300*BR203+BS300*BS203+BT300*BT203+BU300*BU203+BV300*BV203+BW300*BW203+BX300*BX203+BY300*BY203+BZ300*BZ203+CA300*CA203+CB300*CB203+CC300*CC203+CD300*CD203+CE300*CE203+CF300*CF203+CG300*CG203+CH300*CH203+CI300*CI203+CJ300*CJ203+CK300*CK203+CL300*CL203+CM300*CM203+CN300*CN203+CO300*CO203+CP300*CP203+CQ300*CQ203+CR300*CR203+CS300*CS203+CT300*CT203+CU300*CU203</f>
        <v>0</v>
      </c>
      <c r="CZ203" s="2881">
        <f>E301*E203+F301*F203+G301*G203+H301*H203+I301*I203+J301*J203+K301*K203+L301*L203+M301*M203+N301*N203+O301*O203+P301*P203+Q301*Q203+R301*R203+S301*S203+T301*T203+U301*U203+V301*V203+W301*W203+X301*X203+Y301*Y203+Z301*Z203+AA301*AA203+AB301*AB203+AC301*AC203+AD301*AD203+AE301*AE203+AF301*AF203+AG301*AG203+AH301*AH203+AI301*AI203+AJ301*AJ203+AK301*AK203+AL301*AL203+AM301*AM203+AN301*AN203+AO301*AO203+AP301*AP203+AQ301*AQ203+AR301*AR203+AS301*AS203+AT301*AT203+AU301*AU203+AV301*AV203+AW301*AW203+AX301*AX203+AY301*AY203+AZ301*AZ203+BA301*BA203+BB301*BB203+BC301*BC203+BD301*BD203+BE301*BE203+BF301*BF203+BG301*BG203+BH301*BH203+BI301*BI203+BJ301*BJ203+BK301*BK203+BL301*BL203+BM301*BM203+BN301*BN203+BO301*BO203+BP301*BP203+BQ301*BQ203+BR301*BR203+BS301*BS203+BT301*BT203+BU301*BU203+BV301*BV203+BW301*BW203+BX301*BX203+BY301*BY203+BZ301*BZ203+CA301*CA203+CB301*CB203+CC301*CC203+CD301*CD203+CE301*CE203+CF301*CF203+CG301*CG203+CH301*CH203+CI301*CI203+CJ301*CJ203+CK301*CK203+CL301*CL203+CM301*CM203+CN301*CN203+CO301*CO203+CP301*CP203+CQ301*CQ203+CR301*CR203+CS301*CS203+CT301*CT203+CU301*CU203</f>
        <v>0</v>
      </c>
      <c r="DA203" s="2882">
        <f>E302*E203+F302*F203+G302*G203+H302*H203+I302*I203+J302*J203+K302*K203+L302*L203+M302*M203+N302*N203+O302*O203+P302*P203+Q302*Q203+R302*R203+S302*S203+T302*T203+U302*U203+V302*V203+W302*W203+X302*X203+Y302*Y203+Z302*Z203+AA302*AA203+AB302*AB203+AC302*AC203+AD302*AD203+AE302*AE203+AF302*AF203+AG302*AG203+AH302*AH203+AI302*AI203+AJ302*AJ203+AK302*AK203+AL302*AL203+AM302*AM203+AN302*AN203+AO302*AO203+AP302*AP203+AQ302*AQ203+AR302*AR203+AS302*AS203+AT302*AT203+AU302*AU203+AV302*AV203+AW302*AW203+AX302*AX203+AY302*AY203+AZ302*AZ203+BA302*BA203+BB302*BB203+BC302*BC203+BD302*BD203+BE302*BE203+BF302*BF203+BG302*BG203+BH302*BH203+BI302*BI203+BJ302*BJ203+BK302*BK203+BL302*BL203+BM302*BM203+BN302*BN203+BO302*BO203+BP302*BP203+BQ302*BQ203+BR302*BR203+BS302*BS203+BT302*BT203+BU302*BU203+BV302*BV203+BW302*BW203+BX302*BX203+BY302*BY203+BZ302*BZ203+CA302*CA203+CB302*CB203+CC302*CC203+CD302*CD203+CE302*CE203+CF302*CF203+CG302*CG203+CH302*CH203+CI302*CI203+CJ302*CJ203+CK302*CK203+CL302*CL203+CM302*CM203+CN302*CN203+CO302*CO203+CP302*CP203+CQ302*CQ203+CR302*CR203+CS302*CS203+CT302*CT203+CU302*CU203</f>
        <v>0</v>
      </c>
      <c r="DB203" s="2882">
        <f>E303*E203+F303*F203+G303*G203+H303*H203+I303*I203+J303*J203+K303*K203+L303*L203+M303*M203+N303*N203+O303*O203+P303*P203+Q303*Q203+R303*R203+S303*S203+T303*T203+U303*U203+V303*V203+W303*W203+X303*X203+Y303*Y203+Z303*Z203+AA303*AA203+AB303*AB203+AC303*AC203+AD303*AD203+AE303*AE203+AF303*AF203+AG303*AG203+AH303*AH203+AI303*AI203+AJ303*AJ203+AK303*AK203+AL303*AL203+AM303*AM203+AN303*AN203+AO303*AO203+AP303*AP203+AQ303*AQ203+AR303*AR203+AS303*AS203+AT303*AT203+AU303*AU203+AV303*AV203+AW303*AW203+AX303*AX203+AY303*AY203+AZ303*AZ203+BA303*BA203+BB303*BB203+BC303*BC203+BD303*BD203+BE303*BE203+BF303*BF203+BG303*BG203+BH303*BH203+BI303*BI203+BJ303*BJ203+BK303*BK203+BL303*BL203+BM303*BM203+BN303*BN203+BO303*BO203+BP303*BP203+BQ303*BQ203+BR303*BR203+BS303*BS203+BT303*BT203+BU303*BU203+BV303*BV203+BW303*BW203+BX303*BX203+BY303*BY203+BZ303*BZ203+CA303*CA203+CB303*CB203+CC303*CC203+CD303*CD203+CE303*CE203+CF303*CF203+CG303*CG203+CH303*CH203+CI303*CI203+CJ303*CJ203+CK303*CK203+CL303*CL203+CM303*CM203+CN303*CN203+CO303*CO203+CP303*CP203+CQ303*CQ203+CR303*CR203+CS303*CS203+CT303*CT203+CU303*CU203</f>
        <v>0</v>
      </c>
      <c r="DC203" s="2882">
        <f>E304*E203+F304*F203+G304*G203+H304*H203+I304*I203+J304*J203+K304*K203+L304*L203+M304*M203+N304*N203+O304*O203+P304*P203+Q304*Q203+R304*R203+S304*S203+T304*T203+U304*U203+V304*V203+W304*W203+X304*X203+Y304*Y203+Z304*Z203+AA304*AA203+AB304*AB203+AC304*AC203+AD304*AD203+AE304*AE203+AF304*AF203+AG304*AG203+AH304*AH203+AI304*AI203+AJ304*AJ203+AK304*AK203+AL304*AL203+AM304*AM203+AN304*AN203+AO304*AO203+AP304*AP203+AQ304*AQ203+AR304*AR203+AS304*AS203+AT304*AT203+AU304*AU203+AV304*AV203+AW304*AW203+AX304*AX203+AY304*AY203+AZ304*AZ203+BA304*BA203+BB304*BB203+BC304*BC203+BD304*BD203+BE304*BE203+BF304*BF203+BG304*BG203+BH304*BH203+BI304*BI203+BJ304*BJ203+BK304*BK203+BL304*BL203+BM304*BM203+BN304*BN203+BO304*BO203+BP304*BP203+BQ304*BQ203+BR304*BR203+BS304*BS203+BT304*BT203+BU304*BU203+BV304*BV203+BW304*BW203+BX304*BX203+BY304*BY203+BZ304*BZ203+CA304*CA203+CB304*CB203+CC304*CC203+CD304*CD203+CE304*CE203+CF304*CF203+CG304*CG203+CH304*CH203+CI304*CI203+CJ304*CJ203+CK304*CK203+CL304*CL203+CM304*CM203+CN304*CN203+CO304*CO203+CP304*CP203+CQ304*CQ203+CR304*CR203+CS304*CS203+CT304*CT203+CU304*CU203</f>
        <v>0</v>
      </c>
      <c r="DD203" s="2882">
        <f>E305*E203+F305*F203+G305*G203+H305*H203+I305*I203+J305*J203+K305*K203+L305*L203+M305*M203+N305*N203+O305*O203+P305*P203+Q305*Q203+R305*R203+S305*S203+T305*T203+U305*U203+V305*V203+W305*W203+X305*X203+Y305*Y203+Z305*Z203+AA305*AA203+AB305*AB203+AC305*AC203+AD305*AD203+AE305*AE203+AF305*AF203+AG305*AG203+AH305*AH203+AI305*AI203+AJ305*AJ203+AK305*AK203+AL305*AL203+AM305*AM203+AN305*AN203+AO305*AO203+AP305*AP203+AQ305*AQ203+AR305*AR203+AS305*AS203+AT305*AT203+AU305*AU203+AV305*AV203+AW305*AW203+AX305*AX203+AY305*AY203+AZ305*AZ203+BA305*BA203+BB305*BB203+BC305*BC203+BD305*BD203+BE305*BE203+BF305*BF203+BG305*BG203+BH305*BH203+BI305*BI203+BJ305*BJ203+BK305*BK203+BL305*BL203+BM305*BM203+BN305*BN203+BO305*BO203+BP305*BP203+BQ305*BQ203+BR305*BR203+BS305*BS203+BT305*BT203+BU305*BU203+BV305*BV203+BW305*BW203+BX305*BX203+BY305*BY203+BZ305*BZ203+CA305*CA203+CB305*CB203+CC305*CC203+CD305*CD203+CE305*CE203+CF305*CF203+CG305*CG203+CH305*CH203+CI305*CI203+CJ305*CJ203+CK305*CK203+CL305*CL203+CM305*CM203+CN305*CN203+CO305*CO203+CP305*CP203+CQ305*CQ203+CR305*CR203+CS305*CS203+CT305*CT203+CU305*CU203</f>
        <v>0</v>
      </c>
      <c r="DE203" s="2882">
        <f>E306*E203+F306*F203+G306*G203+H306*H203+I306*I203+J306*J203+K306*K203+L306*L203+M306*M203+N306*N203+O306*O203+P306*P203+Q306*Q203+R306*R203+S306*S203+T306*T203+U306*U203+V306*V203+W306*W203+X306*X203+Y306*Y203+Z306*Z203+AA306*AA203+AB306*AB203+AC306*AC203+AD306*AD203+AE306*AE203+AF306*AF203+AG306*AG203+AH306*AH203+AI306*AI203+AJ306*AJ203+AK306*AK203+AL306*AL203+AM306*AM203+AN306*AN203+AO306*AO203+AP306*AP203+AQ306*AQ203+AR306*AR203+AS306*AS203+AT306*AT203+AU306*AU203+AV306*AV203+AW306*AW203+AX306*AX203+AY306*AY203+AZ306*AZ203+BA306*BA203+BB306*BB203+BC306*BC203+BD306*BD203+BE306*BE203+BF306*BF203+BG306*BG203+BH306*BH203+BI306*BI203+BJ306*BJ203+BK306*BK203+BL306*BL203+BM306*BM203+BN306*BN203+BO306*BO203+BP306*BP203+BQ306*BQ203+BR306*BR203+BS306*BS203+BT306*BT203+BU306*BU203+BV306*BV203+BW306*BW203+BX306*BX203+BY306*BY203+BZ306*BZ203+CA306*CA203+CB306*CB203+CC306*CC203+CD306*CD203+CE306*CE203+CF306*CF203+CG306*CG203+CH306*CH203+CI306*CI203+CJ306*CJ203+CK306*CK203+CL306*CL203+CM306*CM203+CN306*CN203+CO306*CO203+CP306*CP203+CQ306*CQ203+CR306*CR203+CS306*CS203+CT306*CT203+CU306*CU203</f>
        <v>0</v>
      </c>
      <c r="DF203" s="2882">
        <f>E307*E203+F307*F203+G307*G203+H307*H203+I307*I203+J307*J203+K307*K203+L307*L203+M307*M203+N307*N203+O307*O203+P307*P203+Q307*Q203+R307*R203+S307*S203+T307*T203+U307*U203+V307*V203+W307*W203+X307*X203+Y307*Y203+Z307*Z203+AA307*AA203+AB307*AB203+AC307*AC203+AD307*AD203+AE307*AE203+AF307*AF203+AG307*AG203+AH307*AH203+AI307*AI203+AJ307*AJ203+AK307*AK203+AL307*AL203+AM307*AM203+AN307*AN203+AO307*AO203+AP307*AP203+AQ307*AQ203+AR307*AR203+AS307*AS203+AT307*AT203+AU307*AU203+AV307*AV203+AW307*AW203+AX307*AX203+AY307*AY203+AZ307*AZ203+BA307*BA203+BB307*BB203+BC307*BC203+BD307*BD203+BE307*BE203+BF307*BF203+BG307*BG203+BH307*BH203+BI307*BI203+BJ307*BJ203+BK307*BK203+BL307*BL203+BM307*BM203+BN307*BN203+BO307*BO203+BP307*BP203+BQ307*BQ203+BR307*BR203+BS307*BS203+BT307*BT203+BU307*BU203+BV307*BV203+BW307*BW203+BX307*BX203+BY307*BY203+BZ307*BZ203+CA307*CA203+CB307*CB203+CC307*CC203+CD307*CD203+CE307*CE203+CF307*CF203+CG307*CG203+CH307*CH203+CI307*CI203+CJ307*CJ203+CK307*CK203+CL307*CL203+CM307*CM203+CN307*CN203+CO307*CO203+CP307*CP203+CQ307*CQ203+CR307*CR203+CS307*CS203+CT307*CT203+CU307*CU203</f>
        <v>0</v>
      </c>
      <c r="DG203" s="2882">
        <f>E308*E203+F308*F203+G308*G203+H308*H203+I308*I203+J308*J203+K308*K203+L308*L203+M308*M203+N308*N203+O308*O203+P308*P203+Q308*Q203+R308*R203+S308*S203+T308*T203+U308*U203+V308*V203+W308*W203+X308*X203+Y308*Y203+Z308*Z203+AA308*AA203+AB308*AB203+AC308*AC203+AD308*AD203+AE308*AE203+AF308*AF203+AG308*AG203+AH308*AH203+AI308*AI203+AJ308*AJ203+AK308*AK203+AL308*AL203+AM308*AM203+AN308*AN203+AO308*AO203+AP308*AP203+AQ308*AQ203+AR308*AR203+AS308*AS203+AT308*AT203+AU308*AU203+AV308*AV203+AW308*AW203+AX308*AX203+AY308*AY203+AZ308*AZ203+BA308*BA203+BB308*BB203+BC308*BC203+BD308*BD203+BE308*BE203+BF308*BF203+BG308*BG203+BH308*BH203+BI308*BI203+BJ308*BJ203+BK308*BK203+BL308*BL203+BM308*BM203+BN308*BN203+BO308*BO203+BP308*BP203+BQ308*BQ203+BR308*BR203+BS308*BS203+BT308*BT203+BU308*BU203+BV308*BV203+BW308*BW203+BX308*BX203+BY308*BY203+BZ308*BZ203+CA308*CA203+CB308*CB203+CC308*CC203+CD308*CD203+CE308*CE203+CF308*CF203+CG308*CG203+CH308*CH203+CI308*CI203+CJ308*CJ203+CK308*CK203+CL308*CL203+CM308*CM203+CN308*CN203+CO308*CO203+CP308*CP203+CQ308*CQ203+CR308*CR203+CS308*CS203+CT308*CT203+CU308*CU203</f>
        <v>0</v>
      </c>
      <c r="DH203" s="2882">
        <f>E309*E203+F309*F203+G309*G203+H309*H203+I309*I203+J309*J203+K309*K203+L309*L203+M309*M203+N309*N203+O309*O203+P309*P203+Q309*Q203+R309*R203+S309*S203+T309*T203+U309*U203+V309*V203+W309*W203+X309*X203+Y309*Y203+Z309*Z203+AA309*AA203+AB309*AB203+AC309*AC203+AD309*AD203+AE309*AE203+AF309*AF203+AG309*AG203+AH309*AH203+AI309*AI203+AJ309*AJ203+AK309*AK203+AL309*AL203+AM309*AM203+AN309*AN203+AO309*AO203+AP309*AP203+AQ309*AQ203+AR309*AR203+AS309*AS203+AT309*AT203+AU309*AU203+AV309*AV203+AW309*AW203+AX309*AX203+AY309*AY203+AZ309*AZ203+BA309*BA203+BB309*BB203+BC309*BC203+BD309*BD203+BE309*BE203+BF309*BF203+BG309*BG203+BH309*BH203+BI309*BI203+BJ309*BJ203+BK309*BK203+BL309*BL203+BM309*BM203+BN309*BN203+BO309*BO203+BP309*BP203+BQ309*BQ203+BR309*BR203+BS309*BS203+BT309*BT203+BU309*BU203+BV309*BV203+BW309*BW203+BX309*BX203+BY309*BY203+BZ309*BZ203+CA309*CA203+CB309*CB203+CC309*CC203+CD309*CD203+CE309*CE203+CF309*CF203+CG309*CG203+CH309*CH203+CI309*CI203+CJ309*CJ203+CK309*CK203+CL309*CL203+CM309*CM203+CN309*CN203+CO309*CO203+CP309*CP203+CQ309*CQ203+CR309*CR203+CS309*CS203+CT309*CT203+CU309*CU203</f>
        <v>0</v>
      </c>
      <c r="DI203" s="2882">
        <f>E310*E203+F310*F203+G310*G203+H310*H203+I310*I203+J310*J203+K310*K203+L310*L203+M310*M203+N310*N203+O310*O203+P310*P203+Q310*Q203+R310*R203+S310*S203+T310*T203+U310*U203+V310*V203+W310*W203+X310*X203+Y310*Y203+Z310*Z203+AA310*AA203+AB310*AB203+AC310*AC203+AD310*AD203+AE310*AE203+AF310*AF203+AG310*AG203+AH310*AH203+AI310*AI203+AJ310*AJ203+AK310*AK203+AL310*AL203+AM310*AM203+AN310*AN203+AO310*AO203+AP310*AP203+AQ310*AQ203+AR310*AR203+AS310*AS203+AT310*AT203+AU310*AU203+AV310*AV203+AW310*AW203+AX310*AX203+AY310*AY203+AZ310*AZ203+BA310*BA203+BB310*BB203+BC310*BC203+BD310*BD203+BE310*BE203+BF310*BF203+BG310*BG203+BH310*BH203+BI310*BI203+BJ310*BJ203+BK310*BK203+BL310*BL203+BM310*BM203+BN310*BN203+BO310*BO203+BP310*BP203+BQ310*BQ203+BR310*BR203+BS310*BS203+BT310*BT203+BU310*BU203+BV310*BV203+BW310*BW203+BX310*BX203+BY310*BY203+BZ310*BZ203+CA310*CA203+CB310*CB203+CC310*CC203+CD310*CD203+CE310*CE203+CF310*CF203+CG310*CG203+CH310*CH203+CI310*CI203+CJ310*CJ203+CK310*CK203+CL310*CL203+CM310*CM203+CN310*CN203+CO310*CO203+CP310*CP203+CQ310*CQ203+CR310*CR203+CS310*CS203+CT310*CT203+CU310*CU203</f>
        <v>0</v>
      </c>
    </row>
    <row r="204" spans="2:113" x14ac:dyDescent="0.45">
      <c r="B204" s="768">
        <v>45</v>
      </c>
      <c r="C204" s="768" t="s">
        <v>441</v>
      </c>
      <c r="D204" s="769" t="s">
        <v>2269</v>
      </c>
      <c r="E204" s="770">
        <f>0</f>
        <v>0</v>
      </c>
      <c r="F204" s="728">
        <f>0</f>
        <v>0</v>
      </c>
      <c r="G204" s="728">
        <f>0</f>
        <v>0</v>
      </c>
      <c r="H204" s="728">
        <f>0</f>
        <v>0</v>
      </c>
      <c r="I204" s="728">
        <f>1-f_E</f>
        <v>0.92</v>
      </c>
      <c r="J204" s="728">
        <f>0</f>
        <v>0</v>
      </c>
      <c r="K204" s="728">
        <f>0</f>
        <v>0</v>
      </c>
      <c r="L204" s="728">
        <f>0</f>
        <v>0</v>
      </c>
      <c r="M204" s="770">
        <f>0</f>
        <v>0</v>
      </c>
      <c r="N204" s="770">
        <f>0</f>
        <v>0</v>
      </c>
      <c r="O204" s="728">
        <f>f_E</f>
        <v>0.08</v>
      </c>
      <c r="P204" s="728">
        <f>0</f>
        <v>0</v>
      </c>
      <c r="Q204" s="728">
        <f>0</f>
        <v>0</v>
      </c>
      <c r="R204" s="728">
        <f>0</f>
        <v>0</v>
      </c>
      <c r="S204" s="728">
        <f>0</f>
        <v>0</v>
      </c>
      <c r="T204" s="728">
        <f>-1</f>
        <v>-1</v>
      </c>
      <c r="U204" s="728">
        <f>0</f>
        <v>0</v>
      </c>
      <c r="V204" s="728">
        <f>0</f>
        <v>0</v>
      </c>
      <c r="W204" s="728">
        <f>0</f>
        <v>0</v>
      </c>
      <c r="X204" s="728">
        <f>0</f>
        <v>0</v>
      </c>
      <c r="Y204" s="728">
        <f>0</f>
        <v>0</v>
      </c>
      <c r="Z204" s="728">
        <f>0</f>
        <v>0</v>
      </c>
      <c r="AA204" s="728">
        <f>0</f>
        <v>0</v>
      </c>
      <c r="AB204" s="728">
        <f>-f_E*(i_N_XE-i_N_BIO)</f>
        <v>8.0000000000000069E-4</v>
      </c>
      <c r="AC204" s="728">
        <f>0</f>
        <v>0</v>
      </c>
      <c r="AD204" s="728">
        <f>0</f>
        <v>0</v>
      </c>
      <c r="AE204" s="728">
        <f>0</f>
        <v>0</v>
      </c>
      <c r="AF204" s="728">
        <f>0</f>
        <v>0</v>
      </c>
      <c r="AG204" s="728">
        <f>0</f>
        <v>0</v>
      </c>
      <c r="AH204" s="728">
        <f>0</f>
        <v>0</v>
      </c>
      <c r="AI204" s="728">
        <f>0</f>
        <v>0</v>
      </c>
      <c r="AJ204" s="728">
        <f>0</f>
        <v>0</v>
      </c>
      <c r="AK204" s="728">
        <f>(1-f_E)*i_N_BIO</f>
        <v>6.4400000000000013E-2</v>
      </c>
      <c r="AL204" s="728">
        <f>0</f>
        <v>0</v>
      </c>
      <c r="AM204" s="728">
        <f>0</f>
        <v>0</v>
      </c>
      <c r="AN204" s="770">
        <f>0</f>
        <v>0</v>
      </c>
      <c r="AO204" s="728">
        <f>0</f>
        <v>0</v>
      </c>
      <c r="AP204" s="728">
        <f>(1-f_E)*i_P_BIO</f>
        <v>1.84E-2</v>
      </c>
      <c r="AQ204" s="728">
        <f>0</f>
        <v>0</v>
      </c>
      <c r="AR204" s="728">
        <f>0</f>
        <v>0</v>
      </c>
      <c r="AS204" s="728">
        <f>0</f>
        <v>0</v>
      </c>
      <c r="AT204" s="728">
        <f>0</f>
        <v>0</v>
      </c>
      <c r="AU204" s="728">
        <f>(1-f_E)*(i_CIT_BIO-i_CIT_SB)</f>
        <v>6.0720000000000003E-2</v>
      </c>
      <c r="AV204" s="770">
        <f>-i_INORG</f>
        <v>-0.11</v>
      </c>
      <c r="AW204" s="770">
        <f>i_INORG*(1-i_Ca_INORG*(A_MCa+2*A_MCl)/A_MCa-i_Mg_INORG*(A_MMg+2*A_MCl)/A_MMg)*f_Na</f>
        <v>2.8804303582798466E-2</v>
      </c>
      <c r="AX204" s="770">
        <f>i_INORG*(i_Ca_INORG*(2*A_MCl)/A_MCa+i_Mg_INORG*(2*A_MCl)/A_MMg)+i_INORG*(1-i_Ca_INORG*(A_MCa+2*A_MCl)/A_MCa-i_Mg_INORG*(A_MMg+2*A_MCl)/A_MMg)*(1-f_Na)</f>
        <v>7.0195696417201539E-2</v>
      </c>
      <c r="AY204" s="770">
        <f>i_INORG*i_Ca_INORG</f>
        <v>5.5000000000000005E-3</v>
      </c>
      <c r="AZ204" s="770">
        <f>i_INORG*i_Mg_INORG</f>
        <v>5.5000000000000005E-3</v>
      </c>
      <c r="BA204" s="748">
        <f>0</f>
        <v>0</v>
      </c>
      <c r="BB204" s="748">
        <f>0</f>
        <v>0</v>
      </c>
      <c r="BC204" s="770">
        <f>(1-f_E)*i_S_BIO-(1-f_E)*i_S_XB</f>
        <v>7.8200000000000006E-3</v>
      </c>
      <c r="BD204" s="748">
        <f>0</f>
        <v>0</v>
      </c>
      <c r="BE204" s="728">
        <f>0</f>
        <v>0</v>
      </c>
      <c r="BF204" s="728">
        <f>0</f>
        <v>0</v>
      </c>
      <c r="BG204" s="728">
        <f>0</f>
        <v>0</v>
      </c>
      <c r="BH204" s="728">
        <f>0</f>
        <v>0</v>
      </c>
      <c r="BI204" s="728">
        <f>0</f>
        <v>0</v>
      </c>
      <c r="BJ204" s="728">
        <f>0</f>
        <v>0</v>
      </c>
      <c r="BK204" s="728">
        <f>0</f>
        <v>0</v>
      </c>
      <c r="BL204" s="728">
        <f>0</f>
        <v>0</v>
      </c>
      <c r="BM204" s="728">
        <f>0</f>
        <v>0</v>
      </c>
      <c r="BN204" s="728">
        <f>0</f>
        <v>0</v>
      </c>
      <c r="BO204" s="728">
        <f>0</f>
        <v>0</v>
      </c>
      <c r="BP204" s="728">
        <f>0</f>
        <v>0</v>
      </c>
      <c r="BQ204" s="728">
        <f>0</f>
        <v>0</v>
      </c>
      <c r="BR204" s="728">
        <f>0</f>
        <v>0</v>
      </c>
      <c r="BS204" s="728">
        <f>0</f>
        <v>0</v>
      </c>
      <c r="BT204" s="728">
        <f>0</f>
        <v>0</v>
      </c>
      <c r="BU204" s="728">
        <f>0</f>
        <v>0</v>
      </c>
      <c r="BV204" s="893">
        <f>0</f>
        <v>0</v>
      </c>
      <c r="BW204" s="728">
        <f>0</f>
        <v>0</v>
      </c>
      <c r="BX204" s="728">
        <f>0</f>
        <v>0</v>
      </c>
      <c r="BY204" s="728">
        <f>0</f>
        <v>0</v>
      </c>
      <c r="BZ204" s="728">
        <f>0</f>
        <v>0</v>
      </c>
      <c r="CA204" s="893">
        <f>0</f>
        <v>0</v>
      </c>
      <c r="CB204" s="728">
        <f>0</f>
        <v>0</v>
      </c>
      <c r="CC204" s="728">
        <f>0</f>
        <v>0</v>
      </c>
      <c r="CD204" s="728">
        <f>0</f>
        <v>0</v>
      </c>
      <c r="CE204" s="728">
        <f>0</f>
        <v>0</v>
      </c>
      <c r="CF204" s="728">
        <f>0</f>
        <v>0</v>
      </c>
      <c r="CG204" s="728">
        <f>0</f>
        <v>0</v>
      </c>
      <c r="CH204" s="728">
        <f>0</f>
        <v>0</v>
      </c>
      <c r="CI204" s="728">
        <f>0</f>
        <v>0</v>
      </c>
      <c r="CJ204" s="728">
        <f>0</f>
        <v>0</v>
      </c>
      <c r="CK204" s="728">
        <f>0</f>
        <v>0</v>
      </c>
      <c r="CL204" s="728">
        <f>0</f>
        <v>0</v>
      </c>
      <c r="CM204" s="728">
        <f>0</f>
        <v>0</v>
      </c>
      <c r="CN204" s="728">
        <f>0</f>
        <v>0</v>
      </c>
      <c r="CO204" s="728">
        <f>0</f>
        <v>0</v>
      </c>
      <c r="CP204" s="728">
        <f>0</f>
        <v>0</v>
      </c>
      <c r="CQ204" s="728">
        <f>0</f>
        <v>0</v>
      </c>
      <c r="CR204" s="728">
        <f>0</f>
        <v>0</v>
      </c>
      <c r="CS204" s="728">
        <f>0</f>
        <v>0</v>
      </c>
      <c r="CT204" s="728">
        <f>0</f>
        <v>0</v>
      </c>
      <c r="CU204" s="728">
        <f>0</f>
        <v>0</v>
      </c>
      <c r="CV204" s="748">
        <f>b_AOB_T*X_AOB*(M_satSO2_KO2_AOB+η_b_anox*M_satSNOx_KNOx_AOB*M_inhSO2_KO2_AOB)</f>
        <v>5.2965107212475626</v>
      </c>
      <c r="CX204" s="2880">
        <f>E299*E204+F299*F204+G299*G204+H299*H204+I299*I204+J299*J204+K299*K204+L299*L204+M299*M204+N299*N204+O299*O204+P299*P204+Q299*Q204+R299*R204+S299*S204+T299*T204+U299*U204+V299*V204+W299*W204+X299*X204+Y299*Y204+Z299*Z204+AA299*AA204+AB299*AB204+AC299*AC204+AD299*AD204+AE299*AE204+AF299*AF204+AG299*AG204+AH299*AH204+AI299*AI204+AJ299*AJ204+AK299*AK204+AL299*AL204+AM299*AM204+AN299*AN204+AO299*AO204+AP299*AP204+AQ299*AQ204+AR299*AR204+AS299*AS204+AT299*AT204+AU299*AU204+AV299*AV204+AW299*AW204+AX299*AX204+AY299*AY204+AZ299*AZ204+BA299*BA204+BB299*BB204+BC299*BC204+BD299*BD204+BE299*BE204+BF299*BF204+BG299*BG204+BH299*BH204+BI299*BI204+BJ299*BJ204+BK299*BK204+BL299*BL204+BM299*BM204+BN299*BN204+BO299*BO204+BP299*BP204+BQ299*BQ204+BR299*BR204+BS299*BS204+BT299*BT204+BU299*BU204+BV299*BV204+BW299*BW204+BX299*BX204+BY299*BY204+BZ299*BZ204+CA299*CA204+CB299*CB204+CC299*CC204+CD299*CD204+CE299*CE204+CF299*CF204+CG299*CG204+CH299*CH204+CI299*CI204+CJ299*CJ204+CK299*CK204+CL299*CL204+CM299*CM204+CN299*CN204+CO299*CO204+CP299*CP204+CQ299*CQ204+CR299*CR204+CS299*CS204+CT299*CT204+CU299*CU204</f>
        <v>0</v>
      </c>
      <c r="CY204" s="2880">
        <f>E300*E204+F300*F204+G300*G204+H300*H204+I300*I204+J300*J204+K300*K204+L300*L204+M300*M204+N300*N204+O300*O204+P300*P204+Q300*Q204+R300*R204+S300*S204+T300*T204+U300*U204+V300*V204+W300*W204+X300*X204+Y300*Y204+Z300*Z204+AA300*AA204+AB300*AB204+AC300*AC204+AD300*AD204+AE300*AE204+AF300*AF204+AG300*AG204+AH300*AH204+AI300*AI204+AJ300*AJ204+AK300*AK204+AL300*AL204+AM300*AM204+AN300*AN204+AO300*AO204+AP300*AP204+AQ300*AQ204+AR300*AR204+AS300*AS204+AT300*AT204+AU300*AU204+AV300*AV204+AW300*AW204+AX300*AX204+AY300*AY204+AZ300*AZ204+BA300*BA204+BB300*BB204+BC300*BC204+BD300*BD204+BE300*BE204+BF300*BF204+BG300*BG204+BH300*BH204+BI300*BI204+BJ300*BJ204+BK300*BK204+BL300*BL204+BM300*BM204+BN300*BN204+BO300*BO204+BP300*BP204+BQ300*BQ204+BR300*BR204+BS300*BS204+BT300*BT204+BU300*BU204+BV300*BV204+BW300*BW204+BX300*BX204+BY300*BY204+BZ300*BZ204+CA300*CA204+CB300*CB204+CC300*CC204+CD300*CD204+CE300*CE204+CF300*CF204+CG300*CG204+CH300*CH204+CI300*CI204+CJ300*CJ204+CK300*CK204+CL300*CL204+CM300*CM204+CN300*CN204+CO300*CO204+CP300*CP204+CQ300*CQ204+CR300*CR204+CS300*CS204+CT300*CT204+CU300*CU204</f>
        <v>6.9388939039072284E-18</v>
      </c>
      <c r="CZ204" s="2881">
        <f>E301*E204+F301*F204+G301*G204+H301*H204+I301*I204+J301*J204+K301*K204+L301*L204+M301*M204+N301*N204+O301*O204+P301*P204+Q301*Q204+R301*R204+S301*S204+T301*T204+U301*U204+V301*V204+W301*W204+X301*X204+Y301*Y204+Z301*Z204+AA301*AA204+AB301*AB204+AC301*AC204+AD301*AD204+AE301*AE204+AF301*AF204+AG301*AG204+AH301*AH204+AI301*AI204+AJ301*AJ204+AK301*AK204+AL301*AL204+AM301*AM204+AN301*AN204+AO301*AO204+AP301*AP204+AQ301*AQ204+AR301*AR204+AS301*AS204+AT301*AT204+AU301*AU204+AV301*AV204+AW301*AW204+AX301*AX204+AY301*AY204+AZ301*AZ204+BA301*BA204+BB301*BB204+BC301*BC204+BD301*BD204+BE301*BE204+BF301*BF204+BG301*BG204+BH301*BH204+BI301*BI204+BJ301*BJ204+BK301*BK204+BL301*BL204+BM301*BM204+BN301*BN204+BO301*BO204+BP301*BP204+BQ301*BQ204+BR301*BR204+BS301*BS204+BT301*BT204+BU301*BU204+BV301*BV204+BW301*BW204+BX301*BX204+BY301*BY204+BZ301*BZ204+CA301*CA204+CB301*CB204+CC301*CC204+CD301*CD204+CE301*CE204+CF301*CF204+CG301*CG204+CH301*CH204+CI301*CI204+CJ301*CJ204+CK301*CK204+CL301*CL204+CM301*CM204+CN301*CN204+CO301*CO204+CP301*CP204+CQ301*CQ204+CR301*CR204+CS301*CS204+CT301*CT204+CU301*CU204</f>
        <v>0</v>
      </c>
      <c r="DA204" s="2882">
        <f>E302*E204+F302*F204+G302*G204+H302*H204+I302*I204+J302*J204+K302*K204+L302*L204+M302*M204+N302*N204+O302*O204+P302*P204+Q302*Q204+R302*R204+S302*S204+T302*T204+U302*U204+V302*V204+W302*W204+X302*X204+Y302*Y204+Z302*Z204+AA302*AA204+AB302*AB204+AC302*AC204+AD302*AD204+AE302*AE204+AF302*AF204+AG302*AG204+AH302*AH204+AI302*AI204+AJ302*AJ204+AK302*AK204+AL302*AL204+AM302*AM204+AN302*AN204+AO302*AO204+AP302*AP204+AQ302*AQ204+AR302*AR204+AS302*AS204+AT302*AT204+AU302*AU204+AV302*AV204+AW302*AW204+AX302*AX204+AY302*AY204+AZ302*AZ204+BA302*BA204+BB302*BB204+BC302*BC204+BD302*BD204+BE302*BE204+BF302*BF204+BG302*BG204+BH302*BH204+BI302*BI204+BJ302*BJ204+BK302*BK204+BL302*BL204+BM302*BM204+BN302*BN204+BO302*BO204+BP302*BP204+BQ302*BQ204+BR302*BR204+BS302*BS204+BT302*BT204+BU302*BU204+BV302*BV204+BW302*BW204+BX302*BX204+BY302*BY204+BZ302*BZ204+CA302*CA204+CB302*CB204+CC302*CC204+CD302*CD204+CE302*CE204+CF302*CF204+CG302*CG204+CH302*CH204+CI302*CI204+CJ302*CJ204+CK302*CK204+CL302*CL204+CM302*CM204+CN302*CN204+CO302*CO204+CP302*CP204+CQ302*CQ204+CR302*CR204+CS302*CS204+CT302*CT204+CU302*CU204</f>
        <v>0</v>
      </c>
      <c r="DB204" s="2882">
        <f>E303*E204+F303*F204+G303*G204+H303*H204+I303*I204+J303*J204+K303*K204+L303*L204+M303*M204+N303*N204+O303*O204+P303*P204+Q303*Q204+R303*R204+S303*S204+T303*T204+U303*U204+V303*V204+W303*W204+X303*X204+Y303*Y204+Z303*Z204+AA303*AA204+AB303*AB204+AC303*AC204+AD303*AD204+AE303*AE204+AF303*AF204+AG303*AG204+AH303*AH204+AI303*AI204+AJ303*AJ204+AK303*AK204+AL303*AL204+AM303*AM204+AN303*AN204+AO303*AO204+AP303*AP204+AQ303*AQ204+AR303*AR204+AS303*AS204+AT303*AT204+AU303*AU204+AV303*AV204+AW303*AW204+AX303*AX204+AY303*AY204+AZ303*AZ204+BA303*BA204+BB303*BB204+BC303*BC204+BD303*BD204+BE303*BE204+BF303*BF204+BG303*BG204+BH303*BH204+BI303*BI204+BJ303*BJ204+BK303*BK204+BL303*BL204+BM303*BM204+BN303*BN204+BO303*BO204+BP303*BP204+BQ303*BQ204+BR303*BR204+BS303*BS204+BT303*BT204+BU303*BU204+BV303*BV204+BW303*BW204+BX303*BX204+BY303*BY204+BZ303*BZ204+CA303*CA204+CB303*CB204+CC303*CC204+CD303*CD204+CE303*CE204+CF303*CF204+CG303*CG204+CH303*CH204+CI303*CI204+CJ303*CJ204+CK303*CK204+CL303*CL204+CM303*CM204+CN303*CN204+CO303*CO204+CP303*CP204+CQ303*CQ204+CR303*CR204+CS303*CS204+CT303*CT204+CU303*CU204</f>
        <v>0</v>
      </c>
      <c r="DC204" s="2882">
        <f>E304*E204+F304*F204+G304*G204+H304*H204+I304*I204+J304*J204+K304*K204+L304*L204+M304*M204+N304*N204+O304*O204+P304*P204+Q304*Q204+R304*R204+S304*S204+T304*T204+U304*U204+V304*V204+W304*W204+X304*X204+Y304*Y204+Z304*Z204+AA304*AA204+AB304*AB204+AC304*AC204+AD304*AD204+AE304*AE204+AF304*AF204+AG304*AG204+AH304*AH204+AI304*AI204+AJ304*AJ204+AK304*AK204+AL304*AL204+AM304*AM204+AN304*AN204+AO304*AO204+AP304*AP204+AQ304*AQ204+AR304*AR204+AS304*AS204+AT304*AT204+AU304*AU204+AV304*AV204+AW304*AW204+AX304*AX204+AY304*AY204+AZ304*AZ204+BA304*BA204+BB304*BB204+BC304*BC204+BD304*BD204+BE304*BE204+BF304*BF204+BG304*BG204+BH304*BH204+BI304*BI204+BJ304*BJ204+BK304*BK204+BL304*BL204+BM304*BM204+BN304*BN204+BO304*BO204+BP304*BP204+BQ304*BQ204+BR304*BR204+BS304*BS204+BT304*BT204+BU304*BU204+BV304*BV204+BW304*BW204+BX304*BX204+BY304*BY204+BZ304*BZ204+CA304*CA204+CB304*CB204+CC304*CC204+CD304*CD204+CE304*CE204+CF304*CF204+CG304*CG204+CH304*CH204+CI304*CI204+CJ304*CJ204+CK304*CK204+CL304*CL204+CM304*CM204+CN304*CN204+CO304*CO204+CP304*CP204+CQ304*CQ204+CR304*CR204+CS304*CS204+CT304*CT204+CU304*CU204</f>
        <v>0</v>
      </c>
      <c r="DD204" s="2882">
        <f>E305*E204+F305*F204+G305*G204+H305*H204+I305*I204+J305*J204+K305*K204+L305*L204+M305*M204+N305*N204+O305*O204+P305*P204+Q305*Q204+R305*R204+S305*S204+T305*T204+U305*U204+V305*V204+W305*W204+X305*X204+Y305*Y204+Z305*Z204+AA305*AA204+AB305*AB204+AC305*AC204+AD305*AD204+AE305*AE204+AF305*AF204+AG305*AG204+AH305*AH204+AI305*AI204+AJ305*AJ204+AK305*AK204+AL305*AL204+AM305*AM204+AN305*AN204+AO305*AO204+AP305*AP204+AQ305*AQ204+AR305*AR204+AS305*AS204+AT305*AT204+AU305*AU204+AV305*AV204+AW305*AW204+AX305*AX204+AY305*AY204+AZ305*AZ204+BA305*BA204+BB305*BB204+BC305*BC204+BD305*BD204+BE305*BE204+BF305*BF204+BG305*BG204+BH305*BH204+BI305*BI204+BJ305*BJ204+BK305*BK204+BL305*BL204+BM305*BM204+BN305*BN204+BO305*BO204+BP305*BP204+BQ305*BQ204+BR305*BR204+BS305*BS204+BT305*BT204+BU305*BU204+BV305*BV204+BW305*BW204+BX305*BX204+BY305*BY204+BZ305*BZ204+CA305*CA204+CB305*CB204+CC305*CC204+CD305*CD204+CE305*CE204+CF305*CF204+CG305*CG204+CH305*CH204+CI305*CI204+CJ305*CJ204+CK305*CK204+CL305*CL204+CM305*CM204+CN305*CN204+CO305*CO204+CP305*CP204+CQ305*CQ204+CR305*CR204+CS305*CS204+CT305*CT204+CU305*CU204</f>
        <v>0</v>
      </c>
      <c r="DE204" s="2882">
        <f>E306*E204+F306*F204+G306*G204+H306*H204+I306*I204+J306*J204+K306*K204+L306*L204+M306*M204+N306*N204+O306*O204+P306*P204+Q306*Q204+R306*R204+S306*S204+T306*T204+U306*U204+V306*V204+W306*W204+X306*X204+Y306*Y204+Z306*Z204+AA306*AA204+AB306*AB204+AC306*AC204+AD306*AD204+AE306*AE204+AF306*AF204+AG306*AG204+AH306*AH204+AI306*AI204+AJ306*AJ204+AK306*AK204+AL306*AL204+AM306*AM204+AN306*AN204+AO306*AO204+AP306*AP204+AQ306*AQ204+AR306*AR204+AS306*AS204+AT306*AT204+AU306*AU204+AV306*AV204+AW306*AW204+AX306*AX204+AY306*AY204+AZ306*AZ204+BA306*BA204+BB306*BB204+BC306*BC204+BD306*BD204+BE306*BE204+BF306*BF204+BG306*BG204+BH306*BH204+BI306*BI204+BJ306*BJ204+BK306*BK204+BL306*BL204+BM306*BM204+BN306*BN204+BO306*BO204+BP306*BP204+BQ306*BQ204+BR306*BR204+BS306*BS204+BT306*BT204+BU306*BU204+BV306*BV204+BW306*BW204+BX306*BX204+BY306*BY204+BZ306*BZ204+CA306*CA204+CB306*CB204+CC306*CC204+CD306*CD204+CE306*CE204+CF306*CF204+CG306*CG204+CH306*CH204+CI306*CI204+CJ306*CJ204+CK306*CK204+CL306*CL204+CM306*CM204+CN306*CN204+CO306*CO204+CP306*CP204+CQ306*CQ204+CR306*CR204+CS306*CS204+CT306*CT204+CU306*CU204</f>
        <v>0</v>
      </c>
      <c r="DF204" s="2882">
        <f>E307*E204+F307*F204+G307*G204+H307*H204+I307*I204+J307*J204+K307*K204+L307*L204+M307*M204+N307*N204+O307*O204+P307*P204+Q307*Q204+R307*R204+S307*S204+T307*T204+U307*U204+V307*V204+W307*W204+X307*X204+Y307*Y204+Z307*Z204+AA307*AA204+AB307*AB204+AC307*AC204+AD307*AD204+AE307*AE204+AF307*AF204+AG307*AG204+AH307*AH204+AI307*AI204+AJ307*AJ204+AK307*AK204+AL307*AL204+AM307*AM204+AN307*AN204+AO307*AO204+AP307*AP204+AQ307*AQ204+AR307*AR204+AS307*AS204+AT307*AT204+AU307*AU204+AV307*AV204+AW307*AW204+AX307*AX204+AY307*AY204+AZ307*AZ204+BA307*BA204+BB307*BB204+BC307*BC204+BD307*BD204+BE307*BE204+BF307*BF204+BG307*BG204+BH307*BH204+BI307*BI204+BJ307*BJ204+BK307*BK204+BL307*BL204+BM307*BM204+BN307*BN204+BO307*BO204+BP307*BP204+BQ307*BQ204+BR307*BR204+BS307*BS204+BT307*BT204+BU307*BU204+BV307*BV204+BW307*BW204+BX307*BX204+BY307*BY204+BZ307*BZ204+CA307*CA204+CB307*CB204+CC307*CC204+CD307*CD204+CE307*CE204+CF307*CF204+CG307*CG204+CH307*CH204+CI307*CI204+CJ307*CJ204+CK307*CK204+CL307*CL204+CM307*CM204+CN307*CN204+CO307*CO204+CP307*CP204+CQ307*CQ204+CR307*CR204+CS307*CS204+CT307*CT204+CU307*CU204</f>
        <v>0</v>
      </c>
      <c r="DG204" s="2882">
        <f>E308*E204+F308*F204+G308*G204+H308*H204+I308*I204+J308*J204+K308*K204+L308*L204+M308*M204+N308*N204+O308*O204+P308*P204+Q308*Q204+R308*R204+S308*S204+T308*T204+U308*U204+V308*V204+W308*W204+X308*X204+Y308*Y204+Z308*Z204+AA308*AA204+AB308*AB204+AC308*AC204+AD308*AD204+AE308*AE204+AF308*AF204+AG308*AG204+AH308*AH204+AI308*AI204+AJ308*AJ204+AK308*AK204+AL308*AL204+AM308*AM204+AN308*AN204+AO308*AO204+AP308*AP204+AQ308*AQ204+AR308*AR204+AS308*AS204+AT308*AT204+AU308*AU204+AV308*AV204+AW308*AW204+AX308*AX204+AY308*AY204+AZ308*AZ204+BA308*BA204+BB308*BB204+BC308*BC204+BD308*BD204+BE308*BE204+BF308*BF204+BG308*BG204+BH308*BH204+BI308*BI204+BJ308*BJ204+BK308*BK204+BL308*BL204+BM308*BM204+BN308*BN204+BO308*BO204+BP308*BP204+BQ308*BQ204+BR308*BR204+BS308*BS204+BT308*BT204+BU308*BU204+BV308*BV204+BW308*BW204+BX308*BX204+BY308*BY204+BZ308*BZ204+CA308*CA204+CB308*CB204+CC308*CC204+CD308*CD204+CE308*CE204+CF308*CF204+CG308*CG204+CH308*CH204+CI308*CI204+CJ308*CJ204+CK308*CK204+CL308*CL204+CM308*CM204+CN308*CN204+CO308*CO204+CP308*CP204+CQ308*CQ204+CR308*CR204+CS308*CS204+CT308*CT204+CU308*CU204</f>
        <v>0</v>
      </c>
      <c r="DH204" s="2882">
        <f>E309*E204+F309*F204+G309*G204+H309*H204+I309*I204+J309*J204+K309*K204+L309*L204+M309*M204+N309*N204+O309*O204+P309*P204+Q309*Q204+R309*R204+S309*S204+T309*T204+U309*U204+V309*V204+W309*W204+X309*X204+Y309*Y204+Z309*Z204+AA309*AA204+AB309*AB204+AC309*AC204+AD309*AD204+AE309*AE204+AF309*AF204+AG309*AG204+AH309*AH204+AI309*AI204+AJ309*AJ204+AK309*AK204+AL309*AL204+AM309*AM204+AN309*AN204+AO309*AO204+AP309*AP204+AQ309*AQ204+AR309*AR204+AS309*AS204+AT309*AT204+AU309*AU204+AV309*AV204+AW309*AW204+AX309*AX204+AY309*AY204+AZ309*AZ204+BA309*BA204+BB309*BB204+BC309*BC204+BD309*BD204+BE309*BE204+BF309*BF204+BG309*BG204+BH309*BH204+BI309*BI204+BJ309*BJ204+BK309*BK204+BL309*BL204+BM309*BM204+BN309*BN204+BO309*BO204+BP309*BP204+BQ309*BQ204+BR309*BR204+BS309*BS204+BT309*BT204+BU309*BU204+BV309*BV204+BW309*BW204+BX309*BX204+BY309*BY204+BZ309*BZ204+CA309*CA204+CB309*CB204+CC309*CC204+CD309*CD204+CE309*CE204+CF309*CF204+CG309*CG204+CH309*CH204+CI309*CI204+CJ309*CJ204+CK309*CK204+CL309*CL204+CM309*CM204+CN309*CN204+CO309*CO204+CP309*CP204+CQ309*CQ204+CR309*CR204+CS309*CS204+CT309*CT204+CU309*CU204</f>
        <v>0</v>
      </c>
      <c r="DI204" s="2882">
        <f>E310*E204+F310*F204+G310*G204+H310*H204+I310*I204+J310*J204+K310*K204+L310*L204+M310*M204+N310*N204+O310*O204+P310*P204+Q310*Q204+R310*R204+S310*S204+T310*T204+U310*U204+V310*V204+W310*W204+X310*X204+Y310*Y204+Z310*Z204+AA310*AA204+AB310*AB204+AC310*AC204+AD310*AD204+AE310*AE204+AF310*AF204+AG310*AG204+AH310*AH204+AI310*AI204+AJ310*AJ204+AK310*AK204+AL310*AL204+AM310*AM204+AN310*AN204+AO310*AO204+AP310*AP204+AQ310*AQ204+AR310*AR204+AS310*AS204+AT310*AT204+AU310*AU204+AV310*AV204+AW310*AW204+AX310*AX204+AY310*AY204+AZ310*AZ204+BA310*BA204+BB310*BB204+BC310*BC204+BD310*BD204+BE310*BE204+BF310*BF204+BG310*BG204+BH310*BH204+BI310*BI204+BJ310*BJ204+BK310*BK204+BL310*BL204+BM310*BM204+BN310*BN204+BO310*BO204+BP310*BP204+BQ310*BQ204+BR310*BR204+BS310*BS204+BT310*BT204+BU310*BU204+BV310*BV204+BW310*BW204+BX310*BX204+BY310*BY204+BZ310*BZ204+CA310*CA204+CB310*CB204+CC310*CC204+CD310*CD204+CE310*CE204+CF310*CF204+CG310*CG204+CH310*CH204+CI310*CI204+CJ310*CJ204+CK310*CK204+CL310*CL204+CM310*CM204+CN310*CN204+CO310*CO204+CP310*CP204+CQ310*CQ204+CR310*CR204+CS310*CS204+CT310*CT204+CU310*CU204</f>
        <v>0</v>
      </c>
    </row>
    <row r="205" spans="2:113" x14ac:dyDescent="0.45">
      <c r="B205" s="768">
        <v>46</v>
      </c>
      <c r="C205" s="768" t="s">
        <v>442</v>
      </c>
      <c r="D205" s="769" t="s">
        <v>3076</v>
      </c>
      <c r="E205" s="770">
        <f>0</f>
        <v>0</v>
      </c>
      <c r="F205" s="728">
        <f>0</f>
        <v>0</v>
      </c>
      <c r="G205" s="728">
        <f>0</f>
        <v>0</v>
      </c>
      <c r="H205" s="728">
        <f>0</f>
        <v>0</v>
      </c>
      <c r="I205" s="728">
        <f>1-f_E</f>
        <v>0.92</v>
      </c>
      <c r="J205" s="728">
        <f>0</f>
        <v>0</v>
      </c>
      <c r="K205" s="728">
        <f>0</f>
        <v>0</v>
      </c>
      <c r="L205" s="728">
        <f>0</f>
        <v>0</v>
      </c>
      <c r="M205" s="770">
        <f>0</f>
        <v>0</v>
      </c>
      <c r="N205" s="770">
        <f>0</f>
        <v>0</v>
      </c>
      <c r="O205" s="728">
        <f>0</f>
        <v>0</v>
      </c>
      <c r="P205" s="728">
        <f>f_E</f>
        <v>0.08</v>
      </c>
      <c r="Q205" s="728">
        <f>0</f>
        <v>0</v>
      </c>
      <c r="R205" s="728">
        <f>0</f>
        <v>0</v>
      </c>
      <c r="S205" s="728">
        <f>0</f>
        <v>0</v>
      </c>
      <c r="T205" s="728">
        <f>-1</f>
        <v>-1</v>
      </c>
      <c r="U205" s="728">
        <f>0</f>
        <v>0</v>
      </c>
      <c r="V205" s="728">
        <f>0</f>
        <v>0</v>
      </c>
      <c r="W205" s="728">
        <f>0</f>
        <v>0</v>
      </c>
      <c r="X205" s="728">
        <f>0</f>
        <v>0</v>
      </c>
      <c r="Y205" s="728">
        <f>0</f>
        <v>0</v>
      </c>
      <c r="Z205" s="728">
        <f>0</f>
        <v>0</v>
      </c>
      <c r="AA205" s="728">
        <f>0</f>
        <v>0</v>
      </c>
      <c r="AB205" s="728">
        <f>-f_E*(i_N_XE-i_N_BIO)</f>
        <v>8.0000000000000069E-4</v>
      </c>
      <c r="AC205" s="728">
        <f>0</f>
        <v>0</v>
      </c>
      <c r="AD205" s="728">
        <f>0</f>
        <v>0</v>
      </c>
      <c r="AE205" s="728">
        <f>0</f>
        <v>0</v>
      </c>
      <c r="AF205" s="728">
        <f>0</f>
        <v>0</v>
      </c>
      <c r="AG205" s="728">
        <f>0</f>
        <v>0</v>
      </c>
      <c r="AH205" s="728">
        <f>0</f>
        <v>0</v>
      </c>
      <c r="AI205" s="728">
        <f>0</f>
        <v>0</v>
      </c>
      <c r="AJ205" s="728">
        <f>0</f>
        <v>0</v>
      </c>
      <c r="AK205" s="728">
        <f>(1-f_E)*i_N_BIO</f>
        <v>6.4400000000000013E-2</v>
      </c>
      <c r="AL205" s="728">
        <f>0</f>
        <v>0</v>
      </c>
      <c r="AM205" s="728">
        <f>0</f>
        <v>0</v>
      </c>
      <c r="AN205" s="770">
        <f>0</f>
        <v>0</v>
      </c>
      <c r="AO205" s="728">
        <f>0</f>
        <v>0</v>
      </c>
      <c r="AP205" s="728">
        <f>(1-f_E)*i_P_BIO</f>
        <v>1.84E-2</v>
      </c>
      <c r="AQ205" s="728">
        <f>0</f>
        <v>0</v>
      </c>
      <c r="AR205" s="728">
        <f>0</f>
        <v>0</v>
      </c>
      <c r="AS205" s="728">
        <f>0</f>
        <v>0</v>
      </c>
      <c r="AT205" s="728">
        <f>0</f>
        <v>0</v>
      </c>
      <c r="AU205" s="728">
        <f>(1-f_E)*(i_CIT_BIO-i_CIT_SB)</f>
        <v>6.0720000000000003E-2</v>
      </c>
      <c r="AV205" s="770">
        <f>-i_INORG</f>
        <v>-0.11</v>
      </c>
      <c r="AW205" s="770">
        <f>i_INORG*(1-i_Ca_INORG*(A_MCa+2*A_MCl)/A_MCa-i_Mg_INORG*(A_MMg+2*A_MCl)/A_MMg)*f_Na</f>
        <v>2.8804303582798466E-2</v>
      </c>
      <c r="AX205" s="770">
        <f>i_INORG*(i_Ca_INORG*(2*A_MCl)/A_MCa+i_Mg_INORG*(2*A_MCl)/A_MMg)+i_INORG*(1-i_Ca_INORG*(A_MCa+2*A_MCl)/A_MCa-i_Mg_INORG*(A_MMg+2*A_MCl)/A_MMg)*(1-f_Na)</f>
        <v>7.0195696417201539E-2</v>
      </c>
      <c r="AY205" s="770">
        <f>i_INORG*i_Ca_INORG</f>
        <v>5.5000000000000005E-3</v>
      </c>
      <c r="AZ205" s="770">
        <f>i_INORG*i_Mg_INORG</f>
        <v>5.5000000000000005E-3</v>
      </c>
      <c r="BA205" s="748">
        <f>0</f>
        <v>0</v>
      </c>
      <c r="BB205" s="748">
        <f>0</f>
        <v>0</v>
      </c>
      <c r="BC205" s="770">
        <f>(1-f_E)*i_S_BIO-(1-f_E)*i_S_XB</f>
        <v>7.8200000000000006E-3</v>
      </c>
      <c r="BD205" s="748">
        <f>0</f>
        <v>0</v>
      </c>
      <c r="BE205" s="728">
        <f>0</f>
        <v>0</v>
      </c>
      <c r="BF205" s="728">
        <f>0</f>
        <v>0</v>
      </c>
      <c r="BG205" s="728">
        <f>0</f>
        <v>0</v>
      </c>
      <c r="BH205" s="728">
        <f>0</f>
        <v>0</v>
      </c>
      <c r="BI205" s="728">
        <f>0</f>
        <v>0</v>
      </c>
      <c r="BJ205" s="728">
        <f>0</f>
        <v>0</v>
      </c>
      <c r="BK205" s="728">
        <f>0</f>
        <v>0</v>
      </c>
      <c r="BL205" s="728">
        <f>0</f>
        <v>0</v>
      </c>
      <c r="BM205" s="728">
        <f>0</f>
        <v>0</v>
      </c>
      <c r="BN205" s="728">
        <f>0</f>
        <v>0</v>
      </c>
      <c r="BO205" s="728">
        <f>0</f>
        <v>0</v>
      </c>
      <c r="BP205" s="728">
        <f>0</f>
        <v>0</v>
      </c>
      <c r="BQ205" s="728">
        <f>0</f>
        <v>0</v>
      </c>
      <c r="BR205" s="728">
        <f>0</f>
        <v>0</v>
      </c>
      <c r="BS205" s="728">
        <f>0</f>
        <v>0</v>
      </c>
      <c r="BT205" s="728">
        <f>0</f>
        <v>0</v>
      </c>
      <c r="BU205" s="728">
        <f>0</f>
        <v>0</v>
      </c>
      <c r="BV205" s="893">
        <f>0</f>
        <v>0</v>
      </c>
      <c r="BW205" s="728">
        <f>0</f>
        <v>0</v>
      </c>
      <c r="BX205" s="728">
        <f>0</f>
        <v>0</v>
      </c>
      <c r="BY205" s="728">
        <f>0</f>
        <v>0</v>
      </c>
      <c r="BZ205" s="728">
        <f>0</f>
        <v>0</v>
      </c>
      <c r="CA205" s="893">
        <f>0</f>
        <v>0</v>
      </c>
      <c r="CB205" s="728">
        <f>0</f>
        <v>0</v>
      </c>
      <c r="CC205" s="728">
        <f>0</f>
        <v>0</v>
      </c>
      <c r="CD205" s="728">
        <f>0</f>
        <v>0</v>
      </c>
      <c r="CE205" s="728">
        <f>0</f>
        <v>0</v>
      </c>
      <c r="CF205" s="728">
        <f>0</f>
        <v>0</v>
      </c>
      <c r="CG205" s="728">
        <f>0</f>
        <v>0</v>
      </c>
      <c r="CH205" s="728">
        <f>0</f>
        <v>0</v>
      </c>
      <c r="CI205" s="728">
        <f>0</f>
        <v>0</v>
      </c>
      <c r="CJ205" s="728">
        <f>0</f>
        <v>0</v>
      </c>
      <c r="CK205" s="728">
        <f>0</f>
        <v>0</v>
      </c>
      <c r="CL205" s="728">
        <f>0</f>
        <v>0</v>
      </c>
      <c r="CM205" s="728">
        <f>0</f>
        <v>0</v>
      </c>
      <c r="CN205" s="728">
        <f>0</f>
        <v>0</v>
      </c>
      <c r="CO205" s="728">
        <f>0</f>
        <v>0</v>
      </c>
      <c r="CP205" s="728">
        <f>0</f>
        <v>0</v>
      </c>
      <c r="CQ205" s="728">
        <f>0</f>
        <v>0</v>
      </c>
      <c r="CR205" s="728">
        <f>0</f>
        <v>0</v>
      </c>
      <c r="CS205" s="728">
        <f>0</f>
        <v>0</v>
      </c>
      <c r="CT205" s="728">
        <f>0</f>
        <v>0</v>
      </c>
      <c r="CU205" s="728">
        <f>0</f>
        <v>0</v>
      </c>
      <c r="CV205" s="748">
        <f>b_AOB_T*X_AOB*(η_b_ana*M_inhSNOx_KNOx_AOB*M_inhSO2_KO2_AOB+m_tox_ana)</f>
        <v>9.1130604288499023E-4</v>
      </c>
      <c r="CX205" s="2880">
        <f>E299*E205+F299*F205+G299*G205+H299*H205+I299*I205+J299*J205+K299*K205+L299*L205+M299*M205+N299*N205+O299*O205+P299*P205+Q299*Q205+R299*R205+S299*S205+T299*T205+U299*U205+V299*V205+W299*W205+X299*X205+Y299*Y205+Z299*Z205+AA299*AA205+AB299*AB205+AC299*AC205+AD299*AD205+AE299*AE205+AF299*AF205+AG299*AG205+AH299*AH205+AI299*AI205+AJ299*AJ205+AK299*AK205+AL299*AL205+AM299*AM205+AN299*AN205+AO299*AO205+AP299*AP205+AQ299*AQ205+AR299*AR205+AS299*AS205+AT299*AT205+AU299*AU205+AV299*AV205+AW299*AW205+AX299*AX205+AY299*AY205+AZ299*AZ205+BA299*BA205+BB299*BB205+BC299*BC205+BD299*BD205+BE299*BE205+BF299*BF205+BG299*BG205+BH299*BH205+BI299*BI205+BJ299*BJ205+BK299*BK205+BL299*BL205+BM299*BM205+BN299*BN205+BO299*BO205+BP299*BP205+BQ299*BQ205+BR299*BR205+BS299*BS205+BT299*BT205+BU299*BU205+BV299*BV205+BW299*BW205+BX299*BX205+BY299*BY205+BZ299*BZ205+CA299*CA205+CB299*CB205+CC299*CC205+CD299*CD205+CE299*CE205+CF299*CF205+CG299*CG205+CH299*CH205+CI299*CI205+CJ299*CJ205+CK299*CK205+CL299*CL205+CM299*CM205+CN299*CN205+CO299*CO205+CP299*CP205+CQ299*CQ205+CR299*CR205+CS299*CS205+CT299*CT205+CU299*CU205</f>
        <v>0</v>
      </c>
      <c r="CY205" s="2880">
        <f>E300*E205+F300*F205+G300*G205+H300*H205+I300*I205+J300*J205+K300*K205+L300*L205+M300*M205+N300*N205+O300*O205+P300*P205+Q300*Q205+R300*R205+S300*S205+T300*T205+U300*U205+V300*V205+W300*W205+X300*X205+Y300*Y205+Z300*Z205+AA300*AA205+AB300*AB205+AC300*AC205+AD300*AD205+AE300*AE205+AF300*AF205+AG300*AG205+AH300*AH205+AI300*AI205+AJ300*AJ205+AK300*AK205+AL300*AL205+AM300*AM205+AN300*AN205+AO300*AO205+AP300*AP205+AQ300*AQ205+AR300*AR205+AS300*AS205+AT300*AT205+AU300*AU205+AV300*AV205+AW300*AW205+AX300*AX205+AY300*AY205+AZ300*AZ205+BA300*BA205+BB300*BB205+BC300*BC205+BD300*BD205+BE300*BE205+BF300*BF205+BG300*BG205+BH300*BH205+BI300*BI205+BJ300*BJ205+BK300*BK205+BL300*BL205+BM300*BM205+BN300*BN205+BO300*BO205+BP300*BP205+BQ300*BQ205+BR300*BR205+BS300*BS205+BT300*BT205+BU300*BU205+BV300*BV205+BW300*BW205+BX300*BX205+BY300*BY205+BZ300*BZ205+CA300*CA205+CB300*CB205+CC300*CC205+CD300*CD205+CE300*CE205+CF300*CF205+CG300*CG205+CH300*CH205+CI300*CI205+CJ300*CJ205+CK300*CK205+CL300*CL205+CM300*CM205+CN300*CN205+CO300*CO205+CP300*CP205+CQ300*CQ205+CR300*CR205+CS300*CS205+CT300*CT205+CU300*CU205</f>
        <v>6.9388939039072284E-18</v>
      </c>
      <c r="CZ205" s="2881">
        <f>E301*E205+F301*F205+G301*G205+H301*H205+I301*I205+J301*J205+K301*K205+L301*L205+M301*M205+N301*N205+O301*O205+P301*P205+Q301*Q205+R301*R205+S301*S205+T301*T205+U301*U205+V301*V205+W301*W205+X301*X205+Y301*Y205+Z301*Z205+AA301*AA205+AB301*AB205+AC301*AC205+AD301*AD205+AE301*AE205+AF301*AF205+AG301*AG205+AH301*AH205+AI301*AI205+AJ301*AJ205+AK301*AK205+AL301*AL205+AM301*AM205+AN301*AN205+AO301*AO205+AP301*AP205+AQ301*AQ205+AR301*AR205+AS301*AS205+AT301*AT205+AU301*AU205+AV301*AV205+AW301*AW205+AX301*AX205+AY301*AY205+AZ301*AZ205+BA301*BA205+BB301*BB205+BC301*BC205+BD301*BD205+BE301*BE205+BF301*BF205+BG301*BG205+BH301*BH205+BI301*BI205+BJ301*BJ205+BK301*BK205+BL301*BL205+BM301*BM205+BN301*BN205+BO301*BO205+BP301*BP205+BQ301*BQ205+BR301*BR205+BS301*BS205+BT301*BT205+BU301*BU205+BV301*BV205+BW301*BW205+BX301*BX205+BY301*BY205+BZ301*BZ205+CA301*CA205+CB301*CB205+CC301*CC205+CD301*CD205+CE301*CE205+CF301*CF205+CG301*CG205+CH301*CH205+CI301*CI205+CJ301*CJ205+CK301*CK205+CL301*CL205+CM301*CM205+CN301*CN205+CO301*CO205+CP301*CP205+CQ301*CQ205+CR301*CR205+CS301*CS205+CT301*CT205+CU301*CU205</f>
        <v>0</v>
      </c>
      <c r="DA205" s="2882">
        <f>E302*E205+F302*F205+G302*G205+H302*H205+I302*I205+J302*J205+K302*K205+L302*L205+M302*M205+N302*N205+O302*O205+P302*P205+Q302*Q205+R302*R205+S302*S205+T302*T205+U302*U205+V302*V205+W302*W205+X302*X205+Y302*Y205+Z302*Z205+AA302*AA205+AB302*AB205+AC302*AC205+AD302*AD205+AE302*AE205+AF302*AF205+AG302*AG205+AH302*AH205+AI302*AI205+AJ302*AJ205+AK302*AK205+AL302*AL205+AM302*AM205+AN302*AN205+AO302*AO205+AP302*AP205+AQ302*AQ205+AR302*AR205+AS302*AS205+AT302*AT205+AU302*AU205+AV302*AV205+AW302*AW205+AX302*AX205+AY302*AY205+AZ302*AZ205+BA302*BA205+BB302*BB205+BC302*BC205+BD302*BD205+BE302*BE205+BF302*BF205+BG302*BG205+BH302*BH205+BI302*BI205+BJ302*BJ205+BK302*BK205+BL302*BL205+BM302*BM205+BN302*BN205+BO302*BO205+BP302*BP205+BQ302*BQ205+BR302*BR205+BS302*BS205+BT302*BT205+BU302*BU205+BV302*BV205+BW302*BW205+BX302*BX205+BY302*BY205+BZ302*BZ205+CA302*CA205+CB302*CB205+CC302*CC205+CD302*CD205+CE302*CE205+CF302*CF205+CG302*CG205+CH302*CH205+CI302*CI205+CJ302*CJ205+CK302*CK205+CL302*CL205+CM302*CM205+CN302*CN205+CO302*CO205+CP302*CP205+CQ302*CQ205+CR302*CR205+CS302*CS205+CT302*CT205+CU302*CU205</f>
        <v>0</v>
      </c>
      <c r="DB205" s="2882">
        <f>E303*E205+F303*F205+G303*G205+H303*H205+I303*I205+J303*J205+K303*K205+L303*L205+M303*M205+N303*N205+O303*O205+P303*P205+Q303*Q205+R303*R205+S303*S205+T303*T205+U303*U205+V303*V205+W303*W205+X303*X205+Y303*Y205+Z303*Z205+AA303*AA205+AB303*AB205+AC303*AC205+AD303*AD205+AE303*AE205+AF303*AF205+AG303*AG205+AH303*AH205+AI303*AI205+AJ303*AJ205+AK303*AK205+AL303*AL205+AM303*AM205+AN303*AN205+AO303*AO205+AP303*AP205+AQ303*AQ205+AR303*AR205+AS303*AS205+AT303*AT205+AU303*AU205+AV303*AV205+AW303*AW205+AX303*AX205+AY303*AY205+AZ303*AZ205+BA303*BA205+BB303*BB205+BC303*BC205+BD303*BD205+BE303*BE205+BF303*BF205+BG303*BG205+BH303*BH205+BI303*BI205+BJ303*BJ205+BK303*BK205+BL303*BL205+BM303*BM205+BN303*BN205+BO303*BO205+BP303*BP205+BQ303*BQ205+BR303*BR205+BS303*BS205+BT303*BT205+BU303*BU205+BV303*BV205+BW303*BW205+BX303*BX205+BY303*BY205+BZ303*BZ205+CA303*CA205+CB303*CB205+CC303*CC205+CD303*CD205+CE303*CE205+CF303*CF205+CG303*CG205+CH303*CH205+CI303*CI205+CJ303*CJ205+CK303*CK205+CL303*CL205+CM303*CM205+CN303*CN205+CO303*CO205+CP303*CP205+CQ303*CQ205+CR303*CR205+CS303*CS205+CT303*CT205+CU303*CU205</f>
        <v>0</v>
      </c>
      <c r="DC205" s="2882">
        <f>E304*E205+F304*F205+G304*G205+H304*H205+I304*I205+J304*J205+K304*K205+L304*L205+M304*M205+N304*N205+O304*O205+P304*P205+Q304*Q205+R304*R205+S304*S205+T304*T205+U304*U205+V304*V205+W304*W205+X304*X205+Y304*Y205+Z304*Z205+AA304*AA205+AB304*AB205+AC304*AC205+AD304*AD205+AE304*AE205+AF304*AF205+AG304*AG205+AH304*AH205+AI304*AI205+AJ304*AJ205+AK304*AK205+AL304*AL205+AM304*AM205+AN304*AN205+AO304*AO205+AP304*AP205+AQ304*AQ205+AR304*AR205+AS304*AS205+AT304*AT205+AU304*AU205+AV304*AV205+AW304*AW205+AX304*AX205+AY304*AY205+AZ304*AZ205+BA304*BA205+BB304*BB205+BC304*BC205+BD304*BD205+BE304*BE205+BF304*BF205+BG304*BG205+BH304*BH205+BI304*BI205+BJ304*BJ205+BK304*BK205+BL304*BL205+BM304*BM205+BN304*BN205+BO304*BO205+BP304*BP205+BQ304*BQ205+BR304*BR205+BS304*BS205+BT304*BT205+BU304*BU205+BV304*BV205+BW304*BW205+BX304*BX205+BY304*BY205+BZ304*BZ205+CA304*CA205+CB304*CB205+CC304*CC205+CD304*CD205+CE304*CE205+CF304*CF205+CG304*CG205+CH304*CH205+CI304*CI205+CJ304*CJ205+CK304*CK205+CL304*CL205+CM304*CM205+CN304*CN205+CO304*CO205+CP304*CP205+CQ304*CQ205+CR304*CR205+CS304*CS205+CT304*CT205+CU304*CU205</f>
        <v>0</v>
      </c>
      <c r="DD205" s="2882">
        <f>E305*E205+F305*F205+G305*G205+H305*H205+I305*I205+J305*J205+K305*K205+L305*L205+M305*M205+N305*N205+O305*O205+P305*P205+Q305*Q205+R305*R205+S305*S205+T305*T205+U305*U205+V305*V205+W305*W205+X305*X205+Y305*Y205+Z305*Z205+AA305*AA205+AB305*AB205+AC305*AC205+AD305*AD205+AE305*AE205+AF305*AF205+AG305*AG205+AH305*AH205+AI305*AI205+AJ305*AJ205+AK305*AK205+AL305*AL205+AM305*AM205+AN305*AN205+AO305*AO205+AP305*AP205+AQ305*AQ205+AR305*AR205+AS305*AS205+AT305*AT205+AU305*AU205+AV305*AV205+AW305*AW205+AX305*AX205+AY305*AY205+AZ305*AZ205+BA305*BA205+BB305*BB205+BC305*BC205+BD305*BD205+BE305*BE205+BF305*BF205+BG305*BG205+BH305*BH205+BI305*BI205+BJ305*BJ205+BK305*BK205+BL305*BL205+BM305*BM205+BN305*BN205+BO305*BO205+BP305*BP205+BQ305*BQ205+BR305*BR205+BS305*BS205+BT305*BT205+BU305*BU205+BV305*BV205+BW305*BW205+BX305*BX205+BY305*BY205+BZ305*BZ205+CA305*CA205+CB305*CB205+CC305*CC205+CD305*CD205+CE305*CE205+CF305*CF205+CG305*CG205+CH305*CH205+CI305*CI205+CJ305*CJ205+CK305*CK205+CL305*CL205+CM305*CM205+CN305*CN205+CO305*CO205+CP305*CP205+CQ305*CQ205+CR305*CR205+CS305*CS205+CT305*CT205+CU305*CU205</f>
        <v>0</v>
      </c>
      <c r="DE205" s="2882">
        <f>E306*E205+F306*F205+G306*G205+H306*H205+I306*I205+J306*J205+K306*K205+L306*L205+M306*M205+N306*N205+O306*O205+P306*P205+Q306*Q205+R306*R205+S306*S205+T306*T205+U306*U205+V306*V205+W306*W205+X306*X205+Y306*Y205+Z306*Z205+AA306*AA205+AB306*AB205+AC306*AC205+AD306*AD205+AE306*AE205+AF306*AF205+AG306*AG205+AH306*AH205+AI306*AI205+AJ306*AJ205+AK306*AK205+AL306*AL205+AM306*AM205+AN306*AN205+AO306*AO205+AP306*AP205+AQ306*AQ205+AR306*AR205+AS306*AS205+AT306*AT205+AU306*AU205+AV306*AV205+AW306*AW205+AX306*AX205+AY306*AY205+AZ306*AZ205+BA306*BA205+BB306*BB205+BC306*BC205+BD306*BD205+BE306*BE205+BF306*BF205+BG306*BG205+BH306*BH205+BI306*BI205+BJ306*BJ205+BK306*BK205+BL306*BL205+BM306*BM205+BN306*BN205+BO306*BO205+BP306*BP205+BQ306*BQ205+BR306*BR205+BS306*BS205+BT306*BT205+BU306*BU205+BV306*BV205+BW306*BW205+BX306*BX205+BY306*BY205+BZ306*BZ205+CA306*CA205+CB306*CB205+CC306*CC205+CD306*CD205+CE306*CE205+CF306*CF205+CG306*CG205+CH306*CH205+CI306*CI205+CJ306*CJ205+CK306*CK205+CL306*CL205+CM306*CM205+CN306*CN205+CO306*CO205+CP306*CP205+CQ306*CQ205+CR306*CR205+CS306*CS205+CT306*CT205+CU306*CU205</f>
        <v>0</v>
      </c>
      <c r="DF205" s="2882">
        <f>E307*E205+F307*F205+G307*G205+H307*H205+I307*I205+J307*J205+K307*K205+L307*L205+M307*M205+N307*N205+O307*O205+P307*P205+Q307*Q205+R307*R205+S307*S205+T307*T205+U307*U205+V307*V205+W307*W205+X307*X205+Y307*Y205+Z307*Z205+AA307*AA205+AB307*AB205+AC307*AC205+AD307*AD205+AE307*AE205+AF307*AF205+AG307*AG205+AH307*AH205+AI307*AI205+AJ307*AJ205+AK307*AK205+AL307*AL205+AM307*AM205+AN307*AN205+AO307*AO205+AP307*AP205+AQ307*AQ205+AR307*AR205+AS307*AS205+AT307*AT205+AU307*AU205+AV307*AV205+AW307*AW205+AX307*AX205+AY307*AY205+AZ307*AZ205+BA307*BA205+BB307*BB205+BC307*BC205+BD307*BD205+BE307*BE205+BF307*BF205+BG307*BG205+BH307*BH205+BI307*BI205+BJ307*BJ205+BK307*BK205+BL307*BL205+BM307*BM205+BN307*BN205+BO307*BO205+BP307*BP205+BQ307*BQ205+BR307*BR205+BS307*BS205+BT307*BT205+BU307*BU205+BV307*BV205+BW307*BW205+BX307*BX205+BY307*BY205+BZ307*BZ205+CA307*CA205+CB307*CB205+CC307*CC205+CD307*CD205+CE307*CE205+CF307*CF205+CG307*CG205+CH307*CH205+CI307*CI205+CJ307*CJ205+CK307*CK205+CL307*CL205+CM307*CM205+CN307*CN205+CO307*CO205+CP307*CP205+CQ307*CQ205+CR307*CR205+CS307*CS205+CT307*CT205+CU307*CU205</f>
        <v>0</v>
      </c>
      <c r="DG205" s="2882">
        <f>E308*E205+F308*F205+G308*G205+H308*H205+I308*I205+J308*J205+K308*K205+L308*L205+M308*M205+N308*N205+O308*O205+P308*P205+Q308*Q205+R308*R205+S308*S205+T308*T205+U308*U205+V308*V205+W308*W205+X308*X205+Y308*Y205+Z308*Z205+AA308*AA205+AB308*AB205+AC308*AC205+AD308*AD205+AE308*AE205+AF308*AF205+AG308*AG205+AH308*AH205+AI308*AI205+AJ308*AJ205+AK308*AK205+AL308*AL205+AM308*AM205+AN308*AN205+AO308*AO205+AP308*AP205+AQ308*AQ205+AR308*AR205+AS308*AS205+AT308*AT205+AU308*AU205+AV308*AV205+AW308*AW205+AX308*AX205+AY308*AY205+AZ308*AZ205+BA308*BA205+BB308*BB205+BC308*BC205+BD308*BD205+BE308*BE205+BF308*BF205+BG308*BG205+BH308*BH205+BI308*BI205+BJ308*BJ205+BK308*BK205+BL308*BL205+BM308*BM205+BN308*BN205+BO308*BO205+BP308*BP205+BQ308*BQ205+BR308*BR205+BS308*BS205+BT308*BT205+BU308*BU205+BV308*BV205+BW308*BW205+BX308*BX205+BY308*BY205+BZ308*BZ205+CA308*CA205+CB308*CB205+CC308*CC205+CD308*CD205+CE308*CE205+CF308*CF205+CG308*CG205+CH308*CH205+CI308*CI205+CJ308*CJ205+CK308*CK205+CL308*CL205+CM308*CM205+CN308*CN205+CO308*CO205+CP308*CP205+CQ308*CQ205+CR308*CR205+CS308*CS205+CT308*CT205+CU308*CU205</f>
        <v>0</v>
      </c>
      <c r="DH205" s="2882">
        <f>E309*E205+F309*F205+G309*G205+H309*H205+I309*I205+J309*J205+K309*K205+L309*L205+M309*M205+N309*N205+O309*O205+P309*P205+Q309*Q205+R309*R205+S309*S205+T309*T205+U309*U205+V309*V205+W309*W205+X309*X205+Y309*Y205+Z309*Z205+AA309*AA205+AB309*AB205+AC309*AC205+AD309*AD205+AE309*AE205+AF309*AF205+AG309*AG205+AH309*AH205+AI309*AI205+AJ309*AJ205+AK309*AK205+AL309*AL205+AM309*AM205+AN309*AN205+AO309*AO205+AP309*AP205+AQ309*AQ205+AR309*AR205+AS309*AS205+AT309*AT205+AU309*AU205+AV309*AV205+AW309*AW205+AX309*AX205+AY309*AY205+AZ309*AZ205+BA309*BA205+BB309*BB205+BC309*BC205+BD309*BD205+BE309*BE205+BF309*BF205+BG309*BG205+BH309*BH205+BI309*BI205+BJ309*BJ205+BK309*BK205+BL309*BL205+BM309*BM205+BN309*BN205+BO309*BO205+BP309*BP205+BQ309*BQ205+BR309*BR205+BS309*BS205+BT309*BT205+BU309*BU205+BV309*BV205+BW309*BW205+BX309*BX205+BY309*BY205+BZ309*BZ205+CA309*CA205+CB309*CB205+CC309*CC205+CD309*CD205+CE309*CE205+CF309*CF205+CG309*CG205+CH309*CH205+CI309*CI205+CJ309*CJ205+CK309*CK205+CL309*CL205+CM309*CM205+CN309*CN205+CO309*CO205+CP309*CP205+CQ309*CQ205+CR309*CR205+CS309*CS205+CT309*CT205+CU309*CU205</f>
        <v>0</v>
      </c>
      <c r="DI205" s="2882">
        <f>E310*E205+F310*F205+G310*G205+H310*H205+I310*I205+J310*J205+K310*K205+L310*L205+M310*M205+N310*N205+O310*O205+P310*P205+Q310*Q205+R310*R205+S310*S205+T310*T205+U310*U205+V310*V205+W310*W205+X310*X205+Y310*Y205+Z310*Z205+AA310*AA205+AB310*AB205+AC310*AC205+AD310*AD205+AE310*AE205+AF310*AF205+AG310*AG205+AH310*AH205+AI310*AI205+AJ310*AJ205+AK310*AK205+AL310*AL205+AM310*AM205+AN310*AN205+AO310*AO205+AP310*AP205+AQ310*AQ205+AR310*AR205+AS310*AS205+AT310*AT205+AU310*AU205+AV310*AV205+AW310*AW205+AX310*AX205+AY310*AY205+AZ310*AZ205+BA310*BA205+BB310*BB205+BC310*BC205+BD310*BD205+BE310*BE205+BF310*BF205+BG310*BG205+BH310*BH205+BI310*BI205+BJ310*BJ205+BK310*BK205+BL310*BL205+BM310*BM205+BN310*BN205+BO310*BO205+BP310*BP205+BQ310*BQ205+BR310*BR205+BS310*BS205+BT310*BT205+BU310*BU205+BV310*BV205+BW310*BW205+BX310*BX205+BY310*BY205+BZ310*BZ205+CA310*CA205+CB310*CB205+CC310*CC205+CD310*CD205+CE310*CE205+CF310*CF205+CG310*CG205+CH310*CH205+CI310*CI205+CJ310*CJ205+CK310*CK205+CL310*CL205+CM310*CM205+CN310*CN205+CO310*CO205+CP310*CP205+CQ310*CQ205+CR310*CR205+CS310*CS205+CT310*CT205+CU310*CU205</f>
        <v>0</v>
      </c>
    </row>
    <row r="206" spans="2:113" x14ac:dyDescent="0.45">
      <c r="B206" s="771">
        <v>47</v>
      </c>
      <c r="C206" s="771" t="s">
        <v>465</v>
      </c>
      <c r="D206" s="772" t="s">
        <v>2270</v>
      </c>
      <c r="E206" s="729">
        <f>0</f>
        <v>0</v>
      </c>
      <c r="F206" s="729">
        <f>0</f>
        <v>0</v>
      </c>
      <c r="G206" s="729">
        <f>0</f>
        <v>0</v>
      </c>
      <c r="H206" s="729">
        <f>0</f>
        <v>0</v>
      </c>
      <c r="I206" s="729">
        <f>0</f>
        <v>0</v>
      </c>
      <c r="J206" s="729">
        <f>0</f>
        <v>0</v>
      </c>
      <c r="K206" s="729">
        <f>0</f>
        <v>0</v>
      </c>
      <c r="L206" s="729">
        <f>0</f>
        <v>0</v>
      </c>
      <c r="M206" s="729">
        <f>0</f>
        <v>0</v>
      </c>
      <c r="N206" s="729">
        <f>0</f>
        <v>0</v>
      </c>
      <c r="O206" s="729">
        <f>0</f>
        <v>0</v>
      </c>
      <c r="P206" s="729">
        <f>0</f>
        <v>0</v>
      </c>
      <c r="Q206" s="729">
        <f>0</f>
        <v>0</v>
      </c>
      <c r="R206" s="729">
        <f>0</f>
        <v>0</v>
      </c>
      <c r="S206" s="729">
        <f>0</f>
        <v>0</v>
      </c>
      <c r="T206" s="729">
        <f>0</f>
        <v>0</v>
      </c>
      <c r="U206" s="729">
        <f>1</f>
        <v>1</v>
      </c>
      <c r="V206" s="729">
        <f>0</f>
        <v>0</v>
      </c>
      <c r="W206" s="729">
        <f>0</f>
        <v>0</v>
      </c>
      <c r="X206" s="729">
        <f>0</f>
        <v>0</v>
      </c>
      <c r="Y206" s="729">
        <f>0</f>
        <v>0</v>
      </c>
      <c r="Z206" s="729">
        <f>0</f>
        <v>0</v>
      </c>
      <c r="AA206" s="729">
        <f>0</f>
        <v>0</v>
      </c>
      <c r="AB206" s="729">
        <f>-i_N_BIO</f>
        <v>-7.0000000000000007E-2</v>
      </c>
      <c r="AC206" s="729">
        <f>0</f>
        <v>0</v>
      </c>
      <c r="AD206" s="729">
        <f>1/Y_NOB</f>
        <v>11.111111111111111</v>
      </c>
      <c r="AE206" s="729">
        <f>-1/Y_NOB</f>
        <v>-11.111111111111111</v>
      </c>
      <c r="AF206" s="729">
        <f>0</f>
        <v>0</v>
      </c>
      <c r="AG206" s="729">
        <f>0</f>
        <v>0</v>
      </c>
      <c r="AH206" s="729">
        <f>0</f>
        <v>0</v>
      </c>
      <c r="AI206" s="729">
        <f>0</f>
        <v>0</v>
      </c>
      <c r="AJ206" s="729">
        <f>0</f>
        <v>0</v>
      </c>
      <c r="AK206" s="729">
        <f>0</f>
        <v>0</v>
      </c>
      <c r="AL206" s="729">
        <f>0</f>
        <v>0</v>
      </c>
      <c r="AM206" s="729">
        <f>-i_P_BIO</f>
        <v>-0.02</v>
      </c>
      <c r="AN206" s="729">
        <f>0</f>
        <v>0</v>
      </c>
      <c r="AO206" s="729">
        <f>0</f>
        <v>0</v>
      </c>
      <c r="AP206" s="729">
        <f>0</f>
        <v>0</v>
      </c>
      <c r="AQ206" s="729">
        <f>0</f>
        <v>0</v>
      </c>
      <c r="AR206" s="729">
        <f>-(E_EQNO2_NO3-Y_NOB)/Y_NOB</f>
        <v>-11.691862545147043</v>
      </c>
      <c r="AS206" s="729">
        <f>0</f>
        <v>0</v>
      </c>
      <c r="AT206" s="729">
        <f>0</f>
        <v>0</v>
      </c>
      <c r="AU206" s="729">
        <f>-i_CIT_BIO</f>
        <v>-0.35199999999999998</v>
      </c>
      <c r="AV206" s="729">
        <f>i_INORG</f>
        <v>0.11</v>
      </c>
      <c r="AW206" s="729">
        <f>-i_INORG*(1-i_Ca_INORG*(A_MCa+2*A_MCl)/A_MCa-i_Mg_INORG*(A_MMg+2*A_MCl)/A_MMg)*f_Na</f>
        <v>-2.8804303582798466E-2</v>
      </c>
      <c r="AX206" s="729">
        <f>-i_INORG*(i_Ca_INORG*(2*A_MCl)/A_MCa+i_Mg_INORG*(2*A_MCl)/A_MMg)-i_INORG*(1-i_Ca_INORG*(A_MCa+2*A_MCl)/A_MCa-i_Mg_INORG*(A_MMg+2*A_MCl)/A_MMg)*(1-f_Na)</f>
        <v>-7.0195696417201539E-2</v>
      </c>
      <c r="AY206" s="729">
        <f>-i_INORG*i_Ca_INORG</f>
        <v>-5.5000000000000005E-3</v>
      </c>
      <c r="AZ206" s="729">
        <f>-i_INORG*i_Mg_INORG</f>
        <v>-5.5000000000000005E-3</v>
      </c>
      <c r="BA206" s="729">
        <f>0</f>
        <v>0</v>
      </c>
      <c r="BB206" s="729">
        <f>0</f>
        <v>0</v>
      </c>
      <c r="BC206" s="2851">
        <f>-i_S_BIO</f>
        <v>-0.01</v>
      </c>
      <c r="BD206" s="729">
        <f>0</f>
        <v>0</v>
      </c>
      <c r="BE206" s="729">
        <f>0</f>
        <v>0</v>
      </c>
      <c r="BF206" s="729">
        <f>0</f>
        <v>0</v>
      </c>
      <c r="BG206" s="729">
        <f>0</f>
        <v>0</v>
      </c>
      <c r="BH206" s="729">
        <f>0</f>
        <v>0</v>
      </c>
      <c r="BI206" s="729">
        <f>0</f>
        <v>0</v>
      </c>
      <c r="BJ206" s="729">
        <f>0</f>
        <v>0</v>
      </c>
      <c r="BK206" s="729">
        <f>0</f>
        <v>0</v>
      </c>
      <c r="BL206" s="729">
        <f>0</f>
        <v>0</v>
      </c>
      <c r="BM206" s="729">
        <f>0</f>
        <v>0</v>
      </c>
      <c r="BN206" s="729">
        <f>0</f>
        <v>0</v>
      </c>
      <c r="BO206" s="729">
        <f>0</f>
        <v>0</v>
      </c>
      <c r="BP206" s="729">
        <f>0</f>
        <v>0</v>
      </c>
      <c r="BQ206" s="729">
        <f>0</f>
        <v>0</v>
      </c>
      <c r="BR206" s="729">
        <f>0</f>
        <v>0</v>
      </c>
      <c r="BS206" s="729">
        <f>0</f>
        <v>0</v>
      </c>
      <c r="BT206" s="729">
        <f>0</f>
        <v>0</v>
      </c>
      <c r="BU206" s="729">
        <f>0</f>
        <v>0</v>
      </c>
      <c r="BV206" s="894">
        <f>0</f>
        <v>0</v>
      </c>
      <c r="BW206" s="729">
        <f>0</f>
        <v>0</v>
      </c>
      <c r="BX206" s="729">
        <f>0</f>
        <v>0</v>
      </c>
      <c r="BY206" s="729">
        <f>0</f>
        <v>0</v>
      </c>
      <c r="BZ206" s="729">
        <f>0</f>
        <v>0</v>
      </c>
      <c r="CA206" s="894">
        <f>0</f>
        <v>0</v>
      </c>
      <c r="CB206" s="729">
        <f>0</f>
        <v>0</v>
      </c>
      <c r="CC206" s="729">
        <f>0</f>
        <v>0</v>
      </c>
      <c r="CD206" s="729">
        <f>0</f>
        <v>0</v>
      </c>
      <c r="CE206" s="729">
        <f>0</f>
        <v>0</v>
      </c>
      <c r="CF206" s="729">
        <f>0</f>
        <v>0</v>
      </c>
      <c r="CG206" s="729">
        <f>0</f>
        <v>0</v>
      </c>
      <c r="CH206" s="729">
        <f>0</f>
        <v>0</v>
      </c>
      <c r="CI206" s="729">
        <f>0</f>
        <v>0</v>
      </c>
      <c r="CJ206" s="729">
        <f>0</f>
        <v>0</v>
      </c>
      <c r="CK206" s="729">
        <f>0</f>
        <v>0</v>
      </c>
      <c r="CL206" s="729">
        <f>0</f>
        <v>0</v>
      </c>
      <c r="CM206" s="729">
        <f>0</f>
        <v>0</v>
      </c>
      <c r="CN206" s="729">
        <f>0</f>
        <v>0</v>
      </c>
      <c r="CO206" s="729">
        <f>0</f>
        <v>0</v>
      </c>
      <c r="CP206" s="729">
        <f>0</f>
        <v>0</v>
      </c>
      <c r="CQ206" s="729">
        <f>0</f>
        <v>0</v>
      </c>
      <c r="CR206" s="729">
        <f>0</f>
        <v>0</v>
      </c>
      <c r="CS206" s="729">
        <f>0</f>
        <v>0</v>
      </c>
      <c r="CT206" s="729">
        <f>0</f>
        <v>0</v>
      </c>
      <c r="CU206" s="729">
        <f>0</f>
        <v>0</v>
      </c>
      <c r="CV206" s="2852">
        <f>µ_NOB_T*X_NOB*M_satSNO2_KNO2_NOB*L_ogsatpHCO2_NOB*M_satSO2_KO2_NOB*M_satSNHx_KNHx_BIO*M_satSPO4_KPO4_BIO*M_satSCAT_KCAT*M_satSAN_KAN*M_satSCa_KCa*M_satSMg_KMg*M_inhpHNH3_NOB*B_ellinhpH</f>
        <v>5.7058453597246128</v>
      </c>
      <c r="CX206" s="2880">
        <f>E299*E206+F299*F206+G299*G206+H299*H206+I299*I206+J299*J206+K299*K206+L299*L206+M299*M206+N299*N206+O299*O206+P299*P206+Q299*Q206+R299*R206+S299*S206+T299*T206+U299*U206+V299*V206+W299*W206+X299*X206+Y299*Y206+Z299*Z206+AA299*AA206+AB299*AB206+AC299*AC206+AD299*AD206+AE299*AE206+AF299*AF206+AG299*AG206+AH299*AH206+AI299*AI206+AJ299*AJ206+AK299*AK206+AL299*AL206+AM299*AM206+AN299*AN206+AO299*AO206+AP299*AP206+AQ299*AQ206+AR299*AR206+AS299*AS206+AT299*AT206+AU299*AU206+AV299*AV206+AW299*AW206+AX299*AX206+AY299*AY206+AZ299*AZ206+BA299*BA206+BB299*BB206+BC299*BC206+BD299*BD206+BE299*BE206+BF299*BF206+BG299*BG206+BH299*BH206+BI299*BI206+BJ299*BJ206+BK299*BK206+BL299*BL206+BM299*BM206+BN299*BN206+BO299*BO206+BP299*BP206+BQ299*BQ206+BR299*BR206+BS299*BS206+BT299*BT206+BU299*BU206+BV299*BV206+BW299*BW206+BX299*BX206+BY299*BY206+BZ299*BZ206+CA299*CA206+CB299*CB206+CC299*CC206+CD299*CD206+CE299*CE206+CF299*CF206+CG299*CG206+CH299*CH206+CI299*CI206+CJ299*CJ206+CK299*CK206+CL299*CL206+CM299*CM206+CN299*CN206+CO299*CO206+CP299*CP206+CQ299*CQ206+CR299*CR206+CS299*CS206+CT299*CT206+CU299*CU206</f>
        <v>-3.5527136788005009E-15</v>
      </c>
      <c r="CY206" s="2880">
        <f>E300*E206+F300*F206+G300*G206+H300*H206+I300*I206+J300*J206+K300*K206+L300*L206+M300*M206+N300*N206+O300*O206+P300*P206+Q300*Q206+R300*R206+S300*S206+T300*T206+U300*U206+V300*V206+W300*W206+X300*X206+Y300*Y206+Z300*Z206+AA300*AA206+AB300*AB206+AC300*AC206+AD300*AD206+AE300*AE206+AF300*AF206+AG300*AG206+AH300*AH206+AI300*AI206+AJ300*AJ206+AK300*AK206+AL300*AL206+AM300*AM206+AN300*AN206+AO300*AO206+AP300*AP206+AQ300*AQ206+AR300*AR206+AS300*AS206+AT300*AT206+AU300*AU206+AV300*AV206+AW300*AW206+AX300*AX206+AY300*AY206+AZ300*AZ206+BA300*BA206+BB300*BB206+BC300*BC206+BD300*BD206+BE300*BE206+BF300*BF206+BG300*BG206+BH300*BH206+BI300*BI206+BJ300*BJ206+BK300*BK206+BL300*BL206+BM300*BM206+BN300*BN206+BO300*BO206+BP300*BP206+BQ300*BQ206+BR300*BR206+BS300*BS206+BT300*BT206+BU300*BU206+BV300*BV206+BW300*BW206+BX300*BX206+BY300*BY206+BZ300*BZ206+CA300*CA206+CB300*CB206+CC300*CC206+CD300*CD206+CE300*CE206+CF300*CF206+CG300*CG206+CH300*CH206+CI300*CI206+CJ300*CJ206+CK300*CK206+CL300*CL206+CM300*CM206+CN300*CN206+CO300*CO206+CP300*CP206+CQ300*CQ206+CR300*CR206+CS300*CS206+CT300*CT206+CU300*CU206</f>
        <v>0</v>
      </c>
      <c r="CZ206" s="2881">
        <f>E301*E206+F301*F206+G301*G206+H301*H206+I301*I206+J301*J206+K301*K206+L301*L206+M301*M206+N301*N206+O301*O206+P301*P206+Q301*Q206+R301*R206+S301*S206+T301*T206+U301*U206+V301*V206+W301*W206+X301*X206+Y301*Y206+Z301*Z206+AA301*AA206+AB301*AB206+AC301*AC206+AD301*AD206+AE301*AE206+AF301*AF206+AG301*AG206+AH301*AH206+AI301*AI206+AJ301*AJ206+AK301*AK206+AL301*AL206+AM301*AM206+AN301*AN206+AO301*AO206+AP301*AP206+AQ301*AQ206+AR301*AR206+AS301*AS206+AT301*AT206+AU301*AU206+AV301*AV206+AW301*AW206+AX301*AX206+AY301*AY206+AZ301*AZ206+BA301*BA206+BB301*BB206+BC301*BC206+BD301*BD206+BE301*BE206+BF301*BF206+BG301*BG206+BH301*BH206+BI301*BI206+BJ301*BJ206+BK301*BK206+BL301*BL206+BM301*BM206+BN301*BN206+BO301*BO206+BP301*BP206+BQ301*BQ206+BR301*BR206+BS301*BS206+BT301*BT206+BU301*BU206+BV301*BV206+BW301*BW206+BX301*BX206+BY301*BY206+BZ301*BZ206+CA301*CA206+CB301*CB206+CC301*CC206+CD301*CD206+CE301*CE206+CF301*CF206+CG301*CG206+CH301*CH206+CI301*CI206+CJ301*CJ206+CK301*CK206+CL301*CL206+CM301*CM206+CN301*CN206+CO301*CO206+CP301*CP206+CQ301*CQ206+CR301*CR206+CS301*CS206+CT301*CT206+CU301*CU206</f>
        <v>0</v>
      </c>
      <c r="DA206" s="2882">
        <f>E302*E206+F302*F206+G302*G206+H302*H206+I302*I206+J302*J206+K302*K206+L302*L206+M302*M206+N302*N206+O302*O206+P302*P206+Q302*Q206+R302*R206+S302*S206+T302*T206+U302*U206+V302*V206+W302*W206+X302*X206+Y302*Y206+Z302*Z206+AA302*AA206+AB302*AB206+AC302*AC206+AD302*AD206+AE302*AE206+AF302*AF206+AG302*AG206+AH302*AH206+AI302*AI206+AJ302*AJ206+AK302*AK206+AL302*AL206+AM302*AM206+AN302*AN206+AO302*AO206+AP302*AP206+AQ302*AQ206+AR302*AR206+AS302*AS206+AT302*AT206+AU302*AU206+AV302*AV206+AW302*AW206+AX302*AX206+AY302*AY206+AZ302*AZ206+BA302*BA206+BB302*BB206+BC302*BC206+BD302*BD206+BE302*BE206+BF302*BF206+BG302*BG206+BH302*BH206+BI302*BI206+BJ302*BJ206+BK302*BK206+BL302*BL206+BM302*BM206+BN302*BN206+BO302*BO206+BP302*BP206+BQ302*BQ206+BR302*BR206+BS302*BS206+BT302*BT206+BU302*BU206+BV302*BV206+BW302*BW206+BX302*BX206+BY302*BY206+BZ302*BZ206+CA302*CA206+CB302*CB206+CC302*CC206+CD302*CD206+CE302*CE206+CF302*CF206+CG302*CG206+CH302*CH206+CI302*CI206+CJ302*CJ206+CK302*CK206+CL302*CL206+CM302*CM206+CN302*CN206+CO302*CO206+CP302*CP206+CQ302*CQ206+CR302*CR206+CS302*CS206+CT302*CT206+CU302*CU206</f>
        <v>0</v>
      </c>
      <c r="DB206" s="2882">
        <f>E303*E206+F303*F206+G303*G206+H303*H206+I303*I206+J303*J206+K303*K206+L303*L206+M303*M206+N303*N206+O303*O206+P303*P206+Q303*Q206+R303*R206+S303*S206+T303*T206+U303*U206+V303*V206+W303*W206+X303*X206+Y303*Y206+Z303*Z206+AA303*AA206+AB303*AB206+AC303*AC206+AD303*AD206+AE303*AE206+AF303*AF206+AG303*AG206+AH303*AH206+AI303*AI206+AJ303*AJ206+AK303*AK206+AL303*AL206+AM303*AM206+AN303*AN206+AO303*AO206+AP303*AP206+AQ303*AQ206+AR303*AR206+AS303*AS206+AT303*AT206+AU303*AU206+AV303*AV206+AW303*AW206+AX303*AX206+AY303*AY206+AZ303*AZ206+BA303*BA206+BB303*BB206+BC303*BC206+BD303*BD206+BE303*BE206+BF303*BF206+BG303*BG206+BH303*BH206+BI303*BI206+BJ303*BJ206+BK303*BK206+BL303*BL206+BM303*BM206+BN303*BN206+BO303*BO206+BP303*BP206+BQ303*BQ206+BR303*BR206+BS303*BS206+BT303*BT206+BU303*BU206+BV303*BV206+BW303*BW206+BX303*BX206+BY303*BY206+BZ303*BZ206+CA303*CA206+CB303*CB206+CC303*CC206+CD303*CD206+CE303*CE206+CF303*CF206+CG303*CG206+CH303*CH206+CI303*CI206+CJ303*CJ206+CK303*CK206+CL303*CL206+CM303*CM206+CN303*CN206+CO303*CO206+CP303*CP206+CQ303*CQ206+CR303*CR206+CS303*CS206+CT303*CT206+CU303*CU206</f>
        <v>0</v>
      </c>
      <c r="DC206" s="2882">
        <f>E304*E206+F304*F206+G304*G206+H304*H206+I304*I206+J304*J206+K304*K206+L304*L206+M304*M206+N304*N206+O304*O206+P304*P206+Q304*Q206+R304*R206+S304*S206+T304*T206+U304*U206+V304*V206+W304*W206+X304*X206+Y304*Y206+Z304*Z206+AA304*AA206+AB304*AB206+AC304*AC206+AD304*AD206+AE304*AE206+AF304*AF206+AG304*AG206+AH304*AH206+AI304*AI206+AJ304*AJ206+AK304*AK206+AL304*AL206+AM304*AM206+AN304*AN206+AO304*AO206+AP304*AP206+AQ304*AQ206+AR304*AR206+AS304*AS206+AT304*AT206+AU304*AU206+AV304*AV206+AW304*AW206+AX304*AX206+AY304*AY206+AZ304*AZ206+BA304*BA206+BB304*BB206+BC304*BC206+BD304*BD206+BE304*BE206+BF304*BF206+BG304*BG206+BH304*BH206+BI304*BI206+BJ304*BJ206+BK304*BK206+BL304*BL206+BM304*BM206+BN304*BN206+BO304*BO206+BP304*BP206+BQ304*BQ206+BR304*BR206+BS304*BS206+BT304*BT206+BU304*BU206+BV304*BV206+BW304*BW206+BX304*BX206+BY304*BY206+BZ304*BZ206+CA304*CA206+CB304*CB206+CC304*CC206+CD304*CD206+CE304*CE206+CF304*CF206+CG304*CG206+CH304*CH206+CI304*CI206+CJ304*CJ206+CK304*CK206+CL304*CL206+CM304*CM206+CN304*CN206+CO304*CO206+CP304*CP206+CQ304*CQ206+CR304*CR206+CS304*CS206+CT304*CT206+CU304*CU206</f>
        <v>0</v>
      </c>
      <c r="DD206" s="2882">
        <f>E305*E206+F305*F206+G305*G206+H305*H206+I305*I206+J305*J206+K305*K206+L305*L206+M305*M206+N305*N206+O305*O206+P305*P206+Q305*Q206+R305*R206+S305*S206+T305*T206+U305*U206+V305*V206+W305*W206+X305*X206+Y305*Y206+Z305*Z206+AA305*AA206+AB305*AB206+AC305*AC206+AD305*AD206+AE305*AE206+AF305*AF206+AG305*AG206+AH305*AH206+AI305*AI206+AJ305*AJ206+AK305*AK206+AL305*AL206+AM305*AM206+AN305*AN206+AO305*AO206+AP305*AP206+AQ305*AQ206+AR305*AR206+AS305*AS206+AT305*AT206+AU305*AU206+AV305*AV206+AW305*AW206+AX305*AX206+AY305*AY206+AZ305*AZ206+BA305*BA206+BB305*BB206+BC305*BC206+BD305*BD206+BE305*BE206+BF305*BF206+BG305*BG206+BH305*BH206+BI305*BI206+BJ305*BJ206+BK305*BK206+BL305*BL206+BM305*BM206+BN305*BN206+BO305*BO206+BP305*BP206+BQ305*BQ206+BR305*BR206+BS305*BS206+BT305*BT206+BU305*BU206+BV305*BV206+BW305*BW206+BX305*BX206+BY305*BY206+BZ305*BZ206+CA305*CA206+CB305*CB206+CC305*CC206+CD305*CD206+CE305*CE206+CF305*CF206+CG305*CG206+CH305*CH206+CI305*CI206+CJ305*CJ206+CK305*CK206+CL305*CL206+CM305*CM206+CN305*CN206+CO305*CO206+CP305*CP206+CQ305*CQ206+CR305*CR206+CS305*CS206+CT305*CT206+CU305*CU206</f>
        <v>0</v>
      </c>
      <c r="DE206" s="2882">
        <f>E306*E206+F306*F206+G306*G206+H306*H206+I306*I206+J306*J206+K306*K206+L306*L206+M306*M206+N306*N206+O306*O206+P306*P206+Q306*Q206+R306*R206+S306*S206+T306*T206+U306*U206+V306*V206+W306*W206+X306*X206+Y306*Y206+Z306*Z206+AA306*AA206+AB306*AB206+AC306*AC206+AD306*AD206+AE306*AE206+AF306*AF206+AG306*AG206+AH306*AH206+AI306*AI206+AJ306*AJ206+AK306*AK206+AL306*AL206+AM306*AM206+AN306*AN206+AO306*AO206+AP306*AP206+AQ306*AQ206+AR306*AR206+AS306*AS206+AT306*AT206+AU306*AU206+AV306*AV206+AW306*AW206+AX306*AX206+AY306*AY206+AZ306*AZ206+BA306*BA206+BB306*BB206+BC306*BC206+BD306*BD206+BE306*BE206+BF306*BF206+BG306*BG206+BH306*BH206+BI306*BI206+BJ306*BJ206+BK306*BK206+BL306*BL206+BM306*BM206+BN306*BN206+BO306*BO206+BP306*BP206+BQ306*BQ206+BR306*BR206+BS306*BS206+BT306*BT206+BU306*BU206+BV306*BV206+BW306*BW206+BX306*BX206+BY306*BY206+BZ306*BZ206+CA306*CA206+CB306*CB206+CC306*CC206+CD306*CD206+CE306*CE206+CF306*CF206+CG306*CG206+CH306*CH206+CI306*CI206+CJ306*CJ206+CK306*CK206+CL306*CL206+CM306*CM206+CN306*CN206+CO306*CO206+CP306*CP206+CQ306*CQ206+CR306*CR206+CS306*CS206+CT306*CT206+CU306*CU206</f>
        <v>0</v>
      </c>
      <c r="DF206" s="2882">
        <f>E307*E206+F307*F206+G307*G206+H307*H206+I307*I206+J307*J206+K307*K206+L307*L206+M307*M206+N307*N206+O307*O206+P307*P206+Q307*Q206+R307*R206+S307*S206+T307*T206+U307*U206+V307*V206+W307*W206+X307*X206+Y307*Y206+Z307*Z206+AA307*AA206+AB307*AB206+AC307*AC206+AD307*AD206+AE307*AE206+AF307*AF206+AG307*AG206+AH307*AH206+AI307*AI206+AJ307*AJ206+AK307*AK206+AL307*AL206+AM307*AM206+AN307*AN206+AO307*AO206+AP307*AP206+AQ307*AQ206+AR307*AR206+AS307*AS206+AT307*AT206+AU307*AU206+AV307*AV206+AW307*AW206+AX307*AX206+AY307*AY206+AZ307*AZ206+BA307*BA206+BB307*BB206+BC307*BC206+BD307*BD206+BE307*BE206+BF307*BF206+BG307*BG206+BH307*BH206+BI307*BI206+BJ307*BJ206+BK307*BK206+BL307*BL206+BM307*BM206+BN307*BN206+BO307*BO206+BP307*BP206+BQ307*BQ206+BR307*BR206+BS307*BS206+BT307*BT206+BU307*BU206+BV307*BV206+BW307*BW206+BX307*BX206+BY307*BY206+BZ307*BZ206+CA307*CA206+CB307*CB206+CC307*CC206+CD307*CD206+CE307*CE206+CF307*CF206+CG307*CG206+CH307*CH206+CI307*CI206+CJ307*CJ206+CK307*CK206+CL307*CL206+CM307*CM206+CN307*CN206+CO307*CO206+CP307*CP206+CQ307*CQ206+CR307*CR206+CS307*CS206+CT307*CT206+CU307*CU206</f>
        <v>0</v>
      </c>
      <c r="DG206" s="2882">
        <f>E308*E206+F308*F206+G308*G206+H308*H206+I308*I206+J308*J206+K308*K206+L308*L206+M308*M206+N308*N206+O308*O206+P308*P206+Q308*Q206+R308*R206+S308*S206+T308*T206+U308*U206+V308*V206+W308*W206+X308*X206+Y308*Y206+Z308*Z206+AA308*AA206+AB308*AB206+AC308*AC206+AD308*AD206+AE308*AE206+AF308*AF206+AG308*AG206+AH308*AH206+AI308*AI206+AJ308*AJ206+AK308*AK206+AL308*AL206+AM308*AM206+AN308*AN206+AO308*AO206+AP308*AP206+AQ308*AQ206+AR308*AR206+AS308*AS206+AT308*AT206+AU308*AU206+AV308*AV206+AW308*AW206+AX308*AX206+AY308*AY206+AZ308*AZ206+BA308*BA206+BB308*BB206+BC308*BC206+BD308*BD206+BE308*BE206+BF308*BF206+BG308*BG206+BH308*BH206+BI308*BI206+BJ308*BJ206+BK308*BK206+BL308*BL206+BM308*BM206+BN308*BN206+BO308*BO206+BP308*BP206+BQ308*BQ206+BR308*BR206+BS308*BS206+BT308*BT206+BU308*BU206+BV308*BV206+BW308*BW206+BX308*BX206+BY308*BY206+BZ308*BZ206+CA308*CA206+CB308*CB206+CC308*CC206+CD308*CD206+CE308*CE206+CF308*CF206+CG308*CG206+CH308*CH206+CI308*CI206+CJ308*CJ206+CK308*CK206+CL308*CL206+CM308*CM206+CN308*CN206+CO308*CO206+CP308*CP206+CQ308*CQ206+CR308*CR206+CS308*CS206+CT308*CT206+CU308*CU206</f>
        <v>0</v>
      </c>
      <c r="DH206" s="2882">
        <f>E309*E206+F309*F206+G309*G206+H309*H206+I309*I206+J309*J206+K309*K206+L309*L206+M309*M206+N309*N206+O309*O206+P309*P206+Q309*Q206+R309*R206+S309*S206+T309*T206+U309*U206+V309*V206+W309*W206+X309*X206+Y309*Y206+Z309*Z206+AA309*AA206+AB309*AB206+AC309*AC206+AD309*AD206+AE309*AE206+AF309*AF206+AG309*AG206+AH309*AH206+AI309*AI206+AJ309*AJ206+AK309*AK206+AL309*AL206+AM309*AM206+AN309*AN206+AO309*AO206+AP309*AP206+AQ309*AQ206+AR309*AR206+AS309*AS206+AT309*AT206+AU309*AU206+AV309*AV206+AW309*AW206+AX309*AX206+AY309*AY206+AZ309*AZ206+BA309*BA206+BB309*BB206+BC309*BC206+BD309*BD206+BE309*BE206+BF309*BF206+BG309*BG206+BH309*BH206+BI309*BI206+BJ309*BJ206+BK309*BK206+BL309*BL206+BM309*BM206+BN309*BN206+BO309*BO206+BP309*BP206+BQ309*BQ206+BR309*BR206+BS309*BS206+BT309*BT206+BU309*BU206+BV309*BV206+BW309*BW206+BX309*BX206+BY309*BY206+BZ309*BZ206+CA309*CA206+CB309*CB206+CC309*CC206+CD309*CD206+CE309*CE206+CF309*CF206+CG309*CG206+CH309*CH206+CI309*CI206+CJ309*CJ206+CK309*CK206+CL309*CL206+CM309*CM206+CN309*CN206+CO309*CO206+CP309*CP206+CQ309*CQ206+CR309*CR206+CS309*CS206+CT309*CT206+CU309*CU206</f>
        <v>0</v>
      </c>
      <c r="DI206" s="2882">
        <f>E310*E206+F310*F206+G310*G206+H310*H206+I310*I206+J310*J206+K310*K206+L310*L206+M310*M206+N310*N206+O310*O206+P310*P206+Q310*Q206+R310*R206+S310*S206+T310*T206+U310*U206+V310*V206+W310*W206+X310*X206+Y310*Y206+Z310*Z206+AA310*AA206+AB310*AB206+AC310*AC206+AD310*AD206+AE310*AE206+AF310*AF206+AG310*AG206+AH310*AH206+AI310*AI206+AJ310*AJ206+AK310*AK206+AL310*AL206+AM310*AM206+AN310*AN206+AO310*AO206+AP310*AP206+AQ310*AQ206+AR310*AR206+AS310*AS206+AT310*AT206+AU310*AU206+AV310*AV206+AW310*AW206+AX310*AX206+AY310*AY206+AZ310*AZ206+BA310*BA206+BB310*BB206+BC310*BC206+BD310*BD206+BE310*BE206+BF310*BF206+BG310*BG206+BH310*BH206+BI310*BI206+BJ310*BJ206+BK310*BK206+BL310*BL206+BM310*BM206+BN310*BN206+BO310*BO206+BP310*BP206+BQ310*BQ206+BR310*BR206+BS310*BS206+BT310*BT206+BU310*BU206+BV310*BV206+BW310*BW206+BX310*BX206+BY310*BY206+BZ310*BZ206+CA310*CA206+CB310*CB206+CC310*CC206+CD310*CD206+CE310*CE206+CF310*CF206+CG310*CG206+CH310*CH206+CI310*CI206+CJ310*CJ206+CK310*CK206+CL310*CL206+CM310*CM206+CN310*CN206+CO310*CO206+CP310*CP206+CQ310*CQ206+CR310*CR206+CS310*CS206+CT310*CT206+CU310*CU206</f>
        <v>0</v>
      </c>
    </row>
    <row r="207" spans="2:113" x14ac:dyDescent="0.45">
      <c r="B207" s="771">
        <v>48</v>
      </c>
      <c r="C207" s="771" t="s">
        <v>466</v>
      </c>
      <c r="D207" s="772" t="s">
        <v>2271</v>
      </c>
      <c r="E207" s="729">
        <f>0</f>
        <v>0</v>
      </c>
      <c r="F207" s="729">
        <f>0</f>
        <v>0</v>
      </c>
      <c r="G207" s="729">
        <f>0</f>
        <v>0</v>
      </c>
      <c r="H207" s="729">
        <f>0</f>
        <v>0</v>
      </c>
      <c r="I207" s="729">
        <f>1-f_E</f>
        <v>0.92</v>
      </c>
      <c r="J207" s="729">
        <f>0</f>
        <v>0</v>
      </c>
      <c r="K207" s="729">
        <f>0</f>
        <v>0</v>
      </c>
      <c r="L207" s="729">
        <f>0</f>
        <v>0</v>
      </c>
      <c r="M207" s="729">
        <f>0</f>
        <v>0</v>
      </c>
      <c r="N207" s="729">
        <f>0</f>
        <v>0</v>
      </c>
      <c r="O207" s="729">
        <f>f_E</f>
        <v>0.08</v>
      </c>
      <c r="P207" s="729">
        <f>0</f>
        <v>0</v>
      </c>
      <c r="Q207" s="729">
        <f>0</f>
        <v>0</v>
      </c>
      <c r="R207" s="729">
        <f>0</f>
        <v>0</v>
      </c>
      <c r="S207" s="729">
        <f>0</f>
        <v>0</v>
      </c>
      <c r="T207" s="729">
        <f>0</f>
        <v>0</v>
      </c>
      <c r="U207" s="729">
        <f>-1</f>
        <v>-1</v>
      </c>
      <c r="V207" s="729">
        <f>0</f>
        <v>0</v>
      </c>
      <c r="W207" s="729">
        <f>0</f>
        <v>0</v>
      </c>
      <c r="X207" s="729">
        <f>0</f>
        <v>0</v>
      </c>
      <c r="Y207" s="729">
        <f>0</f>
        <v>0</v>
      </c>
      <c r="Z207" s="729">
        <f>0</f>
        <v>0</v>
      </c>
      <c r="AA207" s="729">
        <f>0</f>
        <v>0</v>
      </c>
      <c r="AB207" s="729">
        <f>-f_E*(i_N_XE-i_N_BIO)</f>
        <v>8.0000000000000069E-4</v>
      </c>
      <c r="AC207" s="729">
        <f>0</f>
        <v>0</v>
      </c>
      <c r="AD207" s="729">
        <f>0</f>
        <v>0</v>
      </c>
      <c r="AE207" s="729">
        <f>0</f>
        <v>0</v>
      </c>
      <c r="AF207" s="729">
        <f>0</f>
        <v>0</v>
      </c>
      <c r="AG207" s="729">
        <f>0</f>
        <v>0</v>
      </c>
      <c r="AH207" s="729">
        <f>0</f>
        <v>0</v>
      </c>
      <c r="AI207" s="729">
        <f>0</f>
        <v>0</v>
      </c>
      <c r="AJ207" s="729">
        <f>0</f>
        <v>0</v>
      </c>
      <c r="AK207" s="729">
        <f>(1-f_E)*i_N_BIO</f>
        <v>6.4400000000000013E-2</v>
      </c>
      <c r="AL207" s="729">
        <f>0</f>
        <v>0</v>
      </c>
      <c r="AM207" s="729">
        <f>0</f>
        <v>0</v>
      </c>
      <c r="AN207" s="729">
        <f>0</f>
        <v>0</v>
      </c>
      <c r="AO207" s="729">
        <f>0</f>
        <v>0</v>
      </c>
      <c r="AP207" s="729">
        <f>(1-f_E)*i_P_BIO</f>
        <v>1.84E-2</v>
      </c>
      <c r="AQ207" s="729">
        <f>0</f>
        <v>0</v>
      </c>
      <c r="AR207" s="729">
        <f>0</f>
        <v>0</v>
      </c>
      <c r="AS207" s="729">
        <f>0</f>
        <v>0</v>
      </c>
      <c r="AT207" s="729">
        <f>0</f>
        <v>0</v>
      </c>
      <c r="AU207" s="729">
        <f>(1-f_E)*(i_CIT_BIO-i_CIT_SB)</f>
        <v>6.0720000000000003E-2</v>
      </c>
      <c r="AV207" s="729">
        <f>-i_INORG</f>
        <v>-0.11</v>
      </c>
      <c r="AW207" s="729">
        <f>i_INORG*(1-i_Ca_INORG*(A_MCa+2*A_MCl)/A_MCa-i_Mg_INORG*(A_MMg+2*A_MCl)/A_MMg)*f_Na</f>
        <v>2.8804303582798466E-2</v>
      </c>
      <c r="AX207" s="729">
        <f>i_INORG*(i_Ca_INORG*(2*A_MCl)/A_MCa+i_Mg_INORG*(2*A_MCl)/A_MMg)+i_INORG*(1-i_Ca_INORG*(A_MCa+2*A_MCl)/A_MCa-i_Mg_INORG*(A_MMg+2*A_MCl)/A_MMg)*(1-f_Na)</f>
        <v>7.0195696417201539E-2</v>
      </c>
      <c r="AY207" s="729">
        <f>i_INORG*i_Ca_INORG</f>
        <v>5.5000000000000005E-3</v>
      </c>
      <c r="AZ207" s="729">
        <f>i_INORG*i_Mg_INORG</f>
        <v>5.5000000000000005E-3</v>
      </c>
      <c r="BA207" s="729">
        <f>0</f>
        <v>0</v>
      </c>
      <c r="BB207" s="729">
        <f>0</f>
        <v>0</v>
      </c>
      <c r="BC207" s="729">
        <f>(1-f_E)*i_S_BIO-(1-f_E)*i_S_XB</f>
        <v>7.8200000000000006E-3</v>
      </c>
      <c r="BD207" s="729">
        <f>0</f>
        <v>0</v>
      </c>
      <c r="BE207" s="729">
        <f>0</f>
        <v>0</v>
      </c>
      <c r="BF207" s="729">
        <f>0</f>
        <v>0</v>
      </c>
      <c r="BG207" s="729">
        <f>0</f>
        <v>0</v>
      </c>
      <c r="BH207" s="729">
        <f>0</f>
        <v>0</v>
      </c>
      <c r="BI207" s="729">
        <f>0</f>
        <v>0</v>
      </c>
      <c r="BJ207" s="729">
        <f>0</f>
        <v>0</v>
      </c>
      <c r="BK207" s="729">
        <f>0</f>
        <v>0</v>
      </c>
      <c r="BL207" s="729">
        <f>0</f>
        <v>0</v>
      </c>
      <c r="BM207" s="729">
        <f>0</f>
        <v>0</v>
      </c>
      <c r="BN207" s="729">
        <f>0</f>
        <v>0</v>
      </c>
      <c r="BO207" s="729">
        <f>0</f>
        <v>0</v>
      </c>
      <c r="BP207" s="729">
        <f>0</f>
        <v>0</v>
      </c>
      <c r="BQ207" s="729">
        <f>0</f>
        <v>0</v>
      </c>
      <c r="BR207" s="729">
        <f>0</f>
        <v>0</v>
      </c>
      <c r="BS207" s="729">
        <f>0</f>
        <v>0</v>
      </c>
      <c r="BT207" s="729">
        <f>0</f>
        <v>0</v>
      </c>
      <c r="BU207" s="729">
        <f>0</f>
        <v>0</v>
      </c>
      <c r="BV207" s="894">
        <f>0</f>
        <v>0</v>
      </c>
      <c r="BW207" s="729">
        <f>0</f>
        <v>0</v>
      </c>
      <c r="BX207" s="729">
        <f>0</f>
        <v>0</v>
      </c>
      <c r="BY207" s="729">
        <f>0</f>
        <v>0</v>
      </c>
      <c r="BZ207" s="729">
        <f>0</f>
        <v>0</v>
      </c>
      <c r="CA207" s="894">
        <f>0</f>
        <v>0</v>
      </c>
      <c r="CB207" s="729">
        <f>0</f>
        <v>0</v>
      </c>
      <c r="CC207" s="729">
        <f>0</f>
        <v>0</v>
      </c>
      <c r="CD207" s="729">
        <f>0</f>
        <v>0</v>
      </c>
      <c r="CE207" s="729">
        <f>0</f>
        <v>0</v>
      </c>
      <c r="CF207" s="729">
        <f>0</f>
        <v>0</v>
      </c>
      <c r="CG207" s="729">
        <f>0</f>
        <v>0</v>
      </c>
      <c r="CH207" s="729">
        <f>0</f>
        <v>0</v>
      </c>
      <c r="CI207" s="729">
        <f>0</f>
        <v>0</v>
      </c>
      <c r="CJ207" s="729">
        <f>0</f>
        <v>0</v>
      </c>
      <c r="CK207" s="729">
        <f>0</f>
        <v>0</v>
      </c>
      <c r="CL207" s="729">
        <f>0</f>
        <v>0</v>
      </c>
      <c r="CM207" s="729">
        <f>0</f>
        <v>0</v>
      </c>
      <c r="CN207" s="729">
        <f>0</f>
        <v>0</v>
      </c>
      <c r="CO207" s="729">
        <f>0</f>
        <v>0</v>
      </c>
      <c r="CP207" s="729">
        <f>0</f>
        <v>0</v>
      </c>
      <c r="CQ207" s="729">
        <f>0</f>
        <v>0</v>
      </c>
      <c r="CR207" s="729">
        <f>0</f>
        <v>0</v>
      </c>
      <c r="CS207" s="729">
        <f>0</f>
        <v>0</v>
      </c>
      <c r="CT207" s="729">
        <f>0</f>
        <v>0</v>
      </c>
      <c r="CU207" s="729">
        <f>0</f>
        <v>0</v>
      </c>
      <c r="CV207" s="2852">
        <f>b_NOB_T*X_NOB*(M_satSO2_KO2_NOB+η_b_anox*M_satSNOx_KNOx_NOB*M_inhSO2_KO2_NOB)</f>
        <v>2.8323586744639373</v>
      </c>
      <c r="CX207" s="2880">
        <f>E299*E207+F299*F207+G299*G207+H299*H207+I299*I207+J299*J207+K299*K207+L299*L207+M299*M207+N299*N207+O299*O207+P299*P207+Q299*Q207+R299*R207+S299*S207+T299*T207+U299*U207+V299*V207+W299*W207+X299*X207+Y299*Y207+Z299*Z207+AA299*AA207+AB299*AB207+AC299*AC207+AD299*AD207+AE299*AE207+AF299*AF207+AG299*AG207+AH299*AH207+AI299*AI207+AJ299*AJ207+AK299*AK207+AL299*AL207+AM299*AM207+AN299*AN207+AO299*AO207+AP299*AP207+AQ299*AQ207+AR299*AR207+AS299*AS207+AT299*AT207+AU299*AU207+AV299*AV207+AW299*AW207+AX299*AX207+AY299*AY207+AZ299*AZ207+BA299*BA207+BB299*BB207+BC299*BC207+BD299*BD207+BE299*BE207+BF299*BF207+BG299*BG207+BH299*BH207+BI299*BI207+BJ299*BJ207+BK299*BK207+BL299*BL207+BM299*BM207+BN299*BN207+BO299*BO207+BP299*BP207+BQ299*BQ207+BR299*BR207+BS299*BS207+BT299*BT207+BU299*BU207+BV299*BV207+BW299*BW207+BX299*BX207+BY299*BY207+BZ299*BZ207+CA299*CA207+CB299*CB207+CC299*CC207+CD299*CD207+CE299*CE207+CF299*CF207+CG299*CG207+CH299*CH207+CI299*CI207+CJ299*CJ207+CK299*CK207+CL299*CL207+CM299*CM207+CN299*CN207+CO299*CO207+CP299*CP207+CQ299*CQ207+CR299*CR207+CS299*CS207+CT299*CT207+CU299*CU207</f>
        <v>0</v>
      </c>
      <c r="CY207" s="2880">
        <f>E300*E207+F300*F207+G300*G207+H300*H207+I300*I207+J300*J207+K300*K207+L300*L207+M300*M207+N300*N207+O300*O207+P300*P207+Q300*Q207+R300*R207+S300*S207+T300*T207+U300*U207+V300*V207+W300*W207+X300*X207+Y300*Y207+Z300*Z207+AA300*AA207+AB300*AB207+AC300*AC207+AD300*AD207+AE300*AE207+AF300*AF207+AG300*AG207+AH300*AH207+AI300*AI207+AJ300*AJ207+AK300*AK207+AL300*AL207+AM300*AM207+AN300*AN207+AO300*AO207+AP300*AP207+AQ300*AQ207+AR300*AR207+AS300*AS207+AT300*AT207+AU300*AU207+AV300*AV207+AW300*AW207+AX300*AX207+AY300*AY207+AZ300*AZ207+BA300*BA207+BB300*BB207+BC300*BC207+BD300*BD207+BE300*BE207+BF300*BF207+BG300*BG207+BH300*BH207+BI300*BI207+BJ300*BJ207+BK300*BK207+BL300*BL207+BM300*BM207+BN300*BN207+BO300*BO207+BP300*BP207+BQ300*BQ207+BR300*BR207+BS300*BS207+BT300*BT207+BU300*BU207+BV300*BV207+BW300*BW207+BX300*BX207+BY300*BY207+BZ300*BZ207+CA300*CA207+CB300*CB207+CC300*CC207+CD300*CD207+CE300*CE207+CF300*CF207+CG300*CG207+CH300*CH207+CI300*CI207+CJ300*CJ207+CK300*CK207+CL300*CL207+CM300*CM207+CN300*CN207+CO300*CO207+CP300*CP207+CQ300*CQ207+CR300*CR207+CS300*CS207+CT300*CT207+CU300*CU207</f>
        <v>6.9388939039072284E-18</v>
      </c>
      <c r="CZ207" s="2881">
        <f>E301*E207+F301*F207+G301*G207+H301*H207+I301*I207+J301*J207+K301*K207+L301*L207+M301*M207+N301*N207+O301*O207+P301*P207+Q301*Q207+R301*R207+S301*S207+T301*T207+U301*U207+V301*V207+W301*W207+X301*X207+Y301*Y207+Z301*Z207+AA301*AA207+AB301*AB207+AC301*AC207+AD301*AD207+AE301*AE207+AF301*AF207+AG301*AG207+AH301*AH207+AI301*AI207+AJ301*AJ207+AK301*AK207+AL301*AL207+AM301*AM207+AN301*AN207+AO301*AO207+AP301*AP207+AQ301*AQ207+AR301*AR207+AS301*AS207+AT301*AT207+AU301*AU207+AV301*AV207+AW301*AW207+AX301*AX207+AY301*AY207+AZ301*AZ207+BA301*BA207+BB301*BB207+BC301*BC207+BD301*BD207+BE301*BE207+BF301*BF207+BG301*BG207+BH301*BH207+BI301*BI207+BJ301*BJ207+BK301*BK207+BL301*BL207+BM301*BM207+BN301*BN207+BO301*BO207+BP301*BP207+BQ301*BQ207+BR301*BR207+BS301*BS207+BT301*BT207+BU301*BU207+BV301*BV207+BW301*BW207+BX301*BX207+BY301*BY207+BZ301*BZ207+CA301*CA207+CB301*CB207+CC301*CC207+CD301*CD207+CE301*CE207+CF301*CF207+CG301*CG207+CH301*CH207+CI301*CI207+CJ301*CJ207+CK301*CK207+CL301*CL207+CM301*CM207+CN301*CN207+CO301*CO207+CP301*CP207+CQ301*CQ207+CR301*CR207+CS301*CS207+CT301*CT207+CU301*CU207</f>
        <v>0</v>
      </c>
      <c r="DA207" s="2882">
        <f>E302*E207+F302*F207+G302*G207+H302*H207+I302*I207+J302*J207+K302*K207+L302*L207+M302*M207+N302*N207+O302*O207+P302*P207+Q302*Q207+R302*R207+S302*S207+T302*T207+U302*U207+V302*V207+W302*W207+X302*X207+Y302*Y207+Z302*Z207+AA302*AA207+AB302*AB207+AC302*AC207+AD302*AD207+AE302*AE207+AF302*AF207+AG302*AG207+AH302*AH207+AI302*AI207+AJ302*AJ207+AK302*AK207+AL302*AL207+AM302*AM207+AN302*AN207+AO302*AO207+AP302*AP207+AQ302*AQ207+AR302*AR207+AS302*AS207+AT302*AT207+AU302*AU207+AV302*AV207+AW302*AW207+AX302*AX207+AY302*AY207+AZ302*AZ207+BA302*BA207+BB302*BB207+BC302*BC207+BD302*BD207+BE302*BE207+BF302*BF207+BG302*BG207+BH302*BH207+BI302*BI207+BJ302*BJ207+BK302*BK207+BL302*BL207+BM302*BM207+BN302*BN207+BO302*BO207+BP302*BP207+BQ302*BQ207+BR302*BR207+BS302*BS207+BT302*BT207+BU302*BU207+BV302*BV207+BW302*BW207+BX302*BX207+BY302*BY207+BZ302*BZ207+CA302*CA207+CB302*CB207+CC302*CC207+CD302*CD207+CE302*CE207+CF302*CF207+CG302*CG207+CH302*CH207+CI302*CI207+CJ302*CJ207+CK302*CK207+CL302*CL207+CM302*CM207+CN302*CN207+CO302*CO207+CP302*CP207+CQ302*CQ207+CR302*CR207+CS302*CS207+CT302*CT207+CU302*CU207</f>
        <v>0</v>
      </c>
      <c r="DB207" s="2882">
        <f>E303*E207+F303*F207+G303*G207+H303*H207+I303*I207+J303*J207+K303*K207+L303*L207+M303*M207+N303*N207+O303*O207+P303*P207+Q303*Q207+R303*R207+S303*S207+T303*T207+U303*U207+V303*V207+W303*W207+X303*X207+Y303*Y207+Z303*Z207+AA303*AA207+AB303*AB207+AC303*AC207+AD303*AD207+AE303*AE207+AF303*AF207+AG303*AG207+AH303*AH207+AI303*AI207+AJ303*AJ207+AK303*AK207+AL303*AL207+AM303*AM207+AN303*AN207+AO303*AO207+AP303*AP207+AQ303*AQ207+AR303*AR207+AS303*AS207+AT303*AT207+AU303*AU207+AV303*AV207+AW303*AW207+AX303*AX207+AY303*AY207+AZ303*AZ207+BA303*BA207+BB303*BB207+BC303*BC207+BD303*BD207+BE303*BE207+BF303*BF207+BG303*BG207+BH303*BH207+BI303*BI207+BJ303*BJ207+BK303*BK207+BL303*BL207+BM303*BM207+BN303*BN207+BO303*BO207+BP303*BP207+BQ303*BQ207+BR303*BR207+BS303*BS207+BT303*BT207+BU303*BU207+BV303*BV207+BW303*BW207+BX303*BX207+BY303*BY207+BZ303*BZ207+CA303*CA207+CB303*CB207+CC303*CC207+CD303*CD207+CE303*CE207+CF303*CF207+CG303*CG207+CH303*CH207+CI303*CI207+CJ303*CJ207+CK303*CK207+CL303*CL207+CM303*CM207+CN303*CN207+CO303*CO207+CP303*CP207+CQ303*CQ207+CR303*CR207+CS303*CS207+CT303*CT207+CU303*CU207</f>
        <v>0</v>
      </c>
      <c r="DC207" s="2882">
        <f>E304*E207+F304*F207+G304*G207+H304*H207+I304*I207+J304*J207+K304*K207+L304*L207+M304*M207+N304*N207+O304*O207+P304*P207+Q304*Q207+R304*R207+S304*S207+T304*T207+U304*U207+V304*V207+W304*W207+X304*X207+Y304*Y207+Z304*Z207+AA304*AA207+AB304*AB207+AC304*AC207+AD304*AD207+AE304*AE207+AF304*AF207+AG304*AG207+AH304*AH207+AI304*AI207+AJ304*AJ207+AK304*AK207+AL304*AL207+AM304*AM207+AN304*AN207+AO304*AO207+AP304*AP207+AQ304*AQ207+AR304*AR207+AS304*AS207+AT304*AT207+AU304*AU207+AV304*AV207+AW304*AW207+AX304*AX207+AY304*AY207+AZ304*AZ207+BA304*BA207+BB304*BB207+BC304*BC207+BD304*BD207+BE304*BE207+BF304*BF207+BG304*BG207+BH304*BH207+BI304*BI207+BJ304*BJ207+BK304*BK207+BL304*BL207+BM304*BM207+BN304*BN207+BO304*BO207+BP304*BP207+BQ304*BQ207+BR304*BR207+BS304*BS207+BT304*BT207+BU304*BU207+BV304*BV207+BW304*BW207+BX304*BX207+BY304*BY207+BZ304*BZ207+CA304*CA207+CB304*CB207+CC304*CC207+CD304*CD207+CE304*CE207+CF304*CF207+CG304*CG207+CH304*CH207+CI304*CI207+CJ304*CJ207+CK304*CK207+CL304*CL207+CM304*CM207+CN304*CN207+CO304*CO207+CP304*CP207+CQ304*CQ207+CR304*CR207+CS304*CS207+CT304*CT207+CU304*CU207</f>
        <v>0</v>
      </c>
      <c r="DD207" s="2882">
        <f>E305*E207+F305*F207+G305*G207+H305*H207+I305*I207+J305*J207+K305*K207+L305*L207+M305*M207+N305*N207+O305*O207+P305*P207+Q305*Q207+R305*R207+S305*S207+T305*T207+U305*U207+V305*V207+W305*W207+X305*X207+Y305*Y207+Z305*Z207+AA305*AA207+AB305*AB207+AC305*AC207+AD305*AD207+AE305*AE207+AF305*AF207+AG305*AG207+AH305*AH207+AI305*AI207+AJ305*AJ207+AK305*AK207+AL305*AL207+AM305*AM207+AN305*AN207+AO305*AO207+AP305*AP207+AQ305*AQ207+AR305*AR207+AS305*AS207+AT305*AT207+AU305*AU207+AV305*AV207+AW305*AW207+AX305*AX207+AY305*AY207+AZ305*AZ207+BA305*BA207+BB305*BB207+BC305*BC207+BD305*BD207+BE305*BE207+BF305*BF207+BG305*BG207+BH305*BH207+BI305*BI207+BJ305*BJ207+BK305*BK207+BL305*BL207+BM305*BM207+BN305*BN207+BO305*BO207+BP305*BP207+BQ305*BQ207+BR305*BR207+BS305*BS207+BT305*BT207+BU305*BU207+BV305*BV207+BW305*BW207+BX305*BX207+BY305*BY207+BZ305*BZ207+CA305*CA207+CB305*CB207+CC305*CC207+CD305*CD207+CE305*CE207+CF305*CF207+CG305*CG207+CH305*CH207+CI305*CI207+CJ305*CJ207+CK305*CK207+CL305*CL207+CM305*CM207+CN305*CN207+CO305*CO207+CP305*CP207+CQ305*CQ207+CR305*CR207+CS305*CS207+CT305*CT207+CU305*CU207</f>
        <v>0</v>
      </c>
      <c r="DE207" s="2882">
        <f>E306*E207+F306*F207+G306*G207+H306*H207+I306*I207+J306*J207+K306*K207+L306*L207+M306*M207+N306*N207+O306*O207+P306*P207+Q306*Q207+R306*R207+S306*S207+T306*T207+U306*U207+V306*V207+W306*W207+X306*X207+Y306*Y207+Z306*Z207+AA306*AA207+AB306*AB207+AC306*AC207+AD306*AD207+AE306*AE207+AF306*AF207+AG306*AG207+AH306*AH207+AI306*AI207+AJ306*AJ207+AK306*AK207+AL306*AL207+AM306*AM207+AN306*AN207+AO306*AO207+AP306*AP207+AQ306*AQ207+AR306*AR207+AS306*AS207+AT306*AT207+AU306*AU207+AV306*AV207+AW306*AW207+AX306*AX207+AY306*AY207+AZ306*AZ207+BA306*BA207+BB306*BB207+BC306*BC207+BD306*BD207+BE306*BE207+BF306*BF207+BG306*BG207+BH306*BH207+BI306*BI207+BJ306*BJ207+BK306*BK207+BL306*BL207+BM306*BM207+BN306*BN207+BO306*BO207+BP306*BP207+BQ306*BQ207+BR306*BR207+BS306*BS207+BT306*BT207+BU306*BU207+BV306*BV207+BW306*BW207+BX306*BX207+BY306*BY207+BZ306*BZ207+CA306*CA207+CB306*CB207+CC306*CC207+CD306*CD207+CE306*CE207+CF306*CF207+CG306*CG207+CH306*CH207+CI306*CI207+CJ306*CJ207+CK306*CK207+CL306*CL207+CM306*CM207+CN306*CN207+CO306*CO207+CP306*CP207+CQ306*CQ207+CR306*CR207+CS306*CS207+CT306*CT207+CU306*CU207</f>
        <v>0</v>
      </c>
      <c r="DF207" s="2882">
        <f>E307*E207+F307*F207+G307*G207+H307*H207+I307*I207+J307*J207+K307*K207+L307*L207+M307*M207+N307*N207+O307*O207+P307*P207+Q307*Q207+R307*R207+S307*S207+T307*T207+U307*U207+V307*V207+W307*W207+X307*X207+Y307*Y207+Z307*Z207+AA307*AA207+AB307*AB207+AC307*AC207+AD307*AD207+AE307*AE207+AF307*AF207+AG307*AG207+AH307*AH207+AI307*AI207+AJ307*AJ207+AK307*AK207+AL307*AL207+AM307*AM207+AN307*AN207+AO307*AO207+AP307*AP207+AQ307*AQ207+AR307*AR207+AS307*AS207+AT307*AT207+AU307*AU207+AV307*AV207+AW307*AW207+AX307*AX207+AY307*AY207+AZ307*AZ207+BA307*BA207+BB307*BB207+BC307*BC207+BD307*BD207+BE307*BE207+BF307*BF207+BG307*BG207+BH307*BH207+BI307*BI207+BJ307*BJ207+BK307*BK207+BL307*BL207+BM307*BM207+BN307*BN207+BO307*BO207+BP307*BP207+BQ307*BQ207+BR307*BR207+BS307*BS207+BT307*BT207+BU307*BU207+BV307*BV207+BW307*BW207+BX307*BX207+BY307*BY207+BZ307*BZ207+CA307*CA207+CB307*CB207+CC307*CC207+CD307*CD207+CE307*CE207+CF307*CF207+CG307*CG207+CH307*CH207+CI307*CI207+CJ307*CJ207+CK307*CK207+CL307*CL207+CM307*CM207+CN307*CN207+CO307*CO207+CP307*CP207+CQ307*CQ207+CR307*CR207+CS307*CS207+CT307*CT207+CU307*CU207</f>
        <v>0</v>
      </c>
      <c r="DG207" s="2882">
        <f>E308*E207+F308*F207+G308*G207+H308*H207+I308*I207+J308*J207+K308*K207+L308*L207+M308*M207+N308*N207+O308*O207+P308*P207+Q308*Q207+R308*R207+S308*S207+T308*T207+U308*U207+V308*V207+W308*W207+X308*X207+Y308*Y207+Z308*Z207+AA308*AA207+AB308*AB207+AC308*AC207+AD308*AD207+AE308*AE207+AF308*AF207+AG308*AG207+AH308*AH207+AI308*AI207+AJ308*AJ207+AK308*AK207+AL308*AL207+AM308*AM207+AN308*AN207+AO308*AO207+AP308*AP207+AQ308*AQ207+AR308*AR207+AS308*AS207+AT308*AT207+AU308*AU207+AV308*AV207+AW308*AW207+AX308*AX207+AY308*AY207+AZ308*AZ207+BA308*BA207+BB308*BB207+BC308*BC207+BD308*BD207+BE308*BE207+BF308*BF207+BG308*BG207+BH308*BH207+BI308*BI207+BJ308*BJ207+BK308*BK207+BL308*BL207+BM308*BM207+BN308*BN207+BO308*BO207+BP308*BP207+BQ308*BQ207+BR308*BR207+BS308*BS207+BT308*BT207+BU308*BU207+BV308*BV207+BW308*BW207+BX308*BX207+BY308*BY207+BZ308*BZ207+CA308*CA207+CB308*CB207+CC308*CC207+CD308*CD207+CE308*CE207+CF308*CF207+CG308*CG207+CH308*CH207+CI308*CI207+CJ308*CJ207+CK308*CK207+CL308*CL207+CM308*CM207+CN308*CN207+CO308*CO207+CP308*CP207+CQ308*CQ207+CR308*CR207+CS308*CS207+CT308*CT207+CU308*CU207</f>
        <v>0</v>
      </c>
      <c r="DH207" s="2882">
        <f>E309*E207+F309*F207+G309*G207+H309*H207+I309*I207+J309*J207+K309*K207+L309*L207+M309*M207+N309*N207+O309*O207+P309*P207+Q309*Q207+R309*R207+S309*S207+T309*T207+U309*U207+V309*V207+W309*W207+X309*X207+Y309*Y207+Z309*Z207+AA309*AA207+AB309*AB207+AC309*AC207+AD309*AD207+AE309*AE207+AF309*AF207+AG309*AG207+AH309*AH207+AI309*AI207+AJ309*AJ207+AK309*AK207+AL309*AL207+AM309*AM207+AN309*AN207+AO309*AO207+AP309*AP207+AQ309*AQ207+AR309*AR207+AS309*AS207+AT309*AT207+AU309*AU207+AV309*AV207+AW309*AW207+AX309*AX207+AY309*AY207+AZ309*AZ207+BA309*BA207+BB309*BB207+BC309*BC207+BD309*BD207+BE309*BE207+BF309*BF207+BG309*BG207+BH309*BH207+BI309*BI207+BJ309*BJ207+BK309*BK207+BL309*BL207+BM309*BM207+BN309*BN207+BO309*BO207+BP309*BP207+BQ309*BQ207+BR309*BR207+BS309*BS207+BT309*BT207+BU309*BU207+BV309*BV207+BW309*BW207+BX309*BX207+BY309*BY207+BZ309*BZ207+CA309*CA207+CB309*CB207+CC309*CC207+CD309*CD207+CE309*CE207+CF309*CF207+CG309*CG207+CH309*CH207+CI309*CI207+CJ309*CJ207+CK309*CK207+CL309*CL207+CM309*CM207+CN309*CN207+CO309*CO207+CP309*CP207+CQ309*CQ207+CR309*CR207+CS309*CS207+CT309*CT207+CU309*CU207</f>
        <v>0</v>
      </c>
      <c r="DI207" s="2882">
        <f>E310*E207+F310*F207+G310*G207+H310*H207+I310*I207+J310*J207+K310*K207+L310*L207+M310*M207+N310*N207+O310*O207+P310*P207+Q310*Q207+R310*R207+S310*S207+T310*T207+U310*U207+V310*V207+W310*W207+X310*X207+Y310*Y207+Z310*Z207+AA310*AA207+AB310*AB207+AC310*AC207+AD310*AD207+AE310*AE207+AF310*AF207+AG310*AG207+AH310*AH207+AI310*AI207+AJ310*AJ207+AK310*AK207+AL310*AL207+AM310*AM207+AN310*AN207+AO310*AO207+AP310*AP207+AQ310*AQ207+AR310*AR207+AS310*AS207+AT310*AT207+AU310*AU207+AV310*AV207+AW310*AW207+AX310*AX207+AY310*AY207+AZ310*AZ207+BA310*BA207+BB310*BB207+BC310*BC207+BD310*BD207+BE310*BE207+BF310*BF207+BG310*BG207+BH310*BH207+BI310*BI207+BJ310*BJ207+BK310*BK207+BL310*BL207+BM310*BM207+BN310*BN207+BO310*BO207+BP310*BP207+BQ310*BQ207+BR310*BR207+BS310*BS207+BT310*BT207+BU310*BU207+BV310*BV207+BW310*BW207+BX310*BX207+BY310*BY207+BZ310*BZ207+CA310*CA207+CB310*CB207+CC310*CC207+CD310*CD207+CE310*CE207+CF310*CF207+CG310*CG207+CH310*CH207+CI310*CI207+CJ310*CJ207+CK310*CK207+CL310*CL207+CM310*CM207+CN310*CN207+CO310*CO207+CP310*CP207+CQ310*CQ207+CR310*CR207+CS310*CS207+CT310*CT207+CU310*CU207</f>
        <v>0</v>
      </c>
    </row>
    <row r="208" spans="2:113" x14ac:dyDescent="0.45">
      <c r="B208" s="771">
        <v>49</v>
      </c>
      <c r="C208" s="771" t="s">
        <v>467</v>
      </c>
      <c r="D208" s="772" t="s">
        <v>3077</v>
      </c>
      <c r="E208" s="729">
        <f>0</f>
        <v>0</v>
      </c>
      <c r="F208" s="729">
        <f>0</f>
        <v>0</v>
      </c>
      <c r="G208" s="729">
        <f>0</f>
        <v>0</v>
      </c>
      <c r="H208" s="729">
        <f>0</f>
        <v>0</v>
      </c>
      <c r="I208" s="729">
        <f>1-f_E</f>
        <v>0.92</v>
      </c>
      <c r="J208" s="729">
        <f>0</f>
        <v>0</v>
      </c>
      <c r="K208" s="729">
        <f>0</f>
        <v>0</v>
      </c>
      <c r="L208" s="729">
        <f>0</f>
        <v>0</v>
      </c>
      <c r="M208" s="729">
        <f>0</f>
        <v>0</v>
      </c>
      <c r="N208" s="729">
        <f>0</f>
        <v>0</v>
      </c>
      <c r="O208" s="729">
        <f>0</f>
        <v>0</v>
      </c>
      <c r="P208" s="729">
        <f>f_E</f>
        <v>0.08</v>
      </c>
      <c r="Q208" s="729">
        <f>0</f>
        <v>0</v>
      </c>
      <c r="R208" s="729">
        <f>0</f>
        <v>0</v>
      </c>
      <c r="S208" s="729">
        <f>0</f>
        <v>0</v>
      </c>
      <c r="T208" s="729">
        <f>0</f>
        <v>0</v>
      </c>
      <c r="U208" s="729">
        <f>-1</f>
        <v>-1</v>
      </c>
      <c r="V208" s="729">
        <f>0</f>
        <v>0</v>
      </c>
      <c r="W208" s="729">
        <f>0</f>
        <v>0</v>
      </c>
      <c r="X208" s="729">
        <f>0</f>
        <v>0</v>
      </c>
      <c r="Y208" s="729">
        <f>0</f>
        <v>0</v>
      </c>
      <c r="Z208" s="729">
        <f>0</f>
        <v>0</v>
      </c>
      <c r="AA208" s="729">
        <f>0</f>
        <v>0</v>
      </c>
      <c r="AB208" s="729">
        <f>-f_E*(i_N_XE-i_N_BIO)</f>
        <v>8.0000000000000069E-4</v>
      </c>
      <c r="AC208" s="729">
        <f>0</f>
        <v>0</v>
      </c>
      <c r="AD208" s="729">
        <f>0</f>
        <v>0</v>
      </c>
      <c r="AE208" s="729">
        <f>0</f>
        <v>0</v>
      </c>
      <c r="AF208" s="729">
        <f>0</f>
        <v>0</v>
      </c>
      <c r="AG208" s="729">
        <f>0</f>
        <v>0</v>
      </c>
      <c r="AH208" s="729">
        <f>0</f>
        <v>0</v>
      </c>
      <c r="AI208" s="729">
        <f>0</f>
        <v>0</v>
      </c>
      <c r="AJ208" s="729">
        <f>0</f>
        <v>0</v>
      </c>
      <c r="AK208" s="729">
        <f>(1-f_E)*i_N_BIO</f>
        <v>6.4400000000000013E-2</v>
      </c>
      <c r="AL208" s="729">
        <f>0</f>
        <v>0</v>
      </c>
      <c r="AM208" s="729">
        <f>0</f>
        <v>0</v>
      </c>
      <c r="AN208" s="729">
        <f>0</f>
        <v>0</v>
      </c>
      <c r="AO208" s="729">
        <f>0</f>
        <v>0</v>
      </c>
      <c r="AP208" s="729">
        <f>(1-f_E)*i_P_BIO</f>
        <v>1.84E-2</v>
      </c>
      <c r="AQ208" s="729">
        <f>0</f>
        <v>0</v>
      </c>
      <c r="AR208" s="729">
        <f>0</f>
        <v>0</v>
      </c>
      <c r="AS208" s="729">
        <f>0</f>
        <v>0</v>
      </c>
      <c r="AT208" s="729">
        <f>0</f>
        <v>0</v>
      </c>
      <c r="AU208" s="729">
        <f>(1-f_E)*(i_CIT_BIO-i_CIT_SB)</f>
        <v>6.0720000000000003E-2</v>
      </c>
      <c r="AV208" s="729">
        <f>-i_INORG</f>
        <v>-0.11</v>
      </c>
      <c r="AW208" s="729">
        <f>i_INORG*(1-i_Ca_INORG*(A_MCa+2*A_MCl)/A_MCa-i_Mg_INORG*(A_MMg+2*A_MCl)/A_MMg)*f_Na</f>
        <v>2.8804303582798466E-2</v>
      </c>
      <c r="AX208" s="729">
        <f>i_INORG*(i_Ca_INORG*(2*A_MCl)/A_MCa+i_Mg_INORG*(2*A_MCl)/A_MMg)+i_INORG*(1-i_Ca_INORG*(A_MCa+2*A_MCl)/A_MCa-i_Mg_INORG*(A_MMg+2*A_MCl)/A_MMg)*(1-f_Na)</f>
        <v>7.0195696417201539E-2</v>
      </c>
      <c r="AY208" s="729">
        <f>i_INORG*i_Ca_INORG</f>
        <v>5.5000000000000005E-3</v>
      </c>
      <c r="AZ208" s="729">
        <f>i_INORG*i_Mg_INORG</f>
        <v>5.5000000000000005E-3</v>
      </c>
      <c r="BA208" s="729">
        <f>0</f>
        <v>0</v>
      </c>
      <c r="BB208" s="729">
        <f>0</f>
        <v>0</v>
      </c>
      <c r="BC208" s="729">
        <f>(1-f_E)*i_S_BIO-(1-f_E)*i_S_XB</f>
        <v>7.8200000000000006E-3</v>
      </c>
      <c r="BD208" s="729">
        <f>0</f>
        <v>0</v>
      </c>
      <c r="BE208" s="729">
        <f>0</f>
        <v>0</v>
      </c>
      <c r="BF208" s="729">
        <f>0</f>
        <v>0</v>
      </c>
      <c r="BG208" s="729">
        <f>0</f>
        <v>0</v>
      </c>
      <c r="BH208" s="729">
        <f>0</f>
        <v>0</v>
      </c>
      <c r="BI208" s="729">
        <f>0</f>
        <v>0</v>
      </c>
      <c r="BJ208" s="729">
        <f>0</f>
        <v>0</v>
      </c>
      <c r="BK208" s="729">
        <f>0</f>
        <v>0</v>
      </c>
      <c r="BL208" s="729">
        <f>0</f>
        <v>0</v>
      </c>
      <c r="BM208" s="729">
        <f>0</f>
        <v>0</v>
      </c>
      <c r="BN208" s="729">
        <f>0</f>
        <v>0</v>
      </c>
      <c r="BO208" s="729">
        <f>0</f>
        <v>0</v>
      </c>
      <c r="BP208" s="729">
        <f>0</f>
        <v>0</v>
      </c>
      <c r="BQ208" s="729">
        <f>0</f>
        <v>0</v>
      </c>
      <c r="BR208" s="729">
        <f>0</f>
        <v>0</v>
      </c>
      <c r="BS208" s="729">
        <f>0</f>
        <v>0</v>
      </c>
      <c r="BT208" s="729">
        <f>0</f>
        <v>0</v>
      </c>
      <c r="BU208" s="729">
        <f>0</f>
        <v>0</v>
      </c>
      <c r="BV208" s="894">
        <f>0</f>
        <v>0</v>
      </c>
      <c r="BW208" s="729">
        <f>0</f>
        <v>0</v>
      </c>
      <c r="BX208" s="729">
        <f>0</f>
        <v>0</v>
      </c>
      <c r="BY208" s="729">
        <f>0</f>
        <v>0</v>
      </c>
      <c r="BZ208" s="729">
        <f>0</f>
        <v>0</v>
      </c>
      <c r="CA208" s="894">
        <f>0</f>
        <v>0</v>
      </c>
      <c r="CB208" s="729">
        <f>0</f>
        <v>0</v>
      </c>
      <c r="CC208" s="729">
        <f>0</f>
        <v>0</v>
      </c>
      <c r="CD208" s="729">
        <f>0</f>
        <v>0</v>
      </c>
      <c r="CE208" s="729">
        <f>0</f>
        <v>0</v>
      </c>
      <c r="CF208" s="729">
        <f>0</f>
        <v>0</v>
      </c>
      <c r="CG208" s="729">
        <f>0</f>
        <v>0</v>
      </c>
      <c r="CH208" s="729">
        <f>0</f>
        <v>0</v>
      </c>
      <c r="CI208" s="729">
        <f>0</f>
        <v>0</v>
      </c>
      <c r="CJ208" s="729">
        <f>0</f>
        <v>0</v>
      </c>
      <c r="CK208" s="729">
        <f>0</f>
        <v>0</v>
      </c>
      <c r="CL208" s="729">
        <f>0</f>
        <v>0</v>
      </c>
      <c r="CM208" s="729">
        <f>0</f>
        <v>0</v>
      </c>
      <c r="CN208" s="729">
        <f>0</f>
        <v>0</v>
      </c>
      <c r="CO208" s="729">
        <f>0</f>
        <v>0</v>
      </c>
      <c r="CP208" s="729">
        <f>0</f>
        <v>0</v>
      </c>
      <c r="CQ208" s="729">
        <f>0</f>
        <v>0</v>
      </c>
      <c r="CR208" s="729">
        <f>0</f>
        <v>0</v>
      </c>
      <c r="CS208" s="729">
        <f>0</f>
        <v>0</v>
      </c>
      <c r="CT208" s="729">
        <f>0</f>
        <v>0</v>
      </c>
      <c r="CU208" s="729">
        <f>0</f>
        <v>0</v>
      </c>
      <c r="CV208" s="2852">
        <f>b_NOB_T*X_NOB*(η_b_ana*M_inhSNOx_KNOx_NOB*M_inhSO2_KO2_NOB+m_tox_ana)</f>
        <v>4.8732943469785572E-4</v>
      </c>
      <c r="CX208" s="2880">
        <f>E299*E208+F299*F208+G299*G208+H299*H208+I299*I208+J299*J208+K299*K208+L299*L208+M299*M208+N299*N208+O299*O208+P299*P208+Q299*Q208+R299*R208+S299*S208+T299*T208+U299*U208+V299*V208+W299*W208+X299*X208+Y299*Y208+Z299*Z208+AA299*AA208+AB299*AB208+AC299*AC208+AD299*AD208+AE299*AE208+AF299*AF208+AG299*AG208+AH299*AH208+AI299*AI208+AJ299*AJ208+AK299*AK208+AL299*AL208+AM299*AM208+AN299*AN208+AO299*AO208+AP299*AP208+AQ299*AQ208+AR299*AR208+AS299*AS208+AT299*AT208+AU299*AU208+AV299*AV208+AW299*AW208+AX299*AX208+AY299*AY208+AZ299*AZ208+BA299*BA208+BB299*BB208+BC299*BC208+BD299*BD208+BE299*BE208+BF299*BF208+BG299*BG208+BH299*BH208+BI299*BI208+BJ299*BJ208+BK299*BK208+BL299*BL208+BM299*BM208+BN299*BN208+BO299*BO208+BP299*BP208+BQ299*BQ208+BR299*BR208+BS299*BS208+BT299*BT208+BU299*BU208+BV299*BV208+BW299*BW208+BX299*BX208+BY299*BY208+BZ299*BZ208+CA299*CA208+CB299*CB208+CC299*CC208+CD299*CD208+CE299*CE208+CF299*CF208+CG299*CG208+CH299*CH208+CI299*CI208+CJ299*CJ208+CK299*CK208+CL299*CL208+CM299*CM208+CN299*CN208+CO299*CO208+CP299*CP208+CQ299*CQ208+CR299*CR208+CS299*CS208+CT299*CT208+CU299*CU208</f>
        <v>0</v>
      </c>
      <c r="CY208" s="2880">
        <f>E300*E208+F300*F208+G300*G208+H300*H208+I300*I208+J300*J208+K300*K208+L300*L208+M300*M208+N300*N208+O300*O208+P300*P208+Q300*Q208+R300*R208+S300*S208+T300*T208+U300*U208+V300*V208+W300*W208+X300*X208+Y300*Y208+Z300*Z208+AA300*AA208+AB300*AB208+AC300*AC208+AD300*AD208+AE300*AE208+AF300*AF208+AG300*AG208+AH300*AH208+AI300*AI208+AJ300*AJ208+AK300*AK208+AL300*AL208+AM300*AM208+AN300*AN208+AO300*AO208+AP300*AP208+AQ300*AQ208+AR300*AR208+AS300*AS208+AT300*AT208+AU300*AU208+AV300*AV208+AW300*AW208+AX300*AX208+AY300*AY208+AZ300*AZ208+BA300*BA208+BB300*BB208+BC300*BC208+BD300*BD208+BE300*BE208+BF300*BF208+BG300*BG208+BH300*BH208+BI300*BI208+BJ300*BJ208+BK300*BK208+BL300*BL208+BM300*BM208+BN300*BN208+BO300*BO208+BP300*BP208+BQ300*BQ208+BR300*BR208+BS300*BS208+BT300*BT208+BU300*BU208+BV300*BV208+BW300*BW208+BX300*BX208+BY300*BY208+BZ300*BZ208+CA300*CA208+CB300*CB208+CC300*CC208+CD300*CD208+CE300*CE208+CF300*CF208+CG300*CG208+CH300*CH208+CI300*CI208+CJ300*CJ208+CK300*CK208+CL300*CL208+CM300*CM208+CN300*CN208+CO300*CO208+CP300*CP208+CQ300*CQ208+CR300*CR208+CS300*CS208+CT300*CT208+CU300*CU208</f>
        <v>6.9388939039072284E-18</v>
      </c>
      <c r="CZ208" s="2881">
        <f>E301*E208+F301*F208+G301*G208+H301*H208+I301*I208+J301*J208+K301*K208+L301*L208+M301*M208+N301*N208+O301*O208+P301*P208+Q301*Q208+R301*R208+S301*S208+T301*T208+U301*U208+V301*V208+W301*W208+X301*X208+Y301*Y208+Z301*Z208+AA301*AA208+AB301*AB208+AC301*AC208+AD301*AD208+AE301*AE208+AF301*AF208+AG301*AG208+AH301*AH208+AI301*AI208+AJ301*AJ208+AK301*AK208+AL301*AL208+AM301*AM208+AN301*AN208+AO301*AO208+AP301*AP208+AQ301*AQ208+AR301*AR208+AS301*AS208+AT301*AT208+AU301*AU208+AV301*AV208+AW301*AW208+AX301*AX208+AY301*AY208+AZ301*AZ208+BA301*BA208+BB301*BB208+BC301*BC208+BD301*BD208+BE301*BE208+BF301*BF208+BG301*BG208+BH301*BH208+BI301*BI208+BJ301*BJ208+BK301*BK208+BL301*BL208+BM301*BM208+BN301*BN208+BO301*BO208+BP301*BP208+BQ301*BQ208+BR301*BR208+BS301*BS208+BT301*BT208+BU301*BU208+BV301*BV208+BW301*BW208+BX301*BX208+BY301*BY208+BZ301*BZ208+CA301*CA208+CB301*CB208+CC301*CC208+CD301*CD208+CE301*CE208+CF301*CF208+CG301*CG208+CH301*CH208+CI301*CI208+CJ301*CJ208+CK301*CK208+CL301*CL208+CM301*CM208+CN301*CN208+CO301*CO208+CP301*CP208+CQ301*CQ208+CR301*CR208+CS301*CS208+CT301*CT208+CU301*CU208</f>
        <v>0</v>
      </c>
      <c r="DA208" s="2882">
        <f>E302*E208+F302*F208+G302*G208+H302*H208+I302*I208+J302*J208+K302*K208+L302*L208+M302*M208+N302*N208+O302*O208+P302*P208+Q302*Q208+R302*R208+S302*S208+T302*T208+U302*U208+V302*V208+W302*W208+X302*X208+Y302*Y208+Z302*Z208+AA302*AA208+AB302*AB208+AC302*AC208+AD302*AD208+AE302*AE208+AF302*AF208+AG302*AG208+AH302*AH208+AI302*AI208+AJ302*AJ208+AK302*AK208+AL302*AL208+AM302*AM208+AN302*AN208+AO302*AO208+AP302*AP208+AQ302*AQ208+AR302*AR208+AS302*AS208+AT302*AT208+AU302*AU208+AV302*AV208+AW302*AW208+AX302*AX208+AY302*AY208+AZ302*AZ208+BA302*BA208+BB302*BB208+BC302*BC208+BD302*BD208+BE302*BE208+BF302*BF208+BG302*BG208+BH302*BH208+BI302*BI208+BJ302*BJ208+BK302*BK208+BL302*BL208+BM302*BM208+BN302*BN208+BO302*BO208+BP302*BP208+BQ302*BQ208+BR302*BR208+BS302*BS208+BT302*BT208+BU302*BU208+BV302*BV208+BW302*BW208+BX302*BX208+BY302*BY208+BZ302*BZ208+CA302*CA208+CB302*CB208+CC302*CC208+CD302*CD208+CE302*CE208+CF302*CF208+CG302*CG208+CH302*CH208+CI302*CI208+CJ302*CJ208+CK302*CK208+CL302*CL208+CM302*CM208+CN302*CN208+CO302*CO208+CP302*CP208+CQ302*CQ208+CR302*CR208+CS302*CS208+CT302*CT208+CU302*CU208</f>
        <v>0</v>
      </c>
      <c r="DB208" s="2882">
        <f>E303*E208+F303*F208+G303*G208+H303*H208+I303*I208+J303*J208+K303*K208+L303*L208+M303*M208+N303*N208+O303*O208+P303*P208+Q303*Q208+R303*R208+S303*S208+T303*T208+U303*U208+V303*V208+W303*W208+X303*X208+Y303*Y208+Z303*Z208+AA303*AA208+AB303*AB208+AC303*AC208+AD303*AD208+AE303*AE208+AF303*AF208+AG303*AG208+AH303*AH208+AI303*AI208+AJ303*AJ208+AK303*AK208+AL303*AL208+AM303*AM208+AN303*AN208+AO303*AO208+AP303*AP208+AQ303*AQ208+AR303*AR208+AS303*AS208+AT303*AT208+AU303*AU208+AV303*AV208+AW303*AW208+AX303*AX208+AY303*AY208+AZ303*AZ208+BA303*BA208+BB303*BB208+BC303*BC208+BD303*BD208+BE303*BE208+BF303*BF208+BG303*BG208+BH303*BH208+BI303*BI208+BJ303*BJ208+BK303*BK208+BL303*BL208+BM303*BM208+BN303*BN208+BO303*BO208+BP303*BP208+BQ303*BQ208+BR303*BR208+BS303*BS208+BT303*BT208+BU303*BU208+BV303*BV208+BW303*BW208+BX303*BX208+BY303*BY208+BZ303*BZ208+CA303*CA208+CB303*CB208+CC303*CC208+CD303*CD208+CE303*CE208+CF303*CF208+CG303*CG208+CH303*CH208+CI303*CI208+CJ303*CJ208+CK303*CK208+CL303*CL208+CM303*CM208+CN303*CN208+CO303*CO208+CP303*CP208+CQ303*CQ208+CR303*CR208+CS303*CS208+CT303*CT208+CU303*CU208</f>
        <v>0</v>
      </c>
      <c r="DC208" s="2882">
        <f>E304*E208+F304*F208+G304*G208+H304*H208+I304*I208+J304*J208+K304*K208+L304*L208+M304*M208+N304*N208+O304*O208+P304*P208+Q304*Q208+R304*R208+S304*S208+T304*T208+U304*U208+V304*V208+W304*W208+X304*X208+Y304*Y208+Z304*Z208+AA304*AA208+AB304*AB208+AC304*AC208+AD304*AD208+AE304*AE208+AF304*AF208+AG304*AG208+AH304*AH208+AI304*AI208+AJ304*AJ208+AK304*AK208+AL304*AL208+AM304*AM208+AN304*AN208+AO304*AO208+AP304*AP208+AQ304*AQ208+AR304*AR208+AS304*AS208+AT304*AT208+AU304*AU208+AV304*AV208+AW304*AW208+AX304*AX208+AY304*AY208+AZ304*AZ208+BA304*BA208+BB304*BB208+BC304*BC208+BD304*BD208+BE304*BE208+BF304*BF208+BG304*BG208+BH304*BH208+BI304*BI208+BJ304*BJ208+BK304*BK208+BL304*BL208+BM304*BM208+BN304*BN208+BO304*BO208+BP304*BP208+BQ304*BQ208+BR304*BR208+BS304*BS208+BT304*BT208+BU304*BU208+BV304*BV208+BW304*BW208+BX304*BX208+BY304*BY208+BZ304*BZ208+CA304*CA208+CB304*CB208+CC304*CC208+CD304*CD208+CE304*CE208+CF304*CF208+CG304*CG208+CH304*CH208+CI304*CI208+CJ304*CJ208+CK304*CK208+CL304*CL208+CM304*CM208+CN304*CN208+CO304*CO208+CP304*CP208+CQ304*CQ208+CR304*CR208+CS304*CS208+CT304*CT208+CU304*CU208</f>
        <v>0</v>
      </c>
      <c r="DD208" s="2882">
        <f>E305*E208+F305*F208+G305*G208+H305*H208+I305*I208+J305*J208+K305*K208+L305*L208+M305*M208+N305*N208+O305*O208+P305*P208+Q305*Q208+R305*R208+S305*S208+T305*T208+U305*U208+V305*V208+W305*W208+X305*X208+Y305*Y208+Z305*Z208+AA305*AA208+AB305*AB208+AC305*AC208+AD305*AD208+AE305*AE208+AF305*AF208+AG305*AG208+AH305*AH208+AI305*AI208+AJ305*AJ208+AK305*AK208+AL305*AL208+AM305*AM208+AN305*AN208+AO305*AO208+AP305*AP208+AQ305*AQ208+AR305*AR208+AS305*AS208+AT305*AT208+AU305*AU208+AV305*AV208+AW305*AW208+AX305*AX208+AY305*AY208+AZ305*AZ208+BA305*BA208+BB305*BB208+BC305*BC208+BD305*BD208+BE305*BE208+BF305*BF208+BG305*BG208+BH305*BH208+BI305*BI208+BJ305*BJ208+BK305*BK208+BL305*BL208+BM305*BM208+BN305*BN208+BO305*BO208+BP305*BP208+BQ305*BQ208+BR305*BR208+BS305*BS208+BT305*BT208+BU305*BU208+BV305*BV208+BW305*BW208+BX305*BX208+BY305*BY208+BZ305*BZ208+CA305*CA208+CB305*CB208+CC305*CC208+CD305*CD208+CE305*CE208+CF305*CF208+CG305*CG208+CH305*CH208+CI305*CI208+CJ305*CJ208+CK305*CK208+CL305*CL208+CM305*CM208+CN305*CN208+CO305*CO208+CP305*CP208+CQ305*CQ208+CR305*CR208+CS305*CS208+CT305*CT208+CU305*CU208</f>
        <v>0</v>
      </c>
      <c r="DE208" s="2882">
        <f>E306*E208+F306*F208+G306*G208+H306*H208+I306*I208+J306*J208+K306*K208+L306*L208+M306*M208+N306*N208+O306*O208+P306*P208+Q306*Q208+R306*R208+S306*S208+T306*T208+U306*U208+V306*V208+W306*W208+X306*X208+Y306*Y208+Z306*Z208+AA306*AA208+AB306*AB208+AC306*AC208+AD306*AD208+AE306*AE208+AF306*AF208+AG306*AG208+AH306*AH208+AI306*AI208+AJ306*AJ208+AK306*AK208+AL306*AL208+AM306*AM208+AN306*AN208+AO306*AO208+AP306*AP208+AQ306*AQ208+AR306*AR208+AS306*AS208+AT306*AT208+AU306*AU208+AV306*AV208+AW306*AW208+AX306*AX208+AY306*AY208+AZ306*AZ208+BA306*BA208+BB306*BB208+BC306*BC208+BD306*BD208+BE306*BE208+BF306*BF208+BG306*BG208+BH306*BH208+BI306*BI208+BJ306*BJ208+BK306*BK208+BL306*BL208+BM306*BM208+BN306*BN208+BO306*BO208+BP306*BP208+BQ306*BQ208+BR306*BR208+BS306*BS208+BT306*BT208+BU306*BU208+BV306*BV208+BW306*BW208+BX306*BX208+BY306*BY208+BZ306*BZ208+CA306*CA208+CB306*CB208+CC306*CC208+CD306*CD208+CE306*CE208+CF306*CF208+CG306*CG208+CH306*CH208+CI306*CI208+CJ306*CJ208+CK306*CK208+CL306*CL208+CM306*CM208+CN306*CN208+CO306*CO208+CP306*CP208+CQ306*CQ208+CR306*CR208+CS306*CS208+CT306*CT208+CU306*CU208</f>
        <v>0</v>
      </c>
      <c r="DF208" s="2882">
        <f>E307*E208+F307*F208+G307*G208+H307*H208+I307*I208+J307*J208+K307*K208+L307*L208+M307*M208+N307*N208+O307*O208+P307*P208+Q307*Q208+R307*R208+S307*S208+T307*T208+U307*U208+V307*V208+W307*W208+X307*X208+Y307*Y208+Z307*Z208+AA307*AA208+AB307*AB208+AC307*AC208+AD307*AD208+AE307*AE208+AF307*AF208+AG307*AG208+AH307*AH208+AI307*AI208+AJ307*AJ208+AK307*AK208+AL307*AL208+AM307*AM208+AN307*AN208+AO307*AO208+AP307*AP208+AQ307*AQ208+AR307*AR208+AS307*AS208+AT307*AT208+AU307*AU208+AV307*AV208+AW307*AW208+AX307*AX208+AY307*AY208+AZ307*AZ208+BA307*BA208+BB307*BB208+BC307*BC208+BD307*BD208+BE307*BE208+BF307*BF208+BG307*BG208+BH307*BH208+BI307*BI208+BJ307*BJ208+BK307*BK208+BL307*BL208+BM307*BM208+BN307*BN208+BO307*BO208+BP307*BP208+BQ307*BQ208+BR307*BR208+BS307*BS208+BT307*BT208+BU307*BU208+BV307*BV208+BW307*BW208+BX307*BX208+BY307*BY208+BZ307*BZ208+CA307*CA208+CB307*CB208+CC307*CC208+CD307*CD208+CE307*CE208+CF307*CF208+CG307*CG208+CH307*CH208+CI307*CI208+CJ307*CJ208+CK307*CK208+CL307*CL208+CM307*CM208+CN307*CN208+CO307*CO208+CP307*CP208+CQ307*CQ208+CR307*CR208+CS307*CS208+CT307*CT208+CU307*CU208</f>
        <v>0</v>
      </c>
      <c r="DG208" s="2882">
        <f>E308*E208+F308*F208+G308*G208+H308*H208+I308*I208+J308*J208+K308*K208+L308*L208+M308*M208+N308*N208+O308*O208+P308*P208+Q308*Q208+R308*R208+S308*S208+T308*T208+U308*U208+V308*V208+W308*W208+X308*X208+Y308*Y208+Z308*Z208+AA308*AA208+AB308*AB208+AC308*AC208+AD308*AD208+AE308*AE208+AF308*AF208+AG308*AG208+AH308*AH208+AI308*AI208+AJ308*AJ208+AK308*AK208+AL308*AL208+AM308*AM208+AN308*AN208+AO308*AO208+AP308*AP208+AQ308*AQ208+AR308*AR208+AS308*AS208+AT308*AT208+AU308*AU208+AV308*AV208+AW308*AW208+AX308*AX208+AY308*AY208+AZ308*AZ208+BA308*BA208+BB308*BB208+BC308*BC208+BD308*BD208+BE308*BE208+BF308*BF208+BG308*BG208+BH308*BH208+BI308*BI208+BJ308*BJ208+BK308*BK208+BL308*BL208+BM308*BM208+BN308*BN208+BO308*BO208+BP308*BP208+BQ308*BQ208+BR308*BR208+BS308*BS208+BT308*BT208+BU308*BU208+BV308*BV208+BW308*BW208+BX308*BX208+BY308*BY208+BZ308*BZ208+CA308*CA208+CB308*CB208+CC308*CC208+CD308*CD208+CE308*CE208+CF308*CF208+CG308*CG208+CH308*CH208+CI308*CI208+CJ308*CJ208+CK308*CK208+CL308*CL208+CM308*CM208+CN308*CN208+CO308*CO208+CP308*CP208+CQ308*CQ208+CR308*CR208+CS308*CS208+CT308*CT208+CU308*CU208</f>
        <v>0</v>
      </c>
      <c r="DH208" s="2882">
        <f>E309*E208+F309*F208+G309*G208+H309*H208+I309*I208+J309*J208+K309*K208+L309*L208+M309*M208+N309*N208+O309*O208+P309*P208+Q309*Q208+R309*R208+S309*S208+T309*T208+U309*U208+V309*V208+W309*W208+X309*X208+Y309*Y208+Z309*Z208+AA309*AA208+AB309*AB208+AC309*AC208+AD309*AD208+AE309*AE208+AF309*AF208+AG309*AG208+AH309*AH208+AI309*AI208+AJ309*AJ208+AK309*AK208+AL309*AL208+AM309*AM208+AN309*AN208+AO309*AO208+AP309*AP208+AQ309*AQ208+AR309*AR208+AS309*AS208+AT309*AT208+AU309*AU208+AV309*AV208+AW309*AW208+AX309*AX208+AY309*AY208+AZ309*AZ208+BA309*BA208+BB309*BB208+BC309*BC208+BD309*BD208+BE309*BE208+BF309*BF208+BG309*BG208+BH309*BH208+BI309*BI208+BJ309*BJ208+BK309*BK208+BL309*BL208+BM309*BM208+BN309*BN208+BO309*BO208+BP309*BP208+BQ309*BQ208+BR309*BR208+BS309*BS208+BT309*BT208+BU309*BU208+BV309*BV208+BW309*BW208+BX309*BX208+BY309*BY208+BZ309*BZ208+CA309*CA208+CB309*CB208+CC309*CC208+CD309*CD208+CE309*CE208+CF309*CF208+CG309*CG208+CH309*CH208+CI309*CI208+CJ309*CJ208+CK309*CK208+CL309*CL208+CM309*CM208+CN309*CN208+CO309*CO208+CP309*CP208+CQ309*CQ208+CR309*CR208+CS309*CS208+CT309*CT208+CU309*CU208</f>
        <v>0</v>
      </c>
      <c r="DI208" s="2882">
        <f>E310*E208+F310*F208+G310*G208+H310*H208+I310*I208+J310*J208+K310*K208+L310*L208+M310*M208+N310*N208+O310*O208+P310*P208+Q310*Q208+R310*R208+S310*S208+T310*T208+U310*U208+V310*V208+W310*W208+X310*X208+Y310*Y208+Z310*Z208+AA310*AA208+AB310*AB208+AC310*AC208+AD310*AD208+AE310*AE208+AF310*AF208+AG310*AG208+AH310*AH208+AI310*AI208+AJ310*AJ208+AK310*AK208+AL310*AL208+AM310*AM208+AN310*AN208+AO310*AO208+AP310*AP208+AQ310*AQ208+AR310*AR208+AS310*AS208+AT310*AT208+AU310*AU208+AV310*AV208+AW310*AW208+AX310*AX208+AY310*AY208+AZ310*AZ208+BA310*BA208+BB310*BB208+BC310*BC208+BD310*BD208+BE310*BE208+BF310*BF208+BG310*BG208+BH310*BH208+BI310*BI208+BJ310*BJ208+BK310*BK208+BL310*BL208+BM310*BM208+BN310*BN208+BO310*BO208+BP310*BP208+BQ310*BQ208+BR310*BR208+BS310*BS208+BT310*BT208+BU310*BU208+BV310*BV208+BW310*BW208+BX310*BX208+BY310*BY208+BZ310*BZ208+CA310*CA208+CB310*CB208+CC310*CC208+CD310*CD208+CE310*CE208+CF310*CF208+CG310*CG208+CH310*CH208+CI310*CI208+CJ310*CJ208+CK310*CK208+CL310*CL208+CM310*CM208+CN310*CN208+CO310*CO208+CP310*CP208+CQ310*CQ208+CR310*CR208+CS310*CS208+CT310*CT208+CU310*CU208</f>
        <v>0</v>
      </c>
    </row>
    <row r="209" spans="2:113" x14ac:dyDescent="0.45">
      <c r="B209" s="774">
        <v>50</v>
      </c>
      <c r="C209" s="774" t="s">
        <v>2164</v>
      </c>
      <c r="D209" s="775" t="s">
        <v>2272</v>
      </c>
      <c r="E209" s="730">
        <f>0</f>
        <v>0</v>
      </c>
      <c r="F209" s="730">
        <f>0</f>
        <v>0</v>
      </c>
      <c r="G209" s="730">
        <f>0</f>
        <v>0</v>
      </c>
      <c r="H209" s="730">
        <f>0</f>
        <v>0</v>
      </c>
      <c r="I209" s="730">
        <f>0</f>
        <v>0</v>
      </c>
      <c r="J209" s="730">
        <f>0</f>
        <v>0</v>
      </c>
      <c r="K209" s="730">
        <f>0</f>
        <v>0</v>
      </c>
      <c r="L209" s="730">
        <f>0</f>
        <v>0</v>
      </c>
      <c r="M209" s="730">
        <f>0</f>
        <v>0</v>
      </c>
      <c r="N209" s="730">
        <f>0</f>
        <v>0</v>
      </c>
      <c r="O209" s="730">
        <f>0</f>
        <v>0</v>
      </c>
      <c r="P209" s="730">
        <f>0</f>
        <v>0</v>
      </c>
      <c r="Q209" s="730">
        <f>0</f>
        <v>0</v>
      </c>
      <c r="R209" s="730">
        <f>0</f>
        <v>0</v>
      </c>
      <c r="S209" s="730">
        <f>0</f>
        <v>0</v>
      </c>
      <c r="T209" s="730">
        <f>0</f>
        <v>0</v>
      </c>
      <c r="U209" s="730">
        <f>0</f>
        <v>0</v>
      </c>
      <c r="V209" s="730">
        <f>1</f>
        <v>1</v>
      </c>
      <c r="W209" s="730">
        <f>0</f>
        <v>0</v>
      </c>
      <c r="X209" s="730">
        <f>0</f>
        <v>0</v>
      </c>
      <c r="Y209" s="730">
        <f>0</f>
        <v>0</v>
      </c>
      <c r="Z209" s="730">
        <f>0</f>
        <v>0</v>
      </c>
      <c r="AA209" s="730">
        <f>0</f>
        <v>0</v>
      </c>
      <c r="AB209" s="730">
        <f>-(3*i_N_BIO*A_MO+2*A_MN)/(5*Y_AMX_NO3+3-3*Y_AMX_NO2)/A_MO</f>
        <v>-5.7673622319660547</v>
      </c>
      <c r="AC209" s="730">
        <f>0</f>
        <v>0</v>
      </c>
      <c r="AD209" s="730">
        <f>Y_AMX_NO3/(5*Y_AMX_NO3+3-3*Y_AMX_NO2)*(3*i_N_BIO*A_MO+2*A_MN)/A_MO</f>
        <v>1.4995141803111742</v>
      </c>
      <c r="AE209" s="730">
        <f>-Y_AMX_NO2/(5*Y_AMX_NO3+3-3*Y_AMX_NO2)*(3*i_N_BIO*A_MO+2*A_MN)/A_MO</f>
        <v>-7.6129181461951925</v>
      </c>
      <c r="AF209" s="730">
        <f>0</f>
        <v>0</v>
      </c>
      <c r="AG209" s="730">
        <f>0</f>
        <v>0</v>
      </c>
      <c r="AH209" s="730">
        <f>0</f>
        <v>0</v>
      </c>
      <c r="AI209" s="730">
        <f>2*(Y_AMX_NO3*A_MN-1*A_MN-1*Y_AMX_NO2*A_MN+4*Y_AMX_NO3*i_N_BIO*A_MO-3*Y_AMX_NO2*i_N_BIO*A_MO)/A_MO/(3*Y_AMX_NO2-5*Y_AMX_NO3-3)</f>
        <v>11.810766197850072</v>
      </c>
      <c r="AJ209" s="730">
        <f>0</f>
        <v>0</v>
      </c>
      <c r="AK209" s="730">
        <f>0</f>
        <v>0</v>
      </c>
      <c r="AL209" s="730">
        <f>0</f>
        <v>0</v>
      </c>
      <c r="AM209" s="730">
        <f>-i_P_BIO</f>
        <v>-0.02</v>
      </c>
      <c r="AN209" s="730">
        <f>0</f>
        <v>0</v>
      </c>
      <c r="AO209" s="730">
        <f>0</f>
        <v>0</v>
      </c>
      <c r="AP209" s="730">
        <f>0</f>
        <v>0</v>
      </c>
      <c r="AQ209" s="730">
        <f>0</f>
        <v>0</v>
      </c>
      <c r="AR209" s="730">
        <f>0</f>
        <v>0</v>
      </c>
      <c r="AS209" s="730">
        <f>0</f>
        <v>0</v>
      </c>
      <c r="AT209" s="730">
        <f>0</f>
        <v>0</v>
      </c>
      <c r="AU209" s="730">
        <f>-i_CIT_BIO</f>
        <v>-0.35199999999999998</v>
      </c>
      <c r="AV209" s="730">
        <f>i_INORG</f>
        <v>0.11</v>
      </c>
      <c r="AW209" s="730">
        <f>-i_INORG*(1-i_Ca_INORG*(A_MCa+2*A_MCl)/A_MCa-i_Mg_INORG*(A_MMg+2*A_MCl)/A_MMg)*f_Na</f>
        <v>-2.8804303582798466E-2</v>
      </c>
      <c r="AX209" s="730">
        <f>-i_INORG*(i_Ca_INORG*(2*A_MCl)/A_MCa+i_Mg_INORG*(2*A_MCl)/A_MMg)-i_INORG*(1-i_Ca_INORG*(A_MCa+2*A_MCl)/A_MCa-i_Mg_INORG*(A_MMg+2*A_MCl)/A_MMg)*(1-f_Na)</f>
        <v>-7.0195696417201539E-2</v>
      </c>
      <c r="AY209" s="730">
        <f>-i_INORG*i_Ca_INORG</f>
        <v>-5.5000000000000005E-3</v>
      </c>
      <c r="AZ209" s="730">
        <f>-i_INORG*i_Mg_INORG</f>
        <v>-5.5000000000000005E-3</v>
      </c>
      <c r="BA209" s="730">
        <f>0</f>
        <v>0</v>
      </c>
      <c r="BB209" s="730">
        <f>0</f>
        <v>0</v>
      </c>
      <c r="BC209" s="2850">
        <f>-i_S_BIO</f>
        <v>-0.01</v>
      </c>
      <c r="BD209" s="730">
        <f>0</f>
        <v>0</v>
      </c>
      <c r="BE209" s="730">
        <f>0</f>
        <v>0</v>
      </c>
      <c r="BF209" s="730">
        <f>0</f>
        <v>0</v>
      </c>
      <c r="BG209" s="730">
        <f>0</f>
        <v>0</v>
      </c>
      <c r="BH209" s="730">
        <f>0</f>
        <v>0</v>
      </c>
      <c r="BI209" s="730">
        <f>0</f>
        <v>0</v>
      </c>
      <c r="BJ209" s="730">
        <f>0</f>
        <v>0</v>
      </c>
      <c r="BK209" s="730">
        <f>0</f>
        <v>0</v>
      </c>
      <c r="BL209" s="730">
        <f>0</f>
        <v>0</v>
      </c>
      <c r="BM209" s="730">
        <f>0</f>
        <v>0</v>
      </c>
      <c r="BN209" s="730">
        <f>0</f>
        <v>0</v>
      </c>
      <c r="BO209" s="730">
        <f>0</f>
        <v>0</v>
      </c>
      <c r="BP209" s="730">
        <f>0</f>
        <v>0</v>
      </c>
      <c r="BQ209" s="730">
        <f>0</f>
        <v>0</v>
      </c>
      <c r="BR209" s="730">
        <f>0</f>
        <v>0</v>
      </c>
      <c r="BS209" s="730">
        <f>0</f>
        <v>0</v>
      </c>
      <c r="BT209" s="730">
        <f>0</f>
        <v>0</v>
      </c>
      <c r="BU209" s="730">
        <f>0</f>
        <v>0</v>
      </c>
      <c r="BV209" s="895">
        <f>0</f>
        <v>0</v>
      </c>
      <c r="BW209" s="730">
        <f>0</f>
        <v>0</v>
      </c>
      <c r="BX209" s="730">
        <f>0</f>
        <v>0</v>
      </c>
      <c r="BY209" s="730">
        <f>0</f>
        <v>0</v>
      </c>
      <c r="BZ209" s="730">
        <f>0</f>
        <v>0</v>
      </c>
      <c r="CA209" s="895">
        <f>0</f>
        <v>0</v>
      </c>
      <c r="CB209" s="730">
        <f>0</f>
        <v>0</v>
      </c>
      <c r="CC209" s="730">
        <f>0</f>
        <v>0</v>
      </c>
      <c r="CD209" s="730">
        <f>0</f>
        <v>0</v>
      </c>
      <c r="CE209" s="730">
        <f>0</f>
        <v>0</v>
      </c>
      <c r="CF209" s="730">
        <f>0</f>
        <v>0</v>
      </c>
      <c r="CG209" s="730">
        <f>0</f>
        <v>0</v>
      </c>
      <c r="CH209" s="730">
        <f>0</f>
        <v>0</v>
      </c>
      <c r="CI209" s="730">
        <f>0</f>
        <v>0</v>
      </c>
      <c r="CJ209" s="730">
        <f>0</f>
        <v>0</v>
      </c>
      <c r="CK209" s="730">
        <f>0</f>
        <v>0</v>
      </c>
      <c r="CL209" s="730">
        <f>0</f>
        <v>0</v>
      </c>
      <c r="CM209" s="730">
        <f>0</f>
        <v>0</v>
      </c>
      <c r="CN209" s="730">
        <f>0</f>
        <v>0</v>
      </c>
      <c r="CO209" s="730">
        <f>0</f>
        <v>0</v>
      </c>
      <c r="CP209" s="730">
        <f>0</f>
        <v>0</v>
      </c>
      <c r="CQ209" s="730">
        <f>0</f>
        <v>0</v>
      </c>
      <c r="CR209" s="730">
        <f>0</f>
        <v>0</v>
      </c>
      <c r="CS209" s="730">
        <f>0</f>
        <v>0</v>
      </c>
      <c r="CT209" s="730">
        <f>0</f>
        <v>0</v>
      </c>
      <c r="CU209" s="730">
        <f>0</f>
        <v>0</v>
      </c>
      <c r="CV209" s="2860">
        <f>µ_AMX_T*X_AMX*M_satSNHx_KNHx_AMX*M_satSNO2_KNO2_AMX*M_inhSO2_KiO2_AMX*L_ogsatpHCO2_AMX*M_satSPO4_KPO4_BIO*M_satSCAT_KCAT*M_satSAN_KAN*M_satSCa_KCa*M_satSMg_KMg*B_ellinhpH*M_inhpHHNO2_AMX</f>
        <v>5.0125651939223804E-4</v>
      </c>
      <c r="CX209" s="2880">
        <f>E299*E209+F299*F209+G299*G209+H299*H209+I299*I209+J299*J209+K299*K209+L299*L209+M299*M209+N299*N209+O299*O209+P299*P209+Q299*Q209+R299*R209+S299*S209+T299*T209+U299*U209+V299*V209+W299*W209+X299*X209+Y299*Y209+Z299*Z209+AA299*AA209+AB299*AB209+AC299*AC209+AD299*AD209+AE299*AE209+AF299*AF209+AG299*AG209+AH299*AH209+AI299*AI209+AJ299*AJ209+AK299*AK209+AL299*AL209+AM299*AM209+AN299*AN209+AO299*AO209+AP299*AP209+AQ299*AQ209+AR299*AR209+AS299*AS209+AT299*AT209+AU299*AU209+AV299*AV209+AW299*AW209+AX299*AX209+AY299*AY209+AZ299*AZ209+BA299*BA209+BB299*BB209+BC299*BC209+BD299*BD209+BE299*BE209+BF299*BF209+BG299*BG209+BH299*BH209+BI299*BI209+BJ299*BJ209+BK299*BK209+BL299*BL209+BM299*BM209+BN299*BN209+BO299*BO209+BP299*BP209+BQ299*BQ209+BR299*BR209+BS299*BS209+BT299*BT209+BU299*BU209+BV299*BV209+BW299*BW209+BX299*BX209+BY299*BY209+BZ299*BZ209+CA299*CA209+CB299*CB209+CC299*CC209+CD299*CD209+CE299*CE209+CF299*CF209+CG299*CG209+CH299*CH209+CI299*CI209+CJ299*CJ209+CK299*CK209+CL299*CL209+CM299*CM209+CN299*CN209+CO299*CO209+CP299*CP209+CQ299*CQ209+CR299*CR209+CS299*CS209+CT299*CT209+CU299*CU209</f>
        <v>3.5527136788005009E-15</v>
      </c>
      <c r="CY209" s="2880">
        <f>E300*E209+F300*F209+G300*G209+H300*H209+I300*I209+J300*J209+K300*K209+L300*L209+M300*M209+N300*N209+O300*O209+P300*P209+Q300*Q209+R300*R209+S300*S209+T300*T209+U300*U209+V300*V209+W300*W209+X300*X209+Y300*Y209+Z300*Z209+AA300*AA209+AB300*AB209+AC300*AC209+AD300*AD209+AE300*AE209+AF300*AF209+AG300*AG209+AH300*AH209+AI300*AI209+AJ300*AJ209+AK300*AK209+AL300*AL209+AM300*AM209+AN300*AN209+AO300*AO209+AP300*AP209+AQ300*AQ209+AR300*AR209+AS300*AS209+AT300*AT209+AU300*AU209+AV300*AV209+AW300*AW209+AX300*AX209+AY300*AY209+AZ300*AZ209+BA300*BA209+BB300*BB209+BC300*BC209+BD300*BD209+BE300*BE209+BF300*BF209+BG300*BG209+BH300*BH209+BI300*BI209+BJ300*BJ209+BK300*BK209+BL300*BL209+BM300*BM209+BN300*BN209+BO300*BO209+BP300*BP209+BQ300*BQ209+BR300*BR209+BS300*BS209+BT300*BT209+BU300*BU209+BV300*BV209+BW300*BW209+BX300*BX209+BY300*BY209+BZ300*BZ209+CA300*CA209+CB300*CB209+CC300*CC209+CD300*CD209+CE300*CE209+CF300*CF209+CG300*CG209+CH300*CH209+CI300*CI209+CJ300*CJ209+CK300*CK209+CL300*CL209+CM300*CM209+CN300*CN209+CO300*CO209+CP300*CP209+CQ300*CQ209+CR300*CR209+CS300*CS209+CT300*CT209+CU300*CU209</f>
        <v>0</v>
      </c>
      <c r="CZ209" s="2881">
        <f>E301*E209+F301*F209+G301*G209+H301*H209+I301*I209+J301*J209+K301*K209+L301*L209+M301*M209+N301*N209+O301*O209+P301*P209+Q301*Q209+R301*R209+S301*S209+T301*T209+U301*U209+V301*V209+W301*W209+X301*X209+Y301*Y209+Z301*Z209+AA301*AA209+AB301*AB209+AC301*AC209+AD301*AD209+AE301*AE209+AF301*AF209+AG301*AG209+AH301*AH209+AI301*AI209+AJ301*AJ209+AK301*AK209+AL301*AL209+AM301*AM209+AN301*AN209+AO301*AO209+AP301*AP209+AQ301*AQ209+AR301*AR209+AS301*AS209+AT301*AT209+AU301*AU209+AV301*AV209+AW301*AW209+AX301*AX209+AY301*AY209+AZ301*AZ209+BA301*BA209+BB301*BB209+BC301*BC209+BD301*BD209+BE301*BE209+BF301*BF209+BG301*BG209+BH301*BH209+BI301*BI209+BJ301*BJ209+BK301*BK209+BL301*BL209+BM301*BM209+BN301*BN209+BO301*BO209+BP301*BP209+BQ301*BQ209+BR301*BR209+BS301*BS209+BT301*BT209+BU301*BU209+BV301*BV209+BW301*BW209+BX301*BX209+BY301*BY209+BZ301*BZ209+CA301*CA209+CB301*CB209+CC301*CC209+CD301*CD209+CE301*CE209+CF301*CF209+CG301*CG209+CH301*CH209+CI301*CI209+CJ301*CJ209+CK301*CK209+CL301*CL209+CM301*CM209+CN301*CN209+CO301*CO209+CP301*CP209+CQ301*CQ209+CR301*CR209+CS301*CS209+CT301*CT209+CU301*CU209</f>
        <v>0</v>
      </c>
      <c r="DA209" s="2882">
        <f>E302*E209+F302*F209+G302*G209+H302*H209+I302*I209+J302*J209+K302*K209+L302*L209+M302*M209+N302*N209+O302*O209+P302*P209+Q302*Q209+R302*R209+S302*S209+T302*T209+U302*U209+V302*V209+W302*W209+X302*X209+Y302*Y209+Z302*Z209+AA302*AA209+AB302*AB209+AC302*AC209+AD302*AD209+AE302*AE209+AF302*AF209+AG302*AG209+AH302*AH209+AI302*AI209+AJ302*AJ209+AK302*AK209+AL302*AL209+AM302*AM209+AN302*AN209+AO302*AO209+AP302*AP209+AQ302*AQ209+AR302*AR209+AS302*AS209+AT302*AT209+AU302*AU209+AV302*AV209+AW302*AW209+AX302*AX209+AY302*AY209+AZ302*AZ209+BA302*BA209+BB302*BB209+BC302*BC209+BD302*BD209+BE302*BE209+BF302*BF209+BG302*BG209+BH302*BH209+BI302*BI209+BJ302*BJ209+BK302*BK209+BL302*BL209+BM302*BM209+BN302*BN209+BO302*BO209+BP302*BP209+BQ302*BQ209+BR302*BR209+BS302*BS209+BT302*BT209+BU302*BU209+BV302*BV209+BW302*BW209+BX302*BX209+BY302*BY209+BZ302*BZ209+CA302*CA209+CB302*CB209+CC302*CC209+CD302*CD209+CE302*CE209+CF302*CF209+CG302*CG209+CH302*CH209+CI302*CI209+CJ302*CJ209+CK302*CK209+CL302*CL209+CM302*CM209+CN302*CN209+CO302*CO209+CP302*CP209+CQ302*CQ209+CR302*CR209+CS302*CS209+CT302*CT209+CU302*CU209</f>
        <v>0</v>
      </c>
      <c r="DB209" s="2882">
        <f>E303*E209+F303*F209+G303*G209+H303*H209+I303*I209+J303*J209+K303*K209+L303*L209+M303*M209+N303*N209+O303*O209+P303*P209+Q303*Q209+R303*R209+S303*S209+T303*T209+U303*U209+V303*V209+W303*W209+X303*X209+Y303*Y209+Z303*Z209+AA303*AA209+AB303*AB209+AC303*AC209+AD303*AD209+AE303*AE209+AF303*AF209+AG303*AG209+AH303*AH209+AI303*AI209+AJ303*AJ209+AK303*AK209+AL303*AL209+AM303*AM209+AN303*AN209+AO303*AO209+AP303*AP209+AQ303*AQ209+AR303*AR209+AS303*AS209+AT303*AT209+AU303*AU209+AV303*AV209+AW303*AW209+AX303*AX209+AY303*AY209+AZ303*AZ209+BA303*BA209+BB303*BB209+BC303*BC209+BD303*BD209+BE303*BE209+BF303*BF209+BG303*BG209+BH303*BH209+BI303*BI209+BJ303*BJ209+BK303*BK209+BL303*BL209+BM303*BM209+BN303*BN209+BO303*BO209+BP303*BP209+BQ303*BQ209+BR303*BR209+BS303*BS209+BT303*BT209+BU303*BU209+BV303*BV209+BW303*BW209+BX303*BX209+BY303*BY209+BZ303*BZ209+CA303*CA209+CB303*CB209+CC303*CC209+CD303*CD209+CE303*CE209+CF303*CF209+CG303*CG209+CH303*CH209+CI303*CI209+CJ303*CJ209+CK303*CK209+CL303*CL209+CM303*CM209+CN303*CN209+CO303*CO209+CP303*CP209+CQ303*CQ209+CR303*CR209+CS303*CS209+CT303*CT209+CU303*CU209</f>
        <v>0</v>
      </c>
      <c r="DC209" s="2882">
        <f>E304*E209+F304*F209+G304*G209+H304*H209+I304*I209+J304*J209+K304*K209+L304*L209+M304*M209+N304*N209+O304*O209+P304*P209+Q304*Q209+R304*R209+S304*S209+T304*T209+U304*U209+V304*V209+W304*W209+X304*X209+Y304*Y209+Z304*Z209+AA304*AA209+AB304*AB209+AC304*AC209+AD304*AD209+AE304*AE209+AF304*AF209+AG304*AG209+AH304*AH209+AI304*AI209+AJ304*AJ209+AK304*AK209+AL304*AL209+AM304*AM209+AN304*AN209+AO304*AO209+AP304*AP209+AQ304*AQ209+AR304*AR209+AS304*AS209+AT304*AT209+AU304*AU209+AV304*AV209+AW304*AW209+AX304*AX209+AY304*AY209+AZ304*AZ209+BA304*BA209+BB304*BB209+BC304*BC209+BD304*BD209+BE304*BE209+BF304*BF209+BG304*BG209+BH304*BH209+BI304*BI209+BJ304*BJ209+BK304*BK209+BL304*BL209+BM304*BM209+BN304*BN209+BO304*BO209+BP304*BP209+BQ304*BQ209+BR304*BR209+BS304*BS209+BT304*BT209+BU304*BU209+BV304*BV209+BW304*BW209+BX304*BX209+BY304*BY209+BZ304*BZ209+CA304*CA209+CB304*CB209+CC304*CC209+CD304*CD209+CE304*CE209+CF304*CF209+CG304*CG209+CH304*CH209+CI304*CI209+CJ304*CJ209+CK304*CK209+CL304*CL209+CM304*CM209+CN304*CN209+CO304*CO209+CP304*CP209+CQ304*CQ209+CR304*CR209+CS304*CS209+CT304*CT209+CU304*CU209</f>
        <v>0</v>
      </c>
      <c r="DD209" s="2882">
        <f>E305*E209+F305*F209+G305*G209+H305*H209+I305*I209+J305*J209+K305*K209+L305*L209+M305*M209+N305*N209+O305*O209+P305*P209+Q305*Q209+R305*R209+S305*S209+T305*T209+U305*U209+V305*V209+W305*W209+X305*X209+Y305*Y209+Z305*Z209+AA305*AA209+AB305*AB209+AC305*AC209+AD305*AD209+AE305*AE209+AF305*AF209+AG305*AG209+AH305*AH209+AI305*AI209+AJ305*AJ209+AK305*AK209+AL305*AL209+AM305*AM209+AN305*AN209+AO305*AO209+AP305*AP209+AQ305*AQ209+AR305*AR209+AS305*AS209+AT305*AT209+AU305*AU209+AV305*AV209+AW305*AW209+AX305*AX209+AY305*AY209+AZ305*AZ209+BA305*BA209+BB305*BB209+BC305*BC209+BD305*BD209+BE305*BE209+BF305*BF209+BG305*BG209+BH305*BH209+BI305*BI209+BJ305*BJ209+BK305*BK209+BL305*BL209+BM305*BM209+BN305*BN209+BO305*BO209+BP305*BP209+BQ305*BQ209+BR305*BR209+BS305*BS209+BT305*BT209+BU305*BU209+BV305*BV209+BW305*BW209+BX305*BX209+BY305*BY209+BZ305*BZ209+CA305*CA209+CB305*CB209+CC305*CC209+CD305*CD209+CE305*CE209+CF305*CF209+CG305*CG209+CH305*CH209+CI305*CI209+CJ305*CJ209+CK305*CK209+CL305*CL209+CM305*CM209+CN305*CN209+CO305*CO209+CP305*CP209+CQ305*CQ209+CR305*CR209+CS305*CS209+CT305*CT209+CU305*CU209</f>
        <v>0</v>
      </c>
      <c r="DE209" s="2882">
        <f>E306*E209+F306*F209+G306*G209+H306*H209+I306*I209+J306*J209+K306*K209+L306*L209+M306*M209+N306*N209+O306*O209+P306*P209+Q306*Q209+R306*R209+S306*S209+T306*T209+U306*U209+V306*V209+W306*W209+X306*X209+Y306*Y209+Z306*Z209+AA306*AA209+AB306*AB209+AC306*AC209+AD306*AD209+AE306*AE209+AF306*AF209+AG306*AG209+AH306*AH209+AI306*AI209+AJ306*AJ209+AK306*AK209+AL306*AL209+AM306*AM209+AN306*AN209+AO306*AO209+AP306*AP209+AQ306*AQ209+AR306*AR209+AS306*AS209+AT306*AT209+AU306*AU209+AV306*AV209+AW306*AW209+AX306*AX209+AY306*AY209+AZ306*AZ209+BA306*BA209+BB306*BB209+BC306*BC209+BD306*BD209+BE306*BE209+BF306*BF209+BG306*BG209+BH306*BH209+BI306*BI209+BJ306*BJ209+BK306*BK209+BL306*BL209+BM306*BM209+BN306*BN209+BO306*BO209+BP306*BP209+BQ306*BQ209+BR306*BR209+BS306*BS209+BT306*BT209+BU306*BU209+BV306*BV209+BW306*BW209+BX306*BX209+BY306*BY209+BZ306*BZ209+CA306*CA209+CB306*CB209+CC306*CC209+CD306*CD209+CE306*CE209+CF306*CF209+CG306*CG209+CH306*CH209+CI306*CI209+CJ306*CJ209+CK306*CK209+CL306*CL209+CM306*CM209+CN306*CN209+CO306*CO209+CP306*CP209+CQ306*CQ209+CR306*CR209+CS306*CS209+CT306*CT209+CU306*CU209</f>
        <v>0</v>
      </c>
      <c r="DF209" s="2882">
        <f>E307*E209+F307*F209+G307*G209+H307*H209+I307*I209+J307*J209+K307*K209+L307*L209+M307*M209+N307*N209+O307*O209+P307*P209+Q307*Q209+R307*R209+S307*S209+T307*T209+U307*U209+V307*V209+W307*W209+X307*X209+Y307*Y209+Z307*Z209+AA307*AA209+AB307*AB209+AC307*AC209+AD307*AD209+AE307*AE209+AF307*AF209+AG307*AG209+AH307*AH209+AI307*AI209+AJ307*AJ209+AK307*AK209+AL307*AL209+AM307*AM209+AN307*AN209+AO307*AO209+AP307*AP209+AQ307*AQ209+AR307*AR209+AS307*AS209+AT307*AT209+AU307*AU209+AV307*AV209+AW307*AW209+AX307*AX209+AY307*AY209+AZ307*AZ209+BA307*BA209+BB307*BB209+BC307*BC209+BD307*BD209+BE307*BE209+BF307*BF209+BG307*BG209+BH307*BH209+BI307*BI209+BJ307*BJ209+BK307*BK209+BL307*BL209+BM307*BM209+BN307*BN209+BO307*BO209+BP307*BP209+BQ307*BQ209+BR307*BR209+BS307*BS209+BT307*BT209+BU307*BU209+BV307*BV209+BW307*BW209+BX307*BX209+BY307*BY209+BZ307*BZ209+CA307*CA209+CB307*CB209+CC307*CC209+CD307*CD209+CE307*CE209+CF307*CF209+CG307*CG209+CH307*CH209+CI307*CI209+CJ307*CJ209+CK307*CK209+CL307*CL209+CM307*CM209+CN307*CN209+CO307*CO209+CP307*CP209+CQ307*CQ209+CR307*CR209+CS307*CS209+CT307*CT209+CU307*CU209</f>
        <v>0</v>
      </c>
      <c r="DG209" s="2882">
        <f>E308*E209+F308*F209+G308*G209+H308*H209+I308*I209+J308*J209+K308*K209+L308*L209+M308*M209+N308*N209+O308*O209+P308*P209+Q308*Q209+R308*R209+S308*S209+T308*T209+U308*U209+V308*V209+W308*W209+X308*X209+Y308*Y209+Z308*Z209+AA308*AA209+AB308*AB209+AC308*AC209+AD308*AD209+AE308*AE209+AF308*AF209+AG308*AG209+AH308*AH209+AI308*AI209+AJ308*AJ209+AK308*AK209+AL308*AL209+AM308*AM209+AN308*AN209+AO308*AO209+AP308*AP209+AQ308*AQ209+AR308*AR209+AS308*AS209+AT308*AT209+AU308*AU209+AV308*AV209+AW308*AW209+AX308*AX209+AY308*AY209+AZ308*AZ209+BA308*BA209+BB308*BB209+BC308*BC209+BD308*BD209+BE308*BE209+BF308*BF209+BG308*BG209+BH308*BH209+BI308*BI209+BJ308*BJ209+BK308*BK209+BL308*BL209+BM308*BM209+BN308*BN209+BO308*BO209+BP308*BP209+BQ308*BQ209+BR308*BR209+BS308*BS209+BT308*BT209+BU308*BU209+BV308*BV209+BW308*BW209+BX308*BX209+BY308*BY209+BZ308*BZ209+CA308*CA209+CB308*CB209+CC308*CC209+CD308*CD209+CE308*CE209+CF308*CF209+CG308*CG209+CH308*CH209+CI308*CI209+CJ308*CJ209+CK308*CK209+CL308*CL209+CM308*CM209+CN308*CN209+CO308*CO209+CP308*CP209+CQ308*CQ209+CR308*CR209+CS308*CS209+CT308*CT209+CU308*CU209</f>
        <v>0</v>
      </c>
      <c r="DH209" s="2882">
        <f>E309*E209+F309*F209+G309*G209+H309*H209+I309*I209+J309*J209+K309*K209+L309*L209+M309*M209+N309*N209+O309*O209+P309*P209+Q309*Q209+R309*R209+S309*S209+T309*T209+U309*U209+V309*V209+W309*W209+X309*X209+Y309*Y209+Z309*Z209+AA309*AA209+AB309*AB209+AC309*AC209+AD309*AD209+AE309*AE209+AF309*AF209+AG309*AG209+AH309*AH209+AI309*AI209+AJ309*AJ209+AK309*AK209+AL309*AL209+AM309*AM209+AN309*AN209+AO309*AO209+AP309*AP209+AQ309*AQ209+AR309*AR209+AS309*AS209+AT309*AT209+AU309*AU209+AV309*AV209+AW309*AW209+AX309*AX209+AY309*AY209+AZ309*AZ209+BA309*BA209+BB309*BB209+BC309*BC209+BD309*BD209+BE309*BE209+BF309*BF209+BG309*BG209+BH309*BH209+BI309*BI209+BJ309*BJ209+BK309*BK209+BL309*BL209+BM309*BM209+BN309*BN209+BO309*BO209+BP309*BP209+BQ309*BQ209+BR309*BR209+BS309*BS209+BT309*BT209+BU309*BU209+BV309*BV209+BW309*BW209+BX309*BX209+BY309*BY209+BZ309*BZ209+CA309*CA209+CB309*CB209+CC309*CC209+CD309*CD209+CE309*CE209+CF309*CF209+CG309*CG209+CH309*CH209+CI309*CI209+CJ309*CJ209+CK309*CK209+CL309*CL209+CM309*CM209+CN309*CN209+CO309*CO209+CP309*CP209+CQ309*CQ209+CR309*CR209+CS309*CS209+CT309*CT209+CU309*CU209</f>
        <v>0</v>
      </c>
      <c r="DI209" s="2882">
        <f>E310*E209+F310*F209+G310*G209+H310*H209+I310*I209+J310*J209+K310*K209+L310*L209+M310*M209+N310*N209+O310*O209+P310*P209+Q310*Q209+R310*R209+S310*S209+T310*T209+U310*U209+V310*V209+W310*W209+X310*X209+Y310*Y209+Z310*Z209+AA310*AA209+AB310*AB209+AC310*AC209+AD310*AD209+AE310*AE209+AF310*AF209+AG310*AG209+AH310*AH209+AI310*AI209+AJ310*AJ209+AK310*AK209+AL310*AL209+AM310*AM209+AN310*AN209+AO310*AO209+AP310*AP209+AQ310*AQ209+AR310*AR209+AS310*AS209+AT310*AT209+AU310*AU209+AV310*AV209+AW310*AW209+AX310*AX209+AY310*AY209+AZ310*AZ209+BA310*BA209+BB310*BB209+BC310*BC209+BD310*BD209+BE310*BE209+BF310*BF209+BG310*BG209+BH310*BH209+BI310*BI209+BJ310*BJ209+BK310*BK209+BL310*BL209+BM310*BM209+BN310*BN209+BO310*BO209+BP310*BP209+BQ310*BQ209+BR310*BR209+BS310*BS209+BT310*BT209+BU310*BU209+BV310*BV209+BW310*BW209+BX310*BX209+BY310*BY209+BZ310*BZ209+CA310*CA209+CB310*CB209+CC310*CC209+CD310*CD209+CE310*CE209+CF310*CF209+CG310*CG209+CH310*CH209+CI310*CI209+CJ310*CJ209+CK310*CK209+CL310*CL209+CM310*CM209+CN310*CN209+CO310*CO209+CP310*CP209+CQ310*CQ209+CR310*CR209+CS310*CS209+CT310*CT209+CU310*CU209</f>
        <v>0</v>
      </c>
    </row>
    <row r="210" spans="2:113" x14ac:dyDescent="0.45">
      <c r="B210" s="774">
        <v>51</v>
      </c>
      <c r="C210" s="774" t="s">
        <v>2165</v>
      </c>
      <c r="D210" s="775" t="s">
        <v>2273</v>
      </c>
      <c r="E210" s="731">
        <f>0</f>
        <v>0</v>
      </c>
      <c r="F210" s="731">
        <f>0</f>
        <v>0</v>
      </c>
      <c r="G210" s="731">
        <f>0</f>
        <v>0</v>
      </c>
      <c r="H210" s="731">
        <f>0</f>
        <v>0</v>
      </c>
      <c r="I210" s="731">
        <f>1-f_E</f>
        <v>0.92</v>
      </c>
      <c r="J210" s="731">
        <f>0</f>
        <v>0</v>
      </c>
      <c r="K210" s="731">
        <f>0</f>
        <v>0</v>
      </c>
      <c r="L210" s="731">
        <f>0</f>
        <v>0</v>
      </c>
      <c r="M210" s="731">
        <f>0</f>
        <v>0</v>
      </c>
      <c r="N210" s="731">
        <f>0</f>
        <v>0</v>
      </c>
      <c r="O210" s="731">
        <f>f_E</f>
        <v>0.08</v>
      </c>
      <c r="P210" s="731">
        <f>0</f>
        <v>0</v>
      </c>
      <c r="Q210" s="731">
        <f>0</f>
        <v>0</v>
      </c>
      <c r="R210" s="731">
        <f>0</f>
        <v>0</v>
      </c>
      <c r="S210" s="731">
        <f>0</f>
        <v>0</v>
      </c>
      <c r="T210" s="731">
        <f>0</f>
        <v>0</v>
      </c>
      <c r="U210" s="731">
        <f>0</f>
        <v>0</v>
      </c>
      <c r="V210" s="731">
        <f>-1</f>
        <v>-1</v>
      </c>
      <c r="W210" s="731">
        <f>0</f>
        <v>0</v>
      </c>
      <c r="X210" s="731">
        <f>0</f>
        <v>0</v>
      </c>
      <c r="Y210" s="731">
        <f>0</f>
        <v>0</v>
      </c>
      <c r="Z210" s="731">
        <f>0</f>
        <v>0</v>
      </c>
      <c r="AA210" s="731">
        <f>0</f>
        <v>0</v>
      </c>
      <c r="AB210" s="731">
        <f>-f_E*(i_N_XE-i_N_BIO)</f>
        <v>8.0000000000000069E-4</v>
      </c>
      <c r="AC210" s="731">
        <f>0</f>
        <v>0</v>
      </c>
      <c r="AD210" s="731">
        <f>0</f>
        <v>0</v>
      </c>
      <c r="AE210" s="731">
        <f>0</f>
        <v>0</v>
      </c>
      <c r="AF210" s="731">
        <f>0</f>
        <v>0</v>
      </c>
      <c r="AG210" s="731">
        <f>0</f>
        <v>0</v>
      </c>
      <c r="AH210" s="731">
        <f>0</f>
        <v>0</v>
      </c>
      <c r="AI210" s="731">
        <f>0</f>
        <v>0</v>
      </c>
      <c r="AJ210" s="731">
        <f>0</f>
        <v>0</v>
      </c>
      <c r="AK210" s="731">
        <f>(1-f_E)*i_N_BIO</f>
        <v>6.4400000000000013E-2</v>
      </c>
      <c r="AL210" s="731">
        <f>0</f>
        <v>0</v>
      </c>
      <c r="AM210" s="731">
        <f>0</f>
        <v>0</v>
      </c>
      <c r="AN210" s="731">
        <f>0</f>
        <v>0</v>
      </c>
      <c r="AO210" s="731">
        <f>0</f>
        <v>0</v>
      </c>
      <c r="AP210" s="731">
        <f>(1-f_E)*i_P_BIO</f>
        <v>1.84E-2</v>
      </c>
      <c r="AQ210" s="731">
        <f>0</f>
        <v>0</v>
      </c>
      <c r="AR210" s="731">
        <f>0</f>
        <v>0</v>
      </c>
      <c r="AS210" s="731">
        <f>0</f>
        <v>0</v>
      </c>
      <c r="AT210" s="731">
        <f>0</f>
        <v>0</v>
      </c>
      <c r="AU210" s="731">
        <f>(1-f_E)*(i_CIT_BIO-i_CIT_SB)</f>
        <v>6.0720000000000003E-2</v>
      </c>
      <c r="AV210" s="731">
        <f>-i_INORG</f>
        <v>-0.11</v>
      </c>
      <c r="AW210" s="731">
        <f>i_INORG*(1-i_Ca_INORG*(A_MCa+2*A_MCl)/A_MCa-i_Mg_INORG*(A_MMg+2*A_MCl)/A_MMg)*f_Na</f>
        <v>2.8804303582798466E-2</v>
      </c>
      <c r="AX210" s="731">
        <f>i_INORG*(i_Ca_INORG*(2*A_MCl)/A_MCa+i_Mg_INORG*(2*A_MCl)/A_MMg)+i_INORG*(1-i_Ca_INORG*(A_MCa+2*A_MCl)/A_MCa-i_Mg_INORG*(A_MMg+2*A_MCl)/A_MMg)*(1-f_Na)</f>
        <v>7.0195696417201539E-2</v>
      </c>
      <c r="AY210" s="731">
        <f>i_INORG*i_Ca_INORG</f>
        <v>5.5000000000000005E-3</v>
      </c>
      <c r="AZ210" s="731">
        <f>i_INORG*i_Mg_INORG</f>
        <v>5.5000000000000005E-3</v>
      </c>
      <c r="BA210" s="731">
        <f>0</f>
        <v>0</v>
      </c>
      <c r="BB210" s="731">
        <f>0</f>
        <v>0</v>
      </c>
      <c r="BC210" s="731">
        <f>(1-f_E)*i_S_BIO-(1-f_E)*i_S_XB</f>
        <v>7.8200000000000006E-3</v>
      </c>
      <c r="BD210" s="731">
        <f>0</f>
        <v>0</v>
      </c>
      <c r="BE210" s="731">
        <f>0</f>
        <v>0</v>
      </c>
      <c r="BF210" s="731">
        <f>0</f>
        <v>0</v>
      </c>
      <c r="BG210" s="731">
        <f>0</f>
        <v>0</v>
      </c>
      <c r="BH210" s="731">
        <f>0</f>
        <v>0</v>
      </c>
      <c r="BI210" s="731">
        <f>0</f>
        <v>0</v>
      </c>
      <c r="BJ210" s="731">
        <f>0</f>
        <v>0</v>
      </c>
      <c r="BK210" s="731">
        <f>0</f>
        <v>0</v>
      </c>
      <c r="BL210" s="731">
        <f>0</f>
        <v>0</v>
      </c>
      <c r="BM210" s="731">
        <f>0</f>
        <v>0</v>
      </c>
      <c r="BN210" s="731">
        <f>0</f>
        <v>0</v>
      </c>
      <c r="BO210" s="731">
        <f>0</f>
        <v>0</v>
      </c>
      <c r="BP210" s="731">
        <f>0</f>
        <v>0</v>
      </c>
      <c r="BQ210" s="731">
        <f>0</f>
        <v>0</v>
      </c>
      <c r="BR210" s="731">
        <f>0</f>
        <v>0</v>
      </c>
      <c r="BS210" s="731">
        <f>0</f>
        <v>0</v>
      </c>
      <c r="BT210" s="731">
        <f>0</f>
        <v>0</v>
      </c>
      <c r="BU210" s="731">
        <f>0</f>
        <v>0</v>
      </c>
      <c r="BV210" s="896">
        <f>0</f>
        <v>0</v>
      </c>
      <c r="BW210" s="731">
        <f>0</f>
        <v>0</v>
      </c>
      <c r="BX210" s="731">
        <f>0</f>
        <v>0</v>
      </c>
      <c r="BY210" s="731">
        <f>0</f>
        <v>0</v>
      </c>
      <c r="BZ210" s="731">
        <f>0</f>
        <v>0</v>
      </c>
      <c r="CA210" s="896">
        <f>0</f>
        <v>0</v>
      </c>
      <c r="CB210" s="731">
        <f>0</f>
        <v>0</v>
      </c>
      <c r="CC210" s="731">
        <f>0</f>
        <v>0</v>
      </c>
      <c r="CD210" s="731">
        <f>0</f>
        <v>0</v>
      </c>
      <c r="CE210" s="731">
        <f>0</f>
        <v>0</v>
      </c>
      <c r="CF210" s="731">
        <f>0</f>
        <v>0</v>
      </c>
      <c r="CG210" s="731">
        <f>0</f>
        <v>0</v>
      </c>
      <c r="CH210" s="731">
        <f>0</f>
        <v>0</v>
      </c>
      <c r="CI210" s="731">
        <f>0</f>
        <v>0</v>
      </c>
      <c r="CJ210" s="731">
        <f>0</f>
        <v>0</v>
      </c>
      <c r="CK210" s="731">
        <f>0</f>
        <v>0</v>
      </c>
      <c r="CL210" s="731">
        <f>0</f>
        <v>0</v>
      </c>
      <c r="CM210" s="731">
        <f>0</f>
        <v>0</v>
      </c>
      <c r="CN210" s="731">
        <f>0</f>
        <v>0</v>
      </c>
      <c r="CO210" s="731">
        <f>0</f>
        <v>0</v>
      </c>
      <c r="CP210" s="731">
        <f>0</f>
        <v>0</v>
      </c>
      <c r="CQ210" s="731">
        <f>0</f>
        <v>0</v>
      </c>
      <c r="CR210" s="731">
        <f>0</f>
        <v>0</v>
      </c>
      <c r="CS210" s="731">
        <f>0</f>
        <v>0</v>
      </c>
      <c r="CT210" s="731">
        <f>0</f>
        <v>0</v>
      </c>
      <c r="CU210" s="731">
        <f>0</f>
        <v>0</v>
      </c>
      <c r="CV210" s="2860">
        <f>b_AMX_T*X_AMX*(M_satSO2_KiO2_AMX+η_b_anox*M_satSNOx_KNOx_AMX*M_inhSO2_KiO2_AMX)</f>
        <v>1.738621794871795E-2</v>
      </c>
      <c r="CX210" s="2880">
        <f>E299*E210+F299*F210+G299*G210+H299*H210+I299*I210+J299*J210+K299*K210+L299*L210+M299*M210+N299*N210+O299*O210+P299*P210+Q299*Q210+R299*R210+S299*S210+T299*T210+U299*U210+V299*V210+W299*W210+X299*X210+Y299*Y210+Z299*Z210+AA299*AA210+AB299*AB210+AC299*AC210+AD299*AD210+AE299*AE210+AF299*AF210+AG299*AG210+AH299*AH210+AI299*AI210+AJ299*AJ210+AK299*AK210+AL299*AL210+AM299*AM210+AN299*AN210+AO299*AO210+AP299*AP210+AQ299*AQ210+AR299*AR210+AS299*AS210+AT299*AT210+AU299*AU210+AV299*AV210+AW299*AW210+AX299*AX210+AY299*AY210+AZ299*AZ210+BA299*BA210+BB299*BB210+BC299*BC210+BD299*BD210+BE299*BE210+BF299*BF210+BG299*BG210+BH299*BH210+BI299*BI210+BJ299*BJ210+BK299*BK210+BL299*BL210+BM299*BM210+BN299*BN210+BO299*BO210+BP299*BP210+BQ299*BQ210+BR299*BR210+BS299*BS210+BT299*BT210+BU299*BU210+BV299*BV210+BW299*BW210+BX299*BX210+BY299*BY210+BZ299*BZ210+CA299*CA210+CB299*CB210+CC299*CC210+CD299*CD210+CE299*CE210+CF299*CF210+CG299*CG210+CH299*CH210+CI299*CI210+CJ299*CJ210+CK299*CK210+CL299*CL210+CM299*CM210+CN299*CN210+CO299*CO210+CP299*CP210+CQ299*CQ210+CR299*CR210+CS299*CS210+CT299*CT210+CU299*CU210</f>
        <v>0</v>
      </c>
      <c r="CY210" s="2880">
        <f>E300*E210+F300*F210+G300*G210+H300*H210+I300*I210+J300*J210+K300*K210+L300*L210+M300*M210+N300*N210+O300*O210+P300*P210+Q300*Q210+R300*R210+S300*S210+T300*T210+U300*U210+V300*V210+W300*W210+X300*X210+Y300*Y210+Z300*Z210+AA300*AA210+AB300*AB210+AC300*AC210+AD300*AD210+AE300*AE210+AF300*AF210+AG300*AG210+AH300*AH210+AI300*AI210+AJ300*AJ210+AK300*AK210+AL300*AL210+AM300*AM210+AN300*AN210+AO300*AO210+AP300*AP210+AQ300*AQ210+AR300*AR210+AS300*AS210+AT300*AT210+AU300*AU210+AV300*AV210+AW300*AW210+AX300*AX210+AY300*AY210+AZ300*AZ210+BA300*BA210+BB300*BB210+BC300*BC210+BD300*BD210+BE300*BE210+BF300*BF210+BG300*BG210+BH300*BH210+BI300*BI210+BJ300*BJ210+BK300*BK210+BL300*BL210+BM300*BM210+BN300*BN210+BO300*BO210+BP300*BP210+BQ300*BQ210+BR300*BR210+BS300*BS210+BT300*BT210+BU300*BU210+BV300*BV210+BW300*BW210+BX300*BX210+BY300*BY210+BZ300*BZ210+CA300*CA210+CB300*CB210+CC300*CC210+CD300*CD210+CE300*CE210+CF300*CF210+CG300*CG210+CH300*CH210+CI300*CI210+CJ300*CJ210+CK300*CK210+CL300*CL210+CM300*CM210+CN300*CN210+CO300*CO210+CP300*CP210+CQ300*CQ210+CR300*CR210+CS300*CS210+CT300*CT210+CU300*CU210</f>
        <v>6.9388939039072284E-18</v>
      </c>
      <c r="CZ210" s="2881">
        <f>E301*E210+F301*F210+G301*G210+H301*H210+I301*I210+J301*J210+K301*K210+L301*L210+M301*M210+N301*N210+O301*O210+P301*P210+Q301*Q210+R301*R210+S301*S210+T301*T210+U301*U210+V301*V210+W301*W210+X301*X210+Y301*Y210+Z301*Z210+AA301*AA210+AB301*AB210+AC301*AC210+AD301*AD210+AE301*AE210+AF301*AF210+AG301*AG210+AH301*AH210+AI301*AI210+AJ301*AJ210+AK301*AK210+AL301*AL210+AM301*AM210+AN301*AN210+AO301*AO210+AP301*AP210+AQ301*AQ210+AR301*AR210+AS301*AS210+AT301*AT210+AU301*AU210+AV301*AV210+AW301*AW210+AX301*AX210+AY301*AY210+AZ301*AZ210+BA301*BA210+BB301*BB210+BC301*BC210+BD301*BD210+BE301*BE210+BF301*BF210+BG301*BG210+BH301*BH210+BI301*BI210+BJ301*BJ210+BK301*BK210+BL301*BL210+BM301*BM210+BN301*BN210+BO301*BO210+BP301*BP210+BQ301*BQ210+BR301*BR210+BS301*BS210+BT301*BT210+BU301*BU210+BV301*BV210+BW301*BW210+BX301*BX210+BY301*BY210+BZ301*BZ210+CA301*CA210+CB301*CB210+CC301*CC210+CD301*CD210+CE301*CE210+CF301*CF210+CG301*CG210+CH301*CH210+CI301*CI210+CJ301*CJ210+CK301*CK210+CL301*CL210+CM301*CM210+CN301*CN210+CO301*CO210+CP301*CP210+CQ301*CQ210+CR301*CR210+CS301*CS210+CT301*CT210+CU301*CU210</f>
        <v>0</v>
      </c>
      <c r="DA210" s="2882">
        <f>E302*E210+F302*F210+G302*G210+H302*H210+I302*I210+J302*J210+K302*K210+L302*L210+M302*M210+N302*N210+O302*O210+P302*P210+Q302*Q210+R302*R210+S302*S210+T302*T210+U302*U210+V302*V210+W302*W210+X302*X210+Y302*Y210+Z302*Z210+AA302*AA210+AB302*AB210+AC302*AC210+AD302*AD210+AE302*AE210+AF302*AF210+AG302*AG210+AH302*AH210+AI302*AI210+AJ302*AJ210+AK302*AK210+AL302*AL210+AM302*AM210+AN302*AN210+AO302*AO210+AP302*AP210+AQ302*AQ210+AR302*AR210+AS302*AS210+AT302*AT210+AU302*AU210+AV302*AV210+AW302*AW210+AX302*AX210+AY302*AY210+AZ302*AZ210+BA302*BA210+BB302*BB210+BC302*BC210+BD302*BD210+BE302*BE210+BF302*BF210+BG302*BG210+BH302*BH210+BI302*BI210+BJ302*BJ210+BK302*BK210+BL302*BL210+BM302*BM210+BN302*BN210+BO302*BO210+BP302*BP210+BQ302*BQ210+BR302*BR210+BS302*BS210+BT302*BT210+BU302*BU210+BV302*BV210+BW302*BW210+BX302*BX210+BY302*BY210+BZ302*BZ210+CA302*CA210+CB302*CB210+CC302*CC210+CD302*CD210+CE302*CE210+CF302*CF210+CG302*CG210+CH302*CH210+CI302*CI210+CJ302*CJ210+CK302*CK210+CL302*CL210+CM302*CM210+CN302*CN210+CO302*CO210+CP302*CP210+CQ302*CQ210+CR302*CR210+CS302*CS210+CT302*CT210+CU302*CU210</f>
        <v>0</v>
      </c>
      <c r="DB210" s="2882">
        <f>E303*E210+F303*F210+G303*G210+H303*H210+I303*I210+J303*J210+K303*K210+L303*L210+M303*M210+N303*N210+O303*O210+P303*P210+Q303*Q210+R303*R210+S303*S210+T303*T210+U303*U210+V303*V210+W303*W210+X303*X210+Y303*Y210+Z303*Z210+AA303*AA210+AB303*AB210+AC303*AC210+AD303*AD210+AE303*AE210+AF303*AF210+AG303*AG210+AH303*AH210+AI303*AI210+AJ303*AJ210+AK303*AK210+AL303*AL210+AM303*AM210+AN303*AN210+AO303*AO210+AP303*AP210+AQ303*AQ210+AR303*AR210+AS303*AS210+AT303*AT210+AU303*AU210+AV303*AV210+AW303*AW210+AX303*AX210+AY303*AY210+AZ303*AZ210+BA303*BA210+BB303*BB210+BC303*BC210+BD303*BD210+BE303*BE210+BF303*BF210+BG303*BG210+BH303*BH210+BI303*BI210+BJ303*BJ210+BK303*BK210+BL303*BL210+BM303*BM210+BN303*BN210+BO303*BO210+BP303*BP210+BQ303*BQ210+BR303*BR210+BS303*BS210+BT303*BT210+BU303*BU210+BV303*BV210+BW303*BW210+BX303*BX210+BY303*BY210+BZ303*BZ210+CA303*CA210+CB303*CB210+CC303*CC210+CD303*CD210+CE303*CE210+CF303*CF210+CG303*CG210+CH303*CH210+CI303*CI210+CJ303*CJ210+CK303*CK210+CL303*CL210+CM303*CM210+CN303*CN210+CO303*CO210+CP303*CP210+CQ303*CQ210+CR303*CR210+CS303*CS210+CT303*CT210+CU303*CU210</f>
        <v>0</v>
      </c>
      <c r="DC210" s="2882">
        <f>E304*E210+F304*F210+G304*G210+H304*H210+I304*I210+J304*J210+K304*K210+L304*L210+M304*M210+N304*N210+O304*O210+P304*P210+Q304*Q210+R304*R210+S304*S210+T304*T210+U304*U210+V304*V210+W304*W210+X304*X210+Y304*Y210+Z304*Z210+AA304*AA210+AB304*AB210+AC304*AC210+AD304*AD210+AE304*AE210+AF304*AF210+AG304*AG210+AH304*AH210+AI304*AI210+AJ304*AJ210+AK304*AK210+AL304*AL210+AM304*AM210+AN304*AN210+AO304*AO210+AP304*AP210+AQ304*AQ210+AR304*AR210+AS304*AS210+AT304*AT210+AU304*AU210+AV304*AV210+AW304*AW210+AX304*AX210+AY304*AY210+AZ304*AZ210+BA304*BA210+BB304*BB210+BC304*BC210+BD304*BD210+BE304*BE210+BF304*BF210+BG304*BG210+BH304*BH210+BI304*BI210+BJ304*BJ210+BK304*BK210+BL304*BL210+BM304*BM210+BN304*BN210+BO304*BO210+BP304*BP210+BQ304*BQ210+BR304*BR210+BS304*BS210+BT304*BT210+BU304*BU210+BV304*BV210+BW304*BW210+BX304*BX210+BY304*BY210+BZ304*BZ210+CA304*CA210+CB304*CB210+CC304*CC210+CD304*CD210+CE304*CE210+CF304*CF210+CG304*CG210+CH304*CH210+CI304*CI210+CJ304*CJ210+CK304*CK210+CL304*CL210+CM304*CM210+CN304*CN210+CO304*CO210+CP304*CP210+CQ304*CQ210+CR304*CR210+CS304*CS210+CT304*CT210+CU304*CU210</f>
        <v>0</v>
      </c>
      <c r="DD210" s="2882">
        <f>E305*E210+F305*F210+G305*G210+H305*H210+I305*I210+J305*J210+K305*K210+L305*L210+M305*M210+N305*N210+O305*O210+P305*P210+Q305*Q210+R305*R210+S305*S210+T305*T210+U305*U210+V305*V210+W305*W210+X305*X210+Y305*Y210+Z305*Z210+AA305*AA210+AB305*AB210+AC305*AC210+AD305*AD210+AE305*AE210+AF305*AF210+AG305*AG210+AH305*AH210+AI305*AI210+AJ305*AJ210+AK305*AK210+AL305*AL210+AM305*AM210+AN305*AN210+AO305*AO210+AP305*AP210+AQ305*AQ210+AR305*AR210+AS305*AS210+AT305*AT210+AU305*AU210+AV305*AV210+AW305*AW210+AX305*AX210+AY305*AY210+AZ305*AZ210+BA305*BA210+BB305*BB210+BC305*BC210+BD305*BD210+BE305*BE210+BF305*BF210+BG305*BG210+BH305*BH210+BI305*BI210+BJ305*BJ210+BK305*BK210+BL305*BL210+BM305*BM210+BN305*BN210+BO305*BO210+BP305*BP210+BQ305*BQ210+BR305*BR210+BS305*BS210+BT305*BT210+BU305*BU210+BV305*BV210+BW305*BW210+BX305*BX210+BY305*BY210+BZ305*BZ210+CA305*CA210+CB305*CB210+CC305*CC210+CD305*CD210+CE305*CE210+CF305*CF210+CG305*CG210+CH305*CH210+CI305*CI210+CJ305*CJ210+CK305*CK210+CL305*CL210+CM305*CM210+CN305*CN210+CO305*CO210+CP305*CP210+CQ305*CQ210+CR305*CR210+CS305*CS210+CT305*CT210+CU305*CU210</f>
        <v>0</v>
      </c>
      <c r="DE210" s="2882">
        <f>E306*E210+F306*F210+G306*G210+H306*H210+I306*I210+J306*J210+K306*K210+L306*L210+M306*M210+N306*N210+O306*O210+P306*P210+Q306*Q210+R306*R210+S306*S210+T306*T210+U306*U210+V306*V210+W306*W210+X306*X210+Y306*Y210+Z306*Z210+AA306*AA210+AB306*AB210+AC306*AC210+AD306*AD210+AE306*AE210+AF306*AF210+AG306*AG210+AH306*AH210+AI306*AI210+AJ306*AJ210+AK306*AK210+AL306*AL210+AM306*AM210+AN306*AN210+AO306*AO210+AP306*AP210+AQ306*AQ210+AR306*AR210+AS306*AS210+AT306*AT210+AU306*AU210+AV306*AV210+AW306*AW210+AX306*AX210+AY306*AY210+AZ306*AZ210+BA306*BA210+BB306*BB210+BC306*BC210+BD306*BD210+BE306*BE210+BF306*BF210+BG306*BG210+BH306*BH210+BI306*BI210+BJ306*BJ210+BK306*BK210+BL306*BL210+BM306*BM210+BN306*BN210+BO306*BO210+BP306*BP210+BQ306*BQ210+BR306*BR210+BS306*BS210+BT306*BT210+BU306*BU210+BV306*BV210+BW306*BW210+BX306*BX210+BY306*BY210+BZ306*BZ210+CA306*CA210+CB306*CB210+CC306*CC210+CD306*CD210+CE306*CE210+CF306*CF210+CG306*CG210+CH306*CH210+CI306*CI210+CJ306*CJ210+CK306*CK210+CL306*CL210+CM306*CM210+CN306*CN210+CO306*CO210+CP306*CP210+CQ306*CQ210+CR306*CR210+CS306*CS210+CT306*CT210+CU306*CU210</f>
        <v>0</v>
      </c>
      <c r="DF210" s="2882">
        <f>E307*E210+F307*F210+G307*G210+H307*H210+I307*I210+J307*J210+K307*K210+L307*L210+M307*M210+N307*N210+O307*O210+P307*P210+Q307*Q210+R307*R210+S307*S210+T307*T210+U307*U210+V307*V210+W307*W210+X307*X210+Y307*Y210+Z307*Z210+AA307*AA210+AB307*AB210+AC307*AC210+AD307*AD210+AE307*AE210+AF307*AF210+AG307*AG210+AH307*AH210+AI307*AI210+AJ307*AJ210+AK307*AK210+AL307*AL210+AM307*AM210+AN307*AN210+AO307*AO210+AP307*AP210+AQ307*AQ210+AR307*AR210+AS307*AS210+AT307*AT210+AU307*AU210+AV307*AV210+AW307*AW210+AX307*AX210+AY307*AY210+AZ307*AZ210+BA307*BA210+BB307*BB210+BC307*BC210+BD307*BD210+BE307*BE210+BF307*BF210+BG307*BG210+BH307*BH210+BI307*BI210+BJ307*BJ210+BK307*BK210+BL307*BL210+BM307*BM210+BN307*BN210+BO307*BO210+BP307*BP210+BQ307*BQ210+BR307*BR210+BS307*BS210+BT307*BT210+BU307*BU210+BV307*BV210+BW307*BW210+BX307*BX210+BY307*BY210+BZ307*BZ210+CA307*CA210+CB307*CB210+CC307*CC210+CD307*CD210+CE307*CE210+CF307*CF210+CG307*CG210+CH307*CH210+CI307*CI210+CJ307*CJ210+CK307*CK210+CL307*CL210+CM307*CM210+CN307*CN210+CO307*CO210+CP307*CP210+CQ307*CQ210+CR307*CR210+CS307*CS210+CT307*CT210+CU307*CU210</f>
        <v>0</v>
      </c>
      <c r="DG210" s="2882">
        <f>E308*E210+F308*F210+G308*G210+H308*H210+I308*I210+J308*J210+K308*K210+L308*L210+M308*M210+N308*N210+O308*O210+P308*P210+Q308*Q210+R308*R210+S308*S210+T308*T210+U308*U210+V308*V210+W308*W210+X308*X210+Y308*Y210+Z308*Z210+AA308*AA210+AB308*AB210+AC308*AC210+AD308*AD210+AE308*AE210+AF308*AF210+AG308*AG210+AH308*AH210+AI308*AI210+AJ308*AJ210+AK308*AK210+AL308*AL210+AM308*AM210+AN308*AN210+AO308*AO210+AP308*AP210+AQ308*AQ210+AR308*AR210+AS308*AS210+AT308*AT210+AU308*AU210+AV308*AV210+AW308*AW210+AX308*AX210+AY308*AY210+AZ308*AZ210+BA308*BA210+BB308*BB210+BC308*BC210+BD308*BD210+BE308*BE210+BF308*BF210+BG308*BG210+BH308*BH210+BI308*BI210+BJ308*BJ210+BK308*BK210+BL308*BL210+BM308*BM210+BN308*BN210+BO308*BO210+BP308*BP210+BQ308*BQ210+BR308*BR210+BS308*BS210+BT308*BT210+BU308*BU210+BV308*BV210+BW308*BW210+BX308*BX210+BY308*BY210+BZ308*BZ210+CA308*CA210+CB308*CB210+CC308*CC210+CD308*CD210+CE308*CE210+CF308*CF210+CG308*CG210+CH308*CH210+CI308*CI210+CJ308*CJ210+CK308*CK210+CL308*CL210+CM308*CM210+CN308*CN210+CO308*CO210+CP308*CP210+CQ308*CQ210+CR308*CR210+CS308*CS210+CT308*CT210+CU308*CU210</f>
        <v>0</v>
      </c>
      <c r="DH210" s="2882">
        <f>E309*E210+F309*F210+G309*G210+H309*H210+I309*I210+J309*J210+K309*K210+L309*L210+M309*M210+N309*N210+O309*O210+P309*P210+Q309*Q210+R309*R210+S309*S210+T309*T210+U309*U210+V309*V210+W309*W210+X309*X210+Y309*Y210+Z309*Z210+AA309*AA210+AB309*AB210+AC309*AC210+AD309*AD210+AE309*AE210+AF309*AF210+AG309*AG210+AH309*AH210+AI309*AI210+AJ309*AJ210+AK309*AK210+AL309*AL210+AM309*AM210+AN309*AN210+AO309*AO210+AP309*AP210+AQ309*AQ210+AR309*AR210+AS309*AS210+AT309*AT210+AU309*AU210+AV309*AV210+AW309*AW210+AX309*AX210+AY309*AY210+AZ309*AZ210+BA309*BA210+BB309*BB210+BC309*BC210+BD309*BD210+BE309*BE210+BF309*BF210+BG309*BG210+BH309*BH210+BI309*BI210+BJ309*BJ210+BK309*BK210+BL309*BL210+BM309*BM210+BN309*BN210+BO309*BO210+BP309*BP210+BQ309*BQ210+BR309*BR210+BS309*BS210+BT309*BT210+BU309*BU210+BV309*BV210+BW309*BW210+BX309*BX210+BY309*BY210+BZ309*BZ210+CA309*CA210+CB309*CB210+CC309*CC210+CD309*CD210+CE309*CE210+CF309*CF210+CG309*CG210+CH309*CH210+CI309*CI210+CJ309*CJ210+CK309*CK210+CL309*CL210+CM309*CM210+CN309*CN210+CO309*CO210+CP309*CP210+CQ309*CQ210+CR309*CR210+CS309*CS210+CT309*CT210+CU309*CU210</f>
        <v>0</v>
      </c>
      <c r="DI210" s="2882">
        <f>E310*E210+F310*F210+G310*G210+H310*H210+I310*I210+J310*J210+K310*K210+L310*L210+M310*M210+N310*N210+O310*O210+P310*P210+Q310*Q210+R310*R210+S310*S210+T310*T210+U310*U210+V310*V210+W310*W210+X310*X210+Y310*Y210+Z310*Z210+AA310*AA210+AB310*AB210+AC310*AC210+AD310*AD210+AE310*AE210+AF310*AF210+AG310*AG210+AH310*AH210+AI310*AI210+AJ310*AJ210+AK310*AK210+AL310*AL210+AM310*AM210+AN310*AN210+AO310*AO210+AP310*AP210+AQ310*AQ210+AR310*AR210+AS310*AS210+AT310*AT210+AU310*AU210+AV310*AV210+AW310*AW210+AX310*AX210+AY310*AY210+AZ310*AZ210+BA310*BA210+BB310*BB210+BC310*BC210+BD310*BD210+BE310*BE210+BF310*BF210+BG310*BG210+BH310*BH210+BI310*BI210+BJ310*BJ210+BK310*BK210+BL310*BL210+BM310*BM210+BN310*BN210+BO310*BO210+BP310*BP210+BQ310*BQ210+BR310*BR210+BS310*BS210+BT310*BT210+BU310*BU210+BV310*BV210+BW310*BW210+BX310*BX210+BY310*BY210+BZ310*BZ210+CA310*CA210+CB310*CB210+CC310*CC210+CD310*CD210+CE310*CE210+CF310*CF210+CG310*CG210+CH310*CH210+CI310*CI210+CJ310*CJ210+CK310*CK210+CL310*CL210+CM310*CM210+CN310*CN210+CO310*CO210+CP310*CP210+CQ310*CQ210+CR310*CR210+CS310*CS210+CT310*CT210+CU310*CU210</f>
        <v>0</v>
      </c>
    </row>
    <row r="211" spans="2:113" x14ac:dyDescent="0.45">
      <c r="B211" s="774">
        <v>52</v>
      </c>
      <c r="C211" s="774" t="s">
        <v>2166</v>
      </c>
      <c r="D211" s="775" t="s">
        <v>3078</v>
      </c>
      <c r="E211" s="731">
        <f>0</f>
        <v>0</v>
      </c>
      <c r="F211" s="731">
        <f>0</f>
        <v>0</v>
      </c>
      <c r="G211" s="731">
        <f>0</f>
        <v>0</v>
      </c>
      <c r="H211" s="731">
        <f>0</f>
        <v>0</v>
      </c>
      <c r="I211" s="731">
        <f>1-f_E</f>
        <v>0.92</v>
      </c>
      <c r="J211" s="731">
        <f>0</f>
        <v>0</v>
      </c>
      <c r="K211" s="731">
        <f>0</f>
        <v>0</v>
      </c>
      <c r="L211" s="731">
        <f>0</f>
        <v>0</v>
      </c>
      <c r="M211" s="731">
        <f>0</f>
        <v>0</v>
      </c>
      <c r="N211" s="731">
        <f>0</f>
        <v>0</v>
      </c>
      <c r="O211" s="731">
        <f>0</f>
        <v>0</v>
      </c>
      <c r="P211" s="731">
        <f>f_E</f>
        <v>0.08</v>
      </c>
      <c r="Q211" s="731">
        <f>0</f>
        <v>0</v>
      </c>
      <c r="R211" s="731">
        <f>0</f>
        <v>0</v>
      </c>
      <c r="S211" s="731">
        <f>0</f>
        <v>0</v>
      </c>
      <c r="T211" s="731">
        <f>0</f>
        <v>0</v>
      </c>
      <c r="U211" s="731">
        <f>0</f>
        <v>0</v>
      </c>
      <c r="V211" s="731">
        <f>-1</f>
        <v>-1</v>
      </c>
      <c r="W211" s="731">
        <f>0</f>
        <v>0</v>
      </c>
      <c r="X211" s="731">
        <f>0</f>
        <v>0</v>
      </c>
      <c r="Y211" s="731">
        <f>0</f>
        <v>0</v>
      </c>
      <c r="Z211" s="731">
        <f>0</f>
        <v>0</v>
      </c>
      <c r="AA211" s="731">
        <f>0</f>
        <v>0</v>
      </c>
      <c r="AB211" s="731">
        <f>-f_E*(i_N_XE-i_N_BIO)</f>
        <v>8.0000000000000069E-4</v>
      </c>
      <c r="AC211" s="731">
        <f>0</f>
        <v>0</v>
      </c>
      <c r="AD211" s="731">
        <f>0</f>
        <v>0</v>
      </c>
      <c r="AE211" s="731">
        <f>0</f>
        <v>0</v>
      </c>
      <c r="AF211" s="731">
        <f>0</f>
        <v>0</v>
      </c>
      <c r="AG211" s="731">
        <f>0</f>
        <v>0</v>
      </c>
      <c r="AH211" s="731">
        <f>0</f>
        <v>0</v>
      </c>
      <c r="AI211" s="731">
        <f>0</f>
        <v>0</v>
      </c>
      <c r="AJ211" s="731">
        <f>0</f>
        <v>0</v>
      </c>
      <c r="AK211" s="731">
        <f>(1-f_E)*i_N_BIO</f>
        <v>6.4400000000000013E-2</v>
      </c>
      <c r="AL211" s="731">
        <f>0</f>
        <v>0</v>
      </c>
      <c r="AM211" s="731">
        <f>0</f>
        <v>0</v>
      </c>
      <c r="AN211" s="731">
        <f>0</f>
        <v>0</v>
      </c>
      <c r="AO211" s="731">
        <f>0</f>
        <v>0</v>
      </c>
      <c r="AP211" s="731">
        <f>(1-f_E)*i_P_BIO</f>
        <v>1.84E-2</v>
      </c>
      <c r="AQ211" s="731">
        <f>0</f>
        <v>0</v>
      </c>
      <c r="AR211" s="731">
        <f>0</f>
        <v>0</v>
      </c>
      <c r="AS211" s="731">
        <f>0</f>
        <v>0</v>
      </c>
      <c r="AT211" s="731">
        <f>0</f>
        <v>0</v>
      </c>
      <c r="AU211" s="731">
        <f>(1-f_E)*(i_CIT_BIO-i_CIT_SB)</f>
        <v>6.0720000000000003E-2</v>
      </c>
      <c r="AV211" s="731">
        <f>-i_INORG</f>
        <v>-0.11</v>
      </c>
      <c r="AW211" s="731">
        <f>i_INORG*(1-i_Ca_INORG*(A_MCa+2*A_MCl)/A_MCa-i_Mg_INORG*(A_MMg+2*A_MCl)/A_MMg)*f_Na</f>
        <v>2.8804303582798466E-2</v>
      </c>
      <c r="AX211" s="731">
        <f>i_INORG*(i_Ca_INORG*(2*A_MCl)/A_MCa+i_Mg_INORG*(2*A_MCl)/A_MMg)+i_INORG*(1-i_Ca_INORG*(A_MCa+2*A_MCl)/A_MCa-i_Mg_INORG*(A_MMg+2*A_MCl)/A_MMg)*(1-f_Na)</f>
        <v>7.0195696417201539E-2</v>
      </c>
      <c r="AY211" s="731">
        <f>i_INORG*i_Ca_INORG</f>
        <v>5.5000000000000005E-3</v>
      </c>
      <c r="AZ211" s="731">
        <f>i_INORG*i_Mg_INORG</f>
        <v>5.5000000000000005E-3</v>
      </c>
      <c r="BA211" s="731">
        <f>0</f>
        <v>0</v>
      </c>
      <c r="BB211" s="731">
        <f>0</f>
        <v>0</v>
      </c>
      <c r="BC211" s="731">
        <f>(1-f_E)*i_S_BIO-(1-f_E)*i_S_XB</f>
        <v>7.8200000000000006E-3</v>
      </c>
      <c r="BD211" s="731">
        <f>0</f>
        <v>0</v>
      </c>
      <c r="BE211" s="731">
        <f>0</f>
        <v>0</v>
      </c>
      <c r="BF211" s="731">
        <f>0</f>
        <v>0</v>
      </c>
      <c r="BG211" s="731">
        <f>0</f>
        <v>0</v>
      </c>
      <c r="BH211" s="731">
        <f>0</f>
        <v>0</v>
      </c>
      <c r="BI211" s="731">
        <f>0</f>
        <v>0</v>
      </c>
      <c r="BJ211" s="731">
        <f>0</f>
        <v>0</v>
      </c>
      <c r="BK211" s="731">
        <f>0</f>
        <v>0</v>
      </c>
      <c r="BL211" s="731">
        <f>0</f>
        <v>0</v>
      </c>
      <c r="BM211" s="731">
        <f>0</f>
        <v>0</v>
      </c>
      <c r="BN211" s="731">
        <f>0</f>
        <v>0</v>
      </c>
      <c r="BO211" s="731">
        <f>0</f>
        <v>0</v>
      </c>
      <c r="BP211" s="731">
        <f>0</f>
        <v>0</v>
      </c>
      <c r="BQ211" s="731">
        <f>0</f>
        <v>0</v>
      </c>
      <c r="BR211" s="731">
        <f>0</f>
        <v>0</v>
      </c>
      <c r="BS211" s="731">
        <f>0</f>
        <v>0</v>
      </c>
      <c r="BT211" s="731">
        <f>0</f>
        <v>0</v>
      </c>
      <c r="BU211" s="731">
        <f>0</f>
        <v>0</v>
      </c>
      <c r="BV211" s="896">
        <f>0</f>
        <v>0</v>
      </c>
      <c r="BW211" s="731">
        <f>0</f>
        <v>0</v>
      </c>
      <c r="BX211" s="731">
        <f>0</f>
        <v>0</v>
      </c>
      <c r="BY211" s="731">
        <f>0</f>
        <v>0</v>
      </c>
      <c r="BZ211" s="731">
        <f>0</f>
        <v>0</v>
      </c>
      <c r="CA211" s="896">
        <f>0</f>
        <v>0</v>
      </c>
      <c r="CB211" s="731">
        <f>0</f>
        <v>0</v>
      </c>
      <c r="CC211" s="731">
        <f>0</f>
        <v>0</v>
      </c>
      <c r="CD211" s="731">
        <f>0</f>
        <v>0</v>
      </c>
      <c r="CE211" s="731">
        <f>0</f>
        <v>0</v>
      </c>
      <c r="CF211" s="731">
        <f>0</f>
        <v>0</v>
      </c>
      <c r="CG211" s="731">
        <f>0</f>
        <v>0</v>
      </c>
      <c r="CH211" s="731">
        <f>0</f>
        <v>0</v>
      </c>
      <c r="CI211" s="731">
        <f>0</f>
        <v>0</v>
      </c>
      <c r="CJ211" s="731">
        <f>0</f>
        <v>0</v>
      </c>
      <c r="CK211" s="731">
        <f>0</f>
        <v>0</v>
      </c>
      <c r="CL211" s="731">
        <f>0</f>
        <v>0</v>
      </c>
      <c r="CM211" s="731">
        <f>0</f>
        <v>0</v>
      </c>
      <c r="CN211" s="731">
        <f>0</f>
        <v>0</v>
      </c>
      <c r="CO211" s="731">
        <f>0</f>
        <v>0</v>
      </c>
      <c r="CP211" s="731">
        <f>0</f>
        <v>0</v>
      </c>
      <c r="CQ211" s="731">
        <f>0</f>
        <v>0</v>
      </c>
      <c r="CR211" s="731">
        <f>0</f>
        <v>0</v>
      </c>
      <c r="CS211" s="731">
        <f>0</f>
        <v>0</v>
      </c>
      <c r="CT211" s="731">
        <f>0</f>
        <v>0</v>
      </c>
      <c r="CU211" s="731">
        <f>0</f>
        <v>0</v>
      </c>
      <c r="CV211" s="2860">
        <f>b_AMX_T*X_AMX*(η_b_ana*M_inhSNOx_KNOx_AMX*M_inhSO2_KiO2_AMX)</f>
        <v>1.522435897435898E-5</v>
      </c>
      <c r="CX211" s="2880">
        <f>E299*E211+F299*F211+G299*G211+H299*H211+I299*I211+J299*J211+K299*K211+L299*L211+M299*M211+N299*N211+O299*O211+P299*P211+Q299*Q211+R299*R211+S299*S211+T299*T211+U299*U211+V299*V211+W299*W211+X299*X211+Y299*Y211+Z299*Z211+AA299*AA211+AB299*AB211+AC299*AC211+AD299*AD211+AE299*AE211+AF299*AF211+AG299*AG211+AH299*AH211+AI299*AI211+AJ299*AJ211+AK299*AK211+AL299*AL211+AM299*AM211+AN299*AN211+AO299*AO211+AP299*AP211+AQ299*AQ211+AR299*AR211+AS299*AS211+AT299*AT211+AU299*AU211+AV299*AV211+AW299*AW211+AX299*AX211+AY299*AY211+AZ299*AZ211+BA299*BA211+BB299*BB211+BC299*BC211+BD299*BD211+BE299*BE211+BF299*BF211+BG299*BG211+BH299*BH211+BI299*BI211+BJ299*BJ211+BK299*BK211+BL299*BL211+BM299*BM211+BN299*BN211+BO299*BO211+BP299*BP211+BQ299*BQ211+BR299*BR211+BS299*BS211+BT299*BT211+BU299*BU211+BV299*BV211+BW299*BW211+BX299*BX211+BY299*BY211+BZ299*BZ211+CA299*CA211+CB299*CB211+CC299*CC211+CD299*CD211+CE299*CE211+CF299*CF211+CG299*CG211+CH299*CH211+CI299*CI211+CJ299*CJ211+CK299*CK211+CL299*CL211+CM299*CM211+CN299*CN211+CO299*CO211+CP299*CP211+CQ299*CQ211+CR299*CR211+CS299*CS211+CT299*CT211+CU299*CU211</f>
        <v>0</v>
      </c>
      <c r="CY211" s="2880">
        <f>E300*E211+F300*F211+G300*G211+H300*H211+I300*I211+J300*J211+K300*K211+L300*L211+M300*M211+N300*N211+O300*O211+P300*P211+Q300*Q211+R300*R211+S300*S211+T300*T211+U300*U211+V300*V211+W300*W211+X300*X211+Y300*Y211+Z300*Z211+AA300*AA211+AB300*AB211+AC300*AC211+AD300*AD211+AE300*AE211+AF300*AF211+AG300*AG211+AH300*AH211+AI300*AI211+AJ300*AJ211+AK300*AK211+AL300*AL211+AM300*AM211+AN300*AN211+AO300*AO211+AP300*AP211+AQ300*AQ211+AR300*AR211+AS300*AS211+AT300*AT211+AU300*AU211+AV300*AV211+AW300*AW211+AX300*AX211+AY300*AY211+AZ300*AZ211+BA300*BA211+BB300*BB211+BC300*BC211+BD300*BD211+BE300*BE211+BF300*BF211+BG300*BG211+BH300*BH211+BI300*BI211+BJ300*BJ211+BK300*BK211+BL300*BL211+BM300*BM211+BN300*BN211+BO300*BO211+BP300*BP211+BQ300*BQ211+BR300*BR211+BS300*BS211+BT300*BT211+BU300*BU211+BV300*BV211+BW300*BW211+BX300*BX211+BY300*BY211+BZ300*BZ211+CA300*CA211+CB300*CB211+CC300*CC211+CD300*CD211+CE300*CE211+CF300*CF211+CG300*CG211+CH300*CH211+CI300*CI211+CJ300*CJ211+CK300*CK211+CL300*CL211+CM300*CM211+CN300*CN211+CO300*CO211+CP300*CP211+CQ300*CQ211+CR300*CR211+CS300*CS211+CT300*CT211+CU300*CU211</f>
        <v>6.9388939039072284E-18</v>
      </c>
      <c r="CZ211" s="2881">
        <f>E301*E211+F301*F211+G301*G211+H301*H211+I301*I211+J301*J211+K301*K211+L301*L211+M301*M211+N301*N211+O301*O211+P301*P211+Q301*Q211+R301*R211+S301*S211+T301*T211+U301*U211+V301*V211+W301*W211+X301*X211+Y301*Y211+Z301*Z211+AA301*AA211+AB301*AB211+AC301*AC211+AD301*AD211+AE301*AE211+AF301*AF211+AG301*AG211+AH301*AH211+AI301*AI211+AJ301*AJ211+AK301*AK211+AL301*AL211+AM301*AM211+AN301*AN211+AO301*AO211+AP301*AP211+AQ301*AQ211+AR301*AR211+AS301*AS211+AT301*AT211+AU301*AU211+AV301*AV211+AW301*AW211+AX301*AX211+AY301*AY211+AZ301*AZ211+BA301*BA211+BB301*BB211+BC301*BC211+BD301*BD211+BE301*BE211+BF301*BF211+BG301*BG211+BH301*BH211+BI301*BI211+BJ301*BJ211+BK301*BK211+BL301*BL211+BM301*BM211+BN301*BN211+BO301*BO211+BP301*BP211+BQ301*BQ211+BR301*BR211+BS301*BS211+BT301*BT211+BU301*BU211+BV301*BV211+BW301*BW211+BX301*BX211+BY301*BY211+BZ301*BZ211+CA301*CA211+CB301*CB211+CC301*CC211+CD301*CD211+CE301*CE211+CF301*CF211+CG301*CG211+CH301*CH211+CI301*CI211+CJ301*CJ211+CK301*CK211+CL301*CL211+CM301*CM211+CN301*CN211+CO301*CO211+CP301*CP211+CQ301*CQ211+CR301*CR211+CS301*CS211+CT301*CT211+CU301*CU211</f>
        <v>0</v>
      </c>
      <c r="DA211" s="2882">
        <f>E302*E211+F302*F211+G302*G211+H302*H211+I302*I211+J302*J211+K302*K211+L302*L211+M302*M211+N302*N211+O302*O211+P302*P211+Q302*Q211+R302*R211+S302*S211+T302*T211+U302*U211+V302*V211+W302*W211+X302*X211+Y302*Y211+Z302*Z211+AA302*AA211+AB302*AB211+AC302*AC211+AD302*AD211+AE302*AE211+AF302*AF211+AG302*AG211+AH302*AH211+AI302*AI211+AJ302*AJ211+AK302*AK211+AL302*AL211+AM302*AM211+AN302*AN211+AO302*AO211+AP302*AP211+AQ302*AQ211+AR302*AR211+AS302*AS211+AT302*AT211+AU302*AU211+AV302*AV211+AW302*AW211+AX302*AX211+AY302*AY211+AZ302*AZ211+BA302*BA211+BB302*BB211+BC302*BC211+BD302*BD211+BE302*BE211+BF302*BF211+BG302*BG211+BH302*BH211+BI302*BI211+BJ302*BJ211+BK302*BK211+BL302*BL211+BM302*BM211+BN302*BN211+BO302*BO211+BP302*BP211+BQ302*BQ211+BR302*BR211+BS302*BS211+BT302*BT211+BU302*BU211+BV302*BV211+BW302*BW211+BX302*BX211+BY302*BY211+BZ302*BZ211+CA302*CA211+CB302*CB211+CC302*CC211+CD302*CD211+CE302*CE211+CF302*CF211+CG302*CG211+CH302*CH211+CI302*CI211+CJ302*CJ211+CK302*CK211+CL302*CL211+CM302*CM211+CN302*CN211+CO302*CO211+CP302*CP211+CQ302*CQ211+CR302*CR211+CS302*CS211+CT302*CT211+CU302*CU211</f>
        <v>0</v>
      </c>
      <c r="DB211" s="2882">
        <f>E303*E211+F303*F211+G303*G211+H303*H211+I303*I211+J303*J211+K303*K211+L303*L211+M303*M211+N303*N211+O303*O211+P303*P211+Q303*Q211+R303*R211+S303*S211+T303*T211+U303*U211+V303*V211+W303*W211+X303*X211+Y303*Y211+Z303*Z211+AA303*AA211+AB303*AB211+AC303*AC211+AD303*AD211+AE303*AE211+AF303*AF211+AG303*AG211+AH303*AH211+AI303*AI211+AJ303*AJ211+AK303*AK211+AL303*AL211+AM303*AM211+AN303*AN211+AO303*AO211+AP303*AP211+AQ303*AQ211+AR303*AR211+AS303*AS211+AT303*AT211+AU303*AU211+AV303*AV211+AW303*AW211+AX303*AX211+AY303*AY211+AZ303*AZ211+BA303*BA211+BB303*BB211+BC303*BC211+BD303*BD211+BE303*BE211+BF303*BF211+BG303*BG211+BH303*BH211+BI303*BI211+BJ303*BJ211+BK303*BK211+BL303*BL211+BM303*BM211+BN303*BN211+BO303*BO211+BP303*BP211+BQ303*BQ211+BR303*BR211+BS303*BS211+BT303*BT211+BU303*BU211+BV303*BV211+BW303*BW211+BX303*BX211+BY303*BY211+BZ303*BZ211+CA303*CA211+CB303*CB211+CC303*CC211+CD303*CD211+CE303*CE211+CF303*CF211+CG303*CG211+CH303*CH211+CI303*CI211+CJ303*CJ211+CK303*CK211+CL303*CL211+CM303*CM211+CN303*CN211+CO303*CO211+CP303*CP211+CQ303*CQ211+CR303*CR211+CS303*CS211+CT303*CT211+CU303*CU211</f>
        <v>0</v>
      </c>
      <c r="DC211" s="2882">
        <f>E304*E211+F304*F211+G304*G211+H304*H211+I304*I211+J304*J211+K304*K211+L304*L211+M304*M211+N304*N211+O304*O211+P304*P211+Q304*Q211+R304*R211+S304*S211+T304*T211+U304*U211+V304*V211+W304*W211+X304*X211+Y304*Y211+Z304*Z211+AA304*AA211+AB304*AB211+AC304*AC211+AD304*AD211+AE304*AE211+AF304*AF211+AG304*AG211+AH304*AH211+AI304*AI211+AJ304*AJ211+AK304*AK211+AL304*AL211+AM304*AM211+AN304*AN211+AO304*AO211+AP304*AP211+AQ304*AQ211+AR304*AR211+AS304*AS211+AT304*AT211+AU304*AU211+AV304*AV211+AW304*AW211+AX304*AX211+AY304*AY211+AZ304*AZ211+BA304*BA211+BB304*BB211+BC304*BC211+BD304*BD211+BE304*BE211+BF304*BF211+BG304*BG211+BH304*BH211+BI304*BI211+BJ304*BJ211+BK304*BK211+BL304*BL211+BM304*BM211+BN304*BN211+BO304*BO211+BP304*BP211+BQ304*BQ211+BR304*BR211+BS304*BS211+BT304*BT211+BU304*BU211+BV304*BV211+BW304*BW211+BX304*BX211+BY304*BY211+BZ304*BZ211+CA304*CA211+CB304*CB211+CC304*CC211+CD304*CD211+CE304*CE211+CF304*CF211+CG304*CG211+CH304*CH211+CI304*CI211+CJ304*CJ211+CK304*CK211+CL304*CL211+CM304*CM211+CN304*CN211+CO304*CO211+CP304*CP211+CQ304*CQ211+CR304*CR211+CS304*CS211+CT304*CT211+CU304*CU211</f>
        <v>0</v>
      </c>
      <c r="DD211" s="2882">
        <f>E305*E211+F305*F211+G305*G211+H305*H211+I305*I211+J305*J211+K305*K211+L305*L211+M305*M211+N305*N211+O305*O211+P305*P211+Q305*Q211+R305*R211+S305*S211+T305*T211+U305*U211+V305*V211+W305*W211+X305*X211+Y305*Y211+Z305*Z211+AA305*AA211+AB305*AB211+AC305*AC211+AD305*AD211+AE305*AE211+AF305*AF211+AG305*AG211+AH305*AH211+AI305*AI211+AJ305*AJ211+AK305*AK211+AL305*AL211+AM305*AM211+AN305*AN211+AO305*AO211+AP305*AP211+AQ305*AQ211+AR305*AR211+AS305*AS211+AT305*AT211+AU305*AU211+AV305*AV211+AW305*AW211+AX305*AX211+AY305*AY211+AZ305*AZ211+BA305*BA211+BB305*BB211+BC305*BC211+BD305*BD211+BE305*BE211+BF305*BF211+BG305*BG211+BH305*BH211+BI305*BI211+BJ305*BJ211+BK305*BK211+BL305*BL211+BM305*BM211+BN305*BN211+BO305*BO211+BP305*BP211+BQ305*BQ211+BR305*BR211+BS305*BS211+BT305*BT211+BU305*BU211+BV305*BV211+BW305*BW211+BX305*BX211+BY305*BY211+BZ305*BZ211+CA305*CA211+CB305*CB211+CC305*CC211+CD305*CD211+CE305*CE211+CF305*CF211+CG305*CG211+CH305*CH211+CI305*CI211+CJ305*CJ211+CK305*CK211+CL305*CL211+CM305*CM211+CN305*CN211+CO305*CO211+CP305*CP211+CQ305*CQ211+CR305*CR211+CS305*CS211+CT305*CT211+CU305*CU211</f>
        <v>0</v>
      </c>
      <c r="DE211" s="2882">
        <f>E306*E211+F306*F211+G306*G211+H306*H211+I306*I211+J306*J211+K306*K211+L306*L211+M306*M211+N306*N211+O306*O211+P306*P211+Q306*Q211+R306*R211+S306*S211+T306*T211+U306*U211+V306*V211+W306*W211+X306*X211+Y306*Y211+Z306*Z211+AA306*AA211+AB306*AB211+AC306*AC211+AD306*AD211+AE306*AE211+AF306*AF211+AG306*AG211+AH306*AH211+AI306*AI211+AJ306*AJ211+AK306*AK211+AL306*AL211+AM306*AM211+AN306*AN211+AO306*AO211+AP306*AP211+AQ306*AQ211+AR306*AR211+AS306*AS211+AT306*AT211+AU306*AU211+AV306*AV211+AW306*AW211+AX306*AX211+AY306*AY211+AZ306*AZ211+BA306*BA211+BB306*BB211+BC306*BC211+BD306*BD211+BE306*BE211+BF306*BF211+BG306*BG211+BH306*BH211+BI306*BI211+BJ306*BJ211+BK306*BK211+BL306*BL211+BM306*BM211+BN306*BN211+BO306*BO211+BP306*BP211+BQ306*BQ211+BR306*BR211+BS306*BS211+BT306*BT211+BU306*BU211+BV306*BV211+BW306*BW211+BX306*BX211+BY306*BY211+BZ306*BZ211+CA306*CA211+CB306*CB211+CC306*CC211+CD306*CD211+CE306*CE211+CF306*CF211+CG306*CG211+CH306*CH211+CI306*CI211+CJ306*CJ211+CK306*CK211+CL306*CL211+CM306*CM211+CN306*CN211+CO306*CO211+CP306*CP211+CQ306*CQ211+CR306*CR211+CS306*CS211+CT306*CT211+CU306*CU211</f>
        <v>0</v>
      </c>
      <c r="DF211" s="2882">
        <f>E307*E211+F307*F211+G307*G211+H307*H211+I307*I211+J307*J211+K307*K211+L307*L211+M307*M211+N307*N211+O307*O211+P307*P211+Q307*Q211+R307*R211+S307*S211+T307*T211+U307*U211+V307*V211+W307*W211+X307*X211+Y307*Y211+Z307*Z211+AA307*AA211+AB307*AB211+AC307*AC211+AD307*AD211+AE307*AE211+AF307*AF211+AG307*AG211+AH307*AH211+AI307*AI211+AJ307*AJ211+AK307*AK211+AL307*AL211+AM307*AM211+AN307*AN211+AO307*AO211+AP307*AP211+AQ307*AQ211+AR307*AR211+AS307*AS211+AT307*AT211+AU307*AU211+AV307*AV211+AW307*AW211+AX307*AX211+AY307*AY211+AZ307*AZ211+BA307*BA211+BB307*BB211+BC307*BC211+BD307*BD211+BE307*BE211+BF307*BF211+BG307*BG211+BH307*BH211+BI307*BI211+BJ307*BJ211+BK307*BK211+BL307*BL211+BM307*BM211+BN307*BN211+BO307*BO211+BP307*BP211+BQ307*BQ211+BR307*BR211+BS307*BS211+BT307*BT211+BU307*BU211+BV307*BV211+BW307*BW211+BX307*BX211+BY307*BY211+BZ307*BZ211+CA307*CA211+CB307*CB211+CC307*CC211+CD307*CD211+CE307*CE211+CF307*CF211+CG307*CG211+CH307*CH211+CI307*CI211+CJ307*CJ211+CK307*CK211+CL307*CL211+CM307*CM211+CN307*CN211+CO307*CO211+CP307*CP211+CQ307*CQ211+CR307*CR211+CS307*CS211+CT307*CT211+CU307*CU211</f>
        <v>0</v>
      </c>
      <c r="DG211" s="2882">
        <f>E308*E211+F308*F211+G308*G211+H308*H211+I308*I211+J308*J211+K308*K211+L308*L211+M308*M211+N308*N211+O308*O211+P308*P211+Q308*Q211+R308*R211+S308*S211+T308*T211+U308*U211+V308*V211+W308*W211+X308*X211+Y308*Y211+Z308*Z211+AA308*AA211+AB308*AB211+AC308*AC211+AD308*AD211+AE308*AE211+AF308*AF211+AG308*AG211+AH308*AH211+AI308*AI211+AJ308*AJ211+AK308*AK211+AL308*AL211+AM308*AM211+AN308*AN211+AO308*AO211+AP308*AP211+AQ308*AQ211+AR308*AR211+AS308*AS211+AT308*AT211+AU308*AU211+AV308*AV211+AW308*AW211+AX308*AX211+AY308*AY211+AZ308*AZ211+BA308*BA211+BB308*BB211+BC308*BC211+BD308*BD211+BE308*BE211+BF308*BF211+BG308*BG211+BH308*BH211+BI308*BI211+BJ308*BJ211+BK308*BK211+BL308*BL211+BM308*BM211+BN308*BN211+BO308*BO211+BP308*BP211+BQ308*BQ211+BR308*BR211+BS308*BS211+BT308*BT211+BU308*BU211+BV308*BV211+BW308*BW211+BX308*BX211+BY308*BY211+BZ308*BZ211+CA308*CA211+CB308*CB211+CC308*CC211+CD308*CD211+CE308*CE211+CF308*CF211+CG308*CG211+CH308*CH211+CI308*CI211+CJ308*CJ211+CK308*CK211+CL308*CL211+CM308*CM211+CN308*CN211+CO308*CO211+CP308*CP211+CQ308*CQ211+CR308*CR211+CS308*CS211+CT308*CT211+CU308*CU211</f>
        <v>0</v>
      </c>
      <c r="DH211" s="2882">
        <f>E309*E211+F309*F211+G309*G211+H309*H211+I309*I211+J309*J211+K309*K211+L309*L211+M309*M211+N309*N211+O309*O211+P309*P211+Q309*Q211+R309*R211+S309*S211+T309*T211+U309*U211+V309*V211+W309*W211+X309*X211+Y309*Y211+Z309*Z211+AA309*AA211+AB309*AB211+AC309*AC211+AD309*AD211+AE309*AE211+AF309*AF211+AG309*AG211+AH309*AH211+AI309*AI211+AJ309*AJ211+AK309*AK211+AL309*AL211+AM309*AM211+AN309*AN211+AO309*AO211+AP309*AP211+AQ309*AQ211+AR309*AR211+AS309*AS211+AT309*AT211+AU309*AU211+AV309*AV211+AW309*AW211+AX309*AX211+AY309*AY211+AZ309*AZ211+BA309*BA211+BB309*BB211+BC309*BC211+BD309*BD211+BE309*BE211+BF309*BF211+BG309*BG211+BH309*BH211+BI309*BI211+BJ309*BJ211+BK309*BK211+BL309*BL211+BM309*BM211+BN309*BN211+BO309*BO211+BP309*BP211+BQ309*BQ211+BR309*BR211+BS309*BS211+BT309*BT211+BU309*BU211+BV309*BV211+BW309*BW211+BX309*BX211+BY309*BY211+BZ309*BZ211+CA309*CA211+CB309*CB211+CC309*CC211+CD309*CD211+CE309*CE211+CF309*CF211+CG309*CG211+CH309*CH211+CI309*CI211+CJ309*CJ211+CK309*CK211+CL309*CL211+CM309*CM211+CN309*CN211+CO309*CO211+CP309*CP211+CQ309*CQ211+CR309*CR211+CS309*CS211+CT309*CT211+CU309*CU211</f>
        <v>0</v>
      </c>
      <c r="DI211" s="2882">
        <f>E310*E211+F310*F211+G310*G211+H310*H211+I310*I211+J310*J211+K310*K211+L310*L211+M310*M211+N310*N211+O310*O211+P310*P211+Q310*Q211+R310*R211+S310*S211+T310*T211+U310*U211+V310*V211+W310*W211+X310*X211+Y310*Y211+Z310*Z211+AA310*AA211+AB310*AB211+AC310*AC211+AD310*AD211+AE310*AE211+AF310*AF211+AG310*AG211+AH310*AH211+AI310*AI211+AJ310*AJ211+AK310*AK211+AL310*AL211+AM310*AM211+AN310*AN211+AO310*AO211+AP310*AP211+AQ310*AQ211+AR310*AR211+AS310*AS211+AT310*AT211+AU310*AU211+AV310*AV211+AW310*AW211+AX310*AX211+AY310*AY211+AZ310*AZ211+BA310*BA211+BB310*BB211+BC310*BC211+BD310*BD211+BE310*BE211+BF310*BF211+BG310*BG211+BH310*BH211+BI310*BI211+BJ310*BJ211+BK310*BK211+BL310*BL211+BM310*BM211+BN310*BN211+BO310*BO211+BP310*BP211+BQ310*BQ211+BR310*BR211+BS310*BS211+BT310*BT211+BU310*BU211+BV310*BV211+BW310*BW211+BX310*BX211+BY310*BY211+BZ310*BZ211+CA310*CA211+CB310*CB211+CC310*CC211+CD310*CD211+CE310*CE211+CF310*CF211+CG310*CG211+CH310*CH211+CI310*CI211+CJ310*CJ211+CK310*CK211+CL310*CL211+CM310*CM211+CN310*CN211+CO310*CO211+CP310*CP211+CQ310*CQ211+CR310*CR211+CS310*CS211+CT310*CT211+CU310*CU211</f>
        <v>0</v>
      </c>
    </row>
    <row r="212" spans="2:113" x14ac:dyDescent="0.45">
      <c r="B212" s="778">
        <v>53</v>
      </c>
      <c r="C212" s="778" t="s">
        <v>2167</v>
      </c>
      <c r="D212" s="779" t="s">
        <v>304</v>
      </c>
      <c r="E212" s="780">
        <f>-1/Y_AMETO</f>
        <v>-10</v>
      </c>
      <c r="F212" s="732">
        <f>0</f>
        <v>0</v>
      </c>
      <c r="G212" s="732">
        <f>0</f>
        <v>0</v>
      </c>
      <c r="H212" s="732">
        <f>0</f>
        <v>0</v>
      </c>
      <c r="I212" s="732">
        <f>0</f>
        <v>0</v>
      </c>
      <c r="J212" s="732">
        <f>0</f>
        <v>0</v>
      </c>
      <c r="K212" s="732">
        <f>0</f>
        <v>0</v>
      </c>
      <c r="L212" s="732">
        <f>0</f>
        <v>0</v>
      </c>
      <c r="M212" s="732">
        <f>0</f>
        <v>0</v>
      </c>
      <c r="N212" s="732">
        <f>0</f>
        <v>0</v>
      </c>
      <c r="O212" s="732">
        <f>0</f>
        <v>0</v>
      </c>
      <c r="P212" s="732">
        <f>0</f>
        <v>0</v>
      </c>
      <c r="Q212" s="732">
        <f>0</f>
        <v>0</v>
      </c>
      <c r="R212" s="732">
        <f>0</f>
        <v>0</v>
      </c>
      <c r="S212" s="732">
        <f>0</f>
        <v>0</v>
      </c>
      <c r="T212" s="732">
        <f>0</f>
        <v>0</v>
      </c>
      <c r="U212" s="732">
        <f>0</f>
        <v>0</v>
      </c>
      <c r="V212" s="732">
        <f>0</f>
        <v>0</v>
      </c>
      <c r="W212" s="732">
        <f>1</f>
        <v>1</v>
      </c>
      <c r="X212" s="732">
        <f>0</f>
        <v>0</v>
      </c>
      <c r="Y212" s="732">
        <f>0</f>
        <v>0</v>
      </c>
      <c r="Z212" s="732">
        <f>0</f>
        <v>0</v>
      </c>
      <c r="AA212" s="732">
        <f>0</f>
        <v>0</v>
      </c>
      <c r="AB212" s="732">
        <f>-i_N_BIO</f>
        <v>-7.0000000000000007E-2</v>
      </c>
      <c r="AC212" s="732">
        <f>0</f>
        <v>0</v>
      </c>
      <c r="AD212" s="732">
        <f>0</f>
        <v>0</v>
      </c>
      <c r="AE212" s="732">
        <f>0</f>
        <v>0</v>
      </c>
      <c r="AF212" s="732">
        <f>0</f>
        <v>0</v>
      </c>
      <c r="AG212" s="732">
        <f>0</f>
        <v>0</v>
      </c>
      <c r="AH212" s="732">
        <f>0</f>
        <v>0</v>
      </c>
      <c r="AI212" s="732">
        <f>0</f>
        <v>0</v>
      </c>
      <c r="AJ212" s="732">
        <f>0</f>
        <v>0</v>
      </c>
      <c r="AK212" s="732">
        <f>0</f>
        <v>0</v>
      </c>
      <c r="AL212" s="732">
        <f>0</f>
        <v>0</v>
      </c>
      <c r="AM212" s="780">
        <f>-i_P_BIO</f>
        <v>-0.02</v>
      </c>
      <c r="AN212" s="732">
        <f>0</f>
        <v>0</v>
      </c>
      <c r="AO212" s="732">
        <f>0</f>
        <v>0</v>
      </c>
      <c r="AP212" s="732">
        <f>0</f>
        <v>0</v>
      </c>
      <c r="AQ212" s="732">
        <f>0</f>
        <v>0</v>
      </c>
      <c r="AR212" s="732">
        <f>0</f>
        <v>0</v>
      </c>
      <c r="AS212" s="732">
        <f>(1-Y_AMETO)/Y_AMETO</f>
        <v>9</v>
      </c>
      <c r="AT212" s="732">
        <f>0</f>
        <v>0</v>
      </c>
      <c r="AU212" s="732">
        <f>i_CIT_VFA*1/Y_AMETO-i_CIT_BIO-i_CIT_CH4*(1-Y_AMETO)/Y_AMETO</f>
        <v>1.706</v>
      </c>
      <c r="AV212" s="780">
        <f>i_INORG</f>
        <v>0.11</v>
      </c>
      <c r="AW212" s="780">
        <f>-i_INORG*(1-i_Ca_INORG*(A_MCa+2*A_MCl)/A_MCa-i_Mg_INORG*(A_MMg+2*A_MCl)/A_MMg)*f_Na</f>
        <v>-2.8804303582798466E-2</v>
      </c>
      <c r="AX212" s="780">
        <f>-i_INORG*(i_Ca_INORG*(2*A_MCl)/A_MCa+i_Mg_INORG*(2*A_MCl)/A_MMg)-i_INORG*(1-i_Ca_INORG*(A_MCa+2*A_MCl)/A_MCa-i_Mg_INORG*(A_MMg+2*A_MCl)/A_MMg)*(1-f_Na)</f>
        <v>-7.0195696417201539E-2</v>
      </c>
      <c r="AY212" s="780">
        <f>-i_INORG*i_Ca_INORG</f>
        <v>-5.5000000000000005E-3</v>
      </c>
      <c r="AZ212" s="780">
        <f>-i_INORG*i_Mg_INORG</f>
        <v>-5.5000000000000005E-3</v>
      </c>
      <c r="BA212" s="780">
        <f>0</f>
        <v>0</v>
      </c>
      <c r="BB212" s="780">
        <f>0</f>
        <v>0</v>
      </c>
      <c r="BC212" s="2850">
        <f>-i_S_BIO</f>
        <v>-0.01</v>
      </c>
      <c r="BD212" s="780">
        <f>0</f>
        <v>0</v>
      </c>
      <c r="BE212" s="780">
        <f>0</f>
        <v>0</v>
      </c>
      <c r="BF212" s="780">
        <f>0</f>
        <v>0</v>
      </c>
      <c r="BG212" s="780">
        <f>0</f>
        <v>0</v>
      </c>
      <c r="BH212" s="780">
        <f>0</f>
        <v>0</v>
      </c>
      <c r="BI212" s="780">
        <f>0</f>
        <v>0</v>
      </c>
      <c r="BJ212" s="780">
        <f>0</f>
        <v>0</v>
      </c>
      <c r="BK212" s="780">
        <f>0</f>
        <v>0</v>
      </c>
      <c r="BL212" s="780">
        <f>0</f>
        <v>0</v>
      </c>
      <c r="BM212" s="780">
        <f>0</f>
        <v>0</v>
      </c>
      <c r="BN212" s="780">
        <f>0</f>
        <v>0</v>
      </c>
      <c r="BO212" s="780">
        <f>0</f>
        <v>0</v>
      </c>
      <c r="BP212" s="780">
        <f>0</f>
        <v>0</v>
      </c>
      <c r="BQ212" s="780">
        <f>0</f>
        <v>0</v>
      </c>
      <c r="BR212" s="780">
        <f>0</f>
        <v>0</v>
      </c>
      <c r="BS212" s="780">
        <f>0</f>
        <v>0</v>
      </c>
      <c r="BT212" s="780">
        <f>0</f>
        <v>0</v>
      </c>
      <c r="BU212" s="780">
        <f>0</f>
        <v>0</v>
      </c>
      <c r="BV212" s="897">
        <f>0</f>
        <v>0</v>
      </c>
      <c r="BW212" s="780">
        <f>0</f>
        <v>0</v>
      </c>
      <c r="BX212" s="780">
        <f>0</f>
        <v>0</v>
      </c>
      <c r="BY212" s="780">
        <f>0</f>
        <v>0</v>
      </c>
      <c r="BZ212" s="780">
        <f>0</f>
        <v>0</v>
      </c>
      <c r="CA212" s="897">
        <f>0</f>
        <v>0</v>
      </c>
      <c r="CB212" s="780">
        <f>0</f>
        <v>0</v>
      </c>
      <c r="CC212" s="780">
        <f>0</f>
        <v>0</v>
      </c>
      <c r="CD212" s="780">
        <f>0</f>
        <v>0</v>
      </c>
      <c r="CE212" s="780">
        <f>0</f>
        <v>0</v>
      </c>
      <c r="CF212" s="780">
        <f>0</f>
        <v>0</v>
      </c>
      <c r="CG212" s="780">
        <f>0</f>
        <v>0</v>
      </c>
      <c r="CH212" s="780">
        <f>0</f>
        <v>0</v>
      </c>
      <c r="CI212" s="780">
        <f>0</f>
        <v>0</v>
      </c>
      <c r="CJ212" s="780">
        <f>0</f>
        <v>0</v>
      </c>
      <c r="CK212" s="780">
        <f>0</f>
        <v>0</v>
      </c>
      <c r="CL212" s="780">
        <f>0</f>
        <v>0</v>
      </c>
      <c r="CM212" s="780">
        <f>0</f>
        <v>0</v>
      </c>
      <c r="CN212" s="780">
        <f>0</f>
        <v>0</v>
      </c>
      <c r="CO212" s="780">
        <f>0</f>
        <v>0</v>
      </c>
      <c r="CP212" s="780">
        <f>0</f>
        <v>0</v>
      </c>
      <c r="CQ212" s="780">
        <f>0</f>
        <v>0</v>
      </c>
      <c r="CR212" s="780">
        <f>0</f>
        <v>0</v>
      </c>
      <c r="CS212" s="780">
        <f>0</f>
        <v>0</v>
      </c>
      <c r="CT212" s="780">
        <f>0</f>
        <v>0</v>
      </c>
      <c r="CU212" s="780">
        <f>0</f>
        <v>0</v>
      </c>
      <c r="CV212" s="2861">
        <f>µ_AMETO_T*X_AMETO*H_satSVFA_AMETO*M_inhSO2_KiO2_AMETO*M_inhSNOx_KNO3_AMETO*L_oginhpHNH3_AMETO*M_satSNHx_KNHx_BIO*M_satSPO4_KPO4_BIO*M_satSCAT_KCAT*M_satSAN_KAN*M_satSCa_KCa*M_satSMg_KMg*B_ellinhpH_AMETO</f>
        <v>5.2580491000979624E-10</v>
      </c>
      <c r="CX212" s="2880">
        <f>E299*E212+F299*F212+G299*G212+H299*H212+I299*I212+J299*J212+K299*K212+L299*L212+M299*M212+N299*N212+O299*O212+P299*P212+Q299*Q212+R299*R212+S299*S212+T299*T212+U299*U212+V299*V212+W299*W212+X299*X212+Y299*Y212+Z299*Z212+AA299*AA212+AB299*AB212+AC299*AC212+AD299*AD212+AE299*AE212+AF299*AF212+AG299*AG212+AH299*AH212+AI299*AI212+AJ299*AJ212+AK299*AK212+AL299*AL212+AM299*AM212+AN299*AN212+AO299*AO212+AP299*AP212+AQ299*AQ212+AR299*AR212+AS299*AS212+AT299*AT212+AU299*AU212+AV299*AV212+AW299*AW212+AX299*AX212+AY299*AY212+AZ299*AZ212+BA299*BA212+BB299*BB212+BC299*BC212+BD299*BD212+BE299*BE212+BF299*BF212+BG299*BG212+BH299*BH212+BI299*BI212+BJ299*BJ212+BK299*BK212+BL299*BL212+BM299*BM212+BN299*BN212+BO299*BO212+BP299*BP212+BQ299*BQ212+BR299*BR212+BS299*BS212+BT299*BT212+BU299*BU212+BV299*BV212+BW299*BW212+BX299*BX212+BY299*BY212+BZ299*BZ212+CA299*CA212+CB299*CB212+CC299*CC212+CD299*CD212+CE299*CE212+CF299*CF212+CG299*CG212+CH299*CH212+CI299*CI212+CJ299*CJ212+CK299*CK212+CL299*CL212+CM299*CM212+CN299*CN212+CO299*CO212+CP299*CP212+CQ299*CQ212+CR299*CR212+CS299*CS212+CT299*CT212+CU299*CU212</f>
        <v>0</v>
      </c>
      <c r="CY212" s="2880">
        <f>E300*E212+F300*F212+G300*G212+H300*H212+I300*I212+J300*J212+K300*K212+L300*L212+M300*M212+N300*N212+O300*O212+P300*P212+Q300*Q212+R300*R212+S300*S212+T300*T212+U300*U212+V300*V212+W300*W212+X300*X212+Y300*Y212+Z300*Z212+AA300*AA212+AB300*AB212+AC300*AC212+AD300*AD212+AE300*AE212+AF300*AF212+AG300*AG212+AH300*AH212+AI300*AI212+AJ300*AJ212+AK300*AK212+AL300*AL212+AM300*AM212+AN300*AN212+AO300*AO212+AP300*AP212+AQ300*AQ212+AR300*AR212+AS300*AS212+AT300*AT212+AU300*AU212+AV300*AV212+AW300*AW212+AX300*AX212+AY300*AY212+AZ300*AZ212+BA300*BA212+BB300*BB212+BC300*BC212+BD300*BD212+BE300*BE212+BF300*BF212+BG300*BG212+BH300*BH212+BI300*BI212+BJ300*BJ212+BK300*BK212+BL300*BL212+BM300*BM212+BN300*BN212+BO300*BO212+BP300*BP212+BQ300*BQ212+BR300*BR212+BS300*BS212+BT300*BT212+BU300*BU212+BV300*BV212+BW300*BW212+BX300*BX212+BY300*BY212+BZ300*BZ212+CA300*CA212+CB300*CB212+CC300*CC212+CD300*CD212+CE300*CE212+CF300*CF212+CG300*CG212+CH300*CH212+CI300*CI212+CJ300*CJ212+CK300*CK212+CL300*CL212+CM300*CM212+CN300*CN212+CO300*CO212+CP300*CP212+CQ300*CQ212+CR300*CR212+CS300*CS212+CT300*CT212+CU300*CU212</f>
        <v>-2.2204460492503131E-16</v>
      </c>
      <c r="CZ212" s="2881">
        <f>E301*E212+F301*F212+G301*G212+H301*H212+I301*I212+J301*J212+K301*K212+L301*L212+M301*M212+N301*N212+O301*O212+P301*P212+Q301*Q212+R301*R212+S301*S212+T301*T212+U301*U212+V301*V212+W301*W212+X301*X212+Y301*Y212+Z301*Z212+AA301*AA212+AB301*AB212+AC301*AC212+AD301*AD212+AE301*AE212+AF301*AF212+AG301*AG212+AH301*AH212+AI301*AI212+AJ301*AJ212+AK301*AK212+AL301*AL212+AM301*AM212+AN301*AN212+AO301*AO212+AP301*AP212+AQ301*AQ212+AR301*AR212+AS301*AS212+AT301*AT212+AU301*AU212+AV301*AV212+AW301*AW212+AX301*AX212+AY301*AY212+AZ301*AZ212+BA301*BA212+BB301*BB212+BC301*BC212+BD301*BD212+BE301*BE212+BF301*BF212+BG301*BG212+BH301*BH212+BI301*BI212+BJ301*BJ212+BK301*BK212+BL301*BL212+BM301*BM212+BN301*BN212+BO301*BO212+BP301*BP212+BQ301*BQ212+BR301*BR212+BS301*BS212+BT301*BT212+BU301*BU212+BV301*BV212+BW301*BW212+BX301*BX212+BY301*BY212+BZ301*BZ212+CA301*CA212+CB301*CB212+CC301*CC212+CD301*CD212+CE301*CE212+CF301*CF212+CG301*CG212+CH301*CH212+CI301*CI212+CJ301*CJ212+CK301*CK212+CL301*CL212+CM301*CM212+CN301*CN212+CO301*CO212+CP301*CP212+CQ301*CQ212+CR301*CR212+CS301*CS212+CT301*CT212+CU301*CU212</f>
        <v>0</v>
      </c>
      <c r="DA212" s="2882">
        <f>E302*E212+F302*F212+G302*G212+H302*H212+I302*I212+J302*J212+K302*K212+L302*L212+M302*M212+N302*N212+O302*O212+P302*P212+Q302*Q212+R302*R212+S302*S212+T302*T212+U302*U212+V302*V212+W302*W212+X302*X212+Y302*Y212+Z302*Z212+AA302*AA212+AB302*AB212+AC302*AC212+AD302*AD212+AE302*AE212+AF302*AF212+AG302*AG212+AH302*AH212+AI302*AI212+AJ302*AJ212+AK302*AK212+AL302*AL212+AM302*AM212+AN302*AN212+AO302*AO212+AP302*AP212+AQ302*AQ212+AR302*AR212+AS302*AS212+AT302*AT212+AU302*AU212+AV302*AV212+AW302*AW212+AX302*AX212+AY302*AY212+AZ302*AZ212+BA302*BA212+BB302*BB212+BC302*BC212+BD302*BD212+BE302*BE212+BF302*BF212+BG302*BG212+BH302*BH212+BI302*BI212+BJ302*BJ212+BK302*BK212+BL302*BL212+BM302*BM212+BN302*BN212+BO302*BO212+BP302*BP212+BQ302*BQ212+BR302*BR212+BS302*BS212+BT302*BT212+BU302*BU212+BV302*BV212+BW302*BW212+BX302*BX212+BY302*BY212+BZ302*BZ212+CA302*CA212+CB302*CB212+CC302*CC212+CD302*CD212+CE302*CE212+CF302*CF212+CG302*CG212+CH302*CH212+CI302*CI212+CJ302*CJ212+CK302*CK212+CL302*CL212+CM302*CM212+CN302*CN212+CO302*CO212+CP302*CP212+CQ302*CQ212+CR302*CR212+CS302*CS212+CT302*CT212+CU302*CU212</f>
        <v>0</v>
      </c>
      <c r="DB212" s="2882">
        <f>E303*E212+F303*F212+G303*G212+H303*H212+I303*I212+J303*J212+K303*K212+L303*L212+M303*M212+N303*N212+O303*O212+P303*P212+Q303*Q212+R303*R212+S303*S212+T303*T212+U303*U212+V303*V212+W303*W212+X303*X212+Y303*Y212+Z303*Z212+AA303*AA212+AB303*AB212+AC303*AC212+AD303*AD212+AE303*AE212+AF303*AF212+AG303*AG212+AH303*AH212+AI303*AI212+AJ303*AJ212+AK303*AK212+AL303*AL212+AM303*AM212+AN303*AN212+AO303*AO212+AP303*AP212+AQ303*AQ212+AR303*AR212+AS303*AS212+AT303*AT212+AU303*AU212+AV303*AV212+AW303*AW212+AX303*AX212+AY303*AY212+AZ303*AZ212+BA303*BA212+BB303*BB212+BC303*BC212+BD303*BD212+BE303*BE212+BF303*BF212+BG303*BG212+BH303*BH212+BI303*BI212+BJ303*BJ212+BK303*BK212+BL303*BL212+BM303*BM212+BN303*BN212+BO303*BO212+BP303*BP212+BQ303*BQ212+BR303*BR212+BS303*BS212+BT303*BT212+BU303*BU212+BV303*BV212+BW303*BW212+BX303*BX212+BY303*BY212+BZ303*BZ212+CA303*CA212+CB303*CB212+CC303*CC212+CD303*CD212+CE303*CE212+CF303*CF212+CG303*CG212+CH303*CH212+CI303*CI212+CJ303*CJ212+CK303*CK212+CL303*CL212+CM303*CM212+CN303*CN212+CO303*CO212+CP303*CP212+CQ303*CQ212+CR303*CR212+CS303*CS212+CT303*CT212+CU303*CU212</f>
        <v>0</v>
      </c>
      <c r="DC212" s="2882">
        <f>E304*E212+F304*F212+G304*G212+H304*H212+I304*I212+J304*J212+K304*K212+L304*L212+M304*M212+N304*N212+O304*O212+P304*P212+Q304*Q212+R304*R212+S304*S212+T304*T212+U304*U212+V304*V212+W304*W212+X304*X212+Y304*Y212+Z304*Z212+AA304*AA212+AB304*AB212+AC304*AC212+AD304*AD212+AE304*AE212+AF304*AF212+AG304*AG212+AH304*AH212+AI304*AI212+AJ304*AJ212+AK304*AK212+AL304*AL212+AM304*AM212+AN304*AN212+AO304*AO212+AP304*AP212+AQ304*AQ212+AR304*AR212+AS304*AS212+AT304*AT212+AU304*AU212+AV304*AV212+AW304*AW212+AX304*AX212+AY304*AY212+AZ304*AZ212+BA304*BA212+BB304*BB212+BC304*BC212+BD304*BD212+BE304*BE212+BF304*BF212+BG304*BG212+BH304*BH212+BI304*BI212+BJ304*BJ212+BK304*BK212+BL304*BL212+BM304*BM212+BN304*BN212+BO304*BO212+BP304*BP212+BQ304*BQ212+BR304*BR212+BS304*BS212+BT304*BT212+BU304*BU212+BV304*BV212+BW304*BW212+BX304*BX212+BY304*BY212+BZ304*BZ212+CA304*CA212+CB304*CB212+CC304*CC212+CD304*CD212+CE304*CE212+CF304*CF212+CG304*CG212+CH304*CH212+CI304*CI212+CJ304*CJ212+CK304*CK212+CL304*CL212+CM304*CM212+CN304*CN212+CO304*CO212+CP304*CP212+CQ304*CQ212+CR304*CR212+CS304*CS212+CT304*CT212+CU304*CU212</f>
        <v>0</v>
      </c>
      <c r="DD212" s="2882">
        <f>E305*E212+F305*F212+G305*G212+H305*H212+I305*I212+J305*J212+K305*K212+L305*L212+M305*M212+N305*N212+O305*O212+P305*P212+Q305*Q212+R305*R212+S305*S212+T305*T212+U305*U212+V305*V212+W305*W212+X305*X212+Y305*Y212+Z305*Z212+AA305*AA212+AB305*AB212+AC305*AC212+AD305*AD212+AE305*AE212+AF305*AF212+AG305*AG212+AH305*AH212+AI305*AI212+AJ305*AJ212+AK305*AK212+AL305*AL212+AM305*AM212+AN305*AN212+AO305*AO212+AP305*AP212+AQ305*AQ212+AR305*AR212+AS305*AS212+AT305*AT212+AU305*AU212+AV305*AV212+AW305*AW212+AX305*AX212+AY305*AY212+AZ305*AZ212+BA305*BA212+BB305*BB212+BC305*BC212+BD305*BD212+BE305*BE212+BF305*BF212+BG305*BG212+BH305*BH212+BI305*BI212+BJ305*BJ212+BK305*BK212+BL305*BL212+BM305*BM212+BN305*BN212+BO305*BO212+BP305*BP212+BQ305*BQ212+BR305*BR212+BS305*BS212+BT305*BT212+BU305*BU212+BV305*BV212+BW305*BW212+BX305*BX212+BY305*BY212+BZ305*BZ212+CA305*CA212+CB305*CB212+CC305*CC212+CD305*CD212+CE305*CE212+CF305*CF212+CG305*CG212+CH305*CH212+CI305*CI212+CJ305*CJ212+CK305*CK212+CL305*CL212+CM305*CM212+CN305*CN212+CO305*CO212+CP305*CP212+CQ305*CQ212+CR305*CR212+CS305*CS212+CT305*CT212+CU305*CU212</f>
        <v>0</v>
      </c>
      <c r="DE212" s="2882">
        <f>E306*E212+F306*F212+G306*G212+H306*H212+I306*I212+J306*J212+K306*K212+L306*L212+M306*M212+N306*N212+O306*O212+P306*P212+Q306*Q212+R306*R212+S306*S212+T306*T212+U306*U212+V306*V212+W306*W212+X306*X212+Y306*Y212+Z306*Z212+AA306*AA212+AB306*AB212+AC306*AC212+AD306*AD212+AE306*AE212+AF306*AF212+AG306*AG212+AH306*AH212+AI306*AI212+AJ306*AJ212+AK306*AK212+AL306*AL212+AM306*AM212+AN306*AN212+AO306*AO212+AP306*AP212+AQ306*AQ212+AR306*AR212+AS306*AS212+AT306*AT212+AU306*AU212+AV306*AV212+AW306*AW212+AX306*AX212+AY306*AY212+AZ306*AZ212+BA306*BA212+BB306*BB212+BC306*BC212+BD306*BD212+BE306*BE212+BF306*BF212+BG306*BG212+BH306*BH212+BI306*BI212+BJ306*BJ212+BK306*BK212+BL306*BL212+BM306*BM212+BN306*BN212+BO306*BO212+BP306*BP212+BQ306*BQ212+BR306*BR212+BS306*BS212+BT306*BT212+BU306*BU212+BV306*BV212+BW306*BW212+BX306*BX212+BY306*BY212+BZ306*BZ212+CA306*CA212+CB306*CB212+CC306*CC212+CD306*CD212+CE306*CE212+CF306*CF212+CG306*CG212+CH306*CH212+CI306*CI212+CJ306*CJ212+CK306*CK212+CL306*CL212+CM306*CM212+CN306*CN212+CO306*CO212+CP306*CP212+CQ306*CQ212+CR306*CR212+CS306*CS212+CT306*CT212+CU306*CU212</f>
        <v>0</v>
      </c>
      <c r="DF212" s="2882">
        <f>E307*E212+F307*F212+G307*G212+H307*H212+I307*I212+J307*J212+K307*K212+L307*L212+M307*M212+N307*N212+O307*O212+P307*P212+Q307*Q212+R307*R212+S307*S212+T307*T212+U307*U212+V307*V212+W307*W212+X307*X212+Y307*Y212+Z307*Z212+AA307*AA212+AB307*AB212+AC307*AC212+AD307*AD212+AE307*AE212+AF307*AF212+AG307*AG212+AH307*AH212+AI307*AI212+AJ307*AJ212+AK307*AK212+AL307*AL212+AM307*AM212+AN307*AN212+AO307*AO212+AP307*AP212+AQ307*AQ212+AR307*AR212+AS307*AS212+AT307*AT212+AU307*AU212+AV307*AV212+AW307*AW212+AX307*AX212+AY307*AY212+AZ307*AZ212+BA307*BA212+BB307*BB212+BC307*BC212+BD307*BD212+BE307*BE212+BF307*BF212+BG307*BG212+BH307*BH212+BI307*BI212+BJ307*BJ212+BK307*BK212+BL307*BL212+BM307*BM212+BN307*BN212+BO307*BO212+BP307*BP212+BQ307*BQ212+BR307*BR212+BS307*BS212+BT307*BT212+BU307*BU212+BV307*BV212+BW307*BW212+BX307*BX212+BY307*BY212+BZ307*BZ212+CA307*CA212+CB307*CB212+CC307*CC212+CD307*CD212+CE307*CE212+CF307*CF212+CG307*CG212+CH307*CH212+CI307*CI212+CJ307*CJ212+CK307*CK212+CL307*CL212+CM307*CM212+CN307*CN212+CO307*CO212+CP307*CP212+CQ307*CQ212+CR307*CR212+CS307*CS212+CT307*CT212+CU307*CU212</f>
        <v>0</v>
      </c>
      <c r="DG212" s="2882">
        <f>E308*E212+F308*F212+G308*G212+H308*H212+I308*I212+J308*J212+K308*K212+L308*L212+M308*M212+N308*N212+O308*O212+P308*P212+Q308*Q212+R308*R212+S308*S212+T308*T212+U308*U212+V308*V212+W308*W212+X308*X212+Y308*Y212+Z308*Z212+AA308*AA212+AB308*AB212+AC308*AC212+AD308*AD212+AE308*AE212+AF308*AF212+AG308*AG212+AH308*AH212+AI308*AI212+AJ308*AJ212+AK308*AK212+AL308*AL212+AM308*AM212+AN308*AN212+AO308*AO212+AP308*AP212+AQ308*AQ212+AR308*AR212+AS308*AS212+AT308*AT212+AU308*AU212+AV308*AV212+AW308*AW212+AX308*AX212+AY308*AY212+AZ308*AZ212+BA308*BA212+BB308*BB212+BC308*BC212+BD308*BD212+BE308*BE212+BF308*BF212+BG308*BG212+BH308*BH212+BI308*BI212+BJ308*BJ212+BK308*BK212+BL308*BL212+BM308*BM212+BN308*BN212+BO308*BO212+BP308*BP212+BQ308*BQ212+BR308*BR212+BS308*BS212+BT308*BT212+BU308*BU212+BV308*BV212+BW308*BW212+BX308*BX212+BY308*BY212+BZ308*BZ212+CA308*CA212+CB308*CB212+CC308*CC212+CD308*CD212+CE308*CE212+CF308*CF212+CG308*CG212+CH308*CH212+CI308*CI212+CJ308*CJ212+CK308*CK212+CL308*CL212+CM308*CM212+CN308*CN212+CO308*CO212+CP308*CP212+CQ308*CQ212+CR308*CR212+CS308*CS212+CT308*CT212+CU308*CU212</f>
        <v>0</v>
      </c>
      <c r="DH212" s="2882">
        <f>E309*E212+F309*F212+G309*G212+H309*H212+I309*I212+J309*J212+K309*K212+L309*L212+M309*M212+N309*N212+O309*O212+P309*P212+Q309*Q212+R309*R212+S309*S212+T309*T212+U309*U212+V309*V212+W309*W212+X309*X212+Y309*Y212+Z309*Z212+AA309*AA212+AB309*AB212+AC309*AC212+AD309*AD212+AE309*AE212+AF309*AF212+AG309*AG212+AH309*AH212+AI309*AI212+AJ309*AJ212+AK309*AK212+AL309*AL212+AM309*AM212+AN309*AN212+AO309*AO212+AP309*AP212+AQ309*AQ212+AR309*AR212+AS309*AS212+AT309*AT212+AU309*AU212+AV309*AV212+AW309*AW212+AX309*AX212+AY309*AY212+AZ309*AZ212+BA309*BA212+BB309*BB212+BC309*BC212+BD309*BD212+BE309*BE212+BF309*BF212+BG309*BG212+BH309*BH212+BI309*BI212+BJ309*BJ212+BK309*BK212+BL309*BL212+BM309*BM212+BN309*BN212+BO309*BO212+BP309*BP212+BQ309*BQ212+BR309*BR212+BS309*BS212+BT309*BT212+BU309*BU212+BV309*BV212+BW309*BW212+BX309*BX212+BY309*BY212+BZ309*BZ212+CA309*CA212+CB309*CB212+CC309*CC212+CD309*CD212+CE309*CE212+CF309*CF212+CG309*CG212+CH309*CH212+CI309*CI212+CJ309*CJ212+CK309*CK212+CL309*CL212+CM309*CM212+CN309*CN212+CO309*CO212+CP309*CP212+CQ309*CQ212+CR309*CR212+CS309*CS212+CT309*CT212+CU309*CU212</f>
        <v>0</v>
      </c>
      <c r="DI212" s="2882">
        <f>E310*E212+F310*F212+G310*G212+H310*H212+I310*I212+J310*J212+K310*K212+L310*L212+M310*M212+N310*N212+O310*O212+P310*P212+Q310*Q212+R310*R212+S310*S212+T310*T212+U310*U212+V310*V212+W310*W212+X310*X212+Y310*Y212+Z310*Z212+AA310*AA212+AB310*AB212+AC310*AC212+AD310*AD212+AE310*AE212+AF310*AF212+AG310*AG212+AH310*AH212+AI310*AI212+AJ310*AJ212+AK310*AK212+AL310*AL212+AM310*AM212+AN310*AN212+AO310*AO212+AP310*AP212+AQ310*AQ212+AR310*AR212+AS310*AS212+AT310*AT212+AU310*AU212+AV310*AV212+AW310*AW212+AX310*AX212+AY310*AY212+AZ310*AZ212+BA310*BA212+BB310*BB212+BC310*BC212+BD310*BD212+BE310*BE212+BF310*BF212+BG310*BG212+BH310*BH212+BI310*BI212+BJ310*BJ212+BK310*BK212+BL310*BL212+BM310*BM212+BN310*BN212+BO310*BO212+BP310*BP212+BQ310*BQ212+BR310*BR212+BS310*BS212+BT310*BT212+BU310*BU212+BV310*BV212+BW310*BW212+BX310*BX212+BY310*BY212+BZ310*BZ212+CA310*CA212+CB310*CB212+CC310*CC212+CD310*CD212+CE310*CE212+CF310*CF212+CG310*CG212+CH310*CH212+CI310*CI212+CJ310*CJ212+CK310*CK212+CL310*CL212+CM310*CM212+CN310*CN212+CO310*CO212+CP310*CP212+CQ310*CQ212+CR310*CR212+CS310*CS212+CT310*CT212+CU310*CU212</f>
        <v>0</v>
      </c>
    </row>
    <row r="213" spans="2:113" x14ac:dyDescent="0.45">
      <c r="B213" s="778">
        <v>54</v>
      </c>
      <c r="C213" s="778" t="s">
        <v>2168</v>
      </c>
      <c r="D213" s="779" t="s">
        <v>296</v>
      </c>
      <c r="E213" s="732">
        <f>0</f>
        <v>0</v>
      </c>
      <c r="F213" s="732">
        <f>0</f>
        <v>0</v>
      </c>
      <c r="G213" s="732">
        <f>0</f>
        <v>0</v>
      </c>
      <c r="H213" s="732">
        <f>0</f>
        <v>0</v>
      </c>
      <c r="I213" s="732">
        <f>1-f_E</f>
        <v>0.92</v>
      </c>
      <c r="J213" s="732">
        <f>0</f>
        <v>0</v>
      </c>
      <c r="K213" s="732">
        <f>0</f>
        <v>0</v>
      </c>
      <c r="L213" s="732">
        <f>0</f>
        <v>0</v>
      </c>
      <c r="M213" s="732">
        <f>0</f>
        <v>0</v>
      </c>
      <c r="N213" s="732">
        <f>0</f>
        <v>0</v>
      </c>
      <c r="O213" s="732">
        <f>f_E</f>
        <v>0.08</v>
      </c>
      <c r="P213" s="732">
        <f>0</f>
        <v>0</v>
      </c>
      <c r="Q213" s="732">
        <f>0</f>
        <v>0</v>
      </c>
      <c r="R213" s="732">
        <f>0</f>
        <v>0</v>
      </c>
      <c r="S213" s="732">
        <f>0</f>
        <v>0</v>
      </c>
      <c r="T213" s="732">
        <f>0</f>
        <v>0</v>
      </c>
      <c r="U213" s="732">
        <f>0</f>
        <v>0</v>
      </c>
      <c r="V213" s="732">
        <f>0</f>
        <v>0</v>
      </c>
      <c r="W213" s="732">
        <f>-1</f>
        <v>-1</v>
      </c>
      <c r="X213" s="732">
        <f>0</f>
        <v>0</v>
      </c>
      <c r="Y213" s="732">
        <f>0</f>
        <v>0</v>
      </c>
      <c r="Z213" s="732">
        <f>0</f>
        <v>0</v>
      </c>
      <c r="AA213" s="732">
        <f>0</f>
        <v>0</v>
      </c>
      <c r="AB213" s="732">
        <f>-f_E*(i_N_XE-i_N_BIO)</f>
        <v>8.0000000000000069E-4</v>
      </c>
      <c r="AC213" s="732">
        <f>0</f>
        <v>0</v>
      </c>
      <c r="AD213" s="732">
        <f>0</f>
        <v>0</v>
      </c>
      <c r="AE213" s="732">
        <f>0</f>
        <v>0</v>
      </c>
      <c r="AF213" s="732">
        <f>0</f>
        <v>0</v>
      </c>
      <c r="AG213" s="732">
        <f>0</f>
        <v>0</v>
      </c>
      <c r="AH213" s="732">
        <f>0</f>
        <v>0</v>
      </c>
      <c r="AI213" s="732">
        <f>0</f>
        <v>0</v>
      </c>
      <c r="AJ213" s="732">
        <f>0</f>
        <v>0</v>
      </c>
      <c r="AK213" s="732">
        <f>(1-f_E)*i_N_BIO</f>
        <v>6.4400000000000013E-2</v>
      </c>
      <c r="AL213" s="732">
        <f>0</f>
        <v>0</v>
      </c>
      <c r="AM213" s="780">
        <f>0</f>
        <v>0</v>
      </c>
      <c r="AN213" s="732">
        <f>0</f>
        <v>0</v>
      </c>
      <c r="AO213" s="732">
        <f>0</f>
        <v>0</v>
      </c>
      <c r="AP213" s="732">
        <f>(1-f_E)*i_P_BIO</f>
        <v>1.84E-2</v>
      </c>
      <c r="AQ213" s="732">
        <f>0</f>
        <v>0</v>
      </c>
      <c r="AR213" s="732">
        <f>0</f>
        <v>0</v>
      </c>
      <c r="AS213" s="732">
        <f>0</f>
        <v>0</v>
      </c>
      <c r="AT213" s="732">
        <f>0</f>
        <v>0</v>
      </c>
      <c r="AU213" s="732">
        <f>(1-f_E)*(i_CIT_BIO-i_CIT_SB)</f>
        <v>6.0720000000000003E-2</v>
      </c>
      <c r="AV213" s="732">
        <f>-i_INORG</f>
        <v>-0.11</v>
      </c>
      <c r="AW213" s="732">
        <f>i_INORG*(1-i_Ca_INORG*(A_MCa+2*A_MCl)/A_MCa-i_Mg_INORG*(A_MMg+2*A_MCl)/A_MMg)*f_Na</f>
        <v>2.8804303582798466E-2</v>
      </c>
      <c r="AX213" s="732">
        <f>i_INORG*(i_Ca_INORG*(2*A_MCl)/A_MCa+i_Mg_INORG*(2*A_MCl)/A_MMg)+i_INORG*(1-i_Ca_INORG*(A_MCa+2*A_MCl)/A_MCa-i_Mg_INORG*(A_MMg+2*A_MCl)/A_MMg)*(1-f_Na)</f>
        <v>7.0195696417201539E-2</v>
      </c>
      <c r="AY213" s="732">
        <f>i_INORG*i_Ca_INORG</f>
        <v>5.5000000000000005E-3</v>
      </c>
      <c r="AZ213" s="732">
        <f>i_INORG*i_Mg_INORG</f>
        <v>5.5000000000000005E-3</v>
      </c>
      <c r="BA213" s="732">
        <f>0</f>
        <v>0</v>
      </c>
      <c r="BB213" s="732">
        <f>0</f>
        <v>0</v>
      </c>
      <c r="BC213" s="732">
        <f>(1-f_E)*i_S_BIO-(1-f_E)*i_S_XB</f>
        <v>7.8200000000000006E-3</v>
      </c>
      <c r="BD213" s="732">
        <f>0</f>
        <v>0</v>
      </c>
      <c r="BE213" s="732">
        <f>0</f>
        <v>0</v>
      </c>
      <c r="BF213" s="732">
        <f>0</f>
        <v>0</v>
      </c>
      <c r="BG213" s="732">
        <f>0</f>
        <v>0</v>
      </c>
      <c r="BH213" s="732">
        <f>0</f>
        <v>0</v>
      </c>
      <c r="BI213" s="732">
        <f>0</f>
        <v>0</v>
      </c>
      <c r="BJ213" s="732">
        <f>0</f>
        <v>0</v>
      </c>
      <c r="BK213" s="732">
        <f>0</f>
        <v>0</v>
      </c>
      <c r="BL213" s="732">
        <f>0</f>
        <v>0</v>
      </c>
      <c r="BM213" s="732">
        <f>0</f>
        <v>0</v>
      </c>
      <c r="BN213" s="732">
        <f>0</f>
        <v>0</v>
      </c>
      <c r="BO213" s="732">
        <f>0</f>
        <v>0</v>
      </c>
      <c r="BP213" s="732">
        <f>0</f>
        <v>0</v>
      </c>
      <c r="BQ213" s="732">
        <f>0</f>
        <v>0</v>
      </c>
      <c r="BR213" s="732">
        <f>0</f>
        <v>0</v>
      </c>
      <c r="BS213" s="732">
        <f>0</f>
        <v>0</v>
      </c>
      <c r="BT213" s="732">
        <f>0</f>
        <v>0</v>
      </c>
      <c r="BU213" s="732">
        <f>0</f>
        <v>0</v>
      </c>
      <c r="BV213" s="898">
        <f>0</f>
        <v>0</v>
      </c>
      <c r="BW213" s="732">
        <f>0</f>
        <v>0</v>
      </c>
      <c r="BX213" s="732">
        <f>0</f>
        <v>0</v>
      </c>
      <c r="BY213" s="732">
        <f>0</f>
        <v>0</v>
      </c>
      <c r="BZ213" s="732">
        <f>0</f>
        <v>0</v>
      </c>
      <c r="CA213" s="898">
        <f>0</f>
        <v>0</v>
      </c>
      <c r="CB213" s="732">
        <f>0</f>
        <v>0</v>
      </c>
      <c r="CC213" s="732">
        <f>0</f>
        <v>0</v>
      </c>
      <c r="CD213" s="732">
        <f>0</f>
        <v>0</v>
      </c>
      <c r="CE213" s="732">
        <f>0</f>
        <v>0</v>
      </c>
      <c r="CF213" s="732">
        <f>0</f>
        <v>0</v>
      </c>
      <c r="CG213" s="732">
        <f>0</f>
        <v>0</v>
      </c>
      <c r="CH213" s="732">
        <f>0</f>
        <v>0</v>
      </c>
      <c r="CI213" s="732">
        <f>0</f>
        <v>0</v>
      </c>
      <c r="CJ213" s="732">
        <f>0</f>
        <v>0</v>
      </c>
      <c r="CK213" s="732">
        <f>0</f>
        <v>0</v>
      </c>
      <c r="CL213" s="732">
        <f>0</f>
        <v>0</v>
      </c>
      <c r="CM213" s="732">
        <f>0</f>
        <v>0</v>
      </c>
      <c r="CN213" s="732">
        <f>0</f>
        <v>0</v>
      </c>
      <c r="CO213" s="732">
        <f>0</f>
        <v>0</v>
      </c>
      <c r="CP213" s="732">
        <f>0</f>
        <v>0</v>
      </c>
      <c r="CQ213" s="732">
        <f>0</f>
        <v>0</v>
      </c>
      <c r="CR213" s="732">
        <f>0</f>
        <v>0</v>
      </c>
      <c r="CS213" s="732">
        <f>0</f>
        <v>0</v>
      </c>
      <c r="CT213" s="732">
        <f>0</f>
        <v>0</v>
      </c>
      <c r="CU213" s="732">
        <f>0</f>
        <v>0</v>
      </c>
      <c r="CV213" s="2861">
        <f>b_AMETO_T*X_AMETO*(m_tox_aer*M_satSO2_KiO2_AMETO+m_tox_anox*M_satSNOx_KNO3_AMETO*M_inhSO2_KiO2_AMETO)</f>
        <v>8.8891783092588217E-2</v>
      </c>
      <c r="CX213" s="2880">
        <f>E299*E213+F299*F213+G299*G213+H299*H213+I299*I213+J299*J213+K299*K213+L299*L213+M299*M213+N299*N213+O299*O213+P299*P213+Q299*Q213+R299*R213+S299*S213+T299*T213+U299*U213+V299*V213+W299*W213+X299*X213+Y299*Y213+Z299*Z213+AA299*AA213+AB299*AB213+AC299*AC213+AD299*AD213+AE299*AE213+AF299*AF213+AG299*AG213+AH299*AH213+AI299*AI213+AJ299*AJ213+AK299*AK213+AL299*AL213+AM299*AM213+AN299*AN213+AO299*AO213+AP299*AP213+AQ299*AQ213+AR299*AR213+AS299*AS213+AT299*AT213+AU299*AU213+AV299*AV213+AW299*AW213+AX299*AX213+AY299*AY213+AZ299*AZ213+BA299*BA213+BB299*BB213+BC299*BC213+BD299*BD213+BE299*BE213+BF299*BF213+BG299*BG213+BH299*BH213+BI299*BI213+BJ299*BJ213+BK299*BK213+BL299*BL213+BM299*BM213+BN299*BN213+BO299*BO213+BP299*BP213+BQ299*BQ213+BR299*BR213+BS299*BS213+BT299*BT213+BU299*BU213+BV299*BV213+BW299*BW213+BX299*BX213+BY299*BY213+BZ299*BZ213+CA299*CA213+CB299*CB213+CC299*CC213+CD299*CD213+CE299*CE213+CF299*CF213+CG299*CG213+CH299*CH213+CI299*CI213+CJ299*CJ213+CK299*CK213+CL299*CL213+CM299*CM213+CN299*CN213+CO299*CO213+CP299*CP213+CQ299*CQ213+CR299*CR213+CS299*CS213+CT299*CT213+CU299*CU213</f>
        <v>0</v>
      </c>
      <c r="CY213" s="2880">
        <f>E300*E213+F300*F213+G300*G213+H300*H213+I300*I213+J300*J213+K300*K213+L300*L213+M300*M213+N300*N213+O300*O213+P300*P213+Q300*Q213+R300*R213+S300*S213+T300*T213+U300*U213+V300*V213+W300*W213+X300*X213+Y300*Y213+Z300*Z213+AA300*AA213+AB300*AB213+AC300*AC213+AD300*AD213+AE300*AE213+AF300*AF213+AG300*AG213+AH300*AH213+AI300*AI213+AJ300*AJ213+AK300*AK213+AL300*AL213+AM300*AM213+AN300*AN213+AO300*AO213+AP300*AP213+AQ300*AQ213+AR300*AR213+AS300*AS213+AT300*AT213+AU300*AU213+AV300*AV213+AW300*AW213+AX300*AX213+AY300*AY213+AZ300*AZ213+BA300*BA213+BB300*BB213+BC300*BC213+BD300*BD213+BE300*BE213+BF300*BF213+BG300*BG213+BH300*BH213+BI300*BI213+BJ300*BJ213+BK300*BK213+BL300*BL213+BM300*BM213+BN300*BN213+BO300*BO213+BP300*BP213+BQ300*BQ213+BR300*BR213+BS300*BS213+BT300*BT213+BU300*BU213+BV300*BV213+BW300*BW213+BX300*BX213+BY300*BY213+BZ300*BZ213+CA300*CA213+CB300*CB213+CC300*CC213+CD300*CD213+CE300*CE213+CF300*CF213+CG300*CG213+CH300*CH213+CI300*CI213+CJ300*CJ213+CK300*CK213+CL300*CL213+CM300*CM213+CN300*CN213+CO300*CO213+CP300*CP213+CQ300*CQ213+CR300*CR213+CS300*CS213+CT300*CT213+CU300*CU213</f>
        <v>6.9388939039072284E-18</v>
      </c>
      <c r="CZ213" s="2881">
        <f>E301*E213+F301*F213+G301*G213+H301*H213+I301*I213+J301*J213+K301*K213+L301*L213+M301*M213+N301*N213+O301*O213+P301*P213+Q301*Q213+R301*R213+S301*S213+T301*T213+U301*U213+V301*V213+W301*W213+X301*X213+Y301*Y213+Z301*Z213+AA301*AA213+AB301*AB213+AC301*AC213+AD301*AD213+AE301*AE213+AF301*AF213+AG301*AG213+AH301*AH213+AI301*AI213+AJ301*AJ213+AK301*AK213+AL301*AL213+AM301*AM213+AN301*AN213+AO301*AO213+AP301*AP213+AQ301*AQ213+AR301*AR213+AS301*AS213+AT301*AT213+AU301*AU213+AV301*AV213+AW301*AW213+AX301*AX213+AY301*AY213+AZ301*AZ213+BA301*BA213+BB301*BB213+BC301*BC213+BD301*BD213+BE301*BE213+BF301*BF213+BG301*BG213+BH301*BH213+BI301*BI213+BJ301*BJ213+BK301*BK213+BL301*BL213+BM301*BM213+BN301*BN213+BO301*BO213+BP301*BP213+BQ301*BQ213+BR301*BR213+BS301*BS213+BT301*BT213+BU301*BU213+BV301*BV213+BW301*BW213+BX301*BX213+BY301*BY213+BZ301*BZ213+CA301*CA213+CB301*CB213+CC301*CC213+CD301*CD213+CE301*CE213+CF301*CF213+CG301*CG213+CH301*CH213+CI301*CI213+CJ301*CJ213+CK301*CK213+CL301*CL213+CM301*CM213+CN301*CN213+CO301*CO213+CP301*CP213+CQ301*CQ213+CR301*CR213+CS301*CS213+CT301*CT213+CU301*CU213</f>
        <v>0</v>
      </c>
      <c r="DA213" s="2882">
        <f>E302*E213+F302*F213+G302*G213+H302*H213+I302*I213+J302*J213+K302*K213+L302*L213+M302*M213+N302*N213+O302*O213+P302*P213+Q302*Q213+R302*R213+S302*S213+T302*T213+U302*U213+V302*V213+W302*W213+X302*X213+Y302*Y213+Z302*Z213+AA302*AA213+AB302*AB213+AC302*AC213+AD302*AD213+AE302*AE213+AF302*AF213+AG302*AG213+AH302*AH213+AI302*AI213+AJ302*AJ213+AK302*AK213+AL302*AL213+AM302*AM213+AN302*AN213+AO302*AO213+AP302*AP213+AQ302*AQ213+AR302*AR213+AS302*AS213+AT302*AT213+AU302*AU213+AV302*AV213+AW302*AW213+AX302*AX213+AY302*AY213+AZ302*AZ213+BA302*BA213+BB302*BB213+BC302*BC213+BD302*BD213+BE302*BE213+BF302*BF213+BG302*BG213+BH302*BH213+BI302*BI213+BJ302*BJ213+BK302*BK213+BL302*BL213+BM302*BM213+BN302*BN213+BO302*BO213+BP302*BP213+BQ302*BQ213+BR302*BR213+BS302*BS213+BT302*BT213+BU302*BU213+BV302*BV213+BW302*BW213+BX302*BX213+BY302*BY213+BZ302*BZ213+CA302*CA213+CB302*CB213+CC302*CC213+CD302*CD213+CE302*CE213+CF302*CF213+CG302*CG213+CH302*CH213+CI302*CI213+CJ302*CJ213+CK302*CK213+CL302*CL213+CM302*CM213+CN302*CN213+CO302*CO213+CP302*CP213+CQ302*CQ213+CR302*CR213+CS302*CS213+CT302*CT213+CU302*CU213</f>
        <v>0</v>
      </c>
      <c r="DB213" s="2882">
        <f>E303*E213+F303*F213+G303*G213+H303*H213+I303*I213+J303*J213+K303*K213+L303*L213+M303*M213+N303*N213+O303*O213+P303*P213+Q303*Q213+R303*R213+S303*S213+T303*T213+U303*U213+V303*V213+W303*W213+X303*X213+Y303*Y213+Z303*Z213+AA303*AA213+AB303*AB213+AC303*AC213+AD303*AD213+AE303*AE213+AF303*AF213+AG303*AG213+AH303*AH213+AI303*AI213+AJ303*AJ213+AK303*AK213+AL303*AL213+AM303*AM213+AN303*AN213+AO303*AO213+AP303*AP213+AQ303*AQ213+AR303*AR213+AS303*AS213+AT303*AT213+AU303*AU213+AV303*AV213+AW303*AW213+AX303*AX213+AY303*AY213+AZ303*AZ213+BA303*BA213+BB303*BB213+BC303*BC213+BD303*BD213+BE303*BE213+BF303*BF213+BG303*BG213+BH303*BH213+BI303*BI213+BJ303*BJ213+BK303*BK213+BL303*BL213+BM303*BM213+BN303*BN213+BO303*BO213+BP303*BP213+BQ303*BQ213+BR303*BR213+BS303*BS213+BT303*BT213+BU303*BU213+BV303*BV213+BW303*BW213+BX303*BX213+BY303*BY213+BZ303*BZ213+CA303*CA213+CB303*CB213+CC303*CC213+CD303*CD213+CE303*CE213+CF303*CF213+CG303*CG213+CH303*CH213+CI303*CI213+CJ303*CJ213+CK303*CK213+CL303*CL213+CM303*CM213+CN303*CN213+CO303*CO213+CP303*CP213+CQ303*CQ213+CR303*CR213+CS303*CS213+CT303*CT213+CU303*CU213</f>
        <v>0</v>
      </c>
      <c r="DC213" s="2882">
        <f>E304*E213+F304*F213+G304*G213+H304*H213+I304*I213+J304*J213+K304*K213+L304*L213+M304*M213+N304*N213+O304*O213+P304*P213+Q304*Q213+R304*R213+S304*S213+T304*T213+U304*U213+V304*V213+W304*W213+X304*X213+Y304*Y213+Z304*Z213+AA304*AA213+AB304*AB213+AC304*AC213+AD304*AD213+AE304*AE213+AF304*AF213+AG304*AG213+AH304*AH213+AI304*AI213+AJ304*AJ213+AK304*AK213+AL304*AL213+AM304*AM213+AN304*AN213+AO304*AO213+AP304*AP213+AQ304*AQ213+AR304*AR213+AS304*AS213+AT304*AT213+AU304*AU213+AV304*AV213+AW304*AW213+AX304*AX213+AY304*AY213+AZ304*AZ213+BA304*BA213+BB304*BB213+BC304*BC213+BD304*BD213+BE304*BE213+BF304*BF213+BG304*BG213+BH304*BH213+BI304*BI213+BJ304*BJ213+BK304*BK213+BL304*BL213+BM304*BM213+BN304*BN213+BO304*BO213+BP304*BP213+BQ304*BQ213+BR304*BR213+BS304*BS213+BT304*BT213+BU304*BU213+BV304*BV213+BW304*BW213+BX304*BX213+BY304*BY213+BZ304*BZ213+CA304*CA213+CB304*CB213+CC304*CC213+CD304*CD213+CE304*CE213+CF304*CF213+CG304*CG213+CH304*CH213+CI304*CI213+CJ304*CJ213+CK304*CK213+CL304*CL213+CM304*CM213+CN304*CN213+CO304*CO213+CP304*CP213+CQ304*CQ213+CR304*CR213+CS304*CS213+CT304*CT213+CU304*CU213</f>
        <v>0</v>
      </c>
      <c r="DD213" s="2882">
        <f>E305*E213+F305*F213+G305*G213+H305*H213+I305*I213+J305*J213+K305*K213+L305*L213+M305*M213+N305*N213+O305*O213+P305*P213+Q305*Q213+R305*R213+S305*S213+T305*T213+U305*U213+V305*V213+W305*W213+X305*X213+Y305*Y213+Z305*Z213+AA305*AA213+AB305*AB213+AC305*AC213+AD305*AD213+AE305*AE213+AF305*AF213+AG305*AG213+AH305*AH213+AI305*AI213+AJ305*AJ213+AK305*AK213+AL305*AL213+AM305*AM213+AN305*AN213+AO305*AO213+AP305*AP213+AQ305*AQ213+AR305*AR213+AS305*AS213+AT305*AT213+AU305*AU213+AV305*AV213+AW305*AW213+AX305*AX213+AY305*AY213+AZ305*AZ213+BA305*BA213+BB305*BB213+BC305*BC213+BD305*BD213+BE305*BE213+BF305*BF213+BG305*BG213+BH305*BH213+BI305*BI213+BJ305*BJ213+BK305*BK213+BL305*BL213+BM305*BM213+BN305*BN213+BO305*BO213+BP305*BP213+BQ305*BQ213+BR305*BR213+BS305*BS213+BT305*BT213+BU305*BU213+BV305*BV213+BW305*BW213+BX305*BX213+BY305*BY213+BZ305*BZ213+CA305*CA213+CB305*CB213+CC305*CC213+CD305*CD213+CE305*CE213+CF305*CF213+CG305*CG213+CH305*CH213+CI305*CI213+CJ305*CJ213+CK305*CK213+CL305*CL213+CM305*CM213+CN305*CN213+CO305*CO213+CP305*CP213+CQ305*CQ213+CR305*CR213+CS305*CS213+CT305*CT213+CU305*CU213</f>
        <v>0</v>
      </c>
      <c r="DE213" s="2882">
        <f>E306*E213+F306*F213+G306*G213+H306*H213+I306*I213+J306*J213+K306*K213+L306*L213+M306*M213+N306*N213+O306*O213+P306*P213+Q306*Q213+R306*R213+S306*S213+T306*T213+U306*U213+V306*V213+W306*W213+X306*X213+Y306*Y213+Z306*Z213+AA306*AA213+AB306*AB213+AC306*AC213+AD306*AD213+AE306*AE213+AF306*AF213+AG306*AG213+AH306*AH213+AI306*AI213+AJ306*AJ213+AK306*AK213+AL306*AL213+AM306*AM213+AN306*AN213+AO306*AO213+AP306*AP213+AQ306*AQ213+AR306*AR213+AS306*AS213+AT306*AT213+AU306*AU213+AV306*AV213+AW306*AW213+AX306*AX213+AY306*AY213+AZ306*AZ213+BA306*BA213+BB306*BB213+BC306*BC213+BD306*BD213+BE306*BE213+BF306*BF213+BG306*BG213+BH306*BH213+BI306*BI213+BJ306*BJ213+BK306*BK213+BL306*BL213+BM306*BM213+BN306*BN213+BO306*BO213+BP306*BP213+BQ306*BQ213+BR306*BR213+BS306*BS213+BT306*BT213+BU306*BU213+BV306*BV213+BW306*BW213+BX306*BX213+BY306*BY213+BZ306*BZ213+CA306*CA213+CB306*CB213+CC306*CC213+CD306*CD213+CE306*CE213+CF306*CF213+CG306*CG213+CH306*CH213+CI306*CI213+CJ306*CJ213+CK306*CK213+CL306*CL213+CM306*CM213+CN306*CN213+CO306*CO213+CP306*CP213+CQ306*CQ213+CR306*CR213+CS306*CS213+CT306*CT213+CU306*CU213</f>
        <v>0</v>
      </c>
      <c r="DF213" s="2882">
        <f>E307*E213+F307*F213+G307*G213+H307*H213+I307*I213+J307*J213+K307*K213+L307*L213+M307*M213+N307*N213+O307*O213+P307*P213+Q307*Q213+R307*R213+S307*S213+T307*T213+U307*U213+V307*V213+W307*W213+X307*X213+Y307*Y213+Z307*Z213+AA307*AA213+AB307*AB213+AC307*AC213+AD307*AD213+AE307*AE213+AF307*AF213+AG307*AG213+AH307*AH213+AI307*AI213+AJ307*AJ213+AK307*AK213+AL307*AL213+AM307*AM213+AN307*AN213+AO307*AO213+AP307*AP213+AQ307*AQ213+AR307*AR213+AS307*AS213+AT307*AT213+AU307*AU213+AV307*AV213+AW307*AW213+AX307*AX213+AY307*AY213+AZ307*AZ213+BA307*BA213+BB307*BB213+BC307*BC213+BD307*BD213+BE307*BE213+BF307*BF213+BG307*BG213+BH307*BH213+BI307*BI213+BJ307*BJ213+BK307*BK213+BL307*BL213+BM307*BM213+BN307*BN213+BO307*BO213+BP307*BP213+BQ307*BQ213+BR307*BR213+BS307*BS213+BT307*BT213+BU307*BU213+BV307*BV213+BW307*BW213+BX307*BX213+BY307*BY213+BZ307*BZ213+CA307*CA213+CB307*CB213+CC307*CC213+CD307*CD213+CE307*CE213+CF307*CF213+CG307*CG213+CH307*CH213+CI307*CI213+CJ307*CJ213+CK307*CK213+CL307*CL213+CM307*CM213+CN307*CN213+CO307*CO213+CP307*CP213+CQ307*CQ213+CR307*CR213+CS307*CS213+CT307*CT213+CU307*CU213</f>
        <v>0</v>
      </c>
      <c r="DG213" s="2882">
        <f>E308*E213+F308*F213+G308*G213+H308*H213+I308*I213+J308*J213+K308*K213+L308*L213+M308*M213+N308*N213+O308*O213+P308*P213+Q308*Q213+R308*R213+S308*S213+T308*T213+U308*U213+V308*V213+W308*W213+X308*X213+Y308*Y213+Z308*Z213+AA308*AA213+AB308*AB213+AC308*AC213+AD308*AD213+AE308*AE213+AF308*AF213+AG308*AG213+AH308*AH213+AI308*AI213+AJ308*AJ213+AK308*AK213+AL308*AL213+AM308*AM213+AN308*AN213+AO308*AO213+AP308*AP213+AQ308*AQ213+AR308*AR213+AS308*AS213+AT308*AT213+AU308*AU213+AV308*AV213+AW308*AW213+AX308*AX213+AY308*AY213+AZ308*AZ213+BA308*BA213+BB308*BB213+BC308*BC213+BD308*BD213+BE308*BE213+BF308*BF213+BG308*BG213+BH308*BH213+BI308*BI213+BJ308*BJ213+BK308*BK213+BL308*BL213+BM308*BM213+BN308*BN213+BO308*BO213+BP308*BP213+BQ308*BQ213+BR308*BR213+BS308*BS213+BT308*BT213+BU308*BU213+BV308*BV213+BW308*BW213+BX308*BX213+BY308*BY213+BZ308*BZ213+CA308*CA213+CB308*CB213+CC308*CC213+CD308*CD213+CE308*CE213+CF308*CF213+CG308*CG213+CH308*CH213+CI308*CI213+CJ308*CJ213+CK308*CK213+CL308*CL213+CM308*CM213+CN308*CN213+CO308*CO213+CP308*CP213+CQ308*CQ213+CR308*CR213+CS308*CS213+CT308*CT213+CU308*CU213</f>
        <v>0</v>
      </c>
      <c r="DH213" s="2882">
        <f>E309*E213+F309*F213+G309*G213+H309*H213+I309*I213+J309*J213+K309*K213+L309*L213+M309*M213+N309*N213+O309*O213+P309*P213+Q309*Q213+R309*R213+S309*S213+T309*T213+U309*U213+V309*V213+W309*W213+X309*X213+Y309*Y213+Z309*Z213+AA309*AA213+AB309*AB213+AC309*AC213+AD309*AD213+AE309*AE213+AF309*AF213+AG309*AG213+AH309*AH213+AI309*AI213+AJ309*AJ213+AK309*AK213+AL309*AL213+AM309*AM213+AN309*AN213+AO309*AO213+AP309*AP213+AQ309*AQ213+AR309*AR213+AS309*AS213+AT309*AT213+AU309*AU213+AV309*AV213+AW309*AW213+AX309*AX213+AY309*AY213+AZ309*AZ213+BA309*BA213+BB309*BB213+BC309*BC213+BD309*BD213+BE309*BE213+BF309*BF213+BG309*BG213+BH309*BH213+BI309*BI213+BJ309*BJ213+BK309*BK213+BL309*BL213+BM309*BM213+BN309*BN213+BO309*BO213+BP309*BP213+BQ309*BQ213+BR309*BR213+BS309*BS213+BT309*BT213+BU309*BU213+BV309*BV213+BW309*BW213+BX309*BX213+BY309*BY213+BZ309*BZ213+CA309*CA213+CB309*CB213+CC309*CC213+CD309*CD213+CE309*CE213+CF309*CF213+CG309*CG213+CH309*CH213+CI309*CI213+CJ309*CJ213+CK309*CK213+CL309*CL213+CM309*CM213+CN309*CN213+CO309*CO213+CP309*CP213+CQ309*CQ213+CR309*CR213+CS309*CS213+CT309*CT213+CU309*CU213</f>
        <v>0</v>
      </c>
      <c r="DI213" s="2882">
        <f>E310*E213+F310*F213+G310*G213+H310*H213+I310*I213+J310*J213+K310*K213+L310*L213+M310*M213+N310*N213+O310*O213+P310*P213+Q310*Q213+R310*R213+S310*S213+T310*T213+U310*U213+V310*V213+W310*W213+X310*X213+Y310*Y213+Z310*Z213+AA310*AA213+AB310*AB213+AC310*AC213+AD310*AD213+AE310*AE213+AF310*AF213+AG310*AG213+AH310*AH213+AI310*AI213+AJ310*AJ213+AK310*AK213+AL310*AL213+AM310*AM213+AN310*AN213+AO310*AO213+AP310*AP213+AQ310*AQ213+AR310*AR213+AS310*AS213+AT310*AT213+AU310*AU213+AV310*AV213+AW310*AW213+AX310*AX213+AY310*AY213+AZ310*AZ213+BA310*BA213+BB310*BB213+BC310*BC213+BD310*BD213+BE310*BE213+BF310*BF213+BG310*BG213+BH310*BH213+BI310*BI213+BJ310*BJ213+BK310*BK213+BL310*BL213+BM310*BM213+BN310*BN213+BO310*BO213+BP310*BP213+BQ310*BQ213+BR310*BR213+BS310*BS213+BT310*BT213+BU310*BU213+BV310*BV213+BW310*BW213+BX310*BX213+BY310*BY213+BZ310*BZ213+CA310*CA213+CB310*CB213+CC310*CC213+CD310*CD213+CE310*CE213+CF310*CF213+CG310*CG213+CH310*CH213+CI310*CI213+CJ310*CJ213+CK310*CK213+CL310*CL213+CM310*CM213+CN310*CN213+CO310*CO213+CP310*CP213+CQ310*CQ213+CR310*CR213+CS310*CS213+CT310*CT213+CU310*CU213</f>
        <v>0</v>
      </c>
    </row>
    <row r="214" spans="2:113" x14ac:dyDescent="0.45">
      <c r="B214" s="778">
        <v>55</v>
      </c>
      <c r="C214" s="778" t="s">
        <v>2169</v>
      </c>
      <c r="D214" s="779" t="s">
        <v>3079</v>
      </c>
      <c r="E214" s="732">
        <f>0</f>
        <v>0</v>
      </c>
      <c r="F214" s="732">
        <f>0</f>
        <v>0</v>
      </c>
      <c r="G214" s="732">
        <f>0</f>
        <v>0</v>
      </c>
      <c r="H214" s="732">
        <f>0</f>
        <v>0</v>
      </c>
      <c r="I214" s="732">
        <f>1-f_E</f>
        <v>0.92</v>
      </c>
      <c r="J214" s="732">
        <f>0</f>
        <v>0</v>
      </c>
      <c r="K214" s="732">
        <f>0</f>
        <v>0</v>
      </c>
      <c r="L214" s="732">
        <f>0</f>
        <v>0</v>
      </c>
      <c r="M214" s="732">
        <f>0</f>
        <v>0</v>
      </c>
      <c r="N214" s="732">
        <f>0</f>
        <v>0</v>
      </c>
      <c r="O214" s="732">
        <f>0</f>
        <v>0</v>
      </c>
      <c r="P214" s="732">
        <f>f_E</f>
        <v>0.08</v>
      </c>
      <c r="Q214" s="732">
        <f>0</f>
        <v>0</v>
      </c>
      <c r="R214" s="732">
        <f>0</f>
        <v>0</v>
      </c>
      <c r="S214" s="732">
        <f>0</f>
        <v>0</v>
      </c>
      <c r="T214" s="732">
        <f>0</f>
        <v>0</v>
      </c>
      <c r="U214" s="732">
        <f>0</f>
        <v>0</v>
      </c>
      <c r="V214" s="732">
        <f>0</f>
        <v>0</v>
      </c>
      <c r="W214" s="732">
        <f>-1</f>
        <v>-1</v>
      </c>
      <c r="X214" s="732">
        <f>0</f>
        <v>0</v>
      </c>
      <c r="Y214" s="732">
        <f>0</f>
        <v>0</v>
      </c>
      <c r="Z214" s="732">
        <f>0</f>
        <v>0</v>
      </c>
      <c r="AA214" s="732">
        <f>0</f>
        <v>0</v>
      </c>
      <c r="AB214" s="732">
        <f>-f_E*(i_N_XE-i_N_BIO)</f>
        <v>8.0000000000000069E-4</v>
      </c>
      <c r="AC214" s="732">
        <f>0</f>
        <v>0</v>
      </c>
      <c r="AD214" s="732">
        <f>0</f>
        <v>0</v>
      </c>
      <c r="AE214" s="732">
        <f>0</f>
        <v>0</v>
      </c>
      <c r="AF214" s="732">
        <f>0</f>
        <v>0</v>
      </c>
      <c r="AG214" s="732">
        <f>0</f>
        <v>0</v>
      </c>
      <c r="AH214" s="732">
        <f>0</f>
        <v>0</v>
      </c>
      <c r="AI214" s="732">
        <f>0</f>
        <v>0</v>
      </c>
      <c r="AJ214" s="732">
        <f>0</f>
        <v>0</v>
      </c>
      <c r="AK214" s="732">
        <f>(1-f_E)*i_N_BIO</f>
        <v>6.4400000000000013E-2</v>
      </c>
      <c r="AL214" s="732">
        <f>0</f>
        <v>0</v>
      </c>
      <c r="AM214" s="780">
        <f>0</f>
        <v>0</v>
      </c>
      <c r="AN214" s="732">
        <f>0</f>
        <v>0</v>
      </c>
      <c r="AO214" s="732">
        <f>0</f>
        <v>0</v>
      </c>
      <c r="AP214" s="732">
        <f>(1-f_E)*i_P_BIO</f>
        <v>1.84E-2</v>
      </c>
      <c r="AQ214" s="732">
        <f>0</f>
        <v>0</v>
      </c>
      <c r="AR214" s="732">
        <f>0</f>
        <v>0</v>
      </c>
      <c r="AS214" s="732">
        <f>0</f>
        <v>0</v>
      </c>
      <c r="AT214" s="732">
        <f>0</f>
        <v>0</v>
      </c>
      <c r="AU214" s="732">
        <f>(1-f_E)*(i_CIT_BIO-i_CIT_SB)</f>
        <v>6.0720000000000003E-2</v>
      </c>
      <c r="AV214" s="732">
        <f>-i_INORG</f>
        <v>-0.11</v>
      </c>
      <c r="AW214" s="732">
        <f>i_INORG*(1-i_Ca_INORG*(A_MCa+2*A_MCl)/A_MCa-i_Mg_INORG*(A_MMg+2*A_MCl)/A_MMg)*f_Na</f>
        <v>2.8804303582798466E-2</v>
      </c>
      <c r="AX214" s="732">
        <f>i_INORG*(i_Ca_INORG*(2*A_MCl)/A_MCa+i_Mg_INORG*(2*A_MCl)/A_MMg)+i_INORG*(1-i_Ca_INORG*(A_MCa+2*A_MCl)/A_MCa-i_Mg_INORG*(A_MMg+2*A_MCl)/A_MMg)*(1-f_Na)</f>
        <v>7.0195696417201539E-2</v>
      </c>
      <c r="AY214" s="732">
        <f>i_INORG*i_Ca_INORG</f>
        <v>5.5000000000000005E-3</v>
      </c>
      <c r="AZ214" s="732">
        <f>i_INORG*i_Mg_INORG</f>
        <v>5.5000000000000005E-3</v>
      </c>
      <c r="BA214" s="732">
        <f>0</f>
        <v>0</v>
      </c>
      <c r="BB214" s="732">
        <f>0</f>
        <v>0</v>
      </c>
      <c r="BC214" s="732">
        <f>(1-f_E)*i_S_BIO-(1-f_E)*i_S_XB</f>
        <v>7.8200000000000006E-3</v>
      </c>
      <c r="BD214" s="732">
        <f>0</f>
        <v>0</v>
      </c>
      <c r="BE214" s="732">
        <f>0</f>
        <v>0</v>
      </c>
      <c r="BF214" s="732">
        <f>0</f>
        <v>0</v>
      </c>
      <c r="BG214" s="732">
        <f>0</f>
        <v>0</v>
      </c>
      <c r="BH214" s="732">
        <f>0</f>
        <v>0</v>
      </c>
      <c r="BI214" s="732">
        <f>0</f>
        <v>0</v>
      </c>
      <c r="BJ214" s="732">
        <f>0</f>
        <v>0</v>
      </c>
      <c r="BK214" s="732">
        <f>0</f>
        <v>0</v>
      </c>
      <c r="BL214" s="732">
        <f>0</f>
        <v>0</v>
      </c>
      <c r="BM214" s="732">
        <f>0</f>
        <v>0</v>
      </c>
      <c r="BN214" s="732">
        <f>0</f>
        <v>0</v>
      </c>
      <c r="BO214" s="732">
        <f>0</f>
        <v>0</v>
      </c>
      <c r="BP214" s="732">
        <f>0</f>
        <v>0</v>
      </c>
      <c r="BQ214" s="732">
        <f>0</f>
        <v>0</v>
      </c>
      <c r="BR214" s="732">
        <f>0</f>
        <v>0</v>
      </c>
      <c r="BS214" s="732">
        <f>0</f>
        <v>0</v>
      </c>
      <c r="BT214" s="732">
        <f>0</f>
        <v>0</v>
      </c>
      <c r="BU214" s="732">
        <f>0</f>
        <v>0</v>
      </c>
      <c r="BV214" s="898">
        <f>0</f>
        <v>0</v>
      </c>
      <c r="BW214" s="732">
        <f>0</f>
        <v>0</v>
      </c>
      <c r="BX214" s="732">
        <f>0</f>
        <v>0</v>
      </c>
      <c r="BY214" s="732">
        <f>0</f>
        <v>0</v>
      </c>
      <c r="BZ214" s="732">
        <f>0</f>
        <v>0</v>
      </c>
      <c r="CA214" s="898">
        <f>0</f>
        <v>0</v>
      </c>
      <c r="CB214" s="732">
        <f>0</f>
        <v>0</v>
      </c>
      <c r="CC214" s="732">
        <f>0</f>
        <v>0</v>
      </c>
      <c r="CD214" s="732">
        <f>0</f>
        <v>0</v>
      </c>
      <c r="CE214" s="732">
        <f>0</f>
        <v>0</v>
      </c>
      <c r="CF214" s="732">
        <f>0</f>
        <v>0</v>
      </c>
      <c r="CG214" s="732">
        <f>0</f>
        <v>0</v>
      </c>
      <c r="CH214" s="732">
        <f>0</f>
        <v>0</v>
      </c>
      <c r="CI214" s="732">
        <f>0</f>
        <v>0</v>
      </c>
      <c r="CJ214" s="732">
        <f>0</f>
        <v>0</v>
      </c>
      <c r="CK214" s="732">
        <f>0</f>
        <v>0</v>
      </c>
      <c r="CL214" s="732">
        <f>0</f>
        <v>0</v>
      </c>
      <c r="CM214" s="732">
        <f>0</f>
        <v>0</v>
      </c>
      <c r="CN214" s="732">
        <f>0</f>
        <v>0</v>
      </c>
      <c r="CO214" s="732">
        <f>0</f>
        <v>0</v>
      </c>
      <c r="CP214" s="732">
        <f>0</f>
        <v>0</v>
      </c>
      <c r="CQ214" s="732">
        <f>0</f>
        <v>0</v>
      </c>
      <c r="CR214" s="732">
        <f>0</f>
        <v>0</v>
      </c>
      <c r="CS214" s="732">
        <f>0</f>
        <v>0</v>
      </c>
      <c r="CT214" s="732">
        <f>0</f>
        <v>0</v>
      </c>
      <c r="CU214" s="732">
        <f>0</f>
        <v>0</v>
      </c>
      <c r="CV214" s="2861">
        <f>b_AMETO_T*X_AMETO*M_inhSNOx_KNO3_AMETO*M_inhSO2_KiO2_AMETO</f>
        <v>2.1311863604072938E-6</v>
      </c>
      <c r="CX214" s="2880">
        <f>E299*E214+F299*F214+G299*G214+H299*H214+I299*I214+J299*J214+K299*K214+L299*L214+M299*M214+N299*N214+O299*O214+P299*P214+Q299*Q214+R299*R214+S299*S214+T299*T214+U299*U214+V299*V214+W299*W214+X299*X214+Y299*Y214+Z299*Z214+AA299*AA214+AB299*AB214+AC299*AC214+AD299*AD214+AE299*AE214+AF299*AF214+AG299*AG214+AH299*AH214+AI299*AI214+AJ299*AJ214+AK299*AK214+AL299*AL214+AM299*AM214+AN299*AN214+AO299*AO214+AP299*AP214+AQ299*AQ214+AR299*AR214+AS299*AS214+AT299*AT214+AU299*AU214+AV299*AV214+AW299*AW214+AX299*AX214+AY299*AY214+AZ299*AZ214+BA299*BA214+BB299*BB214+BC299*BC214+BD299*BD214+BE299*BE214+BF299*BF214+BG299*BG214+BH299*BH214+BI299*BI214+BJ299*BJ214+BK299*BK214+BL299*BL214+BM299*BM214+BN299*BN214+BO299*BO214+BP299*BP214+BQ299*BQ214+BR299*BR214+BS299*BS214+BT299*BT214+BU299*BU214+BV299*BV214+BW299*BW214+BX299*BX214+BY299*BY214+BZ299*BZ214+CA299*CA214+CB299*CB214+CC299*CC214+CD299*CD214+CE299*CE214+CF299*CF214+CG299*CG214+CH299*CH214+CI299*CI214+CJ299*CJ214+CK299*CK214+CL299*CL214+CM299*CM214+CN299*CN214+CO299*CO214+CP299*CP214+CQ299*CQ214+CR299*CR214+CS299*CS214+CT299*CT214+CU299*CU214</f>
        <v>0</v>
      </c>
      <c r="CY214" s="2880">
        <f>E300*E214+F300*F214+G300*G214+H300*H214+I300*I214+J300*J214+K300*K214+L300*L214+M300*M214+N300*N214+O300*O214+P300*P214+Q300*Q214+R300*R214+S300*S214+T300*T214+U300*U214+V300*V214+W300*W214+X300*X214+Y300*Y214+Z300*Z214+AA300*AA214+AB300*AB214+AC300*AC214+AD300*AD214+AE300*AE214+AF300*AF214+AG300*AG214+AH300*AH214+AI300*AI214+AJ300*AJ214+AK300*AK214+AL300*AL214+AM300*AM214+AN300*AN214+AO300*AO214+AP300*AP214+AQ300*AQ214+AR300*AR214+AS300*AS214+AT300*AT214+AU300*AU214+AV300*AV214+AW300*AW214+AX300*AX214+AY300*AY214+AZ300*AZ214+BA300*BA214+BB300*BB214+BC300*BC214+BD300*BD214+BE300*BE214+BF300*BF214+BG300*BG214+BH300*BH214+BI300*BI214+BJ300*BJ214+BK300*BK214+BL300*BL214+BM300*BM214+BN300*BN214+BO300*BO214+BP300*BP214+BQ300*BQ214+BR300*BR214+BS300*BS214+BT300*BT214+BU300*BU214+BV300*BV214+BW300*BW214+BX300*BX214+BY300*BY214+BZ300*BZ214+CA300*CA214+CB300*CB214+CC300*CC214+CD300*CD214+CE300*CE214+CF300*CF214+CG300*CG214+CH300*CH214+CI300*CI214+CJ300*CJ214+CK300*CK214+CL300*CL214+CM300*CM214+CN300*CN214+CO300*CO214+CP300*CP214+CQ300*CQ214+CR300*CR214+CS300*CS214+CT300*CT214+CU300*CU214</f>
        <v>6.9388939039072284E-18</v>
      </c>
      <c r="CZ214" s="2881">
        <f>E301*E214+F301*F214+G301*G214+H301*H214+I301*I214+J301*J214+K301*K214+L301*L214+M301*M214+N301*N214+O301*O214+P301*P214+Q301*Q214+R301*R214+S301*S214+T301*T214+U301*U214+V301*V214+W301*W214+X301*X214+Y301*Y214+Z301*Z214+AA301*AA214+AB301*AB214+AC301*AC214+AD301*AD214+AE301*AE214+AF301*AF214+AG301*AG214+AH301*AH214+AI301*AI214+AJ301*AJ214+AK301*AK214+AL301*AL214+AM301*AM214+AN301*AN214+AO301*AO214+AP301*AP214+AQ301*AQ214+AR301*AR214+AS301*AS214+AT301*AT214+AU301*AU214+AV301*AV214+AW301*AW214+AX301*AX214+AY301*AY214+AZ301*AZ214+BA301*BA214+BB301*BB214+BC301*BC214+BD301*BD214+BE301*BE214+BF301*BF214+BG301*BG214+BH301*BH214+BI301*BI214+BJ301*BJ214+BK301*BK214+BL301*BL214+BM301*BM214+BN301*BN214+BO301*BO214+BP301*BP214+BQ301*BQ214+BR301*BR214+BS301*BS214+BT301*BT214+BU301*BU214+BV301*BV214+BW301*BW214+BX301*BX214+BY301*BY214+BZ301*BZ214+CA301*CA214+CB301*CB214+CC301*CC214+CD301*CD214+CE301*CE214+CF301*CF214+CG301*CG214+CH301*CH214+CI301*CI214+CJ301*CJ214+CK301*CK214+CL301*CL214+CM301*CM214+CN301*CN214+CO301*CO214+CP301*CP214+CQ301*CQ214+CR301*CR214+CS301*CS214+CT301*CT214+CU301*CU214</f>
        <v>0</v>
      </c>
      <c r="DA214" s="2882">
        <f>E302*E214+F302*F214+G302*G214+H302*H214+I302*I214+J302*J214+K302*K214+L302*L214+M302*M214+N302*N214+O302*O214+P302*P214+Q302*Q214+R302*R214+S302*S214+T302*T214+U302*U214+V302*V214+W302*W214+X302*X214+Y302*Y214+Z302*Z214+AA302*AA214+AB302*AB214+AC302*AC214+AD302*AD214+AE302*AE214+AF302*AF214+AG302*AG214+AH302*AH214+AI302*AI214+AJ302*AJ214+AK302*AK214+AL302*AL214+AM302*AM214+AN302*AN214+AO302*AO214+AP302*AP214+AQ302*AQ214+AR302*AR214+AS302*AS214+AT302*AT214+AU302*AU214+AV302*AV214+AW302*AW214+AX302*AX214+AY302*AY214+AZ302*AZ214+BA302*BA214+BB302*BB214+BC302*BC214+BD302*BD214+BE302*BE214+BF302*BF214+BG302*BG214+BH302*BH214+BI302*BI214+BJ302*BJ214+BK302*BK214+BL302*BL214+BM302*BM214+BN302*BN214+BO302*BO214+BP302*BP214+BQ302*BQ214+BR302*BR214+BS302*BS214+BT302*BT214+BU302*BU214+BV302*BV214+BW302*BW214+BX302*BX214+BY302*BY214+BZ302*BZ214+CA302*CA214+CB302*CB214+CC302*CC214+CD302*CD214+CE302*CE214+CF302*CF214+CG302*CG214+CH302*CH214+CI302*CI214+CJ302*CJ214+CK302*CK214+CL302*CL214+CM302*CM214+CN302*CN214+CO302*CO214+CP302*CP214+CQ302*CQ214+CR302*CR214+CS302*CS214+CT302*CT214+CU302*CU214</f>
        <v>0</v>
      </c>
      <c r="DB214" s="2882">
        <f>E303*E214+F303*F214+G303*G214+H303*H214+I303*I214+J303*J214+K303*K214+L303*L214+M303*M214+N303*N214+O303*O214+P303*P214+Q303*Q214+R303*R214+S303*S214+T303*T214+U303*U214+V303*V214+W303*W214+X303*X214+Y303*Y214+Z303*Z214+AA303*AA214+AB303*AB214+AC303*AC214+AD303*AD214+AE303*AE214+AF303*AF214+AG303*AG214+AH303*AH214+AI303*AI214+AJ303*AJ214+AK303*AK214+AL303*AL214+AM303*AM214+AN303*AN214+AO303*AO214+AP303*AP214+AQ303*AQ214+AR303*AR214+AS303*AS214+AT303*AT214+AU303*AU214+AV303*AV214+AW303*AW214+AX303*AX214+AY303*AY214+AZ303*AZ214+BA303*BA214+BB303*BB214+BC303*BC214+BD303*BD214+BE303*BE214+BF303*BF214+BG303*BG214+BH303*BH214+BI303*BI214+BJ303*BJ214+BK303*BK214+BL303*BL214+BM303*BM214+BN303*BN214+BO303*BO214+BP303*BP214+BQ303*BQ214+BR303*BR214+BS303*BS214+BT303*BT214+BU303*BU214+BV303*BV214+BW303*BW214+BX303*BX214+BY303*BY214+BZ303*BZ214+CA303*CA214+CB303*CB214+CC303*CC214+CD303*CD214+CE303*CE214+CF303*CF214+CG303*CG214+CH303*CH214+CI303*CI214+CJ303*CJ214+CK303*CK214+CL303*CL214+CM303*CM214+CN303*CN214+CO303*CO214+CP303*CP214+CQ303*CQ214+CR303*CR214+CS303*CS214+CT303*CT214+CU303*CU214</f>
        <v>0</v>
      </c>
      <c r="DC214" s="2882">
        <f>E304*E214+F304*F214+G304*G214+H304*H214+I304*I214+J304*J214+K304*K214+L304*L214+M304*M214+N304*N214+O304*O214+P304*P214+Q304*Q214+R304*R214+S304*S214+T304*T214+U304*U214+V304*V214+W304*W214+X304*X214+Y304*Y214+Z304*Z214+AA304*AA214+AB304*AB214+AC304*AC214+AD304*AD214+AE304*AE214+AF304*AF214+AG304*AG214+AH304*AH214+AI304*AI214+AJ304*AJ214+AK304*AK214+AL304*AL214+AM304*AM214+AN304*AN214+AO304*AO214+AP304*AP214+AQ304*AQ214+AR304*AR214+AS304*AS214+AT304*AT214+AU304*AU214+AV304*AV214+AW304*AW214+AX304*AX214+AY304*AY214+AZ304*AZ214+BA304*BA214+BB304*BB214+BC304*BC214+BD304*BD214+BE304*BE214+BF304*BF214+BG304*BG214+BH304*BH214+BI304*BI214+BJ304*BJ214+BK304*BK214+BL304*BL214+BM304*BM214+BN304*BN214+BO304*BO214+BP304*BP214+BQ304*BQ214+BR304*BR214+BS304*BS214+BT304*BT214+BU304*BU214+BV304*BV214+BW304*BW214+BX304*BX214+BY304*BY214+BZ304*BZ214+CA304*CA214+CB304*CB214+CC304*CC214+CD304*CD214+CE304*CE214+CF304*CF214+CG304*CG214+CH304*CH214+CI304*CI214+CJ304*CJ214+CK304*CK214+CL304*CL214+CM304*CM214+CN304*CN214+CO304*CO214+CP304*CP214+CQ304*CQ214+CR304*CR214+CS304*CS214+CT304*CT214+CU304*CU214</f>
        <v>0</v>
      </c>
      <c r="DD214" s="2882">
        <f>E305*E214+F305*F214+G305*G214+H305*H214+I305*I214+J305*J214+K305*K214+L305*L214+M305*M214+N305*N214+O305*O214+P305*P214+Q305*Q214+R305*R214+S305*S214+T305*T214+U305*U214+V305*V214+W305*W214+X305*X214+Y305*Y214+Z305*Z214+AA305*AA214+AB305*AB214+AC305*AC214+AD305*AD214+AE305*AE214+AF305*AF214+AG305*AG214+AH305*AH214+AI305*AI214+AJ305*AJ214+AK305*AK214+AL305*AL214+AM305*AM214+AN305*AN214+AO305*AO214+AP305*AP214+AQ305*AQ214+AR305*AR214+AS305*AS214+AT305*AT214+AU305*AU214+AV305*AV214+AW305*AW214+AX305*AX214+AY305*AY214+AZ305*AZ214+BA305*BA214+BB305*BB214+BC305*BC214+BD305*BD214+BE305*BE214+BF305*BF214+BG305*BG214+BH305*BH214+BI305*BI214+BJ305*BJ214+BK305*BK214+BL305*BL214+BM305*BM214+BN305*BN214+BO305*BO214+BP305*BP214+BQ305*BQ214+BR305*BR214+BS305*BS214+BT305*BT214+BU305*BU214+BV305*BV214+BW305*BW214+BX305*BX214+BY305*BY214+BZ305*BZ214+CA305*CA214+CB305*CB214+CC305*CC214+CD305*CD214+CE305*CE214+CF305*CF214+CG305*CG214+CH305*CH214+CI305*CI214+CJ305*CJ214+CK305*CK214+CL305*CL214+CM305*CM214+CN305*CN214+CO305*CO214+CP305*CP214+CQ305*CQ214+CR305*CR214+CS305*CS214+CT305*CT214+CU305*CU214</f>
        <v>0</v>
      </c>
      <c r="DE214" s="2882">
        <f>E306*E214+F306*F214+G306*G214+H306*H214+I306*I214+J306*J214+K306*K214+L306*L214+M306*M214+N306*N214+O306*O214+P306*P214+Q306*Q214+R306*R214+S306*S214+T306*T214+U306*U214+V306*V214+W306*W214+X306*X214+Y306*Y214+Z306*Z214+AA306*AA214+AB306*AB214+AC306*AC214+AD306*AD214+AE306*AE214+AF306*AF214+AG306*AG214+AH306*AH214+AI306*AI214+AJ306*AJ214+AK306*AK214+AL306*AL214+AM306*AM214+AN306*AN214+AO306*AO214+AP306*AP214+AQ306*AQ214+AR306*AR214+AS306*AS214+AT306*AT214+AU306*AU214+AV306*AV214+AW306*AW214+AX306*AX214+AY306*AY214+AZ306*AZ214+BA306*BA214+BB306*BB214+BC306*BC214+BD306*BD214+BE306*BE214+BF306*BF214+BG306*BG214+BH306*BH214+BI306*BI214+BJ306*BJ214+BK306*BK214+BL306*BL214+BM306*BM214+BN306*BN214+BO306*BO214+BP306*BP214+BQ306*BQ214+BR306*BR214+BS306*BS214+BT306*BT214+BU306*BU214+BV306*BV214+BW306*BW214+BX306*BX214+BY306*BY214+BZ306*BZ214+CA306*CA214+CB306*CB214+CC306*CC214+CD306*CD214+CE306*CE214+CF306*CF214+CG306*CG214+CH306*CH214+CI306*CI214+CJ306*CJ214+CK306*CK214+CL306*CL214+CM306*CM214+CN306*CN214+CO306*CO214+CP306*CP214+CQ306*CQ214+CR306*CR214+CS306*CS214+CT306*CT214+CU306*CU214</f>
        <v>0</v>
      </c>
      <c r="DF214" s="2882">
        <f>E307*E214+F307*F214+G307*G214+H307*H214+I307*I214+J307*J214+K307*K214+L307*L214+M307*M214+N307*N214+O307*O214+P307*P214+Q307*Q214+R307*R214+S307*S214+T307*T214+U307*U214+V307*V214+W307*W214+X307*X214+Y307*Y214+Z307*Z214+AA307*AA214+AB307*AB214+AC307*AC214+AD307*AD214+AE307*AE214+AF307*AF214+AG307*AG214+AH307*AH214+AI307*AI214+AJ307*AJ214+AK307*AK214+AL307*AL214+AM307*AM214+AN307*AN214+AO307*AO214+AP307*AP214+AQ307*AQ214+AR307*AR214+AS307*AS214+AT307*AT214+AU307*AU214+AV307*AV214+AW307*AW214+AX307*AX214+AY307*AY214+AZ307*AZ214+BA307*BA214+BB307*BB214+BC307*BC214+BD307*BD214+BE307*BE214+BF307*BF214+BG307*BG214+BH307*BH214+BI307*BI214+BJ307*BJ214+BK307*BK214+BL307*BL214+BM307*BM214+BN307*BN214+BO307*BO214+BP307*BP214+BQ307*BQ214+BR307*BR214+BS307*BS214+BT307*BT214+BU307*BU214+BV307*BV214+BW307*BW214+BX307*BX214+BY307*BY214+BZ307*BZ214+CA307*CA214+CB307*CB214+CC307*CC214+CD307*CD214+CE307*CE214+CF307*CF214+CG307*CG214+CH307*CH214+CI307*CI214+CJ307*CJ214+CK307*CK214+CL307*CL214+CM307*CM214+CN307*CN214+CO307*CO214+CP307*CP214+CQ307*CQ214+CR307*CR214+CS307*CS214+CT307*CT214+CU307*CU214</f>
        <v>0</v>
      </c>
      <c r="DG214" s="2882">
        <f>E308*E214+F308*F214+G308*G214+H308*H214+I308*I214+J308*J214+K308*K214+L308*L214+M308*M214+N308*N214+O308*O214+P308*P214+Q308*Q214+R308*R214+S308*S214+T308*T214+U308*U214+V308*V214+W308*W214+X308*X214+Y308*Y214+Z308*Z214+AA308*AA214+AB308*AB214+AC308*AC214+AD308*AD214+AE308*AE214+AF308*AF214+AG308*AG214+AH308*AH214+AI308*AI214+AJ308*AJ214+AK308*AK214+AL308*AL214+AM308*AM214+AN308*AN214+AO308*AO214+AP308*AP214+AQ308*AQ214+AR308*AR214+AS308*AS214+AT308*AT214+AU308*AU214+AV308*AV214+AW308*AW214+AX308*AX214+AY308*AY214+AZ308*AZ214+BA308*BA214+BB308*BB214+BC308*BC214+BD308*BD214+BE308*BE214+BF308*BF214+BG308*BG214+BH308*BH214+BI308*BI214+BJ308*BJ214+BK308*BK214+BL308*BL214+BM308*BM214+BN308*BN214+BO308*BO214+BP308*BP214+BQ308*BQ214+BR308*BR214+BS308*BS214+BT308*BT214+BU308*BU214+BV308*BV214+BW308*BW214+BX308*BX214+BY308*BY214+BZ308*BZ214+CA308*CA214+CB308*CB214+CC308*CC214+CD308*CD214+CE308*CE214+CF308*CF214+CG308*CG214+CH308*CH214+CI308*CI214+CJ308*CJ214+CK308*CK214+CL308*CL214+CM308*CM214+CN308*CN214+CO308*CO214+CP308*CP214+CQ308*CQ214+CR308*CR214+CS308*CS214+CT308*CT214+CU308*CU214</f>
        <v>0</v>
      </c>
      <c r="DH214" s="2882">
        <f>E309*E214+F309*F214+G309*G214+H309*H214+I309*I214+J309*J214+K309*K214+L309*L214+M309*M214+N309*N214+O309*O214+P309*P214+Q309*Q214+R309*R214+S309*S214+T309*T214+U309*U214+V309*V214+W309*W214+X309*X214+Y309*Y214+Z309*Z214+AA309*AA214+AB309*AB214+AC309*AC214+AD309*AD214+AE309*AE214+AF309*AF214+AG309*AG214+AH309*AH214+AI309*AI214+AJ309*AJ214+AK309*AK214+AL309*AL214+AM309*AM214+AN309*AN214+AO309*AO214+AP309*AP214+AQ309*AQ214+AR309*AR214+AS309*AS214+AT309*AT214+AU309*AU214+AV309*AV214+AW309*AW214+AX309*AX214+AY309*AY214+AZ309*AZ214+BA309*BA214+BB309*BB214+BC309*BC214+BD309*BD214+BE309*BE214+BF309*BF214+BG309*BG214+BH309*BH214+BI309*BI214+BJ309*BJ214+BK309*BK214+BL309*BL214+BM309*BM214+BN309*BN214+BO309*BO214+BP309*BP214+BQ309*BQ214+BR309*BR214+BS309*BS214+BT309*BT214+BU309*BU214+BV309*BV214+BW309*BW214+BX309*BX214+BY309*BY214+BZ309*BZ214+CA309*CA214+CB309*CB214+CC309*CC214+CD309*CD214+CE309*CE214+CF309*CF214+CG309*CG214+CH309*CH214+CI309*CI214+CJ309*CJ214+CK309*CK214+CL309*CL214+CM309*CM214+CN309*CN214+CO309*CO214+CP309*CP214+CQ309*CQ214+CR309*CR214+CS309*CS214+CT309*CT214+CU309*CU214</f>
        <v>0</v>
      </c>
      <c r="DI214" s="2882">
        <f>E310*E214+F310*F214+G310*G214+H310*H214+I310*I214+J310*J214+K310*K214+L310*L214+M310*M214+N310*N214+O310*O214+P310*P214+Q310*Q214+R310*R214+S310*S214+T310*T214+U310*U214+V310*V214+W310*W214+X310*X214+Y310*Y214+Z310*Z214+AA310*AA214+AB310*AB214+AC310*AC214+AD310*AD214+AE310*AE214+AF310*AF214+AG310*AG214+AH310*AH214+AI310*AI214+AJ310*AJ214+AK310*AK214+AL310*AL214+AM310*AM214+AN310*AN214+AO310*AO214+AP310*AP214+AQ310*AQ214+AR310*AR214+AS310*AS214+AT310*AT214+AU310*AU214+AV310*AV214+AW310*AW214+AX310*AX214+AY310*AY214+AZ310*AZ214+BA310*BA214+BB310*BB214+BC310*BC214+BD310*BD214+BE310*BE214+BF310*BF214+BG310*BG214+BH310*BH214+BI310*BI214+BJ310*BJ214+BK310*BK214+BL310*BL214+BM310*BM214+BN310*BN214+BO310*BO214+BP310*BP214+BQ310*BQ214+BR310*BR214+BS310*BS214+BT310*BT214+BU310*BU214+BV310*BV214+BW310*BW214+BX310*BX214+BY310*BY214+BZ310*BZ214+CA310*CA214+CB310*CB214+CC310*CC214+CD310*CD214+CE310*CE214+CF310*CF214+CG310*CG214+CH310*CH214+CI310*CI214+CJ310*CJ214+CK310*CK214+CL310*CL214+CM310*CM214+CN310*CN214+CO310*CO214+CP310*CP214+CQ310*CQ214+CR310*CR214+CS310*CS214+CT310*CT214+CU310*CU214</f>
        <v>0</v>
      </c>
    </row>
    <row r="215" spans="2:113" x14ac:dyDescent="0.45">
      <c r="B215" s="783">
        <v>56</v>
      </c>
      <c r="C215" s="783" t="s">
        <v>2170</v>
      </c>
      <c r="D215" s="784" t="s">
        <v>305</v>
      </c>
      <c r="E215" s="733">
        <f>0</f>
        <v>0</v>
      </c>
      <c r="F215" s="733">
        <f>0</f>
        <v>0</v>
      </c>
      <c r="G215" s="733">
        <f>0</f>
        <v>0</v>
      </c>
      <c r="H215" s="733">
        <f>0</f>
        <v>0</v>
      </c>
      <c r="I215" s="733">
        <f>0</f>
        <v>0</v>
      </c>
      <c r="J215" s="733">
        <f>0</f>
        <v>0</v>
      </c>
      <c r="K215" s="733">
        <f>0</f>
        <v>0</v>
      </c>
      <c r="L215" s="733">
        <f>0</f>
        <v>0</v>
      </c>
      <c r="M215" s="733">
        <f>0</f>
        <v>0</v>
      </c>
      <c r="N215" s="733">
        <f>0</f>
        <v>0</v>
      </c>
      <c r="O215" s="733">
        <f>0</f>
        <v>0</v>
      </c>
      <c r="P215" s="733">
        <f>0</f>
        <v>0</v>
      </c>
      <c r="Q215" s="733">
        <f>0</f>
        <v>0</v>
      </c>
      <c r="R215" s="733">
        <f>0</f>
        <v>0</v>
      </c>
      <c r="S215" s="733">
        <f>0</f>
        <v>0</v>
      </c>
      <c r="T215" s="733">
        <f>0</f>
        <v>0</v>
      </c>
      <c r="U215" s="733">
        <f>0</f>
        <v>0</v>
      </c>
      <c r="V215" s="733">
        <f>0</f>
        <v>0</v>
      </c>
      <c r="W215" s="733">
        <f>0</f>
        <v>0</v>
      </c>
      <c r="X215" s="733">
        <f>1</f>
        <v>1</v>
      </c>
      <c r="Y215" s="733">
        <f>0</f>
        <v>0</v>
      </c>
      <c r="Z215" s="733">
        <f>0</f>
        <v>0</v>
      </c>
      <c r="AA215" s="733">
        <f>0</f>
        <v>0</v>
      </c>
      <c r="AB215" s="733">
        <f>-i_N_BIO</f>
        <v>-7.0000000000000007E-2</v>
      </c>
      <c r="AC215" s="733">
        <f>0</f>
        <v>0</v>
      </c>
      <c r="AD215" s="733">
        <f>0</f>
        <v>0</v>
      </c>
      <c r="AE215" s="733">
        <f>0</f>
        <v>0</v>
      </c>
      <c r="AF215" s="733">
        <f>0</f>
        <v>0</v>
      </c>
      <c r="AG215" s="733">
        <f>0</f>
        <v>0</v>
      </c>
      <c r="AH215" s="733">
        <f>0</f>
        <v>0</v>
      </c>
      <c r="AI215" s="733">
        <f>0</f>
        <v>0</v>
      </c>
      <c r="AJ215" s="733">
        <f>0</f>
        <v>0</v>
      </c>
      <c r="AK215" s="733">
        <f>0</f>
        <v>0</v>
      </c>
      <c r="AL215" s="733">
        <f>0</f>
        <v>0</v>
      </c>
      <c r="AM215" s="785">
        <f>-i_P_BIO</f>
        <v>-0.02</v>
      </c>
      <c r="AN215" s="733">
        <f>0</f>
        <v>0</v>
      </c>
      <c r="AO215" s="733">
        <f>0</f>
        <v>0</v>
      </c>
      <c r="AP215" s="733">
        <f>0</f>
        <v>0</v>
      </c>
      <c r="AQ215" s="733">
        <f>0</f>
        <v>0</v>
      </c>
      <c r="AR215" s="733">
        <f>0</f>
        <v>0</v>
      </c>
      <c r="AS215" s="733">
        <f>(1-Y_HMETO)/Y_HMETO</f>
        <v>9</v>
      </c>
      <c r="AT215" s="785">
        <f>-1/Y_HMETO</f>
        <v>-10</v>
      </c>
      <c r="AU215" s="785">
        <f>-i_CIT_BIO-i_CIT_CH4*(1-Y_HMETO)/Y_HMETO</f>
        <v>-2.044</v>
      </c>
      <c r="AV215" s="785">
        <f>i_INORG</f>
        <v>0.11</v>
      </c>
      <c r="AW215" s="785">
        <f>-i_INORG*(1-i_Ca_INORG*(A_MCa+2*A_MCl)/A_MCa-i_Mg_INORG*(A_MMg+2*A_MCl)/A_MMg)*f_Na</f>
        <v>-2.8804303582798466E-2</v>
      </c>
      <c r="AX215" s="785">
        <f>-i_INORG*(i_Ca_INORG*(2*A_MCl)/A_MCa+i_Mg_INORG*(2*A_MCl)/A_MMg)-i_INORG*(1-i_Ca_INORG*(A_MCa+2*A_MCl)/A_MCa-i_Mg_INORG*(A_MMg+2*A_MCl)/A_MMg)*(1-f_Na)</f>
        <v>-7.0195696417201539E-2</v>
      </c>
      <c r="AY215" s="785">
        <f>-i_INORG*i_Ca_INORG</f>
        <v>-5.5000000000000005E-3</v>
      </c>
      <c r="AZ215" s="785">
        <f>-i_INORG*i_Mg_INORG</f>
        <v>-5.5000000000000005E-3</v>
      </c>
      <c r="BA215" s="785">
        <f>0</f>
        <v>0</v>
      </c>
      <c r="BB215" s="785">
        <f>0</f>
        <v>0</v>
      </c>
      <c r="BC215" s="2850">
        <f>-i_S_BIO</f>
        <v>-0.01</v>
      </c>
      <c r="BD215" s="785">
        <f>0</f>
        <v>0</v>
      </c>
      <c r="BE215" s="785">
        <f>0</f>
        <v>0</v>
      </c>
      <c r="BF215" s="785">
        <f>0</f>
        <v>0</v>
      </c>
      <c r="BG215" s="785">
        <f>0</f>
        <v>0</v>
      </c>
      <c r="BH215" s="785">
        <f>0</f>
        <v>0</v>
      </c>
      <c r="BI215" s="785">
        <f>0</f>
        <v>0</v>
      </c>
      <c r="BJ215" s="785">
        <f>0</f>
        <v>0</v>
      </c>
      <c r="BK215" s="785">
        <f>0</f>
        <v>0</v>
      </c>
      <c r="BL215" s="785">
        <f>0</f>
        <v>0</v>
      </c>
      <c r="BM215" s="785">
        <f>0</f>
        <v>0</v>
      </c>
      <c r="BN215" s="785">
        <f>0</f>
        <v>0</v>
      </c>
      <c r="BO215" s="785">
        <f>0</f>
        <v>0</v>
      </c>
      <c r="BP215" s="785">
        <f>0</f>
        <v>0</v>
      </c>
      <c r="BQ215" s="785">
        <f>0</f>
        <v>0</v>
      </c>
      <c r="BR215" s="785">
        <f>0</f>
        <v>0</v>
      </c>
      <c r="BS215" s="785">
        <f>0</f>
        <v>0</v>
      </c>
      <c r="BT215" s="785">
        <f>0</f>
        <v>0</v>
      </c>
      <c r="BU215" s="785">
        <f>0</f>
        <v>0</v>
      </c>
      <c r="BV215" s="899">
        <f>0</f>
        <v>0</v>
      </c>
      <c r="BW215" s="785">
        <f>0</f>
        <v>0</v>
      </c>
      <c r="BX215" s="785">
        <f>0</f>
        <v>0</v>
      </c>
      <c r="BY215" s="785">
        <f>0</f>
        <v>0</v>
      </c>
      <c r="BZ215" s="785">
        <f>0</f>
        <v>0</v>
      </c>
      <c r="CA215" s="899">
        <f>0</f>
        <v>0</v>
      </c>
      <c r="CB215" s="785">
        <f>0</f>
        <v>0</v>
      </c>
      <c r="CC215" s="785">
        <f>0</f>
        <v>0</v>
      </c>
      <c r="CD215" s="785">
        <f>0</f>
        <v>0</v>
      </c>
      <c r="CE215" s="785">
        <f>0</f>
        <v>0</v>
      </c>
      <c r="CF215" s="785">
        <f>0</f>
        <v>0</v>
      </c>
      <c r="CG215" s="785">
        <f>0</f>
        <v>0</v>
      </c>
      <c r="CH215" s="785">
        <f>0</f>
        <v>0</v>
      </c>
      <c r="CI215" s="785">
        <f>0</f>
        <v>0</v>
      </c>
      <c r="CJ215" s="785">
        <f>0</f>
        <v>0</v>
      </c>
      <c r="CK215" s="785">
        <f>0</f>
        <v>0</v>
      </c>
      <c r="CL215" s="785">
        <f>0</f>
        <v>0</v>
      </c>
      <c r="CM215" s="785">
        <f>0</f>
        <v>0</v>
      </c>
      <c r="CN215" s="785">
        <f>0</f>
        <v>0</v>
      </c>
      <c r="CO215" s="785">
        <f>0</f>
        <v>0</v>
      </c>
      <c r="CP215" s="785">
        <f>0</f>
        <v>0</v>
      </c>
      <c r="CQ215" s="785">
        <f>0</f>
        <v>0</v>
      </c>
      <c r="CR215" s="785">
        <f>0</f>
        <v>0</v>
      </c>
      <c r="CS215" s="785">
        <f>0</f>
        <v>0</v>
      </c>
      <c r="CT215" s="785">
        <f>0</f>
        <v>0</v>
      </c>
      <c r="CU215" s="785">
        <f>0</f>
        <v>0</v>
      </c>
      <c r="CV215" s="2862">
        <f>µ_HMETO_T*X_HMETO*M_satSCO2_KCO2_BIO*M_satSH2_KH2_HMETO*M_inhSO2_KiO2_HMETO*M_inhSNOx_KNO3_HMETO*M_satSNHx_KNHx_BIO*M_satSPO4_KPO4_BIO*M_satSCAT_KCAT*M_satSAN_KAN*M_satSCa_KCa*M_satSMg_KMg*B_ellinhpH_HMETO</f>
        <v>5.4356003550265865E-6</v>
      </c>
      <c r="CX215" s="2880">
        <f>E299*E215+F299*F215+G299*G215+H299*H215+I299*I215+J299*J215+K299*K215+L299*L215+M299*M215+N299*N215+O299*O215+P299*P215+Q299*Q215+R299*R215+S299*S215+T299*T215+U299*U215+V299*V215+W299*W215+X299*X215+Y299*Y215+Z299*Z215+AA299*AA215+AB299*AB215+AC299*AC215+AD299*AD215+AE299*AE215+AF299*AF215+AG299*AG215+AH299*AH215+AI299*AI215+AJ299*AJ215+AK299*AK215+AL299*AL215+AM299*AM215+AN299*AN215+AO299*AO215+AP299*AP215+AQ299*AQ215+AR299*AR215+AS299*AS215+AT299*AT215+AU299*AU215+AV299*AV215+AW299*AW215+AX299*AX215+AY299*AY215+AZ299*AZ215+BA299*BA215+BB299*BB215+BC299*BC215+BD299*BD215+BE299*BE215+BF299*BF215+BG299*BG215+BH299*BH215+BI299*BI215+BJ299*BJ215+BK299*BK215+BL299*BL215+BM299*BM215+BN299*BN215+BO299*BO215+BP299*BP215+BQ299*BQ215+BR299*BR215+BS299*BS215+BT299*BT215+BU299*BU215+BV299*BV215+BW299*BW215+BX299*BX215+BY299*BY215+BZ299*BZ215+CA299*CA215+CB299*CB215+CC299*CC215+CD299*CD215+CE299*CE215+CF299*CF215+CG299*CG215+CH299*CH215+CI299*CI215+CJ299*CJ215+CK299*CK215+CL299*CL215+CM299*CM215+CN299*CN215+CO299*CO215+CP299*CP215+CQ299*CQ215+CR299*CR215+CS299*CS215+CT299*CT215+CU299*CU215</f>
        <v>0</v>
      </c>
      <c r="CY215" s="2880">
        <f>E300*E215+F300*F215+G300*G215+H300*H215+I300*I215+J300*J215+K300*K215+L300*L215+M300*M215+N300*N215+O300*O215+P300*P215+Q300*Q215+R300*R215+S300*S215+T300*T215+U300*U215+V300*V215+W300*W215+X300*X215+Y300*Y215+Z300*Z215+AA300*AA215+AB300*AB215+AC300*AC215+AD300*AD215+AE300*AE215+AF300*AF215+AG300*AG215+AH300*AH215+AI300*AI215+AJ300*AJ215+AK300*AK215+AL300*AL215+AM300*AM215+AN300*AN215+AO300*AO215+AP300*AP215+AQ300*AQ215+AR300*AR215+AS300*AS215+AT300*AT215+AU300*AU215+AV300*AV215+AW300*AW215+AX300*AX215+AY300*AY215+AZ300*AZ215+BA300*BA215+BB300*BB215+BC300*BC215+BD300*BD215+BE300*BE215+BF300*BF215+BG300*BG215+BH300*BH215+BI300*BI215+BJ300*BJ215+BK300*BK215+BL300*BL215+BM300*BM215+BN300*BN215+BO300*BO215+BP300*BP215+BQ300*BQ215+BR300*BR215+BS300*BS215+BT300*BT215+BU300*BU215+BV300*BV215+BW300*BW215+BX300*BX215+BY300*BY215+BZ300*BZ215+CA300*CA215+CB300*CB215+CC300*CC215+CD300*CD215+CE300*CE215+CF300*CF215+CG300*CG215+CH300*CH215+CI300*CI215+CJ300*CJ215+CK300*CK215+CL300*CL215+CM300*CM215+CN300*CN215+CO300*CO215+CP300*CP215+CQ300*CQ215+CR300*CR215+CS300*CS215+CT300*CT215+CU300*CU215</f>
        <v>0</v>
      </c>
      <c r="CZ215" s="2881">
        <f>E301*E215+F301*F215+G301*G215+H301*H215+I301*I215+J301*J215+K301*K215+L301*L215+M301*M215+N301*N215+O301*O215+P301*P215+Q301*Q215+R301*R215+S301*S215+T301*T215+U301*U215+V301*V215+W301*W215+X301*X215+Y301*Y215+Z301*Z215+AA301*AA215+AB301*AB215+AC301*AC215+AD301*AD215+AE301*AE215+AF301*AF215+AG301*AG215+AH301*AH215+AI301*AI215+AJ301*AJ215+AK301*AK215+AL301*AL215+AM301*AM215+AN301*AN215+AO301*AO215+AP301*AP215+AQ301*AQ215+AR301*AR215+AS301*AS215+AT301*AT215+AU301*AU215+AV301*AV215+AW301*AW215+AX301*AX215+AY301*AY215+AZ301*AZ215+BA301*BA215+BB301*BB215+BC301*BC215+BD301*BD215+BE301*BE215+BF301*BF215+BG301*BG215+BH301*BH215+BI301*BI215+BJ301*BJ215+BK301*BK215+BL301*BL215+BM301*BM215+BN301*BN215+BO301*BO215+BP301*BP215+BQ301*BQ215+BR301*BR215+BS301*BS215+BT301*BT215+BU301*BU215+BV301*BV215+BW301*BW215+BX301*BX215+BY301*BY215+BZ301*BZ215+CA301*CA215+CB301*CB215+CC301*CC215+CD301*CD215+CE301*CE215+CF301*CF215+CG301*CG215+CH301*CH215+CI301*CI215+CJ301*CJ215+CK301*CK215+CL301*CL215+CM301*CM215+CN301*CN215+CO301*CO215+CP301*CP215+CQ301*CQ215+CR301*CR215+CS301*CS215+CT301*CT215+CU301*CU215</f>
        <v>0</v>
      </c>
      <c r="DA215" s="2882">
        <f>E302*E215+F302*F215+G302*G215+H302*H215+I302*I215+J302*J215+K302*K215+L302*L215+M302*M215+N302*N215+O302*O215+P302*P215+Q302*Q215+R302*R215+S302*S215+T302*T215+U302*U215+V302*V215+W302*W215+X302*X215+Y302*Y215+Z302*Z215+AA302*AA215+AB302*AB215+AC302*AC215+AD302*AD215+AE302*AE215+AF302*AF215+AG302*AG215+AH302*AH215+AI302*AI215+AJ302*AJ215+AK302*AK215+AL302*AL215+AM302*AM215+AN302*AN215+AO302*AO215+AP302*AP215+AQ302*AQ215+AR302*AR215+AS302*AS215+AT302*AT215+AU302*AU215+AV302*AV215+AW302*AW215+AX302*AX215+AY302*AY215+AZ302*AZ215+BA302*BA215+BB302*BB215+BC302*BC215+BD302*BD215+BE302*BE215+BF302*BF215+BG302*BG215+BH302*BH215+BI302*BI215+BJ302*BJ215+BK302*BK215+BL302*BL215+BM302*BM215+BN302*BN215+BO302*BO215+BP302*BP215+BQ302*BQ215+BR302*BR215+BS302*BS215+BT302*BT215+BU302*BU215+BV302*BV215+BW302*BW215+BX302*BX215+BY302*BY215+BZ302*BZ215+CA302*CA215+CB302*CB215+CC302*CC215+CD302*CD215+CE302*CE215+CF302*CF215+CG302*CG215+CH302*CH215+CI302*CI215+CJ302*CJ215+CK302*CK215+CL302*CL215+CM302*CM215+CN302*CN215+CO302*CO215+CP302*CP215+CQ302*CQ215+CR302*CR215+CS302*CS215+CT302*CT215+CU302*CU215</f>
        <v>0</v>
      </c>
      <c r="DB215" s="2882">
        <f>E303*E215+F303*F215+G303*G215+H303*H215+I303*I215+J303*J215+K303*K215+L303*L215+M303*M215+N303*N215+O303*O215+P303*P215+Q303*Q215+R303*R215+S303*S215+T303*T215+U303*U215+V303*V215+W303*W215+X303*X215+Y303*Y215+Z303*Z215+AA303*AA215+AB303*AB215+AC303*AC215+AD303*AD215+AE303*AE215+AF303*AF215+AG303*AG215+AH303*AH215+AI303*AI215+AJ303*AJ215+AK303*AK215+AL303*AL215+AM303*AM215+AN303*AN215+AO303*AO215+AP303*AP215+AQ303*AQ215+AR303*AR215+AS303*AS215+AT303*AT215+AU303*AU215+AV303*AV215+AW303*AW215+AX303*AX215+AY303*AY215+AZ303*AZ215+BA303*BA215+BB303*BB215+BC303*BC215+BD303*BD215+BE303*BE215+BF303*BF215+BG303*BG215+BH303*BH215+BI303*BI215+BJ303*BJ215+BK303*BK215+BL303*BL215+BM303*BM215+BN303*BN215+BO303*BO215+BP303*BP215+BQ303*BQ215+BR303*BR215+BS303*BS215+BT303*BT215+BU303*BU215+BV303*BV215+BW303*BW215+BX303*BX215+BY303*BY215+BZ303*BZ215+CA303*CA215+CB303*CB215+CC303*CC215+CD303*CD215+CE303*CE215+CF303*CF215+CG303*CG215+CH303*CH215+CI303*CI215+CJ303*CJ215+CK303*CK215+CL303*CL215+CM303*CM215+CN303*CN215+CO303*CO215+CP303*CP215+CQ303*CQ215+CR303*CR215+CS303*CS215+CT303*CT215+CU303*CU215</f>
        <v>0</v>
      </c>
      <c r="DC215" s="2882">
        <f>E304*E215+F304*F215+G304*G215+H304*H215+I304*I215+J304*J215+K304*K215+L304*L215+M304*M215+N304*N215+O304*O215+P304*P215+Q304*Q215+R304*R215+S304*S215+T304*T215+U304*U215+V304*V215+W304*W215+X304*X215+Y304*Y215+Z304*Z215+AA304*AA215+AB304*AB215+AC304*AC215+AD304*AD215+AE304*AE215+AF304*AF215+AG304*AG215+AH304*AH215+AI304*AI215+AJ304*AJ215+AK304*AK215+AL304*AL215+AM304*AM215+AN304*AN215+AO304*AO215+AP304*AP215+AQ304*AQ215+AR304*AR215+AS304*AS215+AT304*AT215+AU304*AU215+AV304*AV215+AW304*AW215+AX304*AX215+AY304*AY215+AZ304*AZ215+BA304*BA215+BB304*BB215+BC304*BC215+BD304*BD215+BE304*BE215+BF304*BF215+BG304*BG215+BH304*BH215+BI304*BI215+BJ304*BJ215+BK304*BK215+BL304*BL215+BM304*BM215+BN304*BN215+BO304*BO215+BP304*BP215+BQ304*BQ215+BR304*BR215+BS304*BS215+BT304*BT215+BU304*BU215+BV304*BV215+BW304*BW215+BX304*BX215+BY304*BY215+BZ304*BZ215+CA304*CA215+CB304*CB215+CC304*CC215+CD304*CD215+CE304*CE215+CF304*CF215+CG304*CG215+CH304*CH215+CI304*CI215+CJ304*CJ215+CK304*CK215+CL304*CL215+CM304*CM215+CN304*CN215+CO304*CO215+CP304*CP215+CQ304*CQ215+CR304*CR215+CS304*CS215+CT304*CT215+CU304*CU215</f>
        <v>0</v>
      </c>
      <c r="DD215" s="2882">
        <f>E305*E215+F305*F215+G305*G215+H305*H215+I305*I215+J305*J215+K305*K215+L305*L215+M305*M215+N305*N215+O305*O215+P305*P215+Q305*Q215+R305*R215+S305*S215+T305*T215+U305*U215+V305*V215+W305*W215+X305*X215+Y305*Y215+Z305*Z215+AA305*AA215+AB305*AB215+AC305*AC215+AD305*AD215+AE305*AE215+AF305*AF215+AG305*AG215+AH305*AH215+AI305*AI215+AJ305*AJ215+AK305*AK215+AL305*AL215+AM305*AM215+AN305*AN215+AO305*AO215+AP305*AP215+AQ305*AQ215+AR305*AR215+AS305*AS215+AT305*AT215+AU305*AU215+AV305*AV215+AW305*AW215+AX305*AX215+AY305*AY215+AZ305*AZ215+BA305*BA215+BB305*BB215+BC305*BC215+BD305*BD215+BE305*BE215+BF305*BF215+BG305*BG215+BH305*BH215+BI305*BI215+BJ305*BJ215+BK305*BK215+BL305*BL215+BM305*BM215+BN305*BN215+BO305*BO215+BP305*BP215+BQ305*BQ215+BR305*BR215+BS305*BS215+BT305*BT215+BU305*BU215+BV305*BV215+BW305*BW215+BX305*BX215+BY305*BY215+BZ305*BZ215+CA305*CA215+CB305*CB215+CC305*CC215+CD305*CD215+CE305*CE215+CF305*CF215+CG305*CG215+CH305*CH215+CI305*CI215+CJ305*CJ215+CK305*CK215+CL305*CL215+CM305*CM215+CN305*CN215+CO305*CO215+CP305*CP215+CQ305*CQ215+CR305*CR215+CS305*CS215+CT305*CT215+CU305*CU215</f>
        <v>0</v>
      </c>
      <c r="DE215" s="2882">
        <f>E306*E215+F306*F215+G306*G215+H306*H215+I306*I215+J306*J215+K306*K215+L306*L215+M306*M215+N306*N215+O306*O215+P306*P215+Q306*Q215+R306*R215+S306*S215+T306*T215+U306*U215+V306*V215+W306*W215+X306*X215+Y306*Y215+Z306*Z215+AA306*AA215+AB306*AB215+AC306*AC215+AD306*AD215+AE306*AE215+AF306*AF215+AG306*AG215+AH306*AH215+AI306*AI215+AJ306*AJ215+AK306*AK215+AL306*AL215+AM306*AM215+AN306*AN215+AO306*AO215+AP306*AP215+AQ306*AQ215+AR306*AR215+AS306*AS215+AT306*AT215+AU306*AU215+AV306*AV215+AW306*AW215+AX306*AX215+AY306*AY215+AZ306*AZ215+BA306*BA215+BB306*BB215+BC306*BC215+BD306*BD215+BE306*BE215+BF306*BF215+BG306*BG215+BH306*BH215+BI306*BI215+BJ306*BJ215+BK306*BK215+BL306*BL215+BM306*BM215+BN306*BN215+BO306*BO215+BP306*BP215+BQ306*BQ215+BR306*BR215+BS306*BS215+BT306*BT215+BU306*BU215+BV306*BV215+BW306*BW215+BX306*BX215+BY306*BY215+BZ306*BZ215+CA306*CA215+CB306*CB215+CC306*CC215+CD306*CD215+CE306*CE215+CF306*CF215+CG306*CG215+CH306*CH215+CI306*CI215+CJ306*CJ215+CK306*CK215+CL306*CL215+CM306*CM215+CN306*CN215+CO306*CO215+CP306*CP215+CQ306*CQ215+CR306*CR215+CS306*CS215+CT306*CT215+CU306*CU215</f>
        <v>0</v>
      </c>
      <c r="DF215" s="2882">
        <f>E307*E215+F307*F215+G307*G215+H307*H215+I307*I215+J307*J215+K307*K215+L307*L215+M307*M215+N307*N215+O307*O215+P307*P215+Q307*Q215+R307*R215+S307*S215+T307*T215+U307*U215+V307*V215+W307*W215+X307*X215+Y307*Y215+Z307*Z215+AA307*AA215+AB307*AB215+AC307*AC215+AD307*AD215+AE307*AE215+AF307*AF215+AG307*AG215+AH307*AH215+AI307*AI215+AJ307*AJ215+AK307*AK215+AL307*AL215+AM307*AM215+AN307*AN215+AO307*AO215+AP307*AP215+AQ307*AQ215+AR307*AR215+AS307*AS215+AT307*AT215+AU307*AU215+AV307*AV215+AW307*AW215+AX307*AX215+AY307*AY215+AZ307*AZ215+BA307*BA215+BB307*BB215+BC307*BC215+BD307*BD215+BE307*BE215+BF307*BF215+BG307*BG215+BH307*BH215+BI307*BI215+BJ307*BJ215+BK307*BK215+BL307*BL215+BM307*BM215+BN307*BN215+BO307*BO215+BP307*BP215+BQ307*BQ215+BR307*BR215+BS307*BS215+BT307*BT215+BU307*BU215+BV307*BV215+BW307*BW215+BX307*BX215+BY307*BY215+BZ307*BZ215+CA307*CA215+CB307*CB215+CC307*CC215+CD307*CD215+CE307*CE215+CF307*CF215+CG307*CG215+CH307*CH215+CI307*CI215+CJ307*CJ215+CK307*CK215+CL307*CL215+CM307*CM215+CN307*CN215+CO307*CO215+CP307*CP215+CQ307*CQ215+CR307*CR215+CS307*CS215+CT307*CT215+CU307*CU215</f>
        <v>0</v>
      </c>
      <c r="DG215" s="2882">
        <f>E308*E215+F308*F215+G308*G215+H308*H215+I308*I215+J308*J215+K308*K215+L308*L215+M308*M215+N308*N215+O308*O215+P308*P215+Q308*Q215+R308*R215+S308*S215+T308*T215+U308*U215+V308*V215+W308*W215+X308*X215+Y308*Y215+Z308*Z215+AA308*AA215+AB308*AB215+AC308*AC215+AD308*AD215+AE308*AE215+AF308*AF215+AG308*AG215+AH308*AH215+AI308*AI215+AJ308*AJ215+AK308*AK215+AL308*AL215+AM308*AM215+AN308*AN215+AO308*AO215+AP308*AP215+AQ308*AQ215+AR308*AR215+AS308*AS215+AT308*AT215+AU308*AU215+AV308*AV215+AW308*AW215+AX308*AX215+AY308*AY215+AZ308*AZ215+BA308*BA215+BB308*BB215+BC308*BC215+BD308*BD215+BE308*BE215+BF308*BF215+BG308*BG215+BH308*BH215+BI308*BI215+BJ308*BJ215+BK308*BK215+BL308*BL215+BM308*BM215+BN308*BN215+BO308*BO215+BP308*BP215+BQ308*BQ215+BR308*BR215+BS308*BS215+BT308*BT215+BU308*BU215+BV308*BV215+BW308*BW215+BX308*BX215+BY308*BY215+BZ308*BZ215+CA308*CA215+CB308*CB215+CC308*CC215+CD308*CD215+CE308*CE215+CF308*CF215+CG308*CG215+CH308*CH215+CI308*CI215+CJ308*CJ215+CK308*CK215+CL308*CL215+CM308*CM215+CN308*CN215+CO308*CO215+CP308*CP215+CQ308*CQ215+CR308*CR215+CS308*CS215+CT308*CT215+CU308*CU215</f>
        <v>0</v>
      </c>
      <c r="DH215" s="2882">
        <f>E309*E215+F309*F215+G309*G215+H309*H215+I309*I215+J309*J215+K309*K215+L309*L215+M309*M215+N309*N215+O309*O215+P309*P215+Q309*Q215+R309*R215+S309*S215+T309*T215+U309*U215+V309*V215+W309*W215+X309*X215+Y309*Y215+Z309*Z215+AA309*AA215+AB309*AB215+AC309*AC215+AD309*AD215+AE309*AE215+AF309*AF215+AG309*AG215+AH309*AH215+AI309*AI215+AJ309*AJ215+AK309*AK215+AL309*AL215+AM309*AM215+AN309*AN215+AO309*AO215+AP309*AP215+AQ309*AQ215+AR309*AR215+AS309*AS215+AT309*AT215+AU309*AU215+AV309*AV215+AW309*AW215+AX309*AX215+AY309*AY215+AZ309*AZ215+BA309*BA215+BB309*BB215+BC309*BC215+BD309*BD215+BE309*BE215+BF309*BF215+BG309*BG215+BH309*BH215+BI309*BI215+BJ309*BJ215+BK309*BK215+BL309*BL215+BM309*BM215+BN309*BN215+BO309*BO215+BP309*BP215+BQ309*BQ215+BR309*BR215+BS309*BS215+BT309*BT215+BU309*BU215+BV309*BV215+BW309*BW215+BX309*BX215+BY309*BY215+BZ309*BZ215+CA309*CA215+CB309*CB215+CC309*CC215+CD309*CD215+CE309*CE215+CF309*CF215+CG309*CG215+CH309*CH215+CI309*CI215+CJ309*CJ215+CK309*CK215+CL309*CL215+CM309*CM215+CN309*CN215+CO309*CO215+CP309*CP215+CQ309*CQ215+CR309*CR215+CS309*CS215+CT309*CT215+CU309*CU215</f>
        <v>0</v>
      </c>
      <c r="DI215" s="2882">
        <f>E310*E215+F310*F215+G310*G215+H310*H215+I310*I215+J310*J215+K310*K215+L310*L215+M310*M215+N310*N215+O310*O215+P310*P215+Q310*Q215+R310*R215+S310*S215+T310*T215+U310*U215+V310*V215+W310*W215+X310*X215+Y310*Y215+Z310*Z215+AA310*AA215+AB310*AB215+AC310*AC215+AD310*AD215+AE310*AE215+AF310*AF215+AG310*AG215+AH310*AH215+AI310*AI215+AJ310*AJ215+AK310*AK215+AL310*AL215+AM310*AM215+AN310*AN215+AO310*AO215+AP310*AP215+AQ310*AQ215+AR310*AR215+AS310*AS215+AT310*AT215+AU310*AU215+AV310*AV215+AW310*AW215+AX310*AX215+AY310*AY215+AZ310*AZ215+BA310*BA215+BB310*BB215+BC310*BC215+BD310*BD215+BE310*BE215+BF310*BF215+BG310*BG215+BH310*BH215+BI310*BI215+BJ310*BJ215+BK310*BK215+BL310*BL215+BM310*BM215+BN310*BN215+BO310*BO215+BP310*BP215+BQ310*BQ215+BR310*BR215+BS310*BS215+BT310*BT215+BU310*BU215+BV310*BV215+BW310*BW215+BX310*BX215+BY310*BY215+BZ310*BZ215+CA310*CA215+CB310*CB215+CC310*CC215+CD310*CD215+CE310*CE215+CF310*CF215+CG310*CG215+CH310*CH215+CI310*CI215+CJ310*CJ215+CK310*CK215+CL310*CL215+CM310*CM215+CN310*CN215+CO310*CO215+CP310*CP215+CQ310*CQ215+CR310*CR215+CS310*CS215+CT310*CT215+CU310*CU215</f>
        <v>0</v>
      </c>
    </row>
    <row r="216" spans="2:113" x14ac:dyDescent="0.45">
      <c r="B216" s="783">
        <v>57</v>
      </c>
      <c r="C216" s="783" t="s">
        <v>2171</v>
      </c>
      <c r="D216" s="784" t="s">
        <v>295</v>
      </c>
      <c r="E216" s="733">
        <f>0</f>
        <v>0</v>
      </c>
      <c r="F216" s="733">
        <f>0</f>
        <v>0</v>
      </c>
      <c r="G216" s="733">
        <f>0</f>
        <v>0</v>
      </c>
      <c r="H216" s="733">
        <f>0</f>
        <v>0</v>
      </c>
      <c r="I216" s="733">
        <f>1-f_E</f>
        <v>0.92</v>
      </c>
      <c r="J216" s="733">
        <f>0</f>
        <v>0</v>
      </c>
      <c r="K216" s="733">
        <f>0</f>
        <v>0</v>
      </c>
      <c r="L216" s="733">
        <f>0</f>
        <v>0</v>
      </c>
      <c r="M216" s="733">
        <f>0</f>
        <v>0</v>
      </c>
      <c r="N216" s="733">
        <f>0</f>
        <v>0</v>
      </c>
      <c r="O216" s="733">
        <f>f_E</f>
        <v>0.08</v>
      </c>
      <c r="P216" s="733">
        <f>0</f>
        <v>0</v>
      </c>
      <c r="Q216" s="733">
        <f>0</f>
        <v>0</v>
      </c>
      <c r="R216" s="733">
        <f>0</f>
        <v>0</v>
      </c>
      <c r="S216" s="733">
        <f>0</f>
        <v>0</v>
      </c>
      <c r="T216" s="733">
        <f>0</f>
        <v>0</v>
      </c>
      <c r="U216" s="733">
        <f>0</f>
        <v>0</v>
      </c>
      <c r="V216" s="733">
        <f>0</f>
        <v>0</v>
      </c>
      <c r="W216" s="733">
        <f>0</f>
        <v>0</v>
      </c>
      <c r="X216" s="733">
        <f>-1</f>
        <v>-1</v>
      </c>
      <c r="Y216" s="733">
        <f>0</f>
        <v>0</v>
      </c>
      <c r="Z216" s="733">
        <f>0</f>
        <v>0</v>
      </c>
      <c r="AA216" s="733">
        <f>0</f>
        <v>0</v>
      </c>
      <c r="AB216" s="733">
        <f>-f_E*(i_N_XE-i_N_BIO)</f>
        <v>8.0000000000000069E-4</v>
      </c>
      <c r="AC216" s="733">
        <f>0</f>
        <v>0</v>
      </c>
      <c r="AD216" s="733">
        <f>0</f>
        <v>0</v>
      </c>
      <c r="AE216" s="733">
        <f>0</f>
        <v>0</v>
      </c>
      <c r="AF216" s="733">
        <f>0</f>
        <v>0</v>
      </c>
      <c r="AG216" s="733">
        <f>0</f>
        <v>0</v>
      </c>
      <c r="AH216" s="733">
        <f>0</f>
        <v>0</v>
      </c>
      <c r="AI216" s="733">
        <f>0</f>
        <v>0</v>
      </c>
      <c r="AJ216" s="733">
        <f>0</f>
        <v>0</v>
      </c>
      <c r="AK216" s="733">
        <f>(1-f_E)*i_N_BIO</f>
        <v>6.4400000000000013E-2</v>
      </c>
      <c r="AL216" s="733">
        <f>0</f>
        <v>0</v>
      </c>
      <c r="AM216" s="733">
        <f>0</f>
        <v>0</v>
      </c>
      <c r="AN216" s="733">
        <f>0</f>
        <v>0</v>
      </c>
      <c r="AO216" s="733">
        <f>0</f>
        <v>0</v>
      </c>
      <c r="AP216" s="733">
        <f>(1-f_E)*i_P_BIO</f>
        <v>1.84E-2</v>
      </c>
      <c r="AQ216" s="733">
        <f>0</f>
        <v>0</v>
      </c>
      <c r="AR216" s="733">
        <f>0</f>
        <v>0</v>
      </c>
      <c r="AS216" s="733">
        <f>0</f>
        <v>0</v>
      </c>
      <c r="AT216" s="733">
        <f>0</f>
        <v>0</v>
      </c>
      <c r="AU216" s="733">
        <f>(1-f_E)*(i_CIT_BIO-i_CIT_SB)</f>
        <v>6.0720000000000003E-2</v>
      </c>
      <c r="AV216" s="733">
        <f>-i_INORG</f>
        <v>-0.11</v>
      </c>
      <c r="AW216" s="733">
        <f>i_INORG*(1-i_Ca_INORG*(A_MCa+2*A_MCl)/A_MCa-i_Mg_INORG*(A_MMg+2*A_MCl)/A_MMg)*f_Na</f>
        <v>2.8804303582798466E-2</v>
      </c>
      <c r="AX216" s="733">
        <f>i_INORG*(i_Ca_INORG*(2*A_MCl)/A_MCa+i_Mg_INORG*(2*A_MCl)/A_MMg)+i_INORG*(1-i_Ca_INORG*(A_MCa+2*A_MCl)/A_MCa-i_Mg_INORG*(A_MMg+2*A_MCl)/A_MMg)*(1-f_Na)</f>
        <v>7.0195696417201539E-2</v>
      </c>
      <c r="AY216" s="733">
        <f>i_INORG*i_Ca_INORG</f>
        <v>5.5000000000000005E-3</v>
      </c>
      <c r="AZ216" s="733">
        <f>i_INORG*i_Mg_INORG</f>
        <v>5.5000000000000005E-3</v>
      </c>
      <c r="BA216" s="733">
        <f>0</f>
        <v>0</v>
      </c>
      <c r="BB216" s="733">
        <f>0</f>
        <v>0</v>
      </c>
      <c r="BC216" s="733">
        <f>(1-f_E)*i_S_BIO-(1-f_E)*i_S_XB</f>
        <v>7.8200000000000006E-3</v>
      </c>
      <c r="BD216" s="733">
        <f>0</f>
        <v>0</v>
      </c>
      <c r="BE216" s="733">
        <f>0</f>
        <v>0</v>
      </c>
      <c r="BF216" s="733">
        <f>0</f>
        <v>0</v>
      </c>
      <c r="BG216" s="733">
        <f>0</f>
        <v>0</v>
      </c>
      <c r="BH216" s="733">
        <f>0</f>
        <v>0</v>
      </c>
      <c r="BI216" s="733">
        <f>0</f>
        <v>0</v>
      </c>
      <c r="BJ216" s="733">
        <f>0</f>
        <v>0</v>
      </c>
      <c r="BK216" s="733">
        <f>0</f>
        <v>0</v>
      </c>
      <c r="BL216" s="733">
        <f>0</f>
        <v>0</v>
      </c>
      <c r="BM216" s="733">
        <f>0</f>
        <v>0</v>
      </c>
      <c r="BN216" s="733">
        <f>0</f>
        <v>0</v>
      </c>
      <c r="BO216" s="733">
        <f>0</f>
        <v>0</v>
      </c>
      <c r="BP216" s="733">
        <f>0</f>
        <v>0</v>
      </c>
      <c r="BQ216" s="733">
        <f>0</f>
        <v>0</v>
      </c>
      <c r="BR216" s="733">
        <f>0</f>
        <v>0</v>
      </c>
      <c r="BS216" s="733">
        <f>0</f>
        <v>0</v>
      </c>
      <c r="BT216" s="733">
        <f>0</f>
        <v>0</v>
      </c>
      <c r="BU216" s="733">
        <f>0</f>
        <v>0</v>
      </c>
      <c r="BV216" s="900">
        <f>0</f>
        <v>0</v>
      </c>
      <c r="BW216" s="733">
        <f>0</f>
        <v>0</v>
      </c>
      <c r="BX216" s="733">
        <f>0</f>
        <v>0</v>
      </c>
      <c r="BY216" s="733">
        <f>0</f>
        <v>0</v>
      </c>
      <c r="BZ216" s="733">
        <f>0</f>
        <v>0</v>
      </c>
      <c r="CA216" s="900">
        <f>0</f>
        <v>0</v>
      </c>
      <c r="CB216" s="733">
        <f>0</f>
        <v>0</v>
      </c>
      <c r="CC216" s="733">
        <f>0</f>
        <v>0</v>
      </c>
      <c r="CD216" s="733">
        <f>0</f>
        <v>0</v>
      </c>
      <c r="CE216" s="733">
        <f>0</f>
        <v>0</v>
      </c>
      <c r="CF216" s="733">
        <f>0</f>
        <v>0</v>
      </c>
      <c r="CG216" s="733">
        <f>0</f>
        <v>0</v>
      </c>
      <c r="CH216" s="733">
        <f>0</f>
        <v>0</v>
      </c>
      <c r="CI216" s="733">
        <f>0</f>
        <v>0</v>
      </c>
      <c r="CJ216" s="733">
        <f>0</f>
        <v>0</v>
      </c>
      <c r="CK216" s="733">
        <f>0</f>
        <v>0</v>
      </c>
      <c r="CL216" s="733">
        <f>0</f>
        <v>0</v>
      </c>
      <c r="CM216" s="733">
        <f>0</f>
        <v>0</v>
      </c>
      <c r="CN216" s="733">
        <f>0</f>
        <v>0</v>
      </c>
      <c r="CO216" s="733">
        <f>0</f>
        <v>0</v>
      </c>
      <c r="CP216" s="733">
        <f>0</f>
        <v>0</v>
      </c>
      <c r="CQ216" s="733">
        <f>0</f>
        <v>0</v>
      </c>
      <c r="CR216" s="733">
        <f>0</f>
        <v>0</v>
      </c>
      <c r="CS216" s="733">
        <f>0</f>
        <v>0</v>
      </c>
      <c r="CT216" s="733">
        <f>0</f>
        <v>0</v>
      </c>
      <c r="CU216" s="733">
        <f>0</f>
        <v>0</v>
      </c>
      <c r="CV216" s="2862">
        <f>b_HMETO_T*X_HMETO*(m_tox_aer*M_satSO2_KiO2_HMETO+m_tox_anox*M_satSNOx_KNO3_HMETO*M_inhSO2_KiO2_HMETO)</f>
        <v>0.25679848448969933</v>
      </c>
      <c r="CX216" s="2880">
        <f>E299*E216+F299*F216+G299*G216+H299*H216+I299*I216+J299*J216+K299*K216+L299*L216+M299*M216+N299*N216+O299*O216+P299*P216+Q299*Q216+R299*R216+S299*S216+T299*T216+U299*U216+V299*V216+W299*W216+X299*X216+Y299*Y216+Z299*Z216+AA299*AA216+AB299*AB216+AC299*AC216+AD299*AD216+AE299*AE216+AF299*AF216+AG299*AG216+AH299*AH216+AI299*AI216+AJ299*AJ216+AK299*AK216+AL299*AL216+AM299*AM216+AN299*AN216+AO299*AO216+AP299*AP216+AQ299*AQ216+AR299*AR216+AS299*AS216+AT299*AT216+AU299*AU216+AV299*AV216+AW299*AW216+AX299*AX216+AY299*AY216+AZ299*AZ216+BA299*BA216+BB299*BB216+BC299*BC216+BD299*BD216+BE299*BE216+BF299*BF216+BG299*BG216+BH299*BH216+BI299*BI216+BJ299*BJ216+BK299*BK216+BL299*BL216+BM299*BM216+BN299*BN216+BO299*BO216+BP299*BP216+BQ299*BQ216+BR299*BR216+BS299*BS216+BT299*BT216+BU299*BU216+BV299*BV216+BW299*BW216+BX299*BX216+BY299*BY216+BZ299*BZ216+CA299*CA216+CB299*CB216+CC299*CC216+CD299*CD216+CE299*CE216+CF299*CF216+CG299*CG216+CH299*CH216+CI299*CI216+CJ299*CJ216+CK299*CK216+CL299*CL216+CM299*CM216+CN299*CN216+CO299*CO216+CP299*CP216+CQ299*CQ216+CR299*CR216+CS299*CS216+CT299*CT216+CU299*CU216</f>
        <v>0</v>
      </c>
      <c r="CY216" s="2880">
        <f>E300*E216+F300*F216+G300*G216+H300*H216+I300*I216+J300*J216+K300*K216+L300*L216+M300*M216+N300*N216+O300*O216+P300*P216+Q300*Q216+R300*R216+S300*S216+T300*T216+U300*U216+V300*V216+W300*W216+X300*X216+Y300*Y216+Z300*Z216+AA300*AA216+AB300*AB216+AC300*AC216+AD300*AD216+AE300*AE216+AF300*AF216+AG300*AG216+AH300*AH216+AI300*AI216+AJ300*AJ216+AK300*AK216+AL300*AL216+AM300*AM216+AN300*AN216+AO300*AO216+AP300*AP216+AQ300*AQ216+AR300*AR216+AS300*AS216+AT300*AT216+AU300*AU216+AV300*AV216+AW300*AW216+AX300*AX216+AY300*AY216+AZ300*AZ216+BA300*BA216+BB300*BB216+BC300*BC216+BD300*BD216+BE300*BE216+BF300*BF216+BG300*BG216+BH300*BH216+BI300*BI216+BJ300*BJ216+BK300*BK216+BL300*BL216+BM300*BM216+BN300*BN216+BO300*BO216+BP300*BP216+BQ300*BQ216+BR300*BR216+BS300*BS216+BT300*BT216+BU300*BU216+BV300*BV216+BW300*BW216+BX300*BX216+BY300*BY216+BZ300*BZ216+CA300*CA216+CB300*CB216+CC300*CC216+CD300*CD216+CE300*CE216+CF300*CF216+CG300*CG216+CH300*CH216+CI300*CI216+CJ300*CJ216+CK300*CK216+CL300*CL216+CM300*CM216+CN300*CN216+CO300*CO216+CP300*CP216+CQ300*CQ216+CR300*CR216+CS300*CS216+CT300*CT216+CU300*CU216</f>
        <v>6.9388939039072284E-18</v>
      </c>
      <c r="CZ216" s="2881">
        <f>E301*E216+F301*F216+G301*G216+H301*H216+I301*I216+J301*J216+K301*K216+L301*L216+M301*M216+N301*N216+O301*O216+P301*P216+Q301*Q216+R301*R216+S301*S216+T301*T216+U301*U216+V301*V216+W301*W216+X301*X216+Y301*Y216+Z301*Z216+AA301*AA216+AB301*AB216+AC301*AC216+AD301*AD216+AE301*AE216+AF301*AF216+AG301*AG216+AH301*AH216+AI301*AI216+AJ301*AJ216+AK301*AK216+AL301*AL216+AM301*AM216+AN301*AN216+AO301*AO216+AP301*AP216+AQ301*AQ216+AR301*AR216+AS301*AS216+AT301*AT216+AU301*AU216+AV301*AV216+AW301*AW216+AX301*AX216+AY301*AY216+AZ301*AZ216+BA301*BA216+BB301*BB216+BC301*BC216+BD301*BD216+BE301*BE216+BF301*BF216+BG301*BG216+BH301*BH216+BI301*BI216+BJ301*BJ216+BK301*BK216+BL301*BL216+BM301*BM216+BN301*BN216+BO301*BO216+BP301*BP216+BQ301*BQ216+BR301*BR216+BS301*BS216+BT301*BT216+BU301*BU216+BV301*BV216+BW301*BW216+BX301*BX216+BY301*BY216+BZ301*BZ216+CA301*CA216+CB301*CB216+CC301*CC216+CD301*CD216+CE301*CE216+CF301*CF216+CG301*CG216+CH301*CH216+CI301*CI216+CJ301*CJ216+CK301*CK216+CL301*CL216+CM301*CM216+CN301*CN216+CO301*CO216+CP301*CP216+CQ301*CQ216+CR301*CR216+CS301*CS216+CT301*CT216+CU301*CU216</f>
        <v>0</v>
      </c>
      <c r="DA216" s="2882">
        <f>E302*E216+F302*F216+G302*G216+H302*H216+I302*I216+J302*J216+K302*K216+L302*L216+M302*M216+N302*N216+O302*O216+P302*P216+Q302*Q216+R302*R216+S302*S216+T302*T216+U302*U216+V302*V216+W302*W216+X302*X216+Y302*Y216+Z302*Z216+AA302*AA216+AB302*AB216+AC302*AC216+AD302*AD216+AE302*AE216+AF302*AF216+AG302*AG216+AH302*AH216+AI302*AI216+AJ302*AJ216+AK302*AK216+AL302*AL216+AM302*AM216+AN302*AN216+AO302*AO216+AP302*AP216+AQ302*AQ216+AR302*AR216+AS302*AS216+AT302*AT216+AU302*AU216+AV302*AV216+AW302*AW216+AX302*AX216+AY302*AY216+AZ302*AZ216+BA302*BA216+BB302*BB216+BC302*BC216+BD302*BD216+BE302*BE216+BF302*BF216+BG302*BG216+BH302*BH216+BI302*BI216+BJ302*BJ216+BK302*BK216+BL302*BL216+BM302*BM216+BN302*BN216+BO302*BO216+BP302*BP216+BQ302*BQ216+BR302*BR216+BS302*BS216+BT302*BT216+BU302*BU216+BV302*BV216+BW302*BW216+BX302*BX216+BY302*BY216+BZ302*BZ216+CA302*CA216+CB302*CB216+CC302*CC216+CD302*CD216+CE302*CE216+CF302*CF216+CG302*CG216+CH302*CH216+CI302*CI216+CJ302*CJ216+CK302*CK216+CL302*CL216+CM302*CM216+CN302*CN216+CO302*CO216+CP302*CP216+CQ302*CQ216+CR302*CR216+CS302*CS216+CT302*CT216+CU302*CU216</f>
        <v>0</v>
      </c>
      <c r="DB216" s="2882">
        <f>E303*E216+F303*F216+G303*G216+H303*H216+I303*I216+J303*J216+K303*K216+L303*L216+M303*M216+N303*N216+O303*O216+P303*P216+Q303*Q216+R303*R216+S303*S216+T303*T216+U303*U216+V303*V216+W303*W216+X303*X216+Y303*Y216+Z303*Z216+AA303*AA216+AB303*AB216+AC303*AC216+AD303*AD216+AE303*AE216+AF303*AF216+AG303*AG216+AH303*AH216+AI303*AI216+AJ303*AJ216+AK303*AK216+AL303*AL216+AM303*AM216+AN303*AN216+AO303*AO216+AP303*AP216+AQ303*AQ216+AR303*AR216+AS303*AS216+AT303*AT216+AU303*AU216+AV303*AV216+AW303*AW216+AX303*AX216+AY303*AY216+AZ303*AZ216+BA303*BA216+BB303*BB216+BC303*BC216+BD303*BD216+BE303*BE216+BF303*BF216+BG303*BG216+BH303*BH216+BI303*BI216+BJ303*BJ216+BK303*BK216+BL303*BL216+BM303*BM216+BN303*BN216+BO303*BO216+BP303*BP216+BQ303*BQ216+BR303*BR216+BS303*BS216+BT303*BT216+BU303*BU216+BV303*BV216+BW303*BW216+BX303*BX216+BY303*BY216+BZ303*BZ216+CA303*CA216+CB303*CB216+CC303*CC216+CD303*CD216+CE303*CE216+CF303*CF216+CG303*CG216+CH303*CH216+CI303*CI216+CJ303*CJ216+CK303*CK216+CL303*CL216+CM303*CM216+CN303*CN216+CO303*CO216+CP303*CP216+CQ303*CQ216+CR303*CR216+CS303*CS216+CT303*CT216+CU303*CU216</f>
        <v>0</v>
      </c>
      <c r="DC216" s="2882">
        <f>E304*E216+F304*F216+G304*G216+H304*H216+I304*I216+J304*J216+K304*K216+L304*L216+M304*M216+N304*N216+O304*O216+P304*P216+Q304*Q216+R304*R216+S304*S216+T304*T216+U304*U216+V304*V216+W304*W216+X304*X216+Y304*Y216+Z304*Z216+AA304*AA216+AB304*AB216+AC304*AC216+AD304*AD216+AE304*AE216+AF304*AF216+AG304*AG216+AH304*AH216+AI304*AI216+AJ304*AJ216+AK304*AK216+AL304*AL216+AM304*AM216+AN304*AN216+AO304*AO216+AP304*AP216+AQ304*AQ216+AR304*AR216+AS304*AS216+AT304*AT216+AU304*AU216+AV304*AV216+AW304*AW216+AX304*AX216+AY304*AY216+AZ304*AZ216+BA304*BA216+BB304*BB216+BC304*BC216+BD304*BD216+BE304*BE216+BF304*BF216+BG304*BG216+BH304*BH216+BI304*BI216+BJ304*BJ216+BK304*BK216+BL304*BL216+BM304*BM216+BN304*BN216+BO304*BO216+BP304*BP216+BQ304*BQ216+BR304*BR216+BS304*BS216+BT304*BT216+BU304*BU216+BV304*BV216+BW304*BW216+BX304*BX216+BY304*BY216+BZ304*BZ216+CA304*CA216+CB304*CB216+CC304*CC216+CD304*CD216+CE304*CE216+CF304*CF216+CG304*CG216+CH304*CH216+CI304*CI216+CJ304*CJ216+CK304*CK216+CL304*CL216+CM304*CM216+CN304*CN216+CO304*CO216+CP304*CP216+CQ304*CQ216+CR304*CR216+CS304*CS216+CT304*CT216+CU304*CU216</f>
        <v>0</v>
      </c>
      <c r="DD216" s="2882">
        <f>E305*E216+F305*F216+G305*G216+H305*H216+I305*I216+J305*J216+K305*K216+L305*L216+M305*M216+N305*N216+O305*O216+P305*P216+Q305*Q216+R305*R216+S305*S216+T305*T216+U305*U216+V305*V216+W305*W216+X305*X216+Y305*Y216+Z305*Z216+AA305*AA216+AB305*AB216+AC305*AC216+AD305*AD216+AE305*AE216+AF305*AF216+AG305*AG216+AH305*AH216+AI305*AI216+AJ305*AJ216+AK305*AK216+AL305*AL216+AM305*AM216+AN305*AN216+AO305*AO216+AP305*AP216+AQ305*AQ216+AR305*AR216+AS305*AS216+AT305*AT216+AU305*AU216+AV305*AV216+AW305*AW216+AX305*AX216+AY305*AY216+AZ305*AZ216+BA305*BA216+BB305*BB216+BC305*BC216+BD305*BD216+BE305*BE216+BF305*BF216+BG305*BG216+BH305*BH216+BI305*BI216+BJ305*BJ216+BK305*BK216+BL305*BL216+BM305*BM216+BN305*BN216+BO305*BO216+BP305*BP216+BQ305*BQ216+BR305*BR216+BS305*BS216+BT305*BT216+BU305*BU216+BV305*BV216+BW305*BW216+BX305*BX216+BY305*BY216+BZ305*BZ216+CA305*CA216+CB305*CB216+CC305*CC216+CD305*CD216+CE305*CE216+CF305*CF216+CG305*CG216+CH305*CH216+CI305*CI216+CJ305*CJ216+CK305*CK216+CL305*CL216+CM305*CM216+CN305*CN216+CO305*CO216+CP305*CP216+CQ305*CQ216+CR305*CR216+CS305*CS216+CT305*CT216+CU305*CU216</f>
        <v>0</v>
      </c>
      <c r="DE216" s="2882">
        <f>E306*E216+F306*F216+G306*G216+H306*H216+I306*I216+J306*J216+K306*K216+L306*L216+M306*M216+N306*N216+O306*O216+P306*P216+Q306*Q216+R306*R216+S306*S216+T306*T216+U306*U216+V306*V216+W306*W216+X306*X216+Y306*Y216+Z306*Z216+AA306*AA216+AB306*AB216+AC306*AC216+AD306*AD216+AE306*AE216+AF306*AF216+AG306*AG216+AH306*AH216+AI306*AI216+AJ306*AJ216+AK306*AK216+AL306*AL216+AM306*AM216+AN306*AN216+AO306*AO216+AP306*AP216+AQ306*AQ216+AR306*AR216+AS306*AS216+AT306*AT216+AU306*AU216+AV306*AV216+AW306*AW216+AX306*AX216+AY306*AY216+AZ306*AZ216+BA306*BA216+BB306*BB216+BC306*BC216+BD306*BD216+BE306*BE216+BF306*BF216+BG306*BG216+BH306*BH216+BI306*BI216+BJ306*BJ216+BK306*BK216+BL306*BL216+BM306*BM216+BN306*BN216+BO306*BO216+BP306*BP216+BQ306*BQ216+BR306*BR216+BS306*BS216+BT306*BT216+BU306*BU216+BV306*BV216+BW306*BW216+BX306*BX216+BY306*BY216+BZ306*BZ216+CA306*CA216+CB306*CB216+CC306*CC216+CD306*CD216+CE306*CE216+CF306*CF216+CG306*CG216+CH306*CH216+CI306*CI216+CJ306*CJ216+CK306*CK216+CL306*CL216+CM306*CM216+CN306*CN216+CO306*CO216+CP306*CP216+CQ306*CQ216+CR306*CR216+CS306*CS216+CT306*CT216+CU306*CU216</f>
        <v>0</v>
      </c>
      <c r="DF216" s="2882">
        <f>E307*E216+F307*F216+G307*G216+H307*H216+I307*I216+J307*J216+K307*K216+L307*L216+M307*M216+N307*N216+O307*O216+P307*P216+Q307*Q216+R307*R216+S307*S216+T307*T216+U307*U216+V307*V216+W307*W216+X307*X216+Y307*Y216+Z307*Z216+AA307*AA216+AB307*AB216+AC307*AC216+AD307*AD216+AE307*AE216+AF307*AF216+AG307*AG216+AH307*AH216+AI307*AI216+AJ307*AJ216+AK307*AK216+AL307*AL216+AM307*AM216+AN307*AN216+AO307*AO216+AP307*AP216+AQ307*AQ216+AR307*AR216+AS307*AS216+AT307*AT216+AU307*AU216+AV307*AV216+AW307*AW216+AX307*AX216+AY307*AY216+AZ307*AZ216+BA307*BA216+BB307*BB216+BC307*BC216+BD307*BD216+BE307*BE216+BF307*BF216+BG307*BG216+BH307*BH216+BI307*BI216+BJ307*BJ216+BK307*BK216+BL307*BL216+BM307*BM216+BN307*BN216+BO307*BO216+BP307*BP216+BQ307*BQ216+BR307*BR216+BS307*BS216+BT307*BT216+BU307*BU216+BV307*BV216+BW307*BW216+BX307*BX216+BY307*BY216+BZ307*BZ216+CA307*CA216+CB307*CB216+CC307*CC216+CD307*CD216+CE307*CE216+CF307*CF216+CG307*CG216+CH307*CH216+CI307*CI216+CJ307*CJ216+CK307*CK216+CL307*CL216+CM307*CM216+CN307*CN216+CO307*CO216+CP307*CP216+CQ307*CQ216+CR307*CR216+CS307*CS216+CT307*CT216+CU307*CU216</f>
        <v>0</v>
      </c>
      <c r="DG216" s="2882">
        <f>E308*E216+F308*F216+G308*G216+H308*H216+I308*I216+J308*J216+K308*K216+L308*L216+M308*M216+N308*N216+O308*O216+P308*P216+Q308*Q216+R308*R216+S308*S216+T308*T216+U308*U216+V308*V216+W308*W216+X308*X216+Y308*Y216+Z308*Z216+AA308*AA216+AB308*AB216+AC308*AC216+AD308*AD216+AE308*AE216+AF308*AF216+AG308*AG216+AH308*AH216+AI308*AI216+AJ308*AJ216+AK308*AK216+AL308*AL216+AM308*AM216+AN308*AN216+AO308*AO216+AP308*AP216+AQ308*AQ216+AR308*AR216+AS308*AS216+AT308*AT216+AU308*AU216+AV308*AV216+AW308*AW216+AX308*AX216+AY308*AY216+AZ308*AZ216+BA308*BA216+BB308*BB216+BC308*BC216+BD308*BD216+BE308*BE216+BF308*BF216+BG308*BG216+BH308*BH216+BI308*BI216+BJ308*BJ216+BK308*BK216+BL308*BL216+BM308*BM216+BN308*BN216+BO308*BO216+BP308*BP216+BQ308*BQ216+BR308*BR216+BS308*BS216+BT308*BT216+BU308*BU216+BV308*BV216+BW308*BW216+BX308*BX216+BY308*BY216+BZ308*BZ216+CA308*CA216+CB308*CB216+CC308*CC216+CD308*CD216+CE308*CE216+CF308*CF216+CG308*CG216+CH308*CH216+CI308*CI216+CJ308*CJ216+CK308*CK216+CL308*CL216+CM308*CM216+CN308*CN216+CO308*CO216+CP308*CP216+CQ308*CQ216+CR308*CR216+CS308*CS216+CT308*CT216+CU308*CU216</f>
        <v>0</v>
      </c>
      <c r="DH216" s="2882">
        <f>E309*E216+F309*F216+G309*G216+H309*H216+I309*I216+J309*J216+K309*K216+L309*L216+M309*M216+N309*N216+O309*O216+P309*P216+Q309*Q216+R309*R216+S309*S216+T309*T216+U309*U216+V309*V216+W309*W216+X309*X216+Y309*Y216+Z309*Z216+AA309*AA216+AB309*AB216+AC309*AC216+AD309*AD216+AE309*AE216+AF309*AF216+AG309*AG216+AH309*AH216+AI309*AI216+AJ309*AJ216+AK309*AK216+AL309*AL216+AM309*AM216+AN309*AN216+AO309*AO216+AP309*AP216+AQ309*AQ216+AR309*AR216+AS309*AS216+AT309*AT216+AU309*AU216+AV309*AV216+AW309*AW216+AX309*AX216+AY309*AY216+AZ309*AZ216+BA309*BA216+BB309*BB216+BC309*BC216+BD309*BD216+BE309*BE216+BF309*BF216+BG309*BG216+BH309*BH216+BI309*BI216+BJ309*BJ216+BK309*BK216+BL309*BL216+BM309*BM216+BN309*BN216+BO309*BO216+BP309*BP216+BQ309*BQ216+BR309*BR216+BS309*BS216+BT309*BT216+BU309*BU216+BV309*BV216+BW309*BW216+BX309*BX216+BY309*BY216+BZ309*BZ216+CA309*CA216+CB309*CB216+CC309*CC216+CD309*CD216+CE309*CE216+CF309*CF216+CG309*CG216+CH309*CH216+CI309*CI216+CJ309*CJ216+CK309*CK216+CL309*CL216+CM309*CM216+CN309*CN216+CO309*CO216+CP309*CP216+CQ309*CQ216+CR309*CR216+CS309*CS216+CT309*CT216+CU309*CU216</f>
        <v>0</v>
      </c>
      <c r="DI216" s="2882">
        <f>E310*E216+F310*F216+G310*G216+H310*H216+I310*I216+J310*J216+K310*K216+L310*L216+M310*M216+N310*N216+O310*O216+P310*P216+Q310*Q216+R310*R216+S310*S216+T310*T216+U310*U216+V310*V216+W310*W216+X310*X216+Y310*Y216+Z310*Z216+AA310*AA216+AB310*AB216+AC310*AC216+AD310*AD216+AE310*AE216+AF310*AF216+AG310*AG216+AH310*AH216+AI310*AI216+AJ310*AJ216+AK310*AK216+AL310*AL216+AM310*AM216+AN310*AN216+AO310*AO216+AP310*AP216+AQ310*AQ216+AR310*AR216+AS310*AS216+AT310*AT216+AU310*AU216+AV310*AV216+AW310*AW216+AX310*AX216+AY310*AY216+AZ310*AZ216+BA310*BA216+BB310*BB216+BC310*BC216+BD310*BD216+BE310*BE216+BF310*BF216+BG310*BG216+BH310*BH216+BI310*BI216+BJ310*BJ216+BK310*BK216+BL310*BL216+BM310*BM216+BN310*BN216+BO310*BO216+BP310*BP216+BQ310*BQ216+BR310*BR216+BS310*BS216+BT310*BT216+BU310*BU216+BV310*BV216+BW310*BW216+BX310*BX216+BY310*BY216+BZ310*BZ216+CA310*CA216+CB310*CB216+CC310*CC216+CD310*CD216+CE310*CE216+CF310*CF216+CG310*CG216+CH310*CH216+CI310*CI216+CJ310*CJ216+CK310*CK216+CL310*CL216+CM310*CM216+CN310*CN216+CO310*CO216+CP310*CP216+CQ310*CQ216+CR310*CR216+CS310*CS216+CT310*CT216+CU310*CU216</f>
        <v>0</v>
      </c>
    </row>
    <row r="217" spans="2:113" x14ac:dyDescent="0.45">
      <c r="B217" s="783">
        <v>58</v>
      </c>
      <c r="C217" s="783" t="s">
        <v>2215</v>
      </c>
      <c r="D217" s="784" t="s">
        <v>3080</v>
      </c>
      <c r="E217" s="733">
        <f>0</f>
        <v>0</v>
      </c>
      <c r="F217" s="733">
        <f>0</f>
        <v>0</v>
      </c>
      <c r="G217" s="733">
        <f>0</f>
        <v>0</v>
      </c>
      <c r="H217" s="733">
        <f>0</f>
        <v>0</v>
      </c>
      <c r="I217" s="733">
        <f>1-f_E</f>
        <v>0.92</v>
      </c>
      <c r="J217" s="733">
        <f>0</f>
        <v>0</v>
      </c>
      <c r="K217" s="733">
        <f>0</f>
        <v>0</v>
      </c>
      <c r="L217" s="733">
        <f>0</f>
        <v>0</v>
      </c>
      <c r="M217" s="733">
        <f>0</f>
        <v>0</v>
      </c>
      <c r="N217" s="733">
        <f>0</f>
        <v>0</v>
      </c>
      <c r="O217" s="733">
        <f>0</f>
        <v>0</v>
      </c>
      <c r="P217" s="733">
        <f>f_E</f>
        <v>0.08</v>
      </c>
      <c r="Q217" s="733">
        <f>0</f>
        <v>0</v>
      </c>
      <c r="R217" s="733">
        <f>0</f>
        <v>0</v>
      </c>
      <c r="S217" s="733">
        <f>0</f>
        <v>0</v>
      </c>
      <c r="T217" s="733">
        <f>0</f>
        <v>0</v>
      </c>
      <c r="U217" s="733">
        <f>0</f>
        <v>0</v>
      </c>
      <c r="V217" s="733">
        <f>0</f>
        <v>0</v>
      </c>
      <c r="W217" s="733">
        <f>0</f>
        <v>0</v>
      </c>
      <c r="X217" s="733">
        <f>-1</f>
        <v>-1</v>
      </c>
      <c r="Y217" s="733">
        <f>0</f>
        <v>0</v>
      </c>
      <c r="Z217" s="733">
        <f>0</f>
        <v>0</v>
      </c>
      <c r="AA217" s="733">
        <f>0</f>
        <v>0</v>
      </c>
      <c r="AB217" s="733">
        <f>-f_E*(i_N_XE-i_N_BIO)</f>
        <v>8.0000000000000069E-4</v>
      </c>
      <c r="AC217" s="733">
        <f>0</f>
        <v>0</v>
      </c>
      <c r="AD217" s="733">
        <f>0</f>
        <v>0</v>
      </c>
      <c r="AE217" s="733">
        <f>0</f>
        <v>0</v>
      </c>
      <c r="AF217" s="733">
        <f>0</f>
        <v>0</v>
      </c>
      <c r="AG217" s="733">
        <f>0</f>
        <v>0</v>
      </c>
      <c r="AH217" s="733">
        <f>0</f>
        <v>0</v>
      </c>
      <c r="AI217" s="733">
        <f>0</f>
        <v>0</v>
      </c>
      <c r="AJ217" s="733">
        <f>0</f>
        <v>0</v>
      </c>
      <c r="AK217" s="733">
        <f>(1-f_E)*i_N_BIO</f>
        <v>6.4400000000000013E-2</v>
      </c>
      <c r="AL217" s="733">
        <f>0</f>
        <v>0</v>
      </c>
      <c r="AM217" s="733">
        <f>0</f>
        <v>0</v>
      </c>
      <c r="AN217" s="733">
        <f>0</f>
        <v>0</v>
      </c>
      <c r="AO217" s="733">
        <f>0</f>
        <v>0</v>
      </c>
      <c r="AP217" s="733">
        <f>(1-f_E)*i_P_BIO</f>
        <v>1.84E-2</v>
      </c>
      <c r="AQ217" s="733">
        <f>0</f>
        <v>0</v>
      </c>
      <c r="AR217" s="733">
        <f>0</f>
        <v>0</v>
      </c>
      <c r="AS217" s="733">
        <f>0</f>
        <v>0</v>
      </c>
      <c r="AT217" s="733">
        <f>0</f>
        <v>0</v>
      </c>
      <c r="AU217" s="733">
        <f>(1-f_E)*(i_CIT_BIO-i_CIT_SB)</f>
        <v>6.0720000000000003E-2</v>
      </c>
      <c r="AV217" s="733">
        <f>-i_INORG</f>
        <v>-0.11</v>
      </c>
      <c r="AW217" s="733">
        <f>i_INORG*(1-i_Ca_INORG*(A_MCa+2*A_MCl)/A_MCa-i_Mg_INORG*(A_MMg+2*A_MCl)/A_MMg)*f_Na</f>
        <v>2.8804303582798466E-2</v>
      </c>
      <c r="AX217" s="733">
        <f>i_INORG*(i_Ca_INORG*(2*A_MCl)/A_MCa+i_Mg_INORG*(2*A_MCl)/A_MMg)+i_INORG*(1-i_Ca_INORG*(A_MCa+2*A_MCl)/A_MCa-i_Mg_INORG*(A_MMg+2*A_MCl)/A_MMg)*(1-f_Na)</f>
        <v>7.0195696417201539E-2</v>
      </c>
      <c r="AY217" s="733">
        <f>i_INORG*i_Ca_INORG</f>
        <v>5.5000000000000005E-3</v>
      </c>
      <c r="AZ217" s="733">
        <f>i_INORG*i_Mg_INORG</f>
        <v>5.5000000000000005E-3</v>
      </c>
      <c r="BA217" s="733">
        <f>0</f>
        <v>0</v>
      </c>
      <c r="BB217" s="733">
        <f>0</f>
        <v>0</v>
      </c>
      <c r="BC217" s="733">
        <f>(1-f_E)*i_S_BIO-(1-f_E)*i_S_XB</f>
        <v>7.8200000000000006E-3</v>
      </c>
      <c r="BD217" s="733">
        <f>0</f>
        <v>0</v>
      </c>
      <c r="BE217" s="733">
        <f>0</f>
        <v>0</v>
      </c>
      <c r="BF217" s="733">
        <f>0</f>
        <v>0</v>
      </c>
      <c r="BG217" s="733">
        <f>0</f>
        <v>0</v>
      </c>
      <c r="BH217" s="733">
        <f>0</f>
        <v>0</v>
      </c>
      <c r="BI217" s="733">
        <f>0</f>
        <v>0</v>
      </c>
      <c r="BJ217" s="733">
        <f>0</f>
        <v>0</v>
      </c>
      <c r="BK217" s="733">
        <f>0</f>
        <v>0</v>
      </c>
      <c r="BL217" s="733">
        <f>0</f>
        <v>0</v>
      </c>
      <c r="BM217" s="733">
        <f>0</f>
        <v>0</v>
      </c>
      <c r="BN217" s="733">
        <f>0</f>
        <v>0</v>
      </c>
      <c r="BO217" s="733">
        <f>0</f>
        <v>0</v>
      </c>
      <c r="BP217" s="733">
        <f>0</f>
        <v>0</v>
      </c>
      <c r="BQ217" s="733">
        <f>0</f>
        <v>0</v>
      </c>
      <c r="BR217" s="733">
        <f>0</f>
        <v>0</v>
      </c>
      <c r="BS217" s="733">
        <f>0</f>
        <v>0</v>
      </c>
      <c r="BT217" s="733">
        <f>0</f>
        <v>0</v>
      </c>
      <c r="BU217" s="733">
        <f>0</f>
        <v>0</v>
      </c>
      <c r="BV217" s="900">
        <f>0</f>
        <v>0</v>
      </c>
      <c r="BW217" s="733">
        <f>0</f>
        <v>0</v>
      </c>
      <c r="BX217" s="733">
        <f>0</f>
        <v>0</v>
      </c>
      <c r="BY217" s="733">
        <f>0</f>
        <v>0</v>
      </c>
      <c r="BZ217" s="733">
        <f>0</f>
        <v>0</v>
      </c>
      <c r="CA217" s="900">
        <f>0</f>
        <v>0</v>
      </c>
      <c r="CB217" s="733">
        <f>0</f>
        <v>0</v>
      </c>
      <c r="CC217" s="733">
        <f>0</f>
        <v>0</v>
      </c>
      <c r="CD217" s="733">
        <f>0</f>
        <v>0</v>
      </c>
      <c r="CE217" s="733">
        <f>0</f>
        <v>0</v>
      </c>
      <c r="CF217" s="733">
        <f>0</f>
        <v>0</v>
      </c>
      <c r="CG217" s="733">
        <f>0</f>
        <v>0</v>
      </c>
      <c r="CH217" s="733">
        <f>0</f>
        <v>0</v>
      </c>
      <c r="CI217" s="733">
        <f>0</f>
        <v>0</v>
      </c>
      <c r="CJ217" s="733">
        <f>0</f>
        <v>0</v>
      </c>
      <c r="CK217" s="733">
        <f>0</f>
        <v>0</v>
      </c>
      <c r="CL217" s="733">
        <f>0</f>
        <v>0</v>
      </c>
      <c r="CM217" s="733">
        <f>0</f>
        <v>0</v>
      </c>
      <c r="CN217" s="733">
        <f>0</f>
        <v>0</v>
      </c>
      <c r="CO217" s="733">
        <f>0</f>
        <v>0</v>
      </c>
      <c r="CP217" s="733">
        <f>0</f>
        <v>0</v>
      </c>
      <c r="CQ217" s="733">
        <f>0</f>
        <v>0</v>
      </c>
      <c r="CR217" s="733">
        <f>0</f>
        <v>0</v>
      </c>
      <c r="CS217" s="733">
        <f>0</f>
        <v>0</v>
      </c>
      <c r="CT217" s="733">
        <f>0</f>
        <v>0</v>
      </c>
      <c r="CU217" s="733">
        <f>0</f>
        <v>0</v>
      </c>
      <c r="CV217" s="2862">
        <f>b_HMETO_T*X_HMETO*(M_inhSNOx_KNO3_HMETO*M_inhSO2_KiO2_HMETO)</f>
        <v>6.1567605967321836E-6</v>
      </c>
      <c r="CX217" s="2880">
        <f>E299*E217+F299*F217+G299*G217+H299*H217+I299*I217+J299*J217+K299*K217+L299*L217+M299*M217+N299*N217+O299*O217+P299*P217+Q299*Q217+R299*R217+S299*S217+T299*T217+U299*U217+V299*V217+W299*W217+X299*X217+Y299*Y217+Z299*Z217+AA299*AA217+AB299*AB217+AC299*AC217+AD299*AD217+AE299*AE217+AF299*AF217+AG299*AG217+AH299*AH217+AI299*AI217+AJ299*AJ217+AK299*AK217+AL299*AL217+AM299*AM217+AN299*AN217+AO299*AO217+AP299*AP217+AQ299*AQ217+AR299*AR217+AS299*AS217+AT299*AT217+AU299*AU217+AV299*AV217+AW299*AW217+AX299*AX217+AY299*AY217+AZ299*AZ217+BA299*BA217+BB299*BB217+BC299*BC217+BD299*BD217+BE299*BE217+BF299*BF217+BG299*BG217+BH299*BH217+BI299*BI217+BJ299*BJ217+BK299*BK217+BL299*BL217+BM299*BM217+BN299*BN217+BO299*BO217+BP299*BP217+BQ299*BQ217+BR299*BR217+BS299*BS217+BT299*BT217+BU299*BU217+BV299*BV217+BW299*BW217+BX299*BX217+BY299*BY217+BZ299*BZ217+CA299*CA217+CB299*CB217+CC299*CC217+CD299*CD217+CE299*CE217+CF299*CF217+CG299*CG217+CH299*CH217+CI299*CI217+CJ299*CJ217+CK299*CK217+CL299*CL217+CM299*CM217+CN299*CN217+CO299*CO217+CP299*CP217+CQ299*CQ217+CR299*CR217+CS299*CS217+CT299*CT217+CU299*CU217</f>
        <v>0</v>
      </c>
      <c r="CY217" s="2880">
        <f>E300*E217+F300*F217+G300*G217+H300*H217+I300*I217+J300*J217+K300*K217+L300*L217+M300*M217+N300*N217+O300*O217+P300*P217+Q300*Q217+R300*R217+S300*S217+T300*T217+U300*U217+V300*V217+W300*W217+X300*X217+Y300*Y217+Z300*Z217+AA300*AA217+AB300*AB217+AC300*AC217+AD300*AD217+AE300*AE217+AF300*AF217+AG300*AG217+AH300*AH217+AI300*AI217+AJ300*AJ217+AK300*AK217+AL300*AL217+AM300*AM217+AN300*AN217+AO300*AO217+AP300*AP217+AQ300*AQ217+AR300*AR217+AS300*AS217+AT300*AT217+AU300*AU217+AV300*AV217+AW300*AW217+AX300*AX217+AY300*AY217+AZ300*AZ217+BA300*BA217+BB300*BB217+BC300*BC217+BD300*BD217+BE300*BE217+BF300*BF217+BG300*BG217+BH300*BH217+BI300*BI217+BJ300*BJ217+BK300*BK217+BL300*BL217+BM300*BM217+BN300*BN217+BO300*BO217+BP300*BP217+BQ300*BQ217+BR300*BR217+BS300*BS217+BT300*BT217+BU300*BU217+BV300*BV217+BW300*BW217+BX300*BX217+BY300*BY217+BZ300*BZ217+CA300*CA217+CB300*CB217+CC300*CC217+CD300*CD217+CE300*CE217+CF300*CF217+CG300*CG217+CH300*CH217+CI300*CI217+CJ300*CJ217+CK300*CK217+CL300*CL217+CM300*CM217+CN300*CN217+CO300*CO217+CP300*CP217+CQ300*CQ217+CR300*CR217+CS300*CS217+CT300*CT217+CU300*CU217</f>
        <v>6.9388939039072284E-18</v>
      </c>
      <c r="CZ217" s="2881">
        <f>E301*E217+F301*F217+G301*G217+H301*H217+I301*I217+J301*J217+K301*K217+L301*L217+M301*M217+N301*N217+O301*O217+P301*P217+Q301*Q217+R301*R217+S301*S217+T301*T217+U301*U217+V301*V217+W301*W217+X301*X217+Y301*Y217+Z301*Z217+AA301*AA217+AB301*AB217+AC301*AC217+AD301*AD217+AE301*AE217+AF301*AF217+AG301*AG217+AH301*AH217+AI301*AI217+AJ301*AJ217+AK301*AK217+AL301*AL217+AM301*AM217+AN301*AN217+AO301*AO217+AP301*AP217+AQ301*AQ217+AR301*AR217+AS301*AS217+AT301*AT217+AU301*AU217+AV301*AV217+AW301*AW217+AX301*AX217+AY301*AY217+AZ301*AZ217+BA301*BA217+BB301*BB217+BC301*BC217+BD301*BD217+BE301*BE217+BF301*BF217+BG301*BG217+BH301*BH217+BI301*BI217+BJ301*BJ217+BK301*BK217+BL301*BL217+BM301*BM217+BN301*BN217+BO301*BO217+BP301*BP217+BQ301*BQ217+BR301*BR217+BS301*BS217+BT301*BT217+BU301*BU217+BV301*BV217+BW301*BW217+BX301*BX217+BY301*BY217+BZ301*BZ217+CA301*CA217+CB301*CB217+CC301*CC217+CD301*CD217+CE301*CE217+CF301*CF217+CG301*CG217+CH301*CH217+CI301*CI217+CJ301*CJ217+CK301*CK217+CL301*CL217+CM301*CM217+CN301*CN217+CO301*CO217+CP301*CP217+CQ301*CQ217+CR301*CR217+CS301*CS217+CT301*CT217+CU301*CU217</f>
        <v>0</v>
      </c>
      <c r="DA217" s="2882">
        <f>E302*E217+F302*F217+G302*G217+H302*H217+I302*I217+J302*J217+K302*K217+L302*L217+M302*M217+N302*N217+O302*O217+P302*P217+Q302*Q217+R302*R217+S302*S217+T302*T217+U302*U217+V302*V217+W302*W217+X302*X217+Y302*Y217+Z302*Z217+AA302*AA217+AB302*AB217+AC302*AC217+AD302*AD217+AE302*AE217+AF302*AF217+AG302*AG217+AH302*AH217+AI302*AI217+AJ302*AJ217+AK302*AK217+AL302*AL217+AM302*AM217+AN302*AN217+AO302*AO217+AP302*AP217+AQ302*AQ217+AR302*AR217+AS302*AS217+AT302*AT217+AU302*AU217+AV302*AV217+AW302*AW217+AX302*AX217+AY302*AY217+AZ302*AZ217+BA302*BA217+BB302*BB217+BC302*BC217+BD302*BD217+BE302*BE217+BF302*BF217+BG302*BG217+BH302*BH217+BI302*BI217+BJ302*BJ217+BK302*BK217+BL302*BL217+BM302*BM217+BN302*BN217+BO302*BO217+BP302*BP217+BQ302*BQ217+BR302*BR217+BS302*BS217+BT302*BT217+BU302*BU217+BV302*BV217+BW302*BW217+BX302*BX217+BY302*BY217+BZ302*BZ217+CA302*CA217+CB302*CB217+CC302*CC217+CD302*CD217+CE302*CE217+CF302*CF217+CG302*CG217+CH302*CH217+CI302*CI217+CJ302*CJ217+CK302*CK217+CL302*CL217+CM302*CM217+CN302*CN217+CO302*CO217+CP302*CP217+CQ302*CQ217+CR302*CR217+CS302*CS217+CT302*CT217+CU302*CU217</f>
        <v>0</v>
      </c>
      <c r="DB217" s="2882">
        <f>E303*E217+F303*F217+G303*G217+H303*H217+I303*I217+J303*J217+K303*K217+L303*L217+M303*M217+N303*N217+O303*O217+P303*P217+Q303*Q217+R303*R217+S303*S217+T303*T217+U303*U217+V303*V217+W303*W217+X303*X217+Y303*Y217+Z303*Z217+AA303*AA217+AB303*AB217+AC303*AC217+AD303*AD217+AE303*AE217+AF303*AF217+AG303*AG217+AH303*AH217+AI303*AI217+AJ303*AJ217+AK303*AK217+AL303*AL217+AM303*AM217+AN303*AN217+AO303*AO217+AP303*AP217+AQ303*AQ217+AR303*AR217+AS303*AS217+AT303*AT217+AU303*AU217+AV303*AV217+AW303*AW217+AX303*AX217+AY303*AY217+AZ303*AZ217+BA303*BA217+BB303*BB217+BC303*BC217+BD303*BD217+BE303*BE217+BF303*BF217+BG303*BG217+BH303*BH217+BI303*BI217+BJ303*BJ217+BK303*BK217+BL303*BL217+BM303*BM217+BN303*BN217+BO303*BO217+BP303*BP217+BQ303*BQ217+BR303*BR217+BS303*BS217+BT303*BT217+BU303*BU217+BV303*BV217+BW303*BW217+BX303*BX217+BY303*BY217+BZ303*BZ217+CA303*CA217+CB303*CB217+CC303*CC217+CD303*CD217+CE303*CE217+CF303*CF217+CG303*CG217+CH303*CH217+CI303*CI217+CJ303*CJ217+CK303*CK217+CL303*CL217+CM303*CM217+CN303*CN217+CO303*CO217+CP303*CP217+CQ303*CQ217+CR303*CR217+CS303*CS217+CT303*CT217+CU303*CU217</f>
        <v>0</v>
      </c>
      <c r="DC217" s="2882">
        <f>E304*E217+F304*F217+G304*G217+H304*H217+I304*I217+J304*J217+K304*K217+L304*L217+M304*M217+N304*N217+O304*O217+P304*P217+Q304*Q217+R304*R217+S304*S217+T304*T217+U304*U217+V304*V217+W304*W217+X304*X217+Y304*Y217+Z304*Z217+AA304*AA217+AB304*AB217+AC304*AC217+AD304*AD217+AE304*AE217+AF304*AF217+AG304*AG217+AH304*AH217+AI304*AI217+AJ304*AJ217+AK304*AK217+AL304*AL217+AM304*AM217+AN304*AN217+AO304*AO217+AP304*AP217+AQ304*AQ217+AR304*AR217+AS304*AS217+AT304*AT217+AU304*AU217+AV304*AV217+AW304*AW217+AX304*AX217+AY304*AY217+AZ304*AZ217+BA304*BA217+BB304*BB217+BC304*BC217+BD304*BD217+BE304*BE217+BF304*BF217+BG304*BG217+BH304*BH217+BI304*BI217+BJ304*BJ217+BK304*BK217+BL304*BL217+BM304*BM217+BN304*BN217+BO304*BO217+BP304*BP217+BQ304*BQ217+BR304*BR217+BS304*BS217+BT304*BT217+BU304*BU217+BV304*BV217+BW304*BW217+BX304*BX217+BY304*BY217+BZ304*BZ217+CA304*CA217+CB304*CB217+CC304*CC217+CD304*CD217+CE304*CE217+CF304*CF217+CG304*CG217+CH304*CH217+CI304*CI217+CJ304*CJ217+CK304*CK217+CL304*CL217+CM304*CM217+CN304*CN217+CO304*CO217+CP304*CP217+CQ304*CQ217+CR304*CR217+CS304*CS217+CT304*CT217+CU304*CU217</f>
        <v>0</v>
      </c>
      <c r="DD217" s="2882">
        <f>E305*E217+F305*F217+G305*G217+H305*H217+I305*I217+J305*J217+K305*K217+L305*L217+M305*M217+N305*N217+O305*O217+P305*P217+Q305*Q217+R305*R217+S305*S217+T305*T217+U305*U217+V305*V217+W305*W217+X305*X217+Y305*Y217+Z305*Z217+AA305*AA217+AB305*AB217+AC305*AC217+AD305*AD217+AE305*AE217+AF305*AF217+AG305*AG217+AH305*AH217+AI305*AI217+AJ305*AJ217+AK305*AK217+AL305*AL217+AM305*AM217+AN305*AN217+AO305*AO217+AP305*AP217+AQ305*AQ217+AR305*AR217+AS305*AS217+AT305*AT217+AU305*AU217+AV305*AV217+AW305*AW217+AX305*AX217+AY305*AY217+AZ305*AZ217+BA305*BA217+BB305*BB217+BC305*BC217+BD305*BD217+BE305*BE217+BF305*BF217+BG305*BG217+BH305*BH217+BI305*BI217+BJ305*BJ217+BK305*BK217+BL305*BL217+BM305*BM217+BN305*BN217+BO305*BO217+BP305*BP217+BQ305*BQ217+BR305*BR217+BS305*BS217+BT305*BT217+BU305*BU217+BV305*BV217+BW305*BW217+BX305*BX217+BY305*BY217+BZ305*BZ217+CA305*CA217+CB305*CB217+CC305*CC217+CD305*CD217+CE305*CE217+CF305*CF217+CG305*CG217+CH305*CH217+CI305*CI217+CJ305*CJ217+CK305*CK217+CL305*CL217+CM305*CM217+CN305*CN217+CO305*CO217+CP305*CP217+CQ305*CQ217+CR305*CR217+CS305*CS217+CT305*CT217+CU305*CU217</f>
        <v>0</v>
      </c>
      <c r="DE217" s="2882">
        <f>E306*E217+F306*F217+G306*G217+H306*H217+I306*I217+J306*J217+K306*K217+L306*L217+M306*M217+N306*N217+O306*O217+P306*P217+Q306*Q217+R306*R217+S306*S217+T306*T217+U306*U217+V306*V217+W306*W217+X306*X217+Y306*Y217+Z306*Z217+AA306*AA217+AB306*AB217+AC306*AC217+AD306*AD217+AE306*AE217+AF306*AF217+AG306*AG217+AH306*AH217+AI306*AI217+AJ306*AJ217+AK306*AK217+AL306*AL217+AM306*AM217+AN306*AN217+AO306*AO217+AP306*AP217+AQ306*AQ217+AR306*AR217+AS306*AS217+AT306*AT217+AU306*AU217+AV306*AV217+AW306*AW217+AX306*AX217+AY306*AY217+AZ306*AZ217+BA306*BA217+BB306*BB217+BC306*BC217+BD306*BD217+BE306*BE217+BF306*BF217+BG306*BG217+BH306*BH217+BI306*BI217+BJ306*BJ217+BK306*BK217+BL306*BL217+BM306*BM217+BN306*BN217+BO306*BO217+BP306*BP217+BQ306*BQ217+BR306*BR217+BS306*BS217+BT306*BT217+BU306*BU217+BV306*BV217+BW306*BW217+BX306*BX217+BY306*BY217+BZ306*BZ217+CA306*CA217+CB306*CB217+CC306*CC217+CD306*CD217+CE306*CE217+CF306*CF217+CG306*CG217+CH306*CH217+CI306*CI217+CJ306*CJ217+CK306*CK217+CL306*CL217+CM306*CM217+CN306*CN217+CO306*CO217+CP306*CP217+CQ306*CQ217+CR306*CR217+CS306*CS217+CT306*CT217+CU306*CU217</f>
        <v>0</v>
      </c>
      <c r="DF217" s="2882">
        <f>E307*E217+F307*F217+G307*G217+H307*H217+I307*I217+J307*J217+K307*K217+L307*L217+M307*M217+N307*N217+O307*O217+P307*P217+Q307*Q217+R307*R217+S307*S217+T307*T217+U307*U217+V307*V217+W307*W217+X307*X217+Y307*Y217+Z307*Z217+AA307*AA217+AB307*AB217+AC307*AC217+AD307*AD217+AE307*AE217+AF307*AF217+AG307*AG217+AH307*AH217+AI307*AI217+AJ307*AJ217+AK307*AK217+AL307*AL217+AM307*AM217+AN307*AN217+AO307*AO217+AP307*AP217+AQ307*AQ217+AR307*AR217+AS307*AS217+AT307*AT217+AU307*AU217+AV307*AV217+AW307*AW217+AX307*AX217+AY307*AY217+AZ307*AZ217+BA307*BA217+BB307*BB217+BC307*BC217+BD307*BD217+BE307*BE217+BF307*BF217+BG307*BG217+BH307*BH217+BI307*BI217+BJ307*BJ217+BK307*BK217+BL307*BL217+BM307*BM217+BN307*BN217+BO307*BO217+BP307*BP217+BQ307*BQ217+BR307*BR217+BS307*BS217+BT307*BT217+BU307*BU217+BV307*BV217+BW307*BW217+BX307*BX217+BY307*BY217+BZ307*BZ217+CA307*CA217+CB307*CB217+CC307*CC217+CD307*CD217+CE307*CE217+CF307*CF217+CG307*CG217+CH307*CH217+CI307*CI217+CJ307*CJ217+CK307*CK217+CL307*CL217+CM307*CM217+CN307*CN217+CO307*CO217+CP307*CP217+CQ307*CQ217+CR307*CR217+CS307*CS217+CT307*CT217+CU307*CU217</f>
        <v>0</v>
      </c>
      <c r="DG217" s="2882">
        <f>E308*E217+F308*F217+G308*G217+H308*H217+I308*I217+J308*J217+K308*K217+L308*L217+M308*M217+N308*N217+O308*O217+P308*P217+Q308*Q217+R308*R217+S308*S217+T308*T217+U308*U217+V308*V217+W308*W217+X308*X217+Y308*Y217+Z308*Z217+AA308*AA217+AB308*AB217+AC308*AC217+AD308*AD217+AE308*AE217+AF308*AF217+AG308*AG217+AH308*AH217+AI308*AI217+AJ308*AJ217+AK308*AK217+AL308*AL217+AM308*AM217+AN308*AN217+AO308*AO217+AP308*AP217+AQ308*AQ217+AR308*AR217+AS308*AS217+AT308*AT217+AU308*AU217+AV308*AV217+AW308*AW217+AX308*AX217+AY308*AY217+AZ308*AZ217+BA308*BA217+BB308*BB217+BC308*BC217+BD308*BD217+BE308*BE217+BF308*BF217+BG308*BG217+BH308*BH217+BI308*BI217+BJ308*BJ217+BK308*BK217+BL308*BL217+BM308*BM217+BN308*BN217+BO308*BO217+BP308*BP217+BQ308*BQ217+BR308*BR217+BS308*BS217+BT308*BT217+BU308*BU217+BV308*BV217+BW308*BW217+BX308*BX217+BY308*BY217+BZ308*BZ217+CA308*CA217+CB308*CB217+CC308*CC217+CD308*CD217+CE308*CE217+CF308*CF217+CG308*CG217+CH308*CH217+CI308*CI217+CJ308*CJ217+CK308*CK217+CL308*CL217+CM308*CM217+CN308*CN217+CO308*CO217+CP308*CP217+CQ308*CQ217+CR308*CR217+CS308*CS217+CT308*CT217+CU308*CU217</f>
        <v>0</v>
      </c>
      <c r="DH217" s="2882">
        <f>E309*E217+F309*F217+G309*G217+H309*H217+I309*I217+J309*J217+K309*K217+L309*L217+M309*M217+N309*N217+O309*O217+P309*P217+Q309*Q217+R309*R217+S309*S217+T309*T217+U309*U217+V309*V217+W309*W217+X309*X217+Y309*Y217+Z309*Z217+AA309*AA217+AB309*AB217+AC309*AC217+AD309*AD217+AE309*AE217+AF309*AF217+AG309*AG217+AH309*AH217+AI309*AI217+AJ309*AJ217+AK309*AK217+AL309*AL217+AM309*AM217+AN309*AN217+AO309*AO217+AP309*AP217+AQ309*AQ217+AR309*AR217+AS309*AS217+AT309*AT217+AU309*AU217+AV309*AV217+AW309*AW217+AX309*AX217+AY309*AY217+AZ309*AZ217+BA309*BA217+BB309*BB217+BC309*BC217+BD309*BD217+BE309*BE217+BF309*BF217+BG309*BG217+BH309*BH217+BI309*BI217+BJ309*BJ217+BK309*BK217+BL309*BL217+BM309*BM217+BN309*BN217+BO309*BO217+BP309*BP217+BQ309*BQ217+BR309*BR217+BS309*BS217+BT309*BT217+BU309*BU217+BV309*BV217+BW309*BW217+BX309*BX217+BY309*BY217+BZ309*BZ217+CA309*CA217+CB309*CB217+CC309*CC217+CD309*CD217+CE309*CE217+CF309*CF217+CG309*CG217+CH309*CH217+CI309*CI217+CJ309*CJ217+CK309*CK217+CL309*CL217+CM309*CM217+CN309*CN217+CO309*CO217+CP309*CP217+CQ309*CQ217+CR309*CR217+CS309*CS217+CT309*CT217+CU309*CU217</f>
        <v>0</v>
      </c>
      <c r="DI217" s="2882">
        <f>E310*E217+F310*F217+G310*G217+H310*H217+I310*I217+J310*J217+K310*K217+L310*L217+M310*M217+N310*N217+O310*O217+P310*P217+Q310*Q217+R310*R217+S310*S217+T310*T217+U310*U217+V310*V217+W310*W217+X310*X217+Y310*Y217+Z310*Z217+AA310*AA217+AB310*AB217+AC310*AC217+AD310*AD217+AE310*AE217+AF310*AF217+AG310*AG217+AH310*AH217+AI310*AI217+AJ310*AJ217+AK310*AK217+AL310*AL217+AM310*AM217+AN310*AN217+AO310*AO217+AP310*AP217+AQ310*AQ217+AR310*AR217+AS310*AS217+AT310*AT217+AU310*AU217+AV310*AV217+AW310*AW217+AX310*AX217+AY310*AY217+AZ310*AZ217+BA310*BA217+BB310*BB217+BC310*BC217+BD310*BD217+BE310*BE217+BF310*BF217+BG310*BG217+BH310*BH217+BI310*BI217+BJ310*BJ217+BK310*BK217+BL310*BL217+BM310*BM217+BN310*BN217+BO310*BO217+BP310*BP217+BQ310*BQ217+BR310*BR217+BS310*BS217+BT310*BT217+BU310*BU217+BV310*BV217+BW310*BW217+BX310*BX217+BY310*BY217+BZ310*BZ217+CA310*CA217+CB310*CB217+CC310*CC217+CD310*CD217+CE310*CE217+CF310*CF217+CG310*CG217+CH310*CH217+CI310*CI217+CJ310*CJ217+CK310*CK217+CL310*CL217+CM310*CM217+CN310*CN217+CO310*CO217+CP310*CP217+CQ310*CQ217+CR310*CR217+CS310*CS217+CT310*CT217+CU310*CU217</f>
        <v>0</v>
      </c>
    </row>
    <row r="218" spans="2:113" x14ac:dyDescent="0.45">
      <c r="B218" s="788">
        <v>59</v>
      </c>
      <c r="C218" s="788" t="s">
        <v>2242</v>
      </c>
      <c r="D218" s="789" t="s">
        <v>1684</v>
      </c>
      <c r="E218" s="734">
        <f>0</f>
        <v>0</v>
      </c>
      <c r="F218" s="734">
        <f>0</f>
        <v>0</v>
      </c>
      <c r="G218" s="734">
        <f>0</f>
        <v>0</v>
      </c>
      <c r="H218" s="734">
        <f>-1</f>
        <v>-1</v>
      </c>
      <c r="I218" s="734">
        <f>1</f>
        <v>1</v>
      </c>
      <c r="J218" s="734">
        <f>0</f>
        <v>0</v>
      </c>
      <c r="K218" s="734">
        <f>0</f>
        <v>0</v>
      </c>
      <c r="L218" s="734">
        <f>0</f>
        <v>0</v>
      </c>
      <c r="M218" s="734">
        <f>0</f>
        <v>0</v>
      </c>
      <c r="N218" s="734">
        <f>0</f>
        <v>0</v>
      </c>
      <c r="O218" s="734">
        <f>0</f>
        <v>0</v>
      </c>
      <c r="P218" s="734">
        <f>0</f>
        <v>0</v>
      </c>
      <c r="Q218" s="734">
        <f>0</f>
        <v>0</v>
      </c>
      <c r="R218" s="734">
        <f>0</f>
        <v>0</v>
      </c>
      <c r="S218" s="734">
        <f>0</f>
        <v>0</v>
      </c>
      <c r="T218" s="734">
        <f>0</f>
        <v>0</v>
      </c>
      <c r="U218" s="734">
        <f>0</f>
        <v>0</v>
      </c>
      <c r="V218" s="734">
        <f>0</f>
        <v>0</v>
      </c>
      <c r="W218" s="734">
        <f>0</f>
        <v>0</v>
      </c>
      <c r="X218" s="734">
        <f>0</f>
        <v>0</v>
      </c>
      <c r="Y218" s="734">
        <f>0</f>
        <v>0</v>
      </c>
      <c r="Z218" s="734">
        <f>0</f>
        <v>0</v>
      </c>
      <c r="AA218" s="734">
        <f>0</f>
        <v>0</v>
      </c>
      <c r="AB218" s="734">
        <f>0</f>
        <v>0</v>
      </c>
      <c r="AC218" s="734">
        <f>0</f>
        <v>0</v>
      </c>
      <c r="AD218" s="734">
        <f>0</f>
        <v>0</v>
      </c>
      <c r="AE218" s="734">
        <f>0</f>
        <v>0</v>
      </c>
      <c r="AF218" s="734">
        <f>0</f>
        <v>0</v>
      </c>
      <c r="AG218" s="734">
        <f>0</f>
        <v>0</v>
      </c>
      <c r="AH218" s="734">
        <f>0</f>
        <v>0</v>
      </c>
      <c r="AI218" s="734">
        <f>0</f>
        <v>0</v>
      </c>
      <c r="AJ218" s="734">
        <f>0</f>
        <v>0</v>
      </c>
      <c r="AK218" s="734">
        <f>i_N_CB</f>
        <v>0.01</v>
      </c>
      <c r="AL218" s="734">
        <f>0</f>
        <v>0</v>
      </c>
      <c r="AM218" s="734">
        <f>0</f>
        <v>0</v>
      </c>
      <c r="AN218" s="734">
        <f>0</f>
        <v>0</v>
      </c>
      <c r="AO218" s="734">
        <f>0</f>
        <v>0</v>
      </c>
      <c r="AP218" s="734">
        <f>i_P_CB</f>
        <v>2E-3</v>
      </c>
      <c r="AQ218" s="734">
        <f>0</f>
        <v>0</v>
      </c>
      <c r="AR218" s="734">
        <f>0</f>
        <v>0</v>
      </c>
      <c r="AS218" s="734">
        <f>0</f>
        <v>0</v>
      </c>
      <c r="AT218" s="734">
        <f>0</f>
        <v>0</v>
      </c>
      <c r="AU218" s="734">
        <f>0</f>
        <v>0</v>
      </c>
      <c r="AV218" s="734">
        <f>0</f>
        <v>0</v>
      </c>
      <c r="AW218" s="734">
        <f>0</f>
        <v>0</v>
      </c>
      <c r="AX218" s="734">
        <f>0</f>
        <v>0</v>
      </c>
      <c r="AY218" s="734">
        <f>0</f>
        <v>0</v>
      </c>
      <c r="AZ218" s="734">
        <f>0</f>
        <v>0</v>
      </c>
      <c r="BA218" s="734">
        <f>0</f>
        <v>0</v>
      </c>
      <c r="BB218" s="734">
        <f>0</f>
        <v>0</v>
      </c>
      <c r="BC218" s="734">
        <f>i_S_CB-i_S_XB</f>
        <v>0</v>
      </c>
      <c r="BD218" s="734">
        <f>0</f>
        <v>0</v>
      </c>
      <c r="BE218" s="734">
        <f>0</f>
        <v>0</v>
      </c>
      <c r="BF218" s="734">
        <f>0</f>
        <v>0</v>
      </c>
      <c r="BG218" s="734">
        <f>0</f>
        <v>0</v>
      </c>
      <c r="BH218" s="734">
        <f>0</f>
        <v>0</v>
      </c>
      <c r="BI218" s="734">
        <f>0</f>
        <v>0</v>
      </c>
      <c r="BJ218" s="734">
        <f>0</f>
        <v>0</v>
      </c>
      <c r="BK218" s="734">
        <f>0</f>
        <v>0</v>
      </c>
      <c r="BL218" s="734">
        <f>0</f>
        <v>0</v>
      </c>
      <c r="BM218" s="734">
        <f>0</f>
        <v>0</v>
      </c>
      <c r="BN218" s="734">
        <f>0</f>
        <v>0</v>
      </c>
      <c r="BO218" s="734">
        <f>0</f>
        <v>0</v>
      </c>
      <c r="BP218" s="734">
        <f>0</f>
        <v>0</v>
      </c>
      <c r="BQ218" s="734">
        <f>0</f>
        <v>0</v>
      </c>
      <c r="BR218" s="734">
        <f>0</f>
        <v>0</v>
      </c>
      <c r="BS218" s="734">
        <f>0</f>
        <v>0</v>
      </c>
      <c r="BT218" s="734">
        <f>0</f>
        <v>0</v>
      </c>
      <c r="BU218" s="734">
        <f>0</f>
        <v>0</v>
      </c>
      <c r="BV218" s="901">
        <f>0</f>
        <v>0</v>
      </c>
      <c r="BW218" s="734">
        <f>0</f>
        <v>0</v>
      </c>
      <c r="BX218" s="734">
        <f>0</f>
        <v>0</v>
      </c>
      <c r="BY218" s="734">
        <f>0</f>
        <v>0</v>
      </c>
      <c r="BZ218" s="734">
        <f>0</f>
        <v>0</v>
      </c>
      <c r="CA218" s="901">
        <f>0</f>
        <v>0</v>
      </c>
      <c r="CB218" s="734">
        <f>0</f>
        <v>0</v>
      </c>
      <c r="CC218" s="734">
        <f>0</f>
        <v>0</v>
      </c>
      <c r="CD218" s="734">
        <f>0</f>
        <v>0</v>
      </c>
      <c r="CE218" s="734">
        <f>0</f>
        <v>0</v>
      </c>
      <c r="CF218" s="734">
        <f>0</f>
        <v>0</v>
      </c>
      <c r="CG218" s="734">
        <f>0</f>
        <v>0</v>
      </c>
      <c r="CH218" s="734">
        <f>0</f>
        <v>0</v>
      </c>
      <c r="CI218" s="734">
        <f>0</f>
        <v>0</v>
      </c>
      <c r="CJ218" s="734">
        <f>0</f>
        <v>0</v>
      </c>
      <c r="CK218" s="734">
        <f>0</f>
        <v>0</v>
      </c>
      <c r="CL218" s="734">
        <f>0</f>
        <v>0</v>
      </c>
      <c r="CM218" s="734">
        <f>0</f>
        <v>0</v>
      </c>
      <c r="CN218" s="734">
        <f>0</f>
        <v>0</v>
      </c>
      <c r="CO218" s="734">
        <f>0</f>
        <v>0</v>
      </c>
      <c r="CP218" s="734">
        <f>0</f>
        <v>0</v>
      </c>
      <c r="CQ218" s="734">
        <f>0</f>
        <v>0</v>
      </c>
      <c r="CR218" s="734">
        <f>0</f>
        <v>0</v>
      </c>
      <c r="CS218" s="734">
        <f>0</f>
        <v>0</v>
      </c>
      <c r="CT218" s="734">
        <f>0</f>
        <v>0</v>
      </c>
      <c r="CU218" s="734">
        <f>0</f>
        <v>0</v>
      </c>
      <c r="CV218" s="2863">
        <f>q_FLOC_T*X_BIO*M_RsatCB_XBIO_KFLOC</f>
        <v>496.00543261164813</v>
      </c>
      <c r="CX218" s="2880">
        <f>E299*E218+F299*F218+G299*G218+H299*H218+I299*I218+J299*J218+K299*K218+L299*L218+M299*M218+N299*N218+O299*O218+P299*P218+Q299*Q218+R299*R218+S299*S218+T299*T218+U299*U218+V299*V218+W299*W218+X299*X218+Y299*Y218+Z299*Z218+AA299*AA218+AB299*AB218+AC299*AC218+AD299*AD218+AE299*AE218+AF299*AF218+AG299*AG218+AH299*AH218+AI299*AI218+AJ299*AJ218+AK299*AK218+AL299*AL218+AM299*AM218+AN299*AN218+AO299*AO218+AP299*AP218+AQ299*AQ218+AR299*AR218+AS299*AS218+AT299*AT218+AU299*AU218+AV299*AV218+AW299*AW218+AX299*AX218+AY299*AY218+AZ299*AZ218+BA299*BA218+BB299*BB218+BC299*BC218+BD299*BD218+BE299*BE218+BF299*BF218+BG299*BG218+BH299*BH218+BI299*BI218+BJ299*BJ218+BK299*BK218+BL299*BL218+BM299*BM218+BN299*BN218+BO299*BO218+BP299*BP218+BQ299*BQ218+BR299*BR218+BS299*BS218+BT299*BT218+BU299*BU218+BV299*BV218+BW299*BW218+BX299*BX218+BY299*BY218+BZ299*BZ218+CA299*CA218+CB299*CB218+CC299*CC218+CD299*CD218+CE299*CE218+CF299*CF218+CG299*CG218+CH299*CH218+CI299*CI218+CJ299*CJ218+CK299*CK218+CL299*CL218+CM299*CM218+CN299*CN218+CO299*CO218+CP299*CP218+CQ299*CQ218+CR299*CR218+CS299*CS218+CT299*CT218+CU299*CU218</f>
        <v>0</v>
      </c>
      <c r="CY218" s="2880">
        <f>E300*E218+F300*F218+G300*G218+H300*H218+I300*I218+J300*J218+K300*K218+L300*L218+M300*M218+N300*N218+O300*O218+P300*P218+Q300*Q218+R300*R218+S300*S218+T300*T218+U300*U218+V300*V218+W300*W218+X300*X218+Y300*Y218+Z300*Z218+AA300*AA218+AB300*AB218+AC300*AC218+AD300*AD218+AE300*AE218+AF300*AF218+AG300*AG218+AH300*AH218+AI300*AI218+AJ300*AJ218+AK300*AK218+AL300*AL218+AM300*AM218+AN300*AN218+AO300*AO218+AP300*AP218+AQ300*AQ218+AR300*AR218+AS300*AS218+AT300*AT218+AU300*AU218+AV300*AV218+AW300*AW218+AX300*AX218+AY300*AY218+AZ300*AZ218+BA300*BA218+BB300*BB218+BC300*BC218+BD300*BD218+BE300*BE218+BF300*BF218+BG300*BG218+BH300*BH218+BI300*BI218+BJ300*BJ218+BK300*BK218+BL300*BL218+BM300*BM218+BN300*BN218+BO300*BO218+BP300*BP218+BQ300*BQ218+BR300*BR218+BS300*BS218+BT300*BT218+BU300*BU218+BV300*BV218+BW300*BW218+BX300*BX218+BY300*BY218+BZ300*BZ218+CA300*CA218+CB300*CB218+CC300*CC218+CD300*CD218+CE300*CE218+CF300*CF218+CG300*CG218+CH300*CH218+CI300*CI218+CJ300*CJ218+CK300*CK218+CL300*CL218+CM300*CM218+CN300*CN218+CO300*CO218+CP300*CP218+CQ300*CQ218+CR300*CR218+CS300*CS218+CT300*CT218+CU300*CU218</f>
        <v>0</v>
      </c>
      <c r="CZ218" s="2881">
        <f>E301*E218+F301*F218+G301*G218+H301*H218+I301*I218+J301*J218+K301*K218+L301*L218+M301*M218+N301*N218+O301*O218+P301*P218+Q301*Q218+R301*R218+S301*S218+T301*T218+U301*U218+V301*V218+W301*W218+X301*X218+Y301*Y218+Z301*Z218+AA301*AA218+AB301*AB218+AC301*AC218+AD301*AD218+AE301*AE218+AF301*AF218+AG301*AG218+AH301*AH218+AI301*AI218+AJ301*AJ218+AK301*AK218+AL301*AL218+AM301*AM218+AN301*AN218+AO301*AO218+AP301*AP218+AQ301*AQ218+AR301*AR218+AS301*AS218+AT301*AT218+AU301*AU218+AV301*AV218+AW301*AW218+AX301*AX218+AY301*AY218+AZ301*AZ218+BA301*BA218+BB301*BB218+BC301*BC218+BD301*BD218+BE301*BE218+BF301*BF218+BG301*BG218+BH301*BH218+BI301*BI218+BJ301*BJ218+BK301*BK218+BL301*BL218+BM301*BM218+BN301*BN218+BO301*BO218+BP301*BP218+BQ301*BQ218+BR301*BR218+BS301*BS218+BT301*BT218+BU301*BU218+BV301*BV218+BW301*BW218+BX301*BX218+BY301*BY218+BZ301*BZ218+CA301*CA218+CB301*CB218+CC301*CC218+CD301*CD218+CE301*CE218+CF301*CF218+CG301*CG218+CH301*CH218+CI301*CI218+CJ301*CJ218+CK301*CK218+CL301*CL218+CM301*CM218+CN301*CN218+CO301*CO218+CP301*CP218+CQ301*CQ218+CR301*CR218+CS301*CS218+CT301*CT218+CU301*CU218</f>
        <v>0</v>
      </c>
      <c r="DA218" s="2882">
        <f>E302*E218+F302*F218+G302*G218+H302*H218+I302*I218+J302*J218+K302*K218+L302*L218+M302*M218+N302*N218+O302*O218+P302*P218+Q302*Q218+R302*R218+S302*S218+T302*T218+U302*U218+V302*V218+W302*W218+X302*X218+Y302*Y218+Z302*Z218+AA302*AA218+AB302*AB218+AC302*AC218+AD302*AD218+AE302*AE218+AF302*AF218+AG302*AG218+AH302*AH218+AI302*AI218+AJ302*AJ218+AK302*AK218+AL302*AL218+AM302*AM218+AN302*AN218+AO302*AO218+AP302*AP218+AQ302*AQ218+AR302*AR218+AS302*AS218+AT302*AT218+AU302*AU218+AV302*AV218+AW302*AW218+AX302*AX218+AY302*AY218+AZ302*AZ218+BA302*BA218+BB302*BB218+BC302*BC218+BD302*BD218+BE302*BE218+BF302*BF218+BG302*BG218+BH302*BH218+BI302*BI218+BJ302*BJ218+BK302*BK218+BL302*BL218+BM302*BM218+BN302*BN218+BO302*BO218+BP302*BP218+BQ302*BQ218+BR302*BR218+BS302*BS218+BT302*BT218+BU302*BU218+BV302*BV218+BW302*BW218+BX302*BX218+BY302*BY218+BZ302*BZ218+CA302*CA218+CB302*CB218+CC302*CC218+CD302*CD218+CE302*CE218+CF302*CF218+CG302*CG218+CH302*CH218+CI302*CI218+CJ302*CJ218+CK302*CK218+CL302*CL218+CM302*CM218+CN302*CN218+CO302*CO218+CP302*CP218+CQ302*CQ218+CR302*CR218+CS302*CS218+CT302*CT218+CU302*CU218</f>
        <v>0</v>
      </c>
      <c r="DB218" s="2882">
        <f>E303*E218+F303*F218+G303*G218+H303*H218+I303*I218+J303*J218+K303*K218+L303*L218+M303*M218+N303*N218+O303*O218+P303*P218+Q303*Q218+R303*R218+S303*S218+T303*T218+U303*U218+V303*V218+W303*W218+X303*X218+Y303*Y218+Z303*Z218+AA303*AA218+AB303*AB218+AC303*AC218+AD303*AD218+AE303*AE218+AF303*AF218+AG303*AG218+AH303*AH218+AI303*AI218+AJ303*AJ218+AK303*AK218+AL303*AL218+AM303*AM218+AN303*AN218+AO303*AO218+AP303*AP218+AQ303*AQ218+AR303*AR218+AS303*AS218+AT303*AT218+AU303*AU218+AV303*AV218+AW303*AW218+AX303*AX218+AY303*AY218+AZ303*AZ218+BA303*BA218+BB303*BB218+BC303*BC218+BD303*BD218+BE303*BE218+BF303*BF218+BG303*BG218+BH303*BH218+BI303*BI218+BJ303*BJ218+BK303*BK218+BL303*BL218+BM303*BM218+BN303*BN218+BO303*BO218+BP303*BP218+BQ303*BQ218+BR303*BR218+BS303*BS218+BT303*BT218+BU303*BU218+BV303*BV218+BW303*BW218+BX303*BX218+BY303*BY218+BZ303*BZ218+CA303*CA218+CB303*CB218+CC303*CC218+CD303*CD218+CE303*CE218+CF303*CF218+CG303*CG218+CH303*CH218+CI303*CI218+CJ303*CJ218+CK303*CK218+CL303*CL218+CM303*CM218+CN303*CN218+CO303*CO218+CP303*CP218+CQ303*CQ218+CR303*CR218+CS303*CS218+CT303*CT218+CU303*CU218</f>
        <v>0</v>
      </c>
      <c r="DC218" s="2882">
        <f>E304*E218+F304*F218+G304*G218+H304*H218+I304*I218+J304*J218+K304*K218+L304*L218+M304*M218+N304*N218+O304*O218+P304*P218+Q304*Q218+R304*R218+S304*S218+T304*T218+U304*U218+V304*V218+W304*W218+X304*X218+Y304*Y218+Z304*Z218+AA304*AA218+AB304*AB218+AC304*AC218+AD304*AD218+AE304*AE218+AF304*AF218+AG304*AG218+AH304*AH218+AI304*AI218+AJ304*AJ218+AK304*AK218+AL304*AL218+AM304*AM218+AN304*AN218+AO304*AO218+AP304*AP218+AQ304*AQ218+AR304*AR218+AS304*AS218+AT304*AT218+AU304*AU218+AV304*AV218+AW304*AW218+AX304*AX218+AY304*AY218+AZ304*AZ218+BA304*BA218+BB304*BB218+BC304*BC218+BD304*BD218+BE304*BE218+BF304*BF218+BG304*BG218+BH304*BH218+BI304*BI218+BJ304*BJ218+BK304*BK218+BL304*BL218+BM304*BM218+BN304*BN218+BO304*BO218+BP304*BP218+BQ304*BQ218+BR304*BR218+BS304*BS218+BT304*BT218+BU304*BU218+BV304*BV218+BW304*BW218+BX304*BX218+BY304*BY218+BZ304*BZ218+CA304*CA218+CB304*CB218+CC304*CC218+CD304*CD218+CE304*CE218+CF304*CF218+CG304*CG218+CH304*CH218+CI304*CI218+CJ304*CJ218+CK304*CK218+CL304*CL218+CM304*CM218+CN304*CN218+CO304*CO218+CP304*CP218+CQ304*CQ218+CR304*CR218+CS304*CS218+CT304*CT218+CU304*CU218</f>
        <v>0</v>
      </c>
      <c r="DD218" s="2882">
        <f>E305*E218+F305*F218+G305*G218+H305*H218+I305*I218+J305*J218+K305*K218+L305*L218+M305*M218+N305*N218+O305*O218+P305*P218+Q305*Q218+R305*R218+S305*S218+T305*T218+U305*U218+V305*V218+W305*W218+X305*X218+Y305*Y218+Z305*Z218+AA305*AA218+AB305*AB218+AC305*AC218+AD305*AD218+AE305*AE218+AF305*AF218+AG305*AG218+AH305*AH218+AI305*AI218+AJ305*AJ218+AK305*AK218+AL305*AL218+AM305*AM218+AN305*AN218+AO305*AO218+AP305*AP218+AQ305*AQ218+AR305*AR218+AS305*AS218+AT305*AT218+AU305*AU218+AV305*AV218+AW305*AW218+AX305*AX218+AY305*AY218+AZ305*AZ218+BA305*BA218+BB305*BB218+BC305*BC218+BD305*BD218+BE305*BE218+BF305*BF218+BG305*BG218+BH305*BH218+BI305*BI218+BJ305*BJ218+BK305*BK218+BL305*BL218+BM305*BM218+BN305*BN218+BO305*BO218+BP305*BP218+BQ305*BQ218+BR305*BR218+BS305*BS218+BT305*BT218+BU305*BU218+BV305*BV218+BW305*BW218+BX305*BX218+BY305*BY218+BZ305*BZ218+CA305*CA218+CB305*CB218+CC305*CC218+CD305*CD218+CE305*CE218+CF305*CF218+CG305*CG218+CH305*CH218+CI305*CI218+CJ305*CJ218+CK305*CK218+CL305*CL218+CM305*CM218+CN305*CN218+CO305*CO218+CP305*CP218+CQ305*CQ218+CR305*CR218+CS305*CS218+CT305*CT218+CU305*CU218</f>
        <v>0</v>
      </c>
      <c r="DE218" s="2882">
        <f>E306*E218+F306*F218+G306*G218+H306*H218+I306*I218+J306*J218+K306*K218+L306*L218+M306*M218+N306*N218+O306*O218+P306*P218+Q306*Q218+R306*R218+S306*S218+T306*T218+U306*U218+V306*V218+W306*W218+X306*X218+Y306*Y218+Z306*Z218+AA306*AA218+AB306*AB218+AC306*AC218+AD306*AD218+AE306*AE218+AF306*AF218+AG306*AG218+AH306*AH218+AI306*AI218+AJ306*AJ218+AK306*AK218+AL306*AL218+AM306*AM218+AN306*AN218+AO306*AO218+AP306*AP218+AQ306*AQ218+AR306*AR218+AS306*AS218+AT306*AT218+AU306*AU218+AV306*AV218+AW306*AW218+AX306*AX218+AY306*AY218+AZ306*AZ218+BA306*BA218+BB306*BB218+BC306*BC218+BD306*BD218+BE306*BE218+BF306*BF218+BG306*BG218+BH306*BH218+BI306*BI218+BJ306*BJ218+BK306*BK218+BL306*BL218+BM306*BM218+BN306*BN218+BO306*BO218+BP306*BP218+BQ306*BQ218+BR306*BR218+BS306*BS218+BT306*BT218+BU306*BU218+BV306*BV218+BW306*BW218+BX306*BX218+BY306*BY218+BZ306*BZ218+CA306*CA218+CB306*CB218+CC306*CC218+CD306*CD218+CE306*CE218+CF306*CF218+CG306*CG218+CH306*CH218+CI306*CI218+CJ306*CJ218+CK306*CK218+CL306*CL218+CM306*CM218+CN306*CN218+CO306*CO218+CP306*CP218+CQ306*CQ218+CR306*CR218+CS306*CS218+CT306*CT218+CU306*CU218</f>
        <v>0</v>
      </c>
      <c r="DF218" s="2882">
        <f>E307*E218+F307*F218+G307*G218+H307*H218+I307*I218+J307*J218+K307*K218+L307*L218+M307*M218+N307*N218+O307*O218+P307*P218+Q307*Q218+R307*R218+S307*S218+T307*T218+U307*U218+V307*V218+W307*W218+X307*X218+Y307*Y218+Z307*Z218+AA307*AA218+AB307*AB218+AC307*AC218+AD307*AD218+AE307*AE218+AF307*AF218+AG307*AG218+AH307*AH218+AI307*AI218+AJ307*AJ218+AK307*AK218+AL307*AL218+AM307*AM218+AN307*AN218+AO307*AO218+AP307*AP218+AQ307*AQ218+AR307*AR218+AS307*AS218+AT307*AT218+AU307*AU218+AV307*AV218+AW307*AW218+AX307*AX218+AY307*AY218+AZ307*AZ218+BA307*BA218+BB307*BB218+BC307*BC218+BD307*BD218+BE307*BE218+BF307*BF218+BG307*BG218+BH307*BH218+BI307*BI218+BJ307*BJ218+BK307*BK218+BL307*BL218+BM307*BM218+BN307*BN218+BO307*BO218+BP307*BP218+BQ307*BQ218+BR307*BR218+BS307*BS218+BT307*BT218+BU307*BU218+BV307*BV218+BW307*BW218+BX307*BX218+BY307*BY218+BZ307*BZ218+CA307*CA218+CB307*CB218+CC307*CC218+CD307*CD218+CE307*CE218+CF307*CF218+CG307*CG218+CH307*CH218+CI307*CI218+CJ307*CJ218+CK307*CK218+CL307*CL218+CM307*CM218+CN307*CN218+CO307*CO218+CP307*CP218+CQ307*CQ218+CR307*CR218+CS307*CS218+CT307*CT218+CU307*CU218</f>
        <v>0</v>
      </c>
      <c r="DG218" s="2882">
        <f>E308*E218+F308*F218+G308*G218+H308*H218+I308*I218+J308*J218+K308*K218+L308*L218+M308*M218+N308*N218+O308*O218+P308*P218+Q308*Q218+R308*R218+S308*S218+T308*T218+U308*U218+V308*V218+W308*W218+X308*X218+Y308*Y218+Z308*Z218+AA308*AA218+AB308*AB218+AC308*AC218+AD308*AD218+AE308*AE218+AF308*AF218+AG308*AG218+AH308*AH218+AI308*AI218+AJ308*AJ218+AK308*AK218+AL308*AL218+AM308*AM218+AN308*AN218+AO308*AO218+AP308*AP218+AQ308*AQ218+AR308*AR218+AS308*AS218+AT308*AT218+AU308*AU218+AV308*AV218+AW308*AW218+AX308*AX218+AY308*AY218+AZ308*AZ218+BA308*BA218+BB308*BB218+BC308*BC218+BD308*BD218+BE308*BE218+BF308*BF218+BG308*BG218+BH308*BH218+BI308*BI218+BJ308*BJ218+BK308*BK218+BL308*BL218+BM308*BM218+BN308*BN218+BO308*BO218+BP308*BP218+BQ308*BQ218+BR308*BR218+BS308*BS218+BT308*BT218+BU308*BU218+BV308*BV218+BW308*BW218+BX308*BX218+BY308*BY218+BZ308*BZ218+CA308*CA218+CB308*CB218+CC308*CC218+CD308*CD218+CE308*CE218+CF308*CF218+CG308*CG218+CH308*CH218+CI308*CI218+CJ308*CJ218+CK308*CK218+CL308*CL218+CM308*CM218+CN308*CN218+CO308*CO218+CP308*CP218+CQ308*CQ218+CR308*CR218+CS308*CS218+CT308*CT218+CU308*CU218</f>
        <v>0</v>
      </c>
      <c r="DH218" s="2882">
        <f>E309*E218+F309*F218+G309*G218+H309*H218+I309*I218+J309*J218+K309*K218+L309*L218+M309*M218+N309*N218+O309*O218+P309*P218+Q309*Q218+R309*R218+S309*S218+T309*T218+U309*U218+V309*V218+W309*W218+X309*X218+Y309*Y218+Z309*Z218+AA309*AA218+AB309*AB218+AC309*AC218+AD309*AD218+AE309*AE218+AF309*AF218+AG309*AG218+AH309*AH218+AI309*AI218+AJ309*AJ218+AK309*AK218+AL309*AL218+AM309*AM218+AN309*AN218+AO309*AO218+AP309*AP218+AQ309*AQ218+AR309*AR218+AS309*AS218+AT309*AT218+AU309*AU218+AV309*AV218+AW309*AW218+AX309*AX218+AY309*AY218+AZ309*AZ218+BA309*BA218+BB309*BB218+BC309*BC218+BD309*BD218+BE309*BE218+BF309*BF218+BG309*BG218+BH309*BH218+BI309*BI218+BJ309*BJ218+BK309*BK218+BL309*BL218+BM309*BM218+BN309*BN218+BO309*BO218+BP309*BP218+BQ309*BQ218+BR309*BR218+BS309*BS218+BT309*BT218+BU309*BU218+BV309*BV218+BW309*BW218+BX309*BX218+BY309*BY218+BZ309*BZ218+CA309*CA218+CB309*CB218+CC309*CC218+CD309*CD218+CE309*CE218+CF309*CF218+CG309*CG218+CH309*CH218+CI309*CI218+CJ309*CJ218+CK309*CK218+CL309*CL218+CM309*CM218+CN309*CN218+CO309*CO218+CP309*CP218+CQ309*CQ218+CR309*CR218+CS309*CS218+CT309*CT218+CU309*CU218</f>
        <v>0</v>
      </c>
      <c r="DI218" s="2882">
        <f>E310*E218+F310*F218+G310*G218+H310*H218+I310*I218+J310*J218+K310*K218+L310*L218+M310*M218+N310*N218+O310*O218+P310*P218+Q310*Q218+R310*R218+S310*S218+T310*T218+U310*U218+V310*V218+W310*W218+X310*X218+Y310*Y218+Z310*Z218+AA310*AA218+AB310*AB218+AC310*AC218+AD310*AD218+AE310*AE218+AF310*AF218+AG310*AG218+AH310*AH218+AI310*AI218+AJ310*AJ218+AK310*AK218+AL310*AL218+AM310*AM218+AN310*AN218+AO310*AO218+AP310*AP218+AQ310*AQ218+AR310*AR218+AS310*AS218+AT310*AT218+AU310*AU218+AV310*AV218+AW310*AW218+AX310*AX218+AY310*AY218+AZ310*AZ218+BA310*BA218+BB310*BB218+BC310*BC218+BD310*BD218+BE310*BE218+BF310*BF218+BG310*BG218+BH310*BH218+BI310*BI218+BJ310*BJ218+BK310*BK218+BL310*BL218+BM310*BM218+BN310*BN218+BO310*BO218+BP310*BP218+BQ310*BQ218+BR310*BR218+BS310*BS218+BT310*BT218+BU310*BU218+BV310*BV218+BW310*BW218+BX310*BX218+BY310*BY218+BZ310*BZ218+CA310*CA218+CB310*CB218+CC310*CC218+CD310*CD218+CE310*CE218+CF310*CF218+CG310*CG218+CH310*CH218+CI310*CI218+CJ310*CJ218+CK310*CK218+CL310*CL218+CM310*CM218+CN310*CN218+CO310*CO218+CP310*CP218+CQ310*CQ218+CR310*CR218+CS310*CS218+CT310*CT218+CU310*CU218</f>
        <v>0</v>
      </c>
    </row>
    <row r="219" spans="2:113" x14ac:dyDescent="0.45">
      <c r="B219" s="788">
        <v>60</v>
      </c>
      <c r="C219" s="788" t="s">
        <v>2467</v>
      </c>
      <c r="D219" s="789" t="s">
        <v>1687</v>
      </c>
      <c r="E219" s="734">
        <f>0</f>
        <v>0</v>
      </c>
      <c r="F219" s="734">
        <f>0</f>
        <v>0</v>
      </c>
      <c r="G219" s="734">
        <f>0</f>
        <v>0</v>
      </c>
      <c r="H219" s="734">
        <f>0</f>
        <v>0</v>
      </c>
      <c r="I219" s="734">
        <f>0</f>
        <v>0</v>
      </c>
      <c r="J219" s="734">
        <f>0</f>
        <v>0</v>
      </c>
      <c r="K219" s="734">
        <f>-1</f>
        <v>-1</v>
      </c>
      <c r="L219" s="734">
        <f>1</f>
        <v>1</v>
      </c>
      <c r="M219" s="734">
        <f>0</f>
        <v>0</v>
      </c>
      <c r="N219" s="734">
        <f>0</f>
        <v>0</v>
      </c>
      <c r="O219" s="734">
        <f>0</f>
        <v>0</v>
      </c>
      <c r="P219" s="734">
        <f>0</f>
        <v>0</v>
      </c>
      <c r="Q219" s="734">
        <f>0</f>
        <v>0</v>
      </c>
      <c r="R219" s="734">
        <f>0</f>
        <v>0</v>
      </c>
      <c r="S219" s="734">
        <f>0</f>
        <v>0</v>
      </c>
      <c r="T219" s="734">
        <f>0</f>
        <v>0</v>
      </c>
      <c r="U219" s="734">
        <f>0</f>
        <v>0</v>
      </c>
      <c r="V219" s="734">
        <f>0</f>
        <v>0</v>
      </c>
      <c r="W219" s="734">
        <f>0</f>
        <v>0</v>
      </c>
      <c r="X219" s="734">
        <f>0</f>
        <v>0</v>
      </c>
      <c r="Y219" s="734">
        <f>0</f>
        <v>0</v>
      </c>
      <c r="Z219" s="734">
        <f>0</f>
        <v>0</v>
      </c>
      <c r="AA219" s="734">
        <f>0</f>
        <v>0</v>
      </c>
      <c r="AB219" s="734">
        <f>0</f>
        <v>0</v>
      </c>
      <c r="AC219" s="734">
        <f>0</f>
        <v>0</v>
      </c>
      <c r="AD219" s="734">
        <f>0</f>
        <v>0</v>
      </c>
      <c r="AE219" s="734">
        <f>0</f>
        <v>0</v>
      </c>
      <c r="AF219" s="734">
        <f>0</f>
        <v>0</v>
      </c>
      <c r="AG219" s="734">
        <f>0</f>
        <v>0</v>
      </c>
      <c r="AH219" s="734">
        <f>0</f>
        <v>0</v>
      </c>
      <c r="AI219" s="734">
        <f>0</f>
        <v>0</v>
      </c>
      <c r="AJ219" s="734">
        <f>0</f>
        <v>0</v>
      </c>
      <c r="AK219" s="734">
        <f>0</f>
        <v>0</v>
      </c>
      <c r="AL219" s="734">
        <f>i_N_CU</f>
        <v>0.01</v>
      </c>
      <c r="AM219" s="734">
        <f>0</f>
        <v>0</v>
      </c>
      <c r="AN219" s="734">
        <f>0</f>
        <v>0</v>
      </c>
      <c r="AO219" s="734">
        <f>0</f>
        <v>0</v>
      </c>
      <c r="AP219" s="734">
        <f>0</f>
        <v>0</v>
      </c>
      <c r="AQ219" s="734">
        <f>i_P_CU</f>
        <v>2E-3</v>
      </c>
      <c r="AR219" s="734">
        <f>0</f>
        <v>0</v>
      </c>
      <c r="AS219" s="734">
        <f>0</f>
        <v>0</v>
      </c>
      <c r="AT219" s="734">
        <f>0</f>
        <v>0</v>
      </c>
      <c r="AU219" s="734">
        <f>0</f>
        <v>0</v>
      </c>
      <c r="AV219" s="734">
        <f>0</f>
        <v>0</v>
      </c>
      <c r="AW219" s="734">
        <f>0</f>
        <v>0</v>
      </c>
      <c r="AX219" s="734">
        <f>0</f>
        <v>0</v>
      </c>
      <c r="AY219" s="734">
        <f>0</f>
        <v>0</v>
      </c>
      <c r="AZ219" s="734">
        <f>0</f>
        <v>0</v>
      </c>
      <c r="BA219" s="734">
        <f>0</f>
        <v>0</v>
      </c>
      <c r="BB219" s="734">
        <f>0</f>
        <v>0</v>
      </c>
      <c r="BC219" s="734">
        <f>i_S_CU-i_S_XU</f>
        <v>0</v>
      </c>
      <c r="BD219" s="734">
        <f>0</f>
        <v>0</v>
      </c>
      <c r="BE219" s="734">
        <f>0</f>
        <v>0</v>
      </c>
      <c r="BF219" s="734">
        <f>0</f>
        <v>0</v>
      </c>
      <c r="BG219" s="734">
        <f>0</f>
        <v>0</v>
      </c>
      <c r="BH219" s="734">
        <f>0</f>
        <v>0</v>
      </c>
      <c r="BI219" s="734">
        <f>0</f>
        <v>0</v>
      </c>
      <c r="BJ219" s="734">
        <f>0</f>
        <v>0</v>
      </c>
      <c r="BK219" s="734">
        <f>0</f>
        <v>0</v>
      </c>
      <c r="BL219" s="734">
        <f>0</f>
        <v>0</v>
      </c>
      <c r="BM219" s="734">
        <f>0</f>
        <v>0</v>
      </c>
      <c r="BN219" s="734">
        <f>0</f>
        <v>0</v>
      </c>
      <c r="BO219" s="734">
        <f>0</f>
        <v>0</v>
      </c>
      <c r="BP219" s="734">
        <f>0</f>
        <v>0</v>
      </c>
      <c r="BQ219" s="734">
        <f>0</f>
        <v>0</v>
      </c>
      <c r="BR219" s="734">
        <f>0</f>
        <v>0</v>
      </c>
      <c r="BS219" s="734">
        <f>0</f>
        <v>0</v>
      </c>
      <c r="BT219" s="734">
        <f>0</f>
        <v>0</v>
      </c>
      <c r="BU219" s="734">
        <f>0</f>
        <v>0</v>
      </c>
      <c r="BV219" s="901">
        <f>0</f>
        <v>0</v>
      </c>
      <c r="BW219" s="734">
        <f>0</f>
        <v>0</v>
      </c>
      <c r="BX219" s="734">
        <f>0</f>
        <v>0</v>
      </c>
      <c r="BY219" s="734">
        <f>0</f>
        <v>0</v>
      </c>
      <c r="BZ219" s="734">
        <f>0</f>
        <v>0</v>
      </c>
      <c r="CA219" s="901">
        <f>0</f>
        <v>0</v>
      </c>
      <c r="CB219" s="734">
        <f>0</f>
        <v>0</v>
      </c>
      <c r="CC219" s="734">
        <f>0</f>
        <v>0</v>
      </c>
      <c r="CD219" s="734">
        <f>0</f>
        <v>0</v>
      </c>
      <c r="CE219" s="734">
        <f>0</f>
        <v>0</v>
      </c>
      <c r="CF219" s="734">
        <f>0</f>
        <v>0</v>
      </c>
      <c r="CG219" s="734">
        <f>0</f>
        <v>0</v>
      </c>
      <c r="CH219" s="734">
        <f>0</f>
        <v>0</v>
      </c>
      <c r="CI219" s="734">
        <f>0</f>
        <v>0</v>
      </c>
      <c r="CJ219" s="734">
        <f>0</f>
        <v>0</v>
      </c>
      <c r="CK219" s="734">
        <f>0</f>
        <v>0</v>
      </c>
      <c r="CL219" s="734">
        <f>0</f>
        <v>0</v>
      </c>
      <c r="CM219" s="734">
        <f>0</f>
        <v>0</v>
      </c>
      <c r="CN219" s="734">
        <f>0</f>
        <v>0</v>
      </c>
      <c r="CO219" s="734">
        <f>0</f>
        <v>0</v>
      </c>
      <c r="CP219" s="734">
        <f>0</f>
        <v>0</v>
      </c>
      <c r="CQ219" s="734">
        <f>0</f>
        <v>0</v>
      </c>
      <c r="CR219" s="734">
        <f>0</f>
        <v>0</v>
      </c>
      <c r="CS219" s="734">
        <f>0</f>
        <v>0</v>
      </c>
      <c r="CT219" s="734">
        <f>0</f>
        <v>0</v>
      </c>
      <c r="CU219" s="734">
        <f>0</f>
        <v>0</v>
      </c>
      <c r="CV219" s="2863">
        <f>q_FLOC_T*X_BIO*M_RsatCU_XBIO_KFLOC</f>
        <v>496.00543261164813</v>
      </c>
      <c r="CX219" s="2880">
        <f>E299*E219+F299*F219+G299*G219+H299*H219+I299*I219+J299*J219+K299*K219+L299*L219+M299*M219+N299*N219+O299*O219+P299*P219+Q299*Q219+R299*R219+S299*S219+T299*T219+U299*U219+V299*V219+W299*W219+X299*X219+Y299*Y219+Z299*Z219+AA299*AA219+AB299*AB219+AC299*AC219+AD299*AD219+AE299*AE219+AF299*AF219+AG299*AG219+AH299*AH219+AI299*AI219+AJ299*AJ219+AK299*AK219+AL299*AL219+AM299*AM219+AN299*AN219+AO299*AO219+AP299*AP219+AQ299*AQ219+AR299*AR219+AS299*AS219+AT299*AT219+AU299*AU219+AV299*AV219+AW299*AW219+AX299*AX219+AY299*AY219+AZ299*AZ219+BA299*BA219+BB299*BB219+BC299*BC219+BD299*BD219+BE299*BE219+BF299*BF219+BG299*BG219+BH299*BH219+BI299*BI219+BJ299*BJ219+BK299*BK219+BL299*BL219+BM299*BM219+BN299*BN219+BO299*BO219+BP299*BP219+BQ299*BQ219+BR299*BR219+BS299*BS219+BT299*BT219+BU299*BU219+BV299*BV219+BW299*BW219+BX299*BX219+BY299*BY219+BZ299*BZ219+CA299*CA219+CB299*CB219+CC299*CC219+CD299*CD219+CE299*CE219+CF299*CF219+CG299*CG219+CH299*CH219+CI299*CI219+CJ299*CJ219+CK299*CK219+CL299*CL219+CM299*CM219+CN299*CN219+CO299*CO219+CP299*CP219+CQ299*CQ219+CR299*CR219+CS299*CS219+CT299*CT219+CU299*CU219</f>
        <v>0</v>
      </c>
      <c r="CY219" s="2880">
        <f>E300*E219+F300*F219+G300*G219+H300*H219+I300*I219+J300*J219+K300*K219+L300*L219+M300*M219+N300*N219+O300*O219+P300*P219+Q300*Q219+R300*R219+S300*S219+T300*T219+U300*U219+V300*V219+W300*W219+X300*X219+Y300*Y219+Z300*Z219+AA300*AA219+AB300*AB219+AC300*AC219+AD300*AD219+AE300*AE219+AF300*AF219+AG300*AG219+AH300*AH219+AI300*AI219+AJ300*AJ219+AK300*AK219+AL300*AL219+AM300*AM219+AN300*AN219+AO300*AO219+AP300*AP219+AQ300*AQ219+AR300*AR219+AS300*AS219+AT300*AT219+AU300*AU219+AV300*AV219+AW300*AW219+AX300*AX219+AY300*AY219+AZ300*AZ219+BA300*BA219+BB300*BB219+BC300*BC219+BD300*BD219+BE300*BE219+BF300*BF219+BG300*BG219+BH300*BH219+BI300*BI219+BJ300*BJ219+BK300*BK219+BL300*BL219+BM300*BM219+BN300*BN219+BO300*BO219+BP300*BP219+BQ300*BQ219+BR300*BR219+BS300*BS219+BT300*BT219+BU300*BU219+BV300*BV219+BW300*BW219+BX300*BX219+BY300*BY219+BZ300*BZ219+CA300*CA219+CB300*CB219+CC300*CC219+CD300*CD219+CE300*CE219+CF300*CF219+CG300*CG219+CH300*CH219+CI300*CI219+CJ300*CJ219+CK300*CK219+CL300*CL219+CM300*CM219+CN300*CN219+CO300*CO219+CP300*CP219+CQ300*CQ219+CR300*CR219+CS300*CS219+CT300*CT219+CU300*CU219</f>
        <v>0</v>
      </c>
      <c r="CZ219" s="2881">
        <f>E301*E219+F301*F219+G301*G219+H301*H219+I301*I219+J301*J219+K301*K219+L301*L219+M301*M219+N301*N219+O301*O219+P301*P219+Q301*Q219+R301*R219+S301*S219+T301*T219+U301*U219+V301*V219+W301*W219+X301*X219+Y301*Y219+Z301*Z219+AA301*AA219+AB301*AB219+AC301*AC219+AD301*AD219+AE301*AE219+AF301*AF219+AG301*AG219+AH301*AH219+AI301*AI219+AJ301*AJ219+AK301*AK219+AL301*AL219+AM301*AM219+AN301*AN219+AO301*AO219+AP301*AP219+AQ301*AQ219+AR301*AR219+AS301*AS219+AT301*AT219+AU301*AU219+AV301*AV219+AW301*AW219+AX301*AX219+AY301*AY219+AZ301*AZ219+BA301*BA219+BB301*BB219+BC301*BC219+BD301*BD219+BE301*BE219+BF301*BF219+BG301*BG219+BH301*BH219+BI301*BI219+BJ301*BJ219+BK301*BK219+BL301*BL219+BM301*BM219+BN301*BN219+BO301*BO219+BP301*BP219+BQ301*BQ219+BR301*BR219+BS301*BS219+BT301*BT219+BU301*BU219+BV301*BV219+BW301*BW219+BX301*BX219+BY301*BY219+BZ301*BZ219+CA301*CA219+CB301*CB219+CC301*CC219+CD301*CD219+CE301*CE219+CF301*CF219+CG301*CG219+CH301*CH219+CI301*CI219+CJ301*CJ219+CK301*CK219+CL301*CL219+CM301*CM219+CN301*CN219+CO301*CO219+CP301*CP219+CQ301*CQ219+CR301*CR219+CS301*CS219+CT301*CT219+CU301*CU219</f>
        <v>0</v>
      </c>
      <c r="DA219" s="2882">
        <f>E302*E219+F302*F219+G302*G219+H302*H219+I302*I219+J302*J219+K302*K219+L302*L219+M302*M219+N302*N219+O302*O219+P302*P219+Q302*Q219+R302*R219+S302*S219+T302*T219+U302*U219+V302*V219+W302*W219+X302*X219+Y302*Y219+Z302*Z219+AA302*AA219+AB302*AB219+AC302*AC219+AD302*AD219+AE302*AE219+AF302*AF219+AG302*AG219+AH302*AH219+AI302*AI219+AJ302*AJ219+AK302*AK219+AL302*AL219+AM302*AM219+AN302*AN219+AO302*AO219+AP302*AP219+AQ302*AQ219+AR302*AR219+AS302*AS219+AT302*AT219+AU302*AU219+AV302*AV219+AW302*AW219+AX302*AX219+AY302*AY219+AZ302*AZ219+BA302*BA219+BB302*BB219+BC302*BC219+BD302*BD219+BE302*BE219+BF302*BF219+BG302*BG219+BH302*BH219+BI302*BI219+BJ302*BJ219+BK302*BK219+BL302*BL219+BM302*BM219+BN302*BN219+BO302*BO219+BP302*BP219+BQ302*BQ219+BR302*BR219+BS302*BS219+BT302*BT219+BU302*BU219+BV302*BV219+BW302*BW219+BX302*BX219+BY302*BY219+BZ302*BZ219+CA302*CA219+CB302*CB219+CC302*CC219+CD302*CD219+CE302*CE219+CF302*CF219+CG302*CG219+CH302*CH219+CI302*CI219+CJ302*CJ219+CK302*CK219+CL302*CL219+CM302*CM219+CN302*CN219+CO302*CO219+CP302*CP219+CQ302*CQ219+CR302*CR219+CS302*CS219+CT302*CT219+CU302*CU219</f>
        <v>0</v>
      </c>
      <c r="DB219" s="2882">
        <f>E303*E219+F303*F219+G303*G219+H303*H219+I303*I219+J303*J219+K303*K219+L303*L219+M303*M219+N303*N219+O303*O219+P303*P219+Q303*Q219+R303*R219+S303*S219+T303*T219+U303*U219+V303*V219+W303*W219+X303*X219+Y303*Y219+Z303*Z219+AA303*AA219+AB303*AB219+AC303*AC219+AD303*AD219+AE303*AE219+AF303*AF219+AG303*AG219+AH303*AH219+AI303*AI219+AJ303*AJ219+AK303*AK219+AL303*AL219+AM303*AM219+AN303*AN219+AO303*AO219+AP303*AP219+AQ303*AQ219+AR303*AR219+AS303*AS219+AT303*AT219+AU303*AU219+AV303*AV219+AW303*AW219+AX303*AX219+AY303*AY219+AZ303*AZ219+BA303*BA219+BB303*BB219+BC303*BC219+BD303*BD219+BE303*BE219+BF303*BF219+BG303*BG219+BH303*BH219+BI303*BI219+BJ303*BJ219+BK303*BK219+BL303*BL219+BM303*BM219+BN303*BN219+BO303*BO219+BP303*BP219+BQ303*BQ219+BR303*BR219+BS303*BS219+BT303*BT219+BU303*BU219+BV303*BV219+BW303*BW219+BX303*BX219+BY303*BY219+BZ303*BZ219+CA303*CA219+CB303*CB219+CC303*CC219+CD303*CD219+CE303*CE219+CF303*CF219+CG303*CG219+CH303*CH219+CI303*CI219+CJ303*CJ219+CK303*CK219+CL303*CL219+CM303*CM219+CN303*CN219+CO303*CO219+CP303*CP219+CQ303*CQ219+CR303*CR219+CS303*CS219+CT303*CT219+CU303*CU219</f>
        <v>0</v>
      </c>
      <c r="DC219" s="2882">
        <f>E304*E219+F304*F219+G304*G219+H304*H219+I304*I219+J304*J219+K304*K219+L304*L219+M304*M219+N304*N219+O304*O219+P304*P219+Q304*Q219+R304*R219+S304*S219+T304*T219+U304*U219+V304*V219+W304*W219+X304*X219+Y304*Y219+Z304*Z219+AA304*AA219+AB304*AB219+AC304*AC219+AD304*AD219+AE304*AE219+AF304*AF219+AG304*AG219+AH304*AH219+AI304*AI219+AJ304*AJ219+AK304*AK219+AL304*AL219+AM304*AM219+AN304*AN219+AO304*AO219+AP304*AP219+AQ304*AQ219+AR304*AR219+AS304*AS219+AT304*AT219+AU304*AU219+AV304*AV219+AW304*AW219+AX304*AX219+AY304*AY219+AZ304*AZ219+BA304*BA219+BB304*BB219+BC304*BC219+BD304*BD219+BE304*BE219+BF304*BF219+BG304*BG219+BH304*BH219+BI304*BI219+BJ304*BJ219+BK304*BK219+BL304*BL219+BM304*BM219+BN304*BN219+BO304*BO219+BP304*BP219+BQ304*BQ219+BR304*BR219+BS304*BS219+BT304*BT219+BU304*BU219+BV304*BV219+BW304*BW219+BX304*BX219+BY304*BY219+BZ304*BZ219+CA304*CA219+CB304*CB219+CC304*CC219+CD304*CD219+CE304*CE219+CF304*CF219+CG304*CG219+CH304*CH219+CI304*CI219+CJ304*CJ219+CK304*CK219+CL304*CL219+CM304*CM219+CN304*CN219+CO304*CO219+CP304*CP219+CQ304*CQ219+CR304*CR219+CS304*CS219+CT304*CT219+CU304*CU219</f>
        <v>0</v>
      </c>
      <c r="DD219" s="2882">
        <f>E305*E219+F305*F219+G305*G219+H305*H219+I305*I219+J305*J219+K305*K219+L305*L219+M305*M219+N305*N219+O305*O219+P305*P219+Q305*Q219+R305*R219+S305*S219+T305*T219+U305*U219+V305*V219+W305*W219+X305*X219+Y305*Y219+Z305*Z219+AA305*AA219+AB305*AB219+AC305*AC219+AD305*AD219+AE305*AE219+AF305*AF219+AG305*AG219+AH305*AH219+AI305*AI219+AJ305*AJ219+AK305*AK219+AL305*AL219+AM305*AM219+AN305*AN219+AO305*AO219+AP305*AP219+AQ305*AQ219+AR305*AR219+AS305*AS219+AT305*AT219+AU305*AU219+AV305*AV219+AW305*AW219+AX305*AX219+AY305*AY219+AZ305*AZ219+BA305*BA219+BB305*BB219+BC305*BC219+BD305*BD219+BE305*BE219+BF305*BF219+BG305*BG219+BH305*BH219+BI305*BI219+BJ305*BJ219+BK305*BK219+BL305*BL219+BM305*BM219+BN305*BN219+BO305*BO219+BP305*BP219+BQ305*BQ219+BR305*BR219+BS305*BS219+BT305*BT219+BU305*BU219+BV305*BV219+BW305*BW219+BX305*BX219+BY305*BY219+BZ305*BZ219+CA305*CA219+CB305*CB219+CC305*CC219+CD305*CD219+CE305*CE219+CF305*CF219+CG305*CG219+CH305*CH219+CI305*CI219+CJ305*CJ219+CK305*CK219+CL305*CL219+CM305*CM219+CN305*CN219+CO305*CO219+CP305*CP219+CQ305*CQ219+CR305*CR219+CS305*CS219+CT305*CT219+CU305*CU219</f>
        <v>0</v>
      </c>
      <c r="DE219" s="2882">
        <f>E306*E219+F306*F219+G306*G219+H306*H219+I306*I219+J306*J219+K306*K219+L306*L219+M306*M219+N306*N219+O306*O219+P306*P219+Q306*Q219+R306*R219+S306*S219+T306*T219+U306*U219+V306*V219+W306*W219+X306*X219+Y306*Y219+Z306*Z219+AA306*AA219+AB306*AB219+AC306*AC219+AD306*AD219+AE306*AE219+AF306*AF219+AG306*AG219+AH306*AH219+AI306*AI219+AJ306*AJ219+AK306*AK219+AL306*AL219+AM306*AM219+AN306*AN219+AO306*AO219+AP306*AP219+AQ306*AQ219+AR306*AR219+AS306*AS219+AT306*AT219+AU306*AU219+AV306*AV219+AW306*AW219+AX306*AX219+AY306*AY219+AZ306*AZ219+BA306*BA219+BB306*BB219+BC306*BC219+BD306*BD219+BE306*BE219+BF306*BF219+BG306*BG219+BH306*BH219+BI306*BI219+BJ306*BJ219+BK306*BK219+BL306*BL219+BM306*BM219+BN306*BN219+BO306*BO219+BP306*BP219+BQ306*BQ219+BR306*BR219+BS306*BS219+BT306*BT219+BU306*BU219+BV306*BV219+BW306*BW219+BX306*BX219+BY306*BY219+BZ306*BZ219+CA306*CA219+CB306*CB219+CC306*CC219+CD306*CD219+CE306*CE219+CF306*CF219+CG306*CG219+CH306*CH219+CI306*CI219+CJ306*CJ219+CK306*CK219+CL306*CL219+CM306*CM219+CN306*CN219+CO306*CO219+CP306*CP219+CQ306*CQ219+CR306*CR219+CS306*CS219+CT306*CT219+CU306*CU219</f>
        <v>0</v>
      </c>
      <c r="DF219" s="2882">
        <f>E307*E219+F307*F219+G307*G219+H307*H219+I307*I219+J307*J219+K307*K219+L307*L219+M307*M219+N307*N219+O307*O219+P307*P219+Q307*Q219+R307*R219+S307*S219+T307*T219+U307*U219+V307*V219+W307*W219+X307*X219+Y307*Y219+Z307*Z219+AA307*AA219+AB307*AB219+AC307*AC219+AD307*AD219+AE307*AE219+AF307*AF219+AG307*AG219+AH307*AH219+AI307*AI219+AJ307*AJ219+AK307*AK219+AL307*AL219+AM307*AM219+AN307*AN219+AO307*AO219+AP307*AP219+AQ307*AQ219+AR307*AR219+AS307*AS219+AT307*AT219+AU307*AU219+AV307*AV219+AW307*AW219+AX307*AX219+AY307*AY219+AZ307*AZ219+BA307*BA219+BB307*BB219+BC307*BC219+BD307*BD219+BE307*BE219+BF307*BF219+BG307*BG219+BH307*BH219+BI307*BI219+BJ307*BJ219+BK307*BK219+BL307*BL219+BM307*BM219+BN307*BN219+BO307*BO219+BP307*BP219+BQ307*BQ219+BR307*BR219+BS307*BS219+BT307*BT219+BU307*BU219+BV307*BV219+BW307*BW219+BX307*BX219+BY307*BY219+BZ307*BZ219+CA307*CA219+CB307*CB219+CC307*CC219+CD307*CD219+CE307*CE219+CF307*CF219+CG307*CG219+CH307*CH219+CI307*CI219+CJ307*CJ219+CK307*CK219+CL307*CL219+CM307*CM219+CN307*CN219+CO307*CO219+CP307*CP219+CQ307*CQ219+CR307*CR219+CS307*CS219+CT307*CT219+CU307*CU219</f>
        <v>0</v>
      </c>
      <c r="DG219" s="2882">
        <f>E308*E219+F308*F219+G308*G219+H308*H219+I308*I219+J308*J219+K308*K219+L308*L219+M308*M219+N308*N219+O308*O219+P308*P219+Q308*Q219+R308*R219+S308*S219+T308*T219+U308*U219+V308*V219+W308*W219+X308*X219+Y308*Y219+Z308*Z219+AA308*AA219+AB308*AB219+AC308*AC219+AD308*AD219+AE308*AE219+AF308*AF219+AG308*AG219+AH308*AH219+AI308*AI219+AJ308*AJ219+AK308*AK219+AL308*AL219+AM308*AM219+AN308*AN219+AO308*AO219+AP308*AP219+AQ308*AQ219+AR308*AR219+AS308*AS219+AT308*AT219+AU308*AU219+AV308*AV219+AW308*AW219+AX308*AX219+AY308*AY219+AZ308*AZ219+BA308*BA219+BB308*BB219+BC308*BC219+BD308*BD219+BE308*BE219+BF308*BF219+BG308*BG219+BH308*BH219+BI308*BI219+BJ308*BJ219+BK308*BK219+BL308*BL219+BM308*BM219+BN308*BN219+BO308*BO219+BP308*BP219+BQ308*BQ219+BR308*BR219+BS308*BS219+BT308*BT219+BU308*BU219+BV308*BV219+BW308*BW219+BX308*BX219+BY308*BY219+BZ308*BZ219+CA308*CA219+CB308*CB219+CC308*CC219+CD308*CD219+CE308*CE219+CF308*CF219+CG308*CG219+CH308*CH219+CI308*CI219+CJ308*CJ219+CK308*CK219+CL308*CL219+CM308*CM219+CN308*CN219+CO308*CO219+CP308*CP219+CQ308*CQ219+CR308*CR219+CS308*CS219+CT308*CT219+CU308*CU219</f>
        <v>0</v>
      </c>
      <c r="DH219" s="2882">
        <f>E309*E219+F309*F219+G309*G219+H309*H219+I309*I219+J309*J219+K309*K219+L309*L219+M309*M219+N309*N219+O309*O219+P309*P219+Q309*Q219+R309*R219+S309*S219+T309*T219+U309*U219+V309*V219+W309*W219+X309*X219+Y309*Y219+Z309*Z219+AA309*AA219+AB309*AB219+AC309*AC219+AD309*AD219+AE309*AE219+AF309*AF219+AG309*AG219+AH309*AH219+AI309*AI219+AJ309*AJ219+AK309*AK219+AL309*AL219+AM309*AM219+AN309*AN219+AO309*AO219+AP309*AP219+AQ309*AQ219+AR309*AR219+AS309*AS219+AT309*AT219+AU309*AU219+AV309*AV219+AW309*AW219+AX309*AX219+AY309*AY219+AZ309*AZ219+BA309*BA219+BB309*BB219+BC309*BC219+BD309*BD219+BE309*BE219+BF309*BF219+BG309*BG219+BH309*BH219+BI309*BI219+BJ309*BJ219+BK309*BK219+BL309*BL219+BM309*BM219+BN309*BN219+BO309*BO219+BP309*BP219+BQ309*BQ219+BR309*BR219+BS309*BS219+BT309*BT219+BU309*BU219+BV309*BV219+BW309*BW219+BX309*BX219+BY309*BY219+BZ309*BZ219+CA309*CA219+CB309*CB219+CC309*CC219+CD309*CD219+CE309*CE219+CF309*CF219+CG309*CG219+CH309*CH219+CI309*CI219+CJ309*CJ219+CK309*CK219+CL309*CL219+CM309*CM219+CN309*CN219+CO309*CO219+CP309*CP219+CQ309*CQ219+CR309*CR219+CS309*CS219+CT309*CT219+CU309*CU219</f>
        <v>0</v>
      </c>
      <c r="DI219" s="2882">
        <f>E310*E219+F310*F219+G310*G219+H310*H219+I310*I219+J310*J219+K310*K219+L310*L219+M310*M219+N310*N219+O310*O219+P310*P219+Q310*Q219+R310*R219+S310*S219+T310*T219+U310*U219+V310*V219+W310*W219+X310*X219+Y310*Y219+Z310*Z219+AA310*AA219+AB310*AB219+AC310*AC219+AD310*AD219+AE310*AE219+AF310*AF219+AG310*AG219+AH310*AH219+AI310*AI219+AJ310*AJ219+AK310*AK219+AL310*AL219+AM310*AM219+AN310*AN219+AO310*AO219+AP310*AP219+AQ310*AQ219+AR310*AR219+AS310*AS219+AT310*AT219+AU310*AU219+AV310*AV219+AW310*AW219+AX310*AX219+AY310*AY219+AZ310*AZ219+BA310*BA219+BB310*BB219+BC310*BC219+BD310*BD219+BE310*BE219+BF310*BF219+BG310*BG219+BH310*BH219+BI310*BI219+BJ310*BJ219+BK310*BK219+BL310*BL219+BM310*BM219+BN310*BN219+BO310*BO219+BP310*BP219+BQ310*BQ219+BR310*BR219+BS310*BS219+BT310*BT219+BU310*BU219+BV310*BV219+BW310*BW219+BX310*BX219+BY310*BY219+BZ310*BZ219+CA310*CA219+CB310*CB219+CC310*CC219+CD310*CD219+CE310*CE219+CF310*CF219+CG310*CG219+CH310*CH219+CI310*CI219+CJ310*CJ219+CK310*CK219+CL310*CL219+CM310*CM219+CN310*CN219+CO310*CO219+CP310*CP219+CQ310*CQ219+CR310*CR219+CS310*CS219+CT310*CT219+CU310*CU219</f>
        <v>0</v>
      </c>
    </row>
    <row r="220" spans="2:113" x14ac:dyDescent="0.45">
      <c r="B220" s="788">
        <v>61</v>
      </c>
      <c r="C220" s="788" t="s">
        <v>2468</v>
      </c>
      <c r="D220" s="789" t="s">
        <v>3427</v>
      </c>
      <c r="E220" s="734">
        <f>0</f>
        <v>0</v>
      </c>
      <c r="F220" s="734">
        <f>0</f>
        <v>0</v>
      </c>
      <c r="G220" s="734">
        <f>0</f>
        <v>0</v>
      </c>
      <c r="H220" s="734">
        <f>-1</f>
        <v>-1</v>
      </c>
      <c r="I220" s="734">
        <f>1</f>
        <v>1</v>
      </c>
      <c r="J220" s="734">
        <f>0</f>
        <v>0</v>
      </c>
      <c r="K220" s="734">
        <f>0</f>
        <v>0</v>
      </c>
      <c r="L220" s="734">
        <f>0</f>
        <v>0</v>
      </c>
      <c r="M220" s="734">
        <f>0</f>
        <v>0</v>
      </c>
      <c r="N220" s="734">
        <f>0</f>
        <v>0</v>
      </c>
      <c r="O220" s="734">
        <f>0</f>
        <v>0</v>
      </c>
      <c r="P220" s="734">
        <f>0</f>
        <v>0</v>
      </c>
      <c r="Q220" s="734">
        <f>0</f>
        <v>0</v>
      </c>
      <c r="R220" s="734">
        <f>0</f>
        <v>0</v>
      </c>
      <c r="S220" s="734">
        <f>0</f>
        <v>0</v>
      </c>
      <c r="T220" s="734">
        <f>0</f>
        <v>0</v>
      </c>
      <c r="U220" s="734">
        <f>0</f>
        <v>0</v>
      </c>
      <c r="V220" s="734">
        <f>0</f>
        <v>0</v>
      </c>
      <c r="W220" s="734">
        <f>0</f>
        <v>0</v>
      </c>
      <c r="X220" s="734">
        <f>0</f>
        <v>0</v>
      </c>
      <c r="Y220" s="734">
        <f>0</f>
        <v>0</v>
      </c>
      <c r="Z220" s="734">
        <f>0</f>
        <v>0</v>
      </c>
      <c r="AA220" s="734">
        <f>0</f>
        <v>0</v>
      </c>
      <c r="AB220" s="734">
        <f>0</f>
        <v>0</v>
      </c>
      <c r="AC220" s="734">
        <f>0</f>
        <v>0</v>
      </c>
      <c r="AD220" s="734">
        <f>0</f>
        <v>0</v>
      </c>
      <c r="AE220" s="734">
        <f>0</f>
        <v>0</v>
      </c>
      <c r="AF220" s="734">
        <f>0</f>
        <v>0</v>
      </c>
      <c r="AG220" s="734">
        <f>0</f>
        <v>0</v>
      </c>
      <c r="AH220" s="734">
        <f>0</f>
        <v>0</v>
      </c>
      <c r="AI220" s="734">
        <f>0</f>
        <v>0</v>
      </c>
      <c r="AJ220" s="734">
        <f>0</f>
        <v>0</v>
      </c>
      <c r="AK220" s="734">
        <f>i_N_CB</f>
        <v>0.01</v>
      </c>
      <c r="AL220" s="734">
        <f>0</f>
        <v>0</v>
      </c>
      <c r="AM220" s="734">
        <f>0</f>
        <v>0</v>
      </c>
      <c r="AN220" s="734">
        <f>0</f>
        <v>0</v>
      </c>
      <c r="AO220" s="734">
        <f>0</f>
        <v>0</v>
      </c>
      <c r="AP220" s="734">
        <f>i_P_CB</f>
        <v>2E-3</v>
      </c>
      <c r="AQ220" s="734">
        <f>0</f>
        <v>0</v>
      </c>
      <c r="AR220" s="734">
        <f>0</f>
        <v>0</v>
      </c>
      <c r="AS220" s="734">
        <f>0</f>
        <v>0</v>
      </c>
      <c r="AT220" s="734">
        <f>0</f>
        <v>0</v>
      </c>
      <c r="AU220" s="734">
        <f>0</f>
        <v>0</v>
      </c>
      <c r="AV220" s="734">
        <f>0</f>
        <v>0</v>
      </c>
      <c r="AW220" s="734">
        <f>0</f>
        <v>0</v>
      </c>
      <c r="AX220" s="734">
        <f>0</f>
        <v>0</v>
      </c>
      <c r="AY220" s="734">
        <f>0</f>
        <v>0</v>
      </c>
      <c r="AZ220" s="734">
        <f>0</f>
        <v>0</v>
      </c>
      <c r="BA220" s="734">
        <f>0</f>
        <v>0</v>
      </c>
      <c r="BB220" s="734">
        <f>0</f>
        <v>0</v>
      </c>
      <c r="BC220" s="734">
        <f>i_S_CB-i_S_XB</f>
        <v>0</v>
      </c>
      <c r="BD220" s="734">
        <f>0</f>
        <v>0</v>
      </c>
      <c r="BE220" s="734">
        <f>0</f>
        <v>0</v>
      </c>
      <c r="BF220" s="734">
        <f>0</f>
        <v>0</v>
      </c>
      <c r="BG220" s="734">
        <f>0</f>
        <v>0</v>
      </c>
      <c r="BH220" s="734">
        <f>0</f>
        <v>0</v>
      </c>
      <c r="BI220" s="734">
        <f>0</f>
        <v>0</v>
      </c>
      <c r="BJ220" s="734">
        <f>0</f>
        <v>0</v>
      </c>
      <c r="BK220" s="734">
        <f>0</f>
        <v>0</v>
      </c>
      <c r="BL220" s="734">
        <f>0</f>
        <v>0</v>
      </c>
      <c r="BM220" s="734">
        <f>0</f>
        <v>0</v>
      </c>
      <c r="BN220" s="734">
        <f>0</f>
        <v>0</v>
      </c>
      <c r="BO220" s="734">
        <f>0</f>
        <v>0</v>
      </c>
      <c r="BP220" s="734">
        <f>0</f>
        <v>0</v>
      </c>
      <c r="BQ220" s="734">
        <f>0</f>
        <v>0</v>
      </c>
      <c r="BR220" s="734">
        <f>0</f>
        <v>0</v>
      </c>
      <c r="BS220" s="734">
        <f>0</f>
        <v>0</v>
      </c>
      <c r="BT220" s="734">
        <f>0</f>
        <v>0</v>
      </c>
      <c r="BU220" s="734">
        <f>0</f>
        <v>0</v>
      </c>
      <c r="BV220" s="901">
        <f>0</f>
        <v>0</v>
      </c>
      <c r="BW220" s="734">
        <f>0</f>
        <v>0</v>
      </c>
      <c r="BX220" s="734">
        <f>0</f>
        <v>0</v>
      </c>
      <c r="BY220" s="734">
        <f>0</f>
        <v>0</v>
      </c>
      <c r="BZ220" s="734">
        <f>0</f>
        <v>0</v>
      </c>
      <c r="CA220" s="901">
        <f>0</f>
        <v>0</v>
      </c>
      <c r="CB220" s="734">
        <f>0</f>
        <v>0</v>
      </c>
      <c r="CC220" s="734">
        <f>0</f>
        <v>0</v>
      </c>
      <c r="CD220" s="734">
        <f>0</f>
        <v>0</v>
      </c>
      <c r="CE220" s="734">
        <f>0</f>
        <v>0</v>
      </c>
      <c r="CF220" s="734">
        <f>0</f>
        <v>0</v>
      </c>
      <c r="CG220" s="734">
        <f>0</f>
        <v>0</v>
      </c>
      <c r="CH220" s="734">
        <f>0</f>
        <v>0</v>
      </c>
      <c r="CI220" s="734">
        <f>0</f>
        <v>0</v>
      </c>
      <c r="CJ220" s="734">
        <f>0</f>
        <v>0</v>
      </c>
      <c r="CK220" s="734">
        <f>0</f>
        <v>0</v>
      </c>
      <c r="CL220" s="734">
        <f>0</f>
        <v>0</v>
      </c>
      <c r="CM220" s="734">
        <f>0</f>
        <v>0</v>
      </c>
      <c r="CN220" s="734">
        <f>0</f>
        <v>0</v>
      </c>
      <c r="CO220" s="734">
        <f>0</f>
        <v>0</v>
      </c>
      <c r="CP220" s="734">
        <f>0</f>
        <v>0</v>
      </c>
      <c r="CQ220" s="734">
        <f>0</f>
        <v>0</v>
      </c>
      <c r="CR220" s="734">
        <f>0</f>
        <v>0</v>
      </c>
      <c r="CS220" s="734">
        <f>0</f>
        <v>0</v>
      </c>
      <c r="CT220" s="734">
        <f>0</f>
        <v>0</v>
      </c>
      <c r="CU220" s="734">
        <f>0</f>
        <v>0</v>
      </c>
      <c r="CV220" s="2863">
        <f>r_ateFLOC_CB_polymer</f>
        <v>0</v>
      </c>
      <c r="CX220" s="2880">
        <f>E299*E220+F299*F220+G299*G220+H299*H220+I299*I220+J299*J220+K299*K220+L299*L220+M299*M220+N299*N220+O299*O220+P299*P220+Q299*Q220+R299*R220+S299*S220+T299*T220+U299*U220+V299*V220+W299*W220+X299*X220+Y299*Y220+Z299*Z220+AA299*AA220+AB299*AB220+AC299*AC220+AD299*AD220+AE299*AE220+AF299*AF220+AG299*AG220+AH299*AH220+AI299*AI220+AJ299*AJ220+AK299*AK220+AL299*AL220+AM299*AM220+AN299*AN220+AO299*AO220+AP299*AP220+AQ299*AQ220+AR299*AR220+AS299*AS220+AT299*AT220+AU299*AU220+AV299*AV220+AW299*AW220+AX299*AX220+AY299*AY220+AZ299*AZ220+BA299*BA220+BB299*BB220+BC299*BC220+BD299*BD220+BE299*BE220+BF299*BF220+BG299*BG220+BH299*BH220+BI299*BI220+BJ299*BJ220+BK299*BK220+BL299*BL220+BM299*BM220+BN299*BN220+BO299*BO220+BP299*BP220+BQ299*BQ220+BR299*BR220+BS299*BS220+BT299*BT220+BU299*BU220+BV299*BV220+BW299*BW220+BX299*BX220+BY299*BY220+BZ299*BZ220+CA299*CA220+CB299*CB220+CC299*CC220+CD299*CD220+CE299*CE220+CF299*CF220+CG299*CG220+CH299*CH220+CI299*CI220+CJ299*CJ220+CK299*CK220+CL299*CL220+CM299*CM220+CN299*CN220+CO299*CO220+CP299*CP220+CQ299*CQ220+CR299*CR220+CS299*CS220+CT299*CT220+CU299*CU220</f>
        <v>0</v>
      </c>
      <c r="CY220" s="2880">
        <f>E300*E220+F300*F220+G300*G220+H300*H220+I300*I220+J300*J220+K300*K220+L300*L220+M300*M220+N300*N220+O300*O220+P300*P220+Q300*Q220+R300*R220+S300*S220+T300*T220+U300*U220+V300*V220+W300*W220+X300*X220+Y300*Y220+Z300*Z220+AA300*AA220+AB300*AB220+AC300*AC220+AD300*AD220+AE300*AE220+AF300*AF220+AG300*AG220+AH300*AH220+AI300*AI220+AJ300*AJ220+AK300*AK220+AL300*AL220+AM300*AM220+AN300*AN220+AO300*AO220+AP300*AP220+AQ300*AQ220+AR300*AR220+AS300*AS220+AT300*AT220+AU300*AU220+AV300*AV220+AW300*AW220+AX300*AX220+AY300*AY220+AZ300*AZ220+BA300*BA220+BB300*BB220+BC300*BC220+BD300*BD220+BE300*BE220+BF300*BF220+BG300*BG220+BH300*BH220+BI300*BI220+BJ300*BJ220+BK300*BK220+BL300*BL220+BM300*BM220+BN300*BN220+BO300*BO220+BP300*BP220+BQ300*BQ220+BR300*BR220+BS300*BS220+BT300*BT220+BU300*BU220+BV300*BV220+BW300*BW220+BX300*BX220+BY300*BY220+BZ300*BZ220+CA300*CA220+CB300*CB220+CC300*CC220+CD300*CD220+CE300*CE220+CF300*CF220+CG300*CG220+CH300*CH220+CI300*CI220+CJ300*CJ220+CK300*CK220+CL300*CL220+CM300*CM220+CN300*CN220+CO300*CO220+CP300*CP220+CQ300*CQ220+CR300*CR220+CS300*CS220+CT300*CT220+CU300*CU220</f>
        <v>0</v>
      </c>
      <c r="CZ220" s="2881">
        <f>E301*E220+F301*F220+G301*G220+H301*H220+I301*I220+J301*J220+K301*K220+L301*L220+M301*M220+N301*N220+O301*O220+P301*P220+Q301*Q220+R301*R220+S301*S220+T301*T220+U301*U220+V301*V220+W301*W220+X301*X220+Y301*Y220+Z301*Z220+AA301*AA220+AB301*AB220+AC301*AC220+AD301*AD220+AE301*AE220+AF301*AF220+AG301*AG220+AH301*AH220+AI301*AI220+AJ301*AJ220+AK301*AK220+AL301*AL220+AM301*AM220+AN301*AN220+AO301*AO220+AP301*AP220+AQ301*AQ220+AR301*AR220+AS301*AS220+AT301*AT220+AU301*AU220+AV301*AV220+AW301*AW220+AX301*AX220+AY301*AY220+AZ301*AZ220+BA301*BA220+BB301*BB220+BC301*BC220+BD301*BD220+BE301*BE220+BF301*BF220+BG301*BG220+BH301*BH220+BI301*BI220+BJ301*BJ220+BK301*BK220+BL301*BL220+BM301*BM220+BN301*BN220+BO301*BO220+BP301*BP220+BQ301*BQ220+BR301*BR220+BS301*BS220+BT301*BT220+BU301*BU220+BV301*BV220+BW301*BW220+BX301*BX220+BY301*BY220+BZ301*BZ220+CA301*CA220+CB301*CB220+CC301*CC220+CD301*CD220+CE301*CE220+CF301*CF220+CG301*CG220+CH301*CH220+CI301*CI220+CJ301*CJ220+CK301*CK220+CL301*CL220+CM301*CM220+CN301*CN220+CO301*CO220+CP301*CP220+CQ301*CQ220+CR301*CR220+CS301*CS220+CT301*CT220+CU301*CU220</f>
        <v>0</v>
      </c>
      <c r="DA220" s="2882">
        <f>E302*E220+F302*F220+G302*G220+H302*H220+I302*I220+J302*J220+K302*K220+L302*L220+M302*M220+N302*N220+O302*O220+P302*P220+Q302*Q220+R302*R220+S302*S220+T302*T220+U302*U220+V302*V220+W302*W220+X302*X220+Y302*Y220+Z302*Z220+AA302*AA220+AB302*AB220+AC302*AC220+AD302*AD220+AE302*AE220+AF302*AF220+AG302*AG220+AH302*AH220+AI302*AI220+AJ302*AJ220+AK302*AK220+AL302*AL220+AM302*AM220+AN302*AN220+AO302*AO220+AP302*AP220+AQ302*AQ220+AR302*AR220+AS302*AS220+AT302*AT220+AU302*AU220+AV302*AV220+AW302*AW220+AX302*AX220+AY302*AY220+AZ302*AZ220+BA302*BA220+BB302*BB220+BC302*BC220+BD302*BD220+BE302*BE220+BF302*BF220+BG302*BG220+BH302*BH220+BI302*BI220+BJ302*BJ220+BK302*BK220+BL302*BL220+BM302*BM220+BN302*BN220+BO302*BO220+BP302*BP220+BQ302*BQ220+BR302*BR220+BS302*BS220+BT302*BT220+BU302*BU220+BV302*BV220+BW302*BW220+BX302*BX220+BY302*BY220+BZ302*BZ220+CA302*CA220+CB302*CB220+CC302*CC220+CD302*CD220+CE302*CE220+CF302*CF220+CG302*CG220+CH302*CH220+CI302*CI220+CJ302*CJ220+CK302*CK220+CL302*CL220+CM302*CM220+CN302*CN220+CO302*CO220+CP302*CP220+CQ302*CQ220+CR302*CR220+CS302*CS220+CT302*CT220+CU302*CU220</f>
        <v>0</v>
      </c>
      <c r="DB220" s="2882">
        <f>E303*E220+F303*F220+G303*G220+H303*H220+I303*I220+J303*J220+K303*K220+L303*L220+M303*M220+N303*N220+O303*O220+P303*P220+Q303*Q220+R303*R220+S303*S220+T303*T220+U303*U220+V303*V220+W303*W220+X303*X220+Y303*Y220+Z303*Z220+AA303*AA220+AB303*AB220+AC303*AC220+AD303*AD220+AE303*AE220+AF303*AF220+AG303*AG220+AH303*AH220+AI303*AI220+AJ303*AJ220+AK303*AK220+AL303*AL220+AM303*AM220+AN303*AN220+AO303*AO220+AP303*AP220+AQ303*AQ220+AR303*AR220+AS303*AS220+AT303*AT220+AU303*AU220+AV303*AV220+AW303*AW220+AX303*AX220+AY303*AY220+AZ303*AZ220+BA303*BA220+BB303*BB220+BC303*BC220+BD303*BD220+BE303*BE220+BF303*BF220+BG303*BG220+BH303*BH220+BI303*BI220+BJ303*BJ220+BK303*BK220+BL303*BL220+BM303*BM220+BN303*BN220+BO303*BO220+BP303*BP220+BQ303*BQ220+BR303*BR220+BS303*BS220+BT303*BT220+BU303*BU220+BV303*BV220+BW303*BW220+BX303*BX220+BY303*BY220+BZ303*BZ220+CA303*CA220+CB303*CB220+CC303*CC220+CD303*CD220+CE303*CE220+CF303*CF220+CG303*CG220+CH303*CH220+CI303*CI220+CJ303*CJ220+CK303*CK220+CL303*CL220+CM303*CM220+CN303*CN220+CO303*CO220+CP303*CP220+CQ303*CQ220+CR303*CR220+CS303*CS220+CT303*CT220+CU303*CU220</f>
        <v>0</v>
      </c>
      <c r="DC220" s="2882">
        <f>E304*E220+F304*F220+G304*G220+H304*H220+I304*I220+J304*J220+K304*K220+L304*L220+M304*M220+N304*N220+O304*O220+P304*P220+Q304*Q220+R304*R220+S304*S220+T304*T220+U304*U220+V304*V220+W304*W220+X304*X220+Y304*Y220+Z304*Z220+AA304*AA220+AB304*AB220+AC304*AC220+AD304*AD220+AE304*AE220+AF304*AF220+AG304*AG220+AH304*AH220+AI304*AI220+AJ304*AJ220+AK304*AK220+AL304*AL220+AM304*AM220+AN304*AN220+AO304*AO220+AP304*AP220+AQ304*AQ220+AR304*AR220+AS304*AS220+AT304*AT220+AU304*AU220+AV304*AV220+AW304*AW220+AX304*AX220+AY304*AY220+AZ304*AZ220+BA304*BA220+BB304*BB220+BC304*BC220+BD304*BD220+BE304*BE220+BF304*BF220+BG304*BG220+BH304*BH220+BI304*BI220+BJ304*BJ220+BK304*BK220+BL304*BL220+BM304*BM220+BN304*BN220+BO304*BO220+BP304*BP220+BQ304*BQ220+BR304*BR220+BS304*BS220+BT304*BT220+BU304*BU220+BV304*BV220+BW304*BW220+BX304*BX220+BY304*BY220+BZ304*BZ220+CA304*CA220+CB304*CB220+CC304*CC220+CD304*CD220+CE304*CE220+CF304*CF220+CG304*CG220+CH304*CH220+CI304*CI220+CJ304*CJ220+CK304*CK220+CL304*CL220+CM304*CM220+CN304*CN220+CO304*CO220+CP304*CP220+CQ304*CQ220+CR304*CR220+CS304*CS220+CT304*CT220+CU304*CU220</f>
        <v>0</v>
      </c>
      <c r="DD220" s="2882">
        <f>E305*E220+F305*F220+G305*G220+H305*H220+I305*I220+J305*J220+K305*K220+L305*L220+M305*M220+N305*N220+O305*O220+P305*P220+Q305*Q220+R305*R220+S305*S220+T305*T220+U305*U220+V305*V220+W305*W220+X305*X220+Y305*Y220+Z305*Z220+AA305*AA220+AB305*AB220+AC305*AC220+AD305*AD220+AE305*AE220+AF305*AF220+AG305*AG220+AH305*AH220+AI305*AI220+AJ305*AJ220+AK305*AK220+AL305*AL220+AM305*AM220+AN305*AN220+AO305*AO220+AP305*AP220+AQ305*AQ220+AR305*AR220+AS305*AS220+AT305*AT220+AU305*AU220+AV305*AV220+AW305*AW220+AX305*AX220+AY305*AY220+AZ305*AZ220+BA305*BA220+BB305*BB220+BC305*BC220+BD305*BD220+BE305*BE220+BF305*BF220+BG305*BG220+BH305*BH220+BI305*BI220+BJ305*BJ220+BK305*BK220+BL305*BL220+BM305*BM220+BN305*BN220+BO305*BO220+BP305*BP220+BQ305*BQ220+BR305*BR220+BS305*BS220+BT305*BT220+BU305*BU220+BV305*BV220+BW305*BW220+BX305*BX220+BY305*BY220+BZ305*BZ220+CA305*CA220+CB305*CB220+CC305*CC220+CD305*CD220+CE305*CE220+CF305*CF220+CG305*CG220+CH305*CH220+CI305*CI220+CJ305*CJ220+CK305*CK220+CL305*CL220+CM305*CM220+CN305*CN220+CO305*CO220+CP305*CP220+CQ305*CQ220+CR305*CR220+CS305*CS220+CT305*CT220+CU305*CU220</f>
        <v>0</v>
      </c>
      <c r="DE220" s="2882">
        <f>E306*E220+F306*F220+G306*G220+H306*H220+I306*I220+J306*J220+K306*K220+L306*L220+M306*M220+N306*N220+O306*O220+P306*P220+Q306*Q220+R306*R220+S306*S220+T306*T220+U306*U220+V306*V220+W306*W220+X306*X220+Y306*Y220+Z306*Z220+AA306*AA220+AB306*AB220+AC306*AC220+AD306*AD220+AE306*AE220+AF306*AF220+AG306*AG220+AH306*AH220+AI306*AI220+AJ306*AJ220+AK306*AK220+AL306*AL220+AM306*AM220+AN306*AN220+AO306*AO220+AP306*AP220+AQ306*AQ220+AR306*AR220+AS306*AS220+AT306*AT220+AU306*AU220+AV306*AV220+AW306*AW220+AX306*AX220+AY306*AY220+AZ306*AZ220+BA306*BA220+BB306*BB220+BC306*BC220+BD306*BD220+BE306*BE220+BF306*BF220+BG306*BG220+BH306*BH220+BI306*BI220+BJ306*BJ220+BK306*BK220+BL306*BL220+BM306*BM220+BN306*BN220+BO306*BO220+BP306*BP220+BQ306*BQ220+BR306*BR220+BS306*BS220+BT306*BT220+BU306*BU220+BV306*BV220+BW306*BW220+BX306*BX220+BY306*BY220+BZ306*BZ220+CA306*CA220+CB306*CB220+CC306*CC220+CD306*CD220+CE306*CE220+CF306*CF220+CG306*CG220+CH306*CH220+CI306*CI220+CJ306*CJ220+CK306*CK220+CL306*CL220+CM306*CM220+CN306*CN220+CO306*CO220+CP306*CP220+CQ306*CQ220+CR306*CR220+CS306*CS220+CT306*CT220+CU306*CU220</f>
        <v>0</v>
      </c>
      <c r="DF220" s="2882">
        <f>E307*E220+F307*F220+G307*G220+H307*H220+I307*I220+J307*J220+K307*K220+L307*L220+M307*M220+N307*N220+O307*O220+P307*P220+Q307*Q220+R307*R220+S307*S220+T307*T220+U307*U220+V307*V220+W307*W220+X307*X220+Y307*Y220+Z307*Z220+AA307*AA220+AB307*AB220+AC307*AC220+AD307*AD220+AE307*AE220+AF307*AF220+AG307*AG220+AH307*AH220+AI307*AI220+AJ307*AJ220+AK307*AK220+AL307*AL220+AM307*AM220+AN307*AN220+AO307*AO220+AP307*AP220+AQ307*AQ220+AR307*AR220+AS307*AS220+AT307*AT220+AU307*AU220+AV307*AV220+AW307*AW220+AX307*AX220+AY307*AY220+AZ307*AZ220+BA307*BA220+BB307*BB220+BC307*BC220+BD307*BD220+BE307*BE220+BF307*BF220+BG307*BG220+BH307*BH220+BI307*BI220+BJ307*BJ220+BK307*BK220+BL307*BL220+BM307*BM220+BN307*BN220+BO307*BO220+BP307*BP220+BQ307*BQ220+BR307*BR220+BS307*BS220+BT307*BT220+BU307*BU220+BV307*BV220+BW307*BW220+BX307*BX220+BY307*BY220+BZ307*BZ220+CA307*CA220+CB307*CB220+CC307*CC220+CD307*CD220+CE307*CE220+CF307*CF220+CG307*CG220+CH307*CH220+CI307*CI220+CJ307*CJ220+CK307*CK220+CL307*CL220+CM307*CM220+CN307*CN220+CO307*CO220+CP307*CP220+CQ307*CQ220+CR307*CR220+CS307*CS220+CT307*CT220+CU307*CU220</f>
        <v>0</v>
      </c>
      <c r="DG220" s="2882">
        <f>E308*E220+F308*F220+G308*G220+H308*H220+I308*I220+J308*J220+K308*K220+L308*L220+M308*M220+N308*N220+O308*O220+P308*P220+Q308*Q220+R308*R220+S308*S220+T308*T220+U308*U220+V308*V220+W308*W220+X308*X220+Y308*Y220+Z308*Z220+AA308*AA220+AB308*AB220+AC308*AC220+AD308*AD220+AE308*AE220+AF308*AF220+AG308*AG220+AH308*AH220+AI308*AI220+AJ308*AJ220+AK308*AK220+AL308*AL220+AM308*AM220+AN308*AN220+AO308*AO220+AP308*AP220+AQ308*AQ220+AR308*AR220+AS308*AS220+AT308*AT220+AU308*AU220+AV308*AV220+AW308*AW220+AX308*AX220+AY308*AY220+AZ308*AZ220+BA308*BA220+BB308*BB220+BC308*BC220+BD308*BD220+BE308*BE220+BF308*BF220+BG308*BG220+BH308*BH220+BI308*BI220+BJ308*BJ220+BK308*BK220+BL308*BL220+BM308*BM220+BN308*BN220+BO308*BO220+BP308*BP220+BQ308*BQ220+BR308*BR220+BS308*BS220+BT308*BT220+BU308*BU220+BV308*BV220+BW308*BW220+BX308*BX220+BY308*BY220+BZ308*BZ220+CA308*CA220+CB308*CB220+CC308*CC220+CD308*CD220+CE308*CE220+CF308*CF220+CG308*CG220+CH308*CH220+CI308*CI220+CJ308*CJ220+CK308*CK220+CL308*CL220+CM308*CM220+CN308*CN220+CO308*CO220+CP308*CP220+CQ308*CQ220+CR308*CR220+CS308*CS220+CT308*CT220+CU308*CU220</f>
        <v>0</v>
      </c>
      <c r="DH220" s="2882">
        <f>E309*E220+F309*F220+G309*G220+H309*H220+I309*I220+J309*J220+K309*K220+L309*L220+M309*M220+N309*N220+O309*O220+P309*P220+Q309*Q220+R309*R220+S309*S220+T309*T220+U309*U220+V309*V220+W309*W220+X309*X220+Y309*Y220+Z309*Z220+AA309*AA220+AB309*AB220+AC309*AC220+AD309*AD220+AE309*AE220+AF309*AF220+AG309*AG220+AH309*AH220+AI309*AI220+AJ309*AJ220+AK309*AK220+AL309*AL220+AM309*AM220+AN309*AN220+AO309*AO220+AP309*AP220+AQ309*AQ220+AR309*AR220+AS309*AS220+AT309*AT220+AU309*AU220+AV309*AV220+AW309*AW220+AX309*AX220+AY309*AY220+AZ309*AZ220+BA309*BA220+BB309*BB220+BC309*BC220+BD309*BD220+BE309*BE220+BF309*BF220+BG309*BG220+BH309*BH220+BI309*BI220+BJ309*BJ220+BK309*BK220+BL309*BL220+BM309*BM220+BN309*BN220+BO309*BO220+BP309*BP220+BQ309*BQ220+BR309*BR220+BS309*BS220+BT309*BT220+BU309*BU220+BV309*BV220+BW309*BW220+BX309*BX220+BY309*BY220+BZ309*BZ220+CA309*CA220+CB309*CB220+CC309*CC220+CD309*CD220+CE309*CE220+CF309*CF220+CG309*CG220+CH309*CH220+CI309*CI220+CJ309*CJ220+CK309*CK220+CL309*CL220+CM309*CM220+CN309*CN220+CO309*CO220+CP309*CP220+CQ309*CQ220+CR309*CR220+CS309*CS220+CT309*CT220+CU309*CU220</f>
        <v>0</v>
      </c>
      <c r="DI220" s="2882">
        <f>E310*E220+F310*F220+G310*G220+H310*H220+I310*I220+J310*J220+K310*K220+L310*L220+M310*M220+N310*N220+O310*O220+P310*P220+Q310*Q220+R310*R220+S310*S220+T310*T220+U310*U220+V310*V220+W310*W220+X310*X220+Y310*Y220+Z310*Z220+AA310*AA220+AB310*AB220+AC310*AC220+AD310*AD220+AE310*AE220+AF310*AF220+AG310*AG220+AH310*AH220+AI310*AI220+AJ310*AJ220+AK310*AK220+AL310*AL220+AM310*AM220+AN310*AN220+AO310*AO220+AP310*AP220+AQ310*AQ220+AR310*AR220+AS310*AS220+AT310*AT220+AU310*AU220+AV310*AV220+AW310*AW220+AX310*AX220+AY310*AY220+AZ310*AZ220+BA310*BA220+BB310*BB220+BC310*BC220+BD310*BD220+BE310*BE220+BF310*BF220+BG310*BG220+BH310*BH220+BI310*BI220+BJ310*BJ220+BK310*BK220+BL310*BL220+BM310*BM220+BN310*BN220+BO310*BO220+BP310*BP220+BQ310*BQ220+BR310*BR220+BS310*BS220+BT310*BT220+BU310*BU220+BV310*BV220+BW310*BW220+BX310*BX220+BY310*BY220+BZ310*BZ220+CA310*CA220+CB310*CB220+CC310*CC220+CD310*CD220+CE310*CE220+CF310*CF220+CG310*CG220+CH310*CH220+CI310*CI220+CJ310*CJ220+CK310*CK220+CL310*CL220+CM310*CM220+CN310*CN220+CO310*CO220+CP310*CP220+CQ310*CQ220+CR310*CR220+CS310*CS220+CT310*CT220+CU310*CU220</f>
        <v>0</v>
      </c>
    </row>
    <row r="221" spans="2:113" x14ac:dyDescent="0.45">
      <c r="B221" s="788">
        <v>62</v>
      </c>
      <c r="C221" s="788" t="s">
        <v>2469</v>
      </c>
      <c r="D221" s="789" t="s">
        <v>3428</v>
      </c>
      <c r="E221" s="734">
        <f>0</f>
        <v>0</v>
      </c>
      <c r="F221" s="734">
        <f>0</f>
        <v>0</v>
      </c>
      <c r="G221" s="734">
        <f>0</f>
        <v>0</v>
      </c>
      <c r="H221" s="734">
        <f>0</f>
        <v>0</v>
      </c>
      <c r="I221" s="734">
        <f>0</f>
        <v>0</v>
      </c>
      <c r="J221" s="734">
        <f>0</f>
        <v>0</v>
      </c>
      <c r="K221" s="734">
        <f>-1</f>
        <v>-1</v>
      </c>
      <c r="L221" s="734">
        <f>1</f>
        <v>1</v>
      </c>
      <c r="M221" s="734">
        <f>0</f>
        <v>0</v>
      </c>
      <c r="N221" s="734">
        <f>0</f>
        <v>0</v>
      </c>
      <c r="O221" s="734">
        <f>0</f>
        <v>0</v>
      </c>
      <c r="P221" s="734">
        <f>0</f>
        <v>0</v>
      </c>
      <c r="Q221" s="734">
        <f>0</f>
        <v>0</v>
      </c>
      <c r="R221" s="734">
        <f>0</f>
        <v>0</v>
      </c>
      <c r="S221" s="734">
        <f>0</f>
        <v>0</v>
      </c>
      <c r="T221" s="734">
        <f>0</f>
        <v>0</v>
      </c>
      <c r="U221" s="734">
        <f>0</f>
        <v>0</v>
      </c>
      <c r="V221" s="734">
        <f>0</f>
        <v>0</v>
      </c>
      <c r="W221" s="734">
        <f>0</f>
        <v>0</v>
      </c>
      <c r="X221" s="734">
        <f>0</f>
        <v>0</v>
      </c>
      <c r="Y221" s="734">
        <f>0</f>
        <v>0</v>
      </c>
      <c r="Z221" s="734">
        <f>0</f>
        <v>0</v>
      </c>
      <c r="AA221" s="734">
        <f>0</f>
        <v>0</v>
      </c>
      <c r="AB221" s="734">
        <f>0</f>
        <v>0</v>
      </c>
      <c r="AC221" s="734">
        <f>0</f>
        <v>0</v>
      </c>
      <c r="AD221" s="734">
        <f>0</f>
        <v>0</v>
      </c>
      <c r="AE221" s="734">
        <f>0</f>
        <v>0</v>
      </c>
      <c r="AF221" s="734">
        <f>0</f>
        <v>0</v>
      </c>
      <c r="AG221" s="734">
        <f>0</f>
        <v>0</v>
      </c>
      <c r="AH221" s="734">
        <f>0</f>
        <v>0</v>
      </c>
      <c r="AI221" s="734">
        <f>0</f>
        <v>0</v>
      </c>
      <c r="AJ221" s="734">
        <f>0</f>
        <v>0</v>
      </c>
      <c r="AK221" s="734">
        <f>0</f>
        <v>0</v>
      </c>
      <c r="AL221" s="734">
        <f>i_N_CU</f>
        <v>0.01</v>
      </c>
      <c r="AM221" s="734">
        <f>0</f>
        <v>0</v>
      </c>
      <c r="AN221" s="734">
        <f>0</f>
        <v>0</v>
      </c>
      <c r="AO221" s="734">
        <f>0</f>
        <v>0</v>
      </c>
      <c r="AP221" s="734">
        <f>0</f>
        <v>0</v>
      </c>
      <c r="AQ221" s="734">
        <f>i_P_CU</f>
        <v>2E-3</v>
      </c>
      <c r="AR221" s="734">
        <f>0</f>
        <v>0</v>
      </c>
      <c r="AS221" s="734">
        <f>0</f>
        <v>0</v>
      </c>
      <c r="AT221" s="734">
        <f>0</f>
        <v>0</v>
      </c>
      <c r="AU221" s="734">
        <f>0</f>
        <v>0</v>
      </c>
      <c r="AV221" s="734">
        <f>0</f>
        <v>0</v>
      </c>
      <c r="AW221" s="734">
        <f>0</f>
        <v>0</v>
      </c>
      <c r="AX221" s="734">
        <f>0</f>
        <v>0</v>
      </c>
      <c r="AY221" s="734">
        <f>0</f>
        <v>0</v>
      </c>
      <c r="AZ221" s="734">
        <f>0</f>
        <v>0</v>
      </c>
      <c r="BA221" s="734">
        <f>0</f>
        <v>0</v>
      </c>
      <c r="BB221" s="734">
        <f>0</f>
        <v>0</v>
      </c>
      <c r="BC221" s="734">
        <f>i_S_CU-i_S_XU</f>
        <v>0</v>
      </c>
      <c r="BD221" s="734">
        <f>0</f>
        <v>0</v>
      </c>
      <c r="BE221" s="734">
        <f>0</f>
        <v>0</v>
      </c>
      <c r="BF221" s="734">
        <f>0</f>
        <v>0</v>
      </c>
      <c r="BG221" s="734">
        <f>0</f>
        <v>0</v>
      </c>
      <c r="BH221" s="734">
        <f>0</f>
        <v>0</v>
      </c>
      <c r="BI221" s="734">
        <f>0</f>
        <v>0</v>
      </c>
      <c r="BJ221" s="734">
        <f>0</f>
        <v>0</v>
      </c>
      <c r="BK221" s="734">
        <f>0</f>
        <v>0</v>
      </c>
      <c r="BL221" s="734">
        <f>0</f>
        <v>0</v>
      </c>
      <c r="BM221" s="734">
        <f>0</f>
        <v>0</v>
      </c>
      <c r="BN221" s="734">
        <f>0</f>
        <v>0</v>
      </c>
      <c r="BO221" s="734">
        <f>0</f>
        <v>0</v>
      </c>
      <c r="BP221" s="734">
        <f>0</f>
        <v>0</v>
      </c>
      <c r="BQ221" s="734">
        <f>0</f>
        <v>0</v>
      </c>
      <c r="BR221" s="734">
        <f>0</f>
        <v>0</v>
      </c>
      <c r="BS221" s="734">
        <f>0</f>
        <v>0</v>
      </c>
      <c r="BT221" s="734">
        <f>0</f>
        <v>0</v>
      </c>
      <c r="BU221" s="734">
        <f>0</f>
        <v>0</v>
      </c>
      <c r="BV221" s="901">
        <f>0</f>
        <v>0</v>
      </c>
      <c r="BW221" s="734">
        <f>0</f>
        <v>0</v>
      </c>
      <c r="BX221" s="734">
        <f>0</f>
        <v>0</v>
      </c>
      <c r="BY221" s="734">
        <f>0</f>
        <v>0</v>
      </c>
      <c r="BZ221" s="734">
        <f>0</f>
        <v>0</v>
      </c>
      <c r="CA221" s="901">
        <f>0</f>
        <v>0</v>
      </c>
      <c r="CB221" s="734">
        <f>0</f>
        <v>0</v>
      </c>
      <c r="CC221" s="734">
        <f>0</f>
        <v>0</v>
      </c>
      <c r="CD221" s="734">
        <f>0</f>
        <v>0</v>
      </c>
      <c r="CE221" s="734">
        <f>0</f>
        <v>0</v>
      </c>
      <c r="CF221" s="734">
        <f>0</f>
        <v>0</v>
      </c>
      <c r="CG221" s="734">
        <f>0</f>
        <v>0</v>
      </c>
      <c r="CH221" s="734">
        <f>0</f>
        <v>0</v>
      </c>
      <c r="CI221" s="734">
        <f>0</f>
        <v>0</v>
      </c>
      <c r="CJ221" s="734">
        <f>0</f>
        <v>0</v>
      </c>
      <c r="CK221" s="734">
        <f>0</f>
        <v>0</v>
      </c>
      <c r="CL221" s="734">
        <f>0</f>
        <v>0</v>
      </c>
      <c r="CM221" s="734">
        <f>0</f>
        <v>0</v>
      </c>
      <c r="CN221" s="734">
        <f>0</f>
        <v>0</v>
      </c>
      <c r="CO221" s="734">
        <f>0</f>
        <v>0</v>
      </c>
      <c r="CP221" s="734">
        <f>0</f>
        <v>0</v>
      </c>
      <c r="CQ221" s="734">
        <f>0</f>
        <v>0</v>
      </c>
      <c r="CR221" s="734">
        <f>0</f>
        <v>0</v>
      </c>
      <c r="CS221" s="734">
        <f>0</f>
        <v>0</v>
      </c>
      <c r="CT221" s="734">
        <f>0</f>
        <v>0</v>
      </c>
      <c r="CU221" s="734">
        <f>0</f>
        <v>0</v>
      </c>
      <c r="CV221" s="2863">
        <f>r_ateFLOC_CU_polymer</f>
        <v>0</v>
      </c>
      <c r="CX221" s="2880">
        <f>E299*E221+F299*F221+G299*G221+H299*H221+I299*I221+J299*J221+K299*K221+L299*L221+M299*M221+N299*N221+O299*O221+P299*P221+Q299*Q221+R299*R221+S299*S221+T299*T221+U299*U221+V299*V221+W299*W221+X299*X221+Y299*Y221+Z299*Z221+AA299*AA221+AB299*AB221+AC299*AC221+AD299*AD221+AE299*AE221+AF299*AF221+AG299*AG221+AH299*AH221+AI299*AI221+AJ299*AJ221+AK299*AK221+AL299*AL221+AM299*AM221+AN299*AN221+AO299*AO221+AP299*AP221+AQ299*AQ221+AR299*AR221+AS299*AS221+AT299*AT221+AU299*AU221+AV299*AV221+AW299*AW221+AX299*AX221+AY299*AY221+AZ299*AZ221+BA299*BA221+BB299*BB221+BC299*BC221+BD299*BD221+BE299*BE221+BF299*BF221+BG299*BG221+BH299*BH221+BI299*BI221+BJ299*BJ221+BK299*BK221+BL299*BL221+BM299*BM221+BN299*BN221+BO299*BO221+BP299*BP221+BQ299*BQ221+BR299*BR221+BS299*BS221+BT299*BT221+BU299*BU221+BV299*BV221+BW299*BW221+BX299*BX221+BY299*BY221+BZ299*BZ221+CA299*CA221+CB299*CB221+CC299*CC221+CD299*CD221+CE299*CE221+CF299*CF221+CG299*CG221+CH299*CH221+CI299*CI221+CJ299*CJ221+CK299*CK221+CL299*CL221+CM299*CM221+CN299*CN221+CO299*CO221+CP299*CP221+CQ299*CQ221+CR299*CR221+CS299*CS221+CT299*CT221+CU299*CU221</f>
        <v>0</v>
      </c>
      <c r="CY221" s="2880">
        <f>E300*E221+F300*F221+G300*G221+H300*H221+I300*I221+J300*J221+K300*K221+L300*L221+M300*M221+N300*N221+O300*O221+P300*P221+Q300*Q221+R300*R221+S300*S221+T300*T221+U300*U221+V300*V221+W300*W221+X300*X221+Y300*Y221+Z300*Z221+AA300*AA221+AB300*AB221+AC300*AC221+AD300*AD221+AE300*AE221+AF300*AF221+AG300*AG221+AH300*AH221+AI300*AI221+AJ300*AJ221+AK300*AK221+AL300*AL221+AM300*AM221+AN300*AN221+AO300*AO221+AP300*AP221+AQ300*AQ221+AR300*AR221+AS300*AS221+AT300*AT221+AU300*AU221+AV300*AV221+AW300*AW221+AX300*AX221+AY300*AY221+AZ300*AZ221+BA300*BA221+BB300*BB221+BC300*BC221+BD300*BD221+BE300*BE221+BF300*BF221+BG300*BG221+BH300*BH221+BI300*BI221+BJ300*BJ221+BK300*BK221+BL300*BL221+BM300*BM221+BN300*BN221+BO300*BO221+BP300*BP221+BQ300*BQ221+BR300*BR221+BS300*BS221+BT300*BT221+BU300*BU221+BV300*BV221+BW300*BW221+BX300*BX221+BY300*BY221+BZ300*BZ221+CA300*CA221+CB300*CB221+CC300*CC221+CD300*CD221+CE300*CE221+CF300*CF221+CG300*CG221+CH300*CH221+CI300*CI221+CJ300*CJ221+CK300*CK221+CL300*CL221+CM300*CM221+CN300*CN221+CO300*CO221+CP300*CP221+CQ300*CQ221+CR300*CR221+CS300*CS221+CT300*CT221+CU300*CU221</f>
        <v>0</v>
      </c>
      <c r="CZ221" s="2881">
        <f>E301*E221+F301*F221+G301*G221+H301*H221+I301*I221+J301*J221+K301*K221+L301*L221+M301*M221+N301*N221+O301*O221+P301*P221+Q301*Q221+R301*R221+S301*S221+T301*T221+U301*U221+V301*V221+W301*W221+X301*X221+Y301*Y221+Z301*Z221+AA301*AA221+AB301*AB221+AC301*AC221+AD301*AD221+AE301*AE221+AF301*AF221+AG301*AG221+AH301*AH221+AI301*AI221+AJ301*AJ221+AK301*AK221+AL301*AL221+AM301*AM221+AN301*AN221+AO301*AO221+AP301*AP221+AQ301*AQ221+AR301*AR221+AS301*AS221+AT301*AT221+AU301*AU221+AV301*AV221+AW301*AW221+AX301*AX221+AY301*AY221+AZ301*AZ221+BA301*BA221+BB301*BB221+BC301*BC221+BD301*BD221+BE301*BE221+BF301*BF221+BG301*BG221+BH301*BH221+BI301*BI221+BJ301*BJ221+BK301*BK221+BL301*BL221+BM301*BM221+BN301*BN221+BO301*BO221+BP301*BP221+BQ301*BQ221+BR301*BR221+BS301*BS221+BT301*BT221+BU301*BU221+BV301*BV221+BW301*BW221+BX301*BX221+BY301*BY221+BZ301*BZ221+CA301*CA221+CB301*CB221+CC301*CC221+CD301*CD221+CE301*CE221+CF301*CF221+CG301*CG221+CH301*CH221+CI301*CI221+CJ301*CJ221+CK301*CK221+CL301*CL221+CM301*CM221+CN301*CN221+CO301*CO221+CP301*CP221+CQ301*CQ221+CR301*CR221+CS301*CS221+CT301*CT221+CU301*CU221</f>
        <v>0</v>
      </c>
      <c r="DA221" s="2882">
        <f>E302*E221+F302*F221+G302*G221+H302*H221+I302*I221+J302*J221+K302*K221+L302*L221+M302*M221+N302*N221+O302*O221+P302*P221+Q302*Q221+R302*R221+S302*S221+T302*T221+U302*U221+V302*V221+W302*W221+X302*X221+Y302*Y221+Z302*Z221+AA302*AA221+AB302*AB221+AC302*AC221+AD302*AD221+AE302*AE221+AF302*AF221+AG302*AG221+AH302*AH221+AI302*AI221+AJ302*AJ221+AK302*AK221+AL302*AL221+AM302*AM221+AN302*AN221+AO302*AO221+AP302*AP221+AQ302*AQ221+AR302*AR221+AS302*AS221+AT302*AT221+AU302*AU221+AV302*AV221+AW302*AW221+AX302*AX221+AY302*AY221+AZ302*AZ221+BA302*BA221+BB302*BB221+BC302*BC221+BD302*BD221+BE302*BE221+BF302*BF221+BG302*BG221+BH302*BH221+BI302*BI221+BJ302*BJ221+BK302*BK221+BL302*BL221+BM302*BM221+BN302*BN221+BO302*BO221+BP302*BP221+BQ302*BQ221+BR302*BR221+BS302*BS221+BT302*BT221+BU302*BU221+BV302*BV221+BW302*BW221+BX302*BX221+BY302*BY221+BZ302*BZ221+CA302*CA221+CB302*CB221+CC302*CC221+CD302*CD221+CE302*CE221+CF302*CF221+CG302*CG221+CH302*CH221+CI302*CI221+CJ302*CJ221+CK302*CK221+CL302*CL221+CM302*CM221+CN302*CN221+CO302*CO221+CP302*CP221+CQ302*CQ221+CR302*CR221+CS302*CS221+CT302*CT221+CU302*CU221</f>
        <v>0</v>
      </c>
      <c r="DB221" s="2882">
        <f>E303*E221+F303*F221+G303*G221+H303*H221+I303*I221+J303*J221+K303*K221+L303*L221+M303*M221+N303*N221+O303*O221+P303*P221+Q303*Q221+R303*R221+S303*S221+T303*T221+U303*U221+V303*V221+W303*W221+X303*X221+Y303*Y221+Z303*Z221+AA303*AA221+AB303*AB221+AC303*AC221+AD303*AD221+AE303*AE221+AF303*AF221+AG303*AG221+AH303*AH221+AI303*AI221+AJ303*AJ221+AK303*AK221+AL303*AL221+AM303*AM221+AN303*AN221+AO303*AO221+AP303*AP221+AQ303*AQ221+AR303*AR221+AS303*AS221+AT303*AT221+AU303*AU221+AV303*AV221+AW303*AW221+AX303*AX221+AY303*AY221+AZ303*AZ221+BA303*BA221+BB303*BB221+BC303*BC221+BD303*BD221+BE303*BE221+BF303*BF221+BG303*BG221+BH303*BH221+BI303*BI221+BJ303*BJ221+BK303*BK221+BL303*BL221+BM303*BM221+BN303*BN221+BO303*BO221+BP303*BP221+BQ303*BQ221+BR303*BR221+BS303*BS221+BT303*BT221+BU303*BU221+BV303*BV221+BW303*BW221+BX303*BX221+BY303*BY221+BZ303*BZ221+CA303*CA221+CB303*CB221+CC303*CC221+CD303*CD221+CE303*CE221+CF303*CF221+CG303*CG221+CH303*CH221+CI303*CI221+CJ303*CJ221+CK303*CK221+CL303*CL221+CM303*CM221+CN303*CN221+CO303*CO221+CP303*CP221+CQ303*CQ221+CR303*CR221+CS303*CS221+CT303*CT221+CU303*CU221</f>
        <v>0</v>
      </c>
      <c r="DC221" s="2882">
        <f>E304*E221+F304*F221+G304*G221+H304*H221+I304*I221+J304*J221+K304*K221+L304*L221+M304*M221+N304*N221+O304*O221+P304*P221+Q304*Q221+R304*R221+S304*S221+T304*T221+U304*U221+V304*V221+W304*W221+X304*X221+Y304*Y221+Z304*Z221+AA304*AA221+AB304*AB221+AC304*AC221+AD304*AD221+AE304*AE221+AF304*AF221+AG304*AG221+AH304*AH221+AI304*AI221+AJ304*AJ221+AK304*AK221+AL304*AL221+AM304*AM221+AN304*AN221+AO304*AO221+AP304*AP221+AQ304*AQ221+AR304*AR221+AS304*AS221+AT304*AT221+AU304*AU221+AV304*AV221+AW304*AW221+AX304*AX221+AY304*AY221+AZ304*AZ221+BA304*BA221+BB304*BB221+BC304*BC221+BD304*BD221+BE304*BE221+BF304*BF221+BG304*BG221+BH304*BH221+BI304*BI221+BJ304*BJ221+BK304*BK221+BL304*BL221+BM304*BM221+BN304*BN221+BO304*BO221+BP304*BP221+BQ304*BQ221+BR304*BR221+BS304*BS221+BT304*BT221+BU304*BU221+BV304*BV221+BW304*BW221+BX304*BX221+BY304*BY221+BZ304*BZ221+CA304*CA221+CB304*CB221+CC304*CC221+CD304*CD221+CE304*CE221+CF304*CF221+CG304*CG221+CH304*CH221+CI304*CI221+CJ304*CJ221+CK304*CK221+CL304*CL221+CM304*CM221+CN304*CN221+CO304*CO221+CP304*CP221+CQ304*CQ221+CR304*CR221+CS304*CS221+CT304*CT221+CU304*CU221</f>
        <v>0</v>
      </c>
      <c r="DD221" s="2882">
        <f>E305*E221+F305*F221+G305*G221+H305*H221+I305*I221+J305*J221+K305*K221+L305*L221+M305*M221+N305*N221+O305*O221+P305*P221+Q305*Q221+R305*R221+S305*S221+T305*T221+U305*U221+V305*V221+W305*W221+X305*X221+Y305*Y221+Z305*Z221+AA305*AA221+AB305*AB221+AC305*AC221+AD305*AD221+AE305*AE221+AF305*AF221+AG305*AG221+AH305*AH221+AI305*AI221+AJ305*AJ221+AK305*AK221+AL305*AL221+AM305*AM221+AN305*AN221+AO305*AO221+AP305*AP221+AQ305*AQ221+AR305*AR221+AS305*AS221+AT305*AT221+AU305*AU221+AV305*AV221+AW305*AW221+AX305*AX221+AY305*AY221+AZ305*AZ221+BA305*BA221+BB305*BB221+BC305*BC221+BD305*BD221+BE305*BE221+BF305*BF221+BG305*BG221+BH305*BH221+BI305*BI221+BJ305*BJ221+BK305*BK221+BL305*BL221+BM305*BM221+BN305*BN221+BO305*BO221+BP305*BP221+BQ305*BQ221+BR305*BR221+BS305*BS221+BT305*BT221+BU305*BU221+BV305*BV221+BW305*BW221+BX305*BX221+BY305*BY221+BZ305*BZ221+CA305*CA221+CB305*CB221+CC305*CC221+CD305*CD221+CE305*CE221+CF305*CF221+CG305*CG221+CH305*CH221+CI305*CI221+CJ305*CJ221+CK305*CK221+CL305*CL221+CM305*CM221+CN305*CN221+CO305*CO221+CP305*CP221+CQ305*CQ221+CR305*CR221+CS305*CS221+CT305*CT221+CU305*CU221</f>
        <v>0</v>
      </c>
      <c r="DE221" s="2882">
        <f>E306*E221+F306*F221+G306*G221+H306*H221+I306*I221+J306*J221+K306*K221+L306*L221+M306*M221+N306*N221+O306*O221+P306*P221+Q306*Q221+R306*R221+S306*S221+T306*T221+U306*U221+V306*V221+W306*W221+X306*X221+Y306*Y221+Z306*Z221+AA306*AA221+AB306*AB221+AC306*AC221+AD306*AD221+AE306*AE221+AF306*AF221+AG306*AG221+AH306*AH221+AI306*AI221+AJ306*AJ221+AK306*AK221+AL306*AL221+AM306*AM221+AN306*AN221+AO306*AO221+AP306*AP221+AQ306*AQ221+AR306*AR221+AS306*AS221+AT306*AT221+AU306*AU221+AV306*AV221+AW306*AW221+AX306*AX221+AY306*AY221+AZ306*AZ221+BA306*BA221+BB306*BB221+BC306*BC221+BD306*BD221+BE306*BE221+BF306*BF221+BG306*BG221+BH306*BH221+BI306*BI221+BJ306*BJ221+BK306*BK221+BL306*BL221+BM306*BM221+BN306*BN221+BO306*BO221+BP306*BP221+BQ306*BQ221+BR306*BR221+BS306*BS221+BT306*BT221+BU306*BU221+BV306*BV221+BW306*BW221+BX306*BX221+BY306*BY221+BZ306*BZ221+CA306*CA221+CB306*CB221+CC306*CC221+CD306*CD221+CE306*CE221+CF306*CF221+CG306*CG221+CH306*CH221+CI306*CI221+CJ306*CJ221+CK306*CK221+CL306*CL221+CM306*CM221+CN306*CN221+CO306*CO221+CP306*CP221+CQ306*CQ221+CR306*CR221+CS306*CS221+CT306*CT221+CU306*CU221</f>
        <v>0</v>
      </c>
      <c r="DF221" s="2882">
        <f>E307*E221+F307*F221+G307*G221+H307*H221+I307*I221+J307*J221+K307*K221+L307*L221+M307*M221+N307*N221+O307*O221+P307*P221+Q307*Q221+R307*R221+S307*S221+T307*T221+U307*U221+V307*V221+W307*W221+X307*X221+Y307*Y221+Z307*Z221+AA307*AA221+AB307*AB221+AC307*AC221+AD307*AD221+AE307*AE221+AF307*AF221+AG307*AG221+AH307*AH221+AI307*AI221+AJ307*AJ221+AK307*AK221+AL307*AL221+AM307*AM221+AN307*AN221+AO307*AO221+AP307*AP221+AQ307*AQ221+AR307*AR221+AS307*AS221+AT307*AT221+AU307*AU221+AV307*AV221+AW307*AW221+AX307*AX221+AY307*AY221+AZ307*AZ221+BA307*BA221+BB307*BB221+BC307*BC221+BD307*BD221+BE307*BE221+BF307*BF221+BG307*BG221+BH307*BH221+BI307*BI221+BJ307*BJ221+BK307*BK221+BL307*BL221+BM307*BM221+BN307*BN221+BO307*BO221+BP307*BP221+BQ307*BQ221+BR307*BR221+BS307*BS221+BT307*BT221+BU307*BU221+BV307*BV221+BW307*BW221+BX307*BX221+BY307*BY221+BZ307*BZ221+CA307*CA221+CB307*CB221+CC307*CC221+CD307*CD221+CE307*CE221+CF307*CF221+CG307*CG221+CH307*CH221+CI307*CI221+CJ307*CJ221+CK307*CK221+CL307*CL221+CM307*CM221+CN307*CN221+CO307*CO221+CP307*CP221+CQ307*CQ221+CR307*CR221+CS307*CS221+CT307*CT221+CU307*CU221</f>
        <v>0</v>
      </c>
      <c r="DG221" s="2882">
        <f>E308*E221+F308*F221+G308*G221+H308*H221+I308*I221+J308*J221+K308*K221+L308*L221+M308*M221+N308*N221+O308*O221+P308*P221+Q308*Q221+R308*R221+S308*S221+T308*T221+U308*U221+V308*V221+W308*W221+X308*X221+Y308*Y221+Z308*Z221+AA308*AA221+AB308*AB221+AC308*AC221+AD308*AD221+AE308*AE221+AF308*AF221+AG308*AG221+AH308*AH221+AI308*AI221+AJ308*AJ221+AK308*AK221+AL308*AL221+AM308*AM221+AN308*AN221+AO308*AO221+AP308*AP221+AQ308*AQ221+AR308*AR221+AS308*AS221+AT308*AT221+AU308*AU221+AV308*AV221+AW308*AW221+AX308*AX221+AY308*AY221+AZ308*AZ221+BA308*BA221+BB308*BB221+BC308*BC221+BD308*BD221+BE308*BE221+BF308*BF221+BG308*BG221+BH308*BH221+BI308*BI221+BJ308*BJ221+BK308*BK221+BL308*BL221+BM308*BM221+BN308*BN221+BO308*BO221+BP308*BP221+BQ308*BQ221+BR308*BR221+BS308*BS221+BT308*BT221+BU308*BU221+BV308*BV221+BW308*BW221+BX308*BX221+BY308*BY221+BZ308*BZ221+CA308*CA221+CB308*CB221+CC308*CC221+CD308*CD221+CE308*CE221+CF308*CF221+CG308*CG221+CH308*CH221+CI308*CI221+CJ308*CJ221+CK308*CK221+CL308*CL221+CM308*CM221+CN308*CN221+CO308*CO221+CP308*CP221+CQ308*CQ221+CR308*CR221+CS308*CS221+CT308*CT221+CU308*CU221</f>
        <v>0</v>
      </c>
      <c r="DH221" s="2882">
        <f>E309*E221+F309*F221+G309*G221+H309*H221+I309*I221+J309*J221+K309*K221+L309*L221+M309*M221+N309*N221+O309*O221+P309*P221+Q309*Q221+R309*R221+S309*S221+T309*T221+U309*U221+V309*V221+W309*W221+X309*X221+Y309*Y221+Z309*Z221+AA309*AA221+AB309*AB221+AC309*AC221+AD309*AD221+AE309*AE221+AF309*AF221+AG309*AG221+AH309*AH221+AI309*AI221+AJ309*AJ221+AK309*AK221+AL309*AL221+AM309*AM221+AN309*AN221+AO309*AO221+AP309*AP221+AQ309*AQ221+AR309*AR221+AS309*AS221+AT309*AT221+AU309*AU221+AV309*AV221+AW309*AW221+AX309*AX221+AY309*AY221+AZ309*AZ221+BA309*BA221+BB309*BB221+BC309*BC221+BD309*BD221+BE309*BE221+BF309*BF221+BG309*BG221+BH309*BH221+BI309*BI221+BJ309*BJ221+BK309*BK221+BL309*BL221+BM309*BM221+BN309*BN221+BO309*BO221+BP309*BP221+BQ309*BQ221+BR309*BR221+BS309*BS221+BT309*BT221+BU309*BU221+BV309*BV221+BW309*BW221+BX309*BX221+BY309*BY221+BZ309*BZ221+CA309*CA221+CB309*CB221+CC309*CC221+CD309*CD221+CE309*CE221+CF309*CF221+CG309*CG221+CH309*CH221+CI309*CI221+CJ309*CJ221+CK309*CK221+CL309*CL221+CM309*CM221+CN309*CN221+CO309*CO221+CP309*CP221+CQ309*CQ221+CR309*CR221+CS309*CS221+CT309*CT221+CU309*CU221</f>
        <v>0</v>
      </c>
      <c r="DI221" s="2882">
        <f>E310*E221+F310*F221+G310*G221+H310*H221+I310*I221+J310*J221+K310*K221+L310*L221+M310*M221+N310*N221+O310*O221+P310*P221+Q310*Q221+R310*R221+S310*S221+T310*T221+U310*U221+V310*V221+W310*W221+X310*X221+Y310*Y221+Z310*Z221+AA310*AA221+AB310*AB221+AC310*AC221+AD310*AD221+AE310*AE221+AF310*AF221+AG310*AG221+AH310*AH221+AI310*AI221+AJ310*AJ221+AK310*AK221+AL310*AL221+AM310*AM221+AN310*AN221+AO310*AO221+AP310*AP221+AQ310*AQ221+AR310*AR221+AS310*AS221+AT310*AT221+AU310*AU221+AV310*AV221+AW310*AW221+AX310*AX221+AY310*AY221+AZ310*AZ221+BA310*BA221+BB310*BB221+BC310*BC221+BD310*BD221+BE310*BE221+BF310*BF221+BG310*BG221+BH310*BH221+BI310*BI221+BJ310*BJ221+BK310*BK221+BL310*BL221+BM310*BM221+BN310*BN221+BO310*BO221+BP310*BP221+BQ310*BQ221+BR310*BR221+BS310*BS221+BT310*BT221+BU310*BU221+BV310*BV221+BW310*BW221+BX310*BX221+BY310*BY221+BZ310*BZ221+CA310*CA221+CB310*CB221+CC310*CC221+CD310*CD221+CE310*CE221+CF310*CF221+CG310*CG221+CH310*CH221+CI310*CI221+CJ310*CJ221+CK310*CK221+CL310*CL221+CM310*CM221+CN310*CN221+CO310*CO221+CP310*CP221+CQ310*CQ221+CR310*CR221+CS310*CS221+CT310*CT221+CU310*CU221</f>
        <v>0</v>
      </c>
    </row>
    <row r="222" spans="2:113" x14ac:dyDescent="0.45">
      <c r="B222" s="788">
        <v>63</v>
      </c>
      <c r="C222" s="788" t="s">
        <v>2470</v>
      </c>
      <c r="D222" s="789" t="s">
        <v>1690</v>
      </c>
      <c r="E222" s="734">
        <f>0</f>
        <v>0</v>
      </c>
      <c r="F222" s="734">
        <f>1</f>
        <v>1</v>
      </c>
      <c r="G222" s="734">
        <f>0</f>
        <v>0</v>
      </c>
      <c r="H222" s="734">
        <f>0</f>
        <v>0</v>
      </c>
      <c r="I222" s="734">
        <f>-1</f>
        <v>-1</v>
      </c>
      <c r="J222" s="734">
        <f>0</f>
        <v>0</v>
      </c>
      <c r="K222" s="734">
        <f>0</f>
        <v>0</v>
      </c>
      <c r="L222" s="734">
        <f>0</f>
        <v>0</v>
      </c>
      <c r="M222" s="734">
        <f>0</f>
        <v>0</v>
      </c>
      <c r="N222" s="734">
        <f>0</f>
        <v>0</v>
      </c>
      <c r="O222" s="734">
        <f>0</f>
        <v>0</v>
      </c>
      <c r="P222" s="734">
        <f>0</f>
        <v>0</v>
      </c>
      <c r="Q222" s="734">
        <f>0</f>
        <v>0</v>
      </c>
      <c r="R222" s="734">
        <f>0</f>
        <v>0</v>
      </c>
      <c r="S222" s="734">
        <f>0</f>
        <v>0</v>
      </c>
      <c r="T222" s="734">
        <f>0</f>
        <v>0</v>
      </c>
      <c r="U222" s="734">
        <f>0</f>
        <v>0</v>
      </c>
      <c r="V222" s="734">
        <f>0</f>
        <v>0</v>
      </c>
      <c r="W222" s="734">
        <f>0</f>
        <v>0</v>
      </c>
      <c r="X222" s="734">
        <f>0</f>
        <v>0</v>
      </c>
      <c r="Y222" s="734">
        <f>0</f>
        <v>0</v>
      </c>
      <c r="Z222" s="734">
        <f>0</f>
        <v>0</v>
      </c>
      <c r="AA222" s="734">
        <f>0</f>
        <v>0</v>
      </c>
      <c r="AB222" s="734">
        <f>0</f>
        <v>0</v>
      </c>
      <c r="AC222" s="734">
        <f>0</f>
        <v>0</v>
      </c>
      <c r="AD222" s="734">
        <f>0</f>
        <v>0</v>
      </c>
      <c r="AE222" s="734">
        <f>0</f>
        <v>0</v>
      </c>
      <c r="AF222" s="734">
        <f>0</f>
        <v>0</v>
      </c>
      <c r="AG222" s="734">
        <f>0</f>
        <v>0</v>
      </c>
      <c r="AH222" s="734">
        <f>0</f>
        <v>0</v>
      </c>
      <c r="AI222" s="734">
        <f>0</f>
        <v>0</v>
      </c>
      <c r="AJ222" s="791">
        <f>X_N_B/X_B</f>
        <v>7.1428571428571425E-2</v>
      </c>
      <c r="AK222" s="791">
        <f>-X_N_B/X_B</f>
        <v>-7.1428571428571425E-2</v>
      </c>
      <c r="AL222" s="734">
        <f>0</f>
        <v>0</v>
      </c>
      <c r="AM222" s="734">
        <f>0</f>
        <v>0</v>
      </c>
      <c r="AN222" s="734">
        <f>0</f>
        <v>0</v>
      </c>
      <c r="AO222" s="791">
        <f>X_P_B/X_B</f>
        <v>3.5714285714285712E-2</v>
      </c>
      <c r="AP222" s="791">
        <f>-X_P_B/X_B</f>
        <v>-3.5714285714285712E-2</v>
      </c>
      <c r="AQ222" s="734">
        <f>0</f>
        <v>0</v>
      </c>
      <c r="AR222" s="734">
        <f>0</f>
        <v>0</v>
      </c>
      <c r="AS222" s="734">
        <f>0</f>
        <v>0</v>
      </c>
      <c r="AT222" s="734">
        <f>0</f>
        <v>0</v>
      </c>
      <c r="AU222" s="734">
        <f>0</f>
        <v>0</v>
      </c>
      <c r="AV222" s="734">
        <f>0</f>
        <v>0</v>
      </c>
      <c r="AW222" s="734">
        <f>0</f>
        <v>0</v>
      </c>
      <c r="AX222" s="734">
        <f>0</f>
        <v>0</v>
      </c>
      <c r="AY222" s="734">
        <f>0</f>
        <v>0</v>
      </c>
      <c r="AZ222" s="734">
        <f>0</f>
        <v>0</v>
      </c>
      <c r="BA222" s="734">
        <f>0</f>
        <v>0</v>
      </c>
      <c r="BB222" s="734">
        <f>0</f>
        <v>0</v>
      </c>
      <c r="BC222" s="734">
        <f>i_S_XB-i_S_SB</f>
        <v>0</v>
      </c>
      <c r="BD222" s="734">
        <f>0</f>
        <v>0</v>
      </c>
      <c r="BE222" s="734">
        <f>0</f>
        <v>0</v>
      </c>
      <c r="BF222" s="734">
        <f>0</f>
        <v>0</v>
      </c>
      <c r="BG222" s="734">
        <f>0</f>
        <v>0</v>
      </c>
      <c r="BH222" s="734">
        <f>0</f>
        <v>0</v>
      </c>
      <c r="BI222" s="734">
        <f>0</f>
        <v>0</v>
      </c>
      <c r="BJ222" s="734">
        <f>0</f>
        <v>0</v>
      </c>
      <c r="BK222" s="734">
        <f>0</f>
        <v>0</v>
      </c>
      <c r="BL222" s="734">
        <f>0</f>
        <v>0</v>
      </c>
      <c r="BM222" s="734">
        <f>0</f>
        <v>0</v>
      </c>
      <c r="BN222" s="734">
        <f>0</f>
        <v>0</v>
      </c>
      <c r="BO222" s="734">
        <f>0</f>
        <v>0</v>
      </c>
      <c r="BP222" s="734">
        <f>0</f>
        <v>0</v>
      </c>
      <c r="BQ222" s="734">
        <f>0</f>
        <v>0</v>
      </c>
      <c r="BR222" s="734">
        <f>0</f>
        <v>0</v>
      </c>
      <c r="BS222" s="734">
        <f>0</f>
        <v>0</v>
      </c>
      <c r="BT222" s="734">
        <f>0</f>
        <v>0</v>
      </c>
      <c r="BU222" s="734">
        <f>0</f>
        <v>0</v>
      </c>
      <c r="BV222" s="901">
        <f>0</f>
        <v>0</v>
      </c>
      <c r="BW222" s="734">
        <f>0</f>
        <v>0</v>
      </c>
      <c r="BX222" s="734">
        <f>0</f>
        <v>0</v>
      </c>
      <c r="BY222" s="734">
        <f>0</f>
        <v>0</v>
      </c>
      <c r="BZ222" s="734">
        <f>0</f>
        <v>0</v>
      </c>
      <c r="CA222" s="901">
        <f>0</f>
        <v>0</v>
      </c>
      <c r="CB222" s="734">
        <f>0</f>
        <v>0</v>
      </c>
      <c r="CC222" s="734">
        <f>0</f>
        <v>0</v>
      </c>
      <c r="CD222" s="734">
        <f>0</f>
        <v>0</v>
      </c>
      <c r="CE222" s="734">
        <f>0</f>
        <v>0</v>
      </c>
      <c r="CF222" s="734">
        <f>0</f>
        <v>0</v>
      </c>
      <c r="CG222" s="734">
        <f>0</f>
        <v>0</v>
      </c>
      <c r="CH222" s="734">
        <f>0</f>
        <v>0</v>
      </c>
      <c r="CI222" s="734">
        <f>0</f>
        <v>0</v>
      </c>
      <c r="CJ222" s="734">
        <f>0</f>
        <v>0</v>
      </c>
      <c r="CK222" s="734">
        <f>0</f>
        <v>0</v>
      </c>
      <c r="CL222" s="734">
        <f>0</f>
        <v>0</v>
      </c>
      <c r="CM222" s="734">
        <f>0</f>
        <v>0</v>
      </c>
      <c r="CN222" s="734">
        <f>0</f>
        <v>0</v>
      </c>
      <c r="CO222" s="734">
        <f>0</f>
        <v>0</v>
      </c>
      <c r="CP222" s="734">
        <f>0</f>
        <v>0</v>
      </c>
      <c r="CQ222" s="734">
        <f>0</f>
        <v>0</v>
      </c>
      <c r="CR222" s="734">
        <f>0</f>
        <v>0</v>
      </c>
      <c r="CS222" s="734">
        <f>0</f>
        <v>0</v>
      </c>
      <c r="CT222" s="734">
        <f>0</f>
        <v>0</v>
      </c>
      <c r="CU222" s="734">
        <f>0</f>
        <v>0</v>
      </c>
      <c r="CV222" s="2863">
        <f>q_HYD_T*X_BIO*M_RsatXB_XBIO_KHYD*(M_satSO2_KO2_OHO+η_HYD_anox*(M_satSNO2_KNO2_OHO+M_satSNO3_KNO3_OHO*M_inhSNO2_KNO2_OHO)*M_inhSO2_KO2_OHO+η_HYD_ana*M_inhSNO3_KNO3_OHO*M_inhSNO2_KNO2_OHO*M_inhSO2_KO2_OHO)</f>
        <v>441.01697764587033</v>
      </c>
      <c r="CX222" s="2880">
        <f>E299*E222+F299*F222+G299*G222+H299*H222+I299*I222+J299*J222+K299*K222+L299*L222+M299*M222+N299*N222+O299*O222+P299*P222+Q299*Q222+R299*R222+S299*S222+T299*T222+U299*U222+V299*V222+W299*W222+X299*X222+Y299*Y222+Z299*Z222+AA299*AA222+AB299*AB222+AC299*AC222+AD299*AD222+AE299*AE222+AF299*AF222+AG299*AG222+AH299*AH222+AI299*AI222+AJ299*AJ222+AK299*AK222+AL299*AL222+AM299*AM222+AN299*AN222+AO299*AO222+AP299*AP222+AQ299*AQ222+AR299*AR222+AS299*AS222+AT299*AT222+AU299*AU222+AV299*AV222+AW299*AW222+AX299*AX222+AY299*AY222+AZ299*AZ222+BA299*BA222+BB299*BB222+BC299*BC222+BD299*BD222+BE299*BE222+BF299*BF222+BG299*BG222+BH299*BH222+BI299*BI222+BJ299*BJ222+BK299*BK222+BL299*BL222+BM299*BM222+BN299*BN222+BO299*BO222+BP299*BP222+BQ299*BQ222+BR299*BR222+BS299*BS222+BT299*BT222+BU299*BU222+BV299*BV222+BW299*BW222+BX299*BX222+BY299*BY222+BZ299*BZ222+CA299*CA222+CB299*CB222+CC299*CC222+CD299*CD222+CE299*CE222+CF299*CF222+CG299*CG222+CH299*CH222+CI299*CI222+CJ299*CJ222+CK299*CK222+CL299*CL222+CM299*CM222+CN299*CN222+CO299*CO222+CP299*CP222+CQ299*CQ222+CR299*CR222+CS299*CS222+CT299*CT222+CU299*CU222</f>
        <v>0</v>
      </c>
      <c r="CY222" s="2880">
        <f>E300*E222+F300*F222+G300*G222+H300*H222+I300*I222+J300*J222+K300*K222+L300*L222+M300*M222+N300*N222+O300*O222+P300*P222+Q300*Q222+R300*R222+S300*S222+T300*T222+U300*U222+V300*V222+W300*W222+X300*X222+Y300*Y222+Z300*Z222+AA300*AA222+AB300*AB222+AC300*AC222+AD300*AD222+AE300*AE222+AF300*AF222+AG300*AG222+AH300*AH222+AI300*AI222+AJ300*AJ222+AK300*AK222+AL300*AL222+AM300*AM222+AN300*AN222+AO300*AO222+AP300*AP222+AQ300*AQ222+AR300*AR222+AS300*AS222+AT300*AT222+AU300*AU222+AV300*AV222+AW300*AW222+AX300*AX222+AY300*AY222+AZ300*AZ222+BA300*BA222+BB300*BB222+BC300*BC222+BD300*BD222+BE300*BE222+BF300*BF222+BG300*BG222+BH300*BH222+BI300*BI222+BJ300*BJ222+BK300*BK222+BL300*BL222+BM300*BM222+BN300*BN222+BO300*BO222+BP300*BP222+BQ300*BQ222+BR300*BR222+BS300*BS222+BT300*BT222+BU300*BU222+BV300*BV222+BW300*BW222+BX300*BX222+BY300*BY222+BZ300*BZ222+CA300*CA222+CB300*CB222+CC300*CC222+CD300*CD222+CE300*CE222+CF300*CF222+CG300*CG222+CH300*CH222+CI300*CI222+CJ300*CJ222+CK300*CK222+CL300*CL222+CM300*CM222+CN300*CN222+CO300*CO222+CP300*CP222+CQ300*CQ222+CR300*CR222+CS300*CS222+CT300*CT222+CU300*CU222</f>
        <v>0</v>
      </c>
      <c r="CZ222" s="2881">
        <f>E301*E222+F301*F222+G301*G222+H301*H222+I301*I222+J301*J222+K301*K222+L301*L222+M301*M222+N301*N222+O301*O222+P301*P222+Q301*Q222+R301*R222+S301*S222+T301*T222+U301*U222+V301*V222+W301*W222+X301*X222+Y301*Y222+Z301*Z222+AA301*AA222+AB301*AB222+AC301*AC222+AD301*AD222+AE301*AE222+AF301*AF222+AG301*AG222+AH301*AH222+AI301*AI222+AJ301*AJ222+AK301*AK222+AL301*AL222+AM301*AM222+AN301*AN222+AO301*AO222+AP301*AP222+AQ301*AQ222+AR301*AR222+AS301*AS222+AT301*AT222+AU301*AU222+AV301*AV222+AW301*AW222+AX301*AX222+AY301*AY222+AZ301*AZ222+BA301*BA222+BB301*BB222+BC301*BC222+BD301*BD222+BE301*BE222+BF301*BF222+BG301*BG222+BH301*BH222+BI301*BI222+BJ301*BJ222+BK301*BK222+BL301*BL222+BM301*BM222+BN301*BN222+BO301*BO222+BP301*BP222+BQ301*BQ222+BR301*BR222+BS301*BS222+BT301*BT222+BU301*BU222+BV301*BV222+BW301*BW222+BX301*BX222+BY301*BY222+BZ301*BZ222+CA301*CA222+CB301*CB222+CC301*CC222+CD301*CD222+CE301*CE222+CF301*CF222+CG301*CG222+CH301*CH222+CI301*CI222+CJ301*CJ222+CK301*CK222+CL301*CL222+CM301*CM222+CN301*CN222+CO301*CO222+CP301*CP222+CQ301*CQ222+CR301*CR222+CS301*CS222+CT301*CT222+CU301*CU222</f>
        <v>0</v>
      </c>
      <c r="DA222" s="2882">
        <f>E302*E222+F302*F222+G302*G222+H302*H222+I302*I222+J302*J222+K302*K222+L302*L222+M302*M222+N302*N222+O302*O222+P302*P222+Q302*Q222+R302*R222+S302*S222+T302*T222+U302*U222+V302*V222+W302*W222+X302*X222+Y302*Y222+Z302*Z222+AA302*AA222+AB302*AB222+AC302*AC222+AD302*AD222+AE302*AE222+AF302*AF222+AG302*AG222+AH302*AH222+AI302*AI222+AJ302*AJ222+AK302*AK222+AL302*AL222+AM302*AM222+AN302*AN222+AO302*AO222+AP302*AP222+AQ302*AQ222+AR302*AR222+AS302*AS222+AT302*AT222+AU302*AU222+AV302*AV222+AW302*AW222+AX302*AX222+AY302*AY222+AZ302*AZ222+BA302*BA222+BB302*BB222+BC302*BC222+BD302*BD222+BE302*BE222+BF302*BF222+BG302*BG222+BH302*BH222+BI302*BI222+BJ302*BJ222+BK302*BK222+BL302*BL222+BM302*BM222+BN302*BN222+BO302*BO222+BP302*BP222+BQ302*BQ222+BR302*BR222+BS302*BS222+BT302*BT222+BU302*BU222+BV302*BV222+BW302*BW222+BX302*BX222+BY302*BY222+BZ302*BZ222+CA302*CA222+CB302*CB222+CC302*CC222+CD302*CD222+CE302*CE222+CF302*CF222+CG302*CG222+CH302*CH222+CI302*CI222+CJ302*CJ222+CK302*CK222+CL302*CL222+CM302*CM222+CN302*CN222+CO302*CO222+CP302*CP222+CQ302*CQ222+CR302*CR222+CS302*CS222+CT302*CT222+CU302*CU222</f>
        <v>0</v>
      </c>
      <c r="DB222" s="2882">
        <f>E303*E222+F303*F222+G303*G222+H303*H222+I303*I222+J303*J222+K303*K222+L303*L222+M303*M222+N303*N222+O303*O222+P303*P222+Q303*Q222+R303*R222+S303*S222+T303*T222+U303*U222+V303*V222+W303*W222+X303*X222+Y303*Y222+Z303*Z222+AA303*AA222+AB303*AB222+AC303*AC222+AD303*AD222+AE303*AE222+AF303*AF222+AG303*AG222+AH303*AH222+AI303*AI222+AJ303*AJ222+AK303*AK222+AL303*AL222+AM303*AM222+AN303*AN222+AO303*AO222+AP303*AP222+AQ303*AQ222+AR303*AR222+AS303*AS222+AT303*AT222+AU303*AU222+AV303*AV222+AW303*AW222+AX303*AX222+AY303*AY222+AZ303*AZ222+BA303*BA222+BB303*BB222+BC303*BC222+BD303*BD222+BE303*BE222+BF303*BF222+BG303*BG222+BH303*BH222+BI303*BI222+BJ303*BJ222+BK303*BK222+BL303*BL222+BM303*BM222+BN303*BN222+BO303*BO222+BP303*BP222+BQ303*BQ222+BR303*BR222+BS303*BS222+BT303*BT222+BU303*BU222+BV303*BV222+BW303*BW222+BX303*BX222+BY303*BY222+BZ303*BZ222+CA303*CA222+CB303*CB222+CC303*CC222+CD303*CD222+CE303*CE222+CF303*CF222+CG303*CG222+CH303*CH222+CI303*CI222+CJ303*CJ222+CK303*CK222+CL303*CL222+CM303*CM222+CN303*CN222+CO303*CO222+CP303*CP222+CQ303*CQ222+CR303*CR222+CS303*CS222+CT303*CT222+CU303*CU222</f>
        <v>0</v>
      </c>
      <c r="DC222" s="2882">
        <f>E304*E222+F304*F222+G304*G222+H304*H222+I304*I222+J304*J222+K304*K222+L304*L222+M304*M222+N304*N222+O304*O222+P304*P222+Q304*Q222+R304*R222+S304*S222+T304*T222+U304*U222+V304*V222+W304*W222+X304*X222+Y304*Y222+Z304*Z222+AA304*AA222+AB304*AB222+AC304*AC222+AD304*AD222+AE304*AE222+AF304*AF222+AG304*AG222+AH304*AH222+AI304*AI222+AJ304*AJ222+AK304*AK222+AL304*AL222+AM304*AM222+AN304*AN222+AO304*AO222+AP304*AP222+AQ304*AQ222+AR304*AR222+AS304*AS222+AT304*AT222+AU304*AU222+AV304*AV222+AW304*AW222+AX304*AX222+AY304*AY222+AZ304*AZ222+BA304*BA222+BB304*BB222+BC304*BC222+BD304*BD222+BE304*BE222+BF304*BF222+BG304*BG222+BH304*BH222+BI304*BI222+BJ304*BJ222+BK304*BK222+BL304*BL222+BM304*BM222+BN304*BN222+BO304*BO222+BP304*BP222+BQ304*BQ222+BR304*BR222+BS304*BS222+BT304*BT222+BU304*BU222+BV304*BV222+BW304*BW222+BX304*BX222+BY304*BY222+BZ304*BZ222+CA304*CA222+CB304*CB222+CC304*CC222+CD304*CD222+CE304*CE222+CF304*CF222+CG304*CG222+CH304*CH222+CI304*CI222+CJ304*CJ222+CK304*CK222+CL304*CL222+CM304*CM222+CN304*CN222+CO304*CO222+CP304*CP222+CQ304*CQ222+CR304*CR222+CS304*CS222+CT304*CT222+CU304*CU222</f>
        <v>0</v>
      </c>
      <c r="DD222" s="2882">
        <f>E305*E222+F305*F222+G305*G222+H305*H222+I305*I222+J305*J222+K305*K222+L305*L222+M305*M222+N305*N222+O305*O222+P305*P222+Q305*Q222+R305*R222+S305*S222+T305*T222+U305*U222+V305*V222+W305*W222+X305*X222+Y305*Y222+Z305*Z222+AA305*AA222+AB305*AB222+AC305*AC222+AD305*AD222+AE305*AE222+AF305*AF222+AG305*AG222+AH305*AH222+AI305*AI222+AJ305*AJ222+AK305*AK222+AL305*AL222+AM305*AM222+AN305*AN222+AO305*AO222+AP305*AP222+AQ305*AQ222+AR305*AR222+AS305*AS222+AT305*AT222+AU305*AU222+AV305*AV222+AW305*AW222+AX305*AX222+AY305*AY222+AZ305*AZ222+BA305*BA222+BB305*BB222+BC305*BC222+BD305*BD222+BE305*BE222+BF305*BF222+BG305*BG222+BH305*BH222+BI305*BI222+BJ305*BJ222+BK305*BK222+BL305*BL222+BM305*BM222+BN305*BN222+BO305*BO222+BP305*BP222+BQ305*BQ222+BR305*BR222+BS305*BS222+BT305*BT222+BU305*BU222+BV305*BV222+BW305*BW222+BX305*BX222+BY305*BY222+BZ305*BZ222+CA305*CA222+CB305*CB222+CC305*CC222+CD305*CD222+CE305*CE222+CF305*CF222+CG305*CG222+CH305*CH222+CI305*CI222+CJ305*CJ222+CK305*CK222+CL305*CL222+CM305*CM222+CN305*CN222+CO305*CO222+CP305*CP222+CQ305*CQ222+CR305*CR222+CS305*CS222+CT305*CT222+CU305*CU222</f>
        <v>0</v>
      </c>
      <c r="DE222" s="2882">
        <f>E306*E222+F306*F222+G306*G222+H306*H222+I306*I222+J306*J222+K306*K222+L306*L222+M306*M222+N306*N222+O306*O222+P306*P222+Q306*Q222+R306*R222+S306*S222+T306*T222+U306*U222+V306*V222+W306*W222+X306*X222+Y306*Y222+Z306*Z222+AA306*AA222+AB306*AB222+AC306*AC222+AD306*AD222+AE306*AE222+AF306*AF222+AG306*AG222+AH306*AH222+AI306*AI222+AJ306*AJ222+AK306*AK222+AL306*AL222+AM306*AM222+AN306*AN222+AO306*AO222+AP306*AP222+AQ306*AQ222+AR306*AR222+AS306*AS222+AT306*AT222+AU306*AU222+AV306*AV222+AW306*AW222+AX306*AX222+AY306*AY222+AZ306*AZ222+BA306*BA222+BB306*BB222+BC306*BC222+BD306*BD222+BE306*BE222+BF306*BF222+BG306*BG222+BH306*BH222+BI306*BI222+BJ306*BJ222+BK306*BK222+BL306*BL222+BM306*BM222+BN306*BN222+BO306*BO222+BP306*BP222+BQ306*BQ222+BR306*BR222+BS306*BS222+BT306*BT222+BU306*BU222+BV306*BV222+BW306*BW222+BX306*BX222+BY306*BY222+BZ306*BZ222+CA306*CA222+CB306*CB222+CC306*CC222+CD306*CD222+CE306*CE222+CF306*CF222+CG306*CG222+CH306*CH222+CI306*CI222+CJ306*CJ222+CK306*CK222+CL306*CL222+CM306*CM222+CN306*CN222+CO306*CO222+CP306*CP222+CQ306*CQ222+CR306*CR222+CS306*CS222+CT306*CT222+CU306*CU222</f>
        <v>0</v>
      </c>
      <c r="DF222" s="2882">
        <f>E307*E222+F307*F222+G307*G222+H307*H222+I307*I222+J307*J222+K307*K222+L307*L222+M307*M222+N307*N222+O307*O222+P307*P222+Q307*Q222+R307*R222+S307*S222+T307*T222+U307*U222+V307*V222+W307*W222+X307*X222+Y307*Y222+Z307*Z222+AA307*AA222+AB307*AB222+AC307*AC222+AD307*AD222+AE307*AE222+AF307*AF222+AG307*AG222+AH307*AH222+AI307*AI222+AJ307*AJ222+AK307*AK222+AL307*AL222+AM307*AM222+AN307*AN222+AO307*AO222+AP307*AP222+AQ307*AQ222+AR307*AR222+AS307*AS222+AT307*AT222+AU307*AU222+AV307*AV222+AW307*AW222+AX307*AX222+AY307*AY222+AZ307*AZ222+BA307*BA222+BB307*BB222+BC307*BC222+BD307*BD222+BE307*BE222+BF307*BF222+BG307*BG222+BH307*BH222+BI307*BI222+BJ307*BJ222+BK307*BK222+BL307*BL222+BM307*BM222+BN307*BN222+BO307*BO222+BP307*BP222+BQ307*BQ222+BR307*BR222+BS307*BS222+BT307*BT222+BU307*BU222+BV307*BV222+BW307*BW222+BX307*BX222+BY307*BY222+BZ307*BZ222+CA307*CA222+CB307*CB222+CC307*CC222+CD307*CD222+CE307*CE222+CF307*CF222+CG307*CG222+CH307*CH222+CI307*CI222+CJ307*CJ222+CK307*CK222+CL307*CL222+CM307*CM222+CN307*CN222+CO307*CO222+CP307*CP222+CQ307*CQ222+CR307*CR222+CS307*CS222+CT307*CT222+CU307*CU222</f>
        <v>0</v>
      </c>
      <c r="DG222" s="2882">
        <f>E308*E222+F308*F222+G308*G222+H308*H222+I308*I222+J308*J222+K308*K222+L308*L222+M308*M222+N308*N222+O308*O222+P308*P222+Q308*Q222+R308*R222+S308*S222+T308*T222+U308*U222+V308*V222+W308*W222+X308*X222+Y308*Y222+Z308*Z222+AA308*AA222+AB308*AB222+AC308*AC222+AD308*AD222+AE308*AE222+AF308*AF222+AG308*AG222+AH308*AH222+AI308*AI222+AJ308*AJ222+AK308*AK222+AL308*AL222+AM308*AM222+AN308*AN222+AO308*AO222+AP308*AP222+AQ308*AQ222+AR308*AR222+AS308*AS222+AT308*AT222+AU308*AU222+AV308*AV222+AW308*AW222+AX308*AX222+AY308*AY222+AZ308*AZ222+BA308*BA222+BB308*BB222+BC308*BC222+BD308*BD222+BE308*BE222+BF308*BF222+BG308*BG222+BH308*BH222+BI308*BI222+BJ308*BJ222+BK308*BK222+BL308*BL222+BM308*BM222+BN308*BN222+BO308*BO222+BP308*BP222+BQ308*BQ222+BR308*BR222+BS308*BS222+BT308*BT222+BU308*BU222+BV308*BV222+BW308*BW222+BX308*BX222+BY308*BY222+BZ308*BZ222+CA308*CA222+CB308*CB222+CC308*CC222+CD308*CD222+CE308*CE222+CF308*CF222+CG308*CG222+CH308*CH222+CI308*CI222+CJ308*CJ222+CK308*CK222+CL308*CL222+CM308*CM222+CN308*CN222+CO308*CO222+CP308*CP222+CQ308*CQ222+CR308*CR222+CS308*CS222+CT308*CT222+CU308*CU222</f>
        <v>0</v>
      </c>
      <c r="DH222" s="2882">
        <f>E309*E222+F309*F222+G309*G222+H309*H222+I309*I222+J309*J222+K309*K222+L309*L222+M309*M222+N309*N222+O309*O222+P309*P222+Q309*Q222+R309*R222+S309*S222+T309*T222+U309*U222+V309*V222+W309*W222+X309*X222+Y309*Y222+Z309*Z222+AA309*AA222+AB309*AB222+AC309*AC222+AD309*AD222+AE309*AE222+AF309*AF222+AG309*AG222+AH309*AH222+AI309*AI222+AJ309*AJ222+AK309*AK222+AL309*AL222+AM309*AM222+AN309*AN222+AO309*AO222+AP309*AP222+AQ309*AQ222+AR309*AR222+AS309*AS222+AT309*AT222+AU309*AU222+AV309*AV222+AW309*AW222+AX309*AX222+AY309*AY222+AZ309*AZ222+BA309*BA222+BB309*BB222+BC309*BC222+BD309*BD222+BE309*BE222+BF309*BF222+BG309*BG222+BH309*BH222+BI309*BI222+BJ309*BJ222+BK309*BK222+BL309*BL222+BM309*BM222+BN309*BN222+BO309*BO222+BP309*BP222+BQ309*BQ222+BR309*BR222+BS309*BS222+BT309*BT222+BU309*BU222+BV309*BV222+BW309*BW222+BX309*BX222+BY309*BY222+BZ309*BZ222+CA309*CA222+CB309*CB222+CC309*CC222+CD309*CD222+CE309*CE222+CF309*CF222+CG309*CG222+CH309*CH222+CI309*CI222+CJ309*CJ222+CK309*CK222+CL309*CL222+CM309*CM222+CN309*CN222+CO309*CO222+CP309*CP222+CQ309*CQ222+CR309*CR222+CS309*CS222+CT309*CT222+CU309*CU222</f>
        <v>0</v>
      </c>
      <c r="DI222" s="2882">
        <f>E310*E222+F310*F222+G310*G222+H310*H222+I310*I222+J310*J222+K310*K222+L310*L222+M310*M222+N310*N222+O310*O222+P310*P222+Q310*Q222+R310*R222+S310*S222+T310*T222+U310*U222+V310*V222+W310*W222+X310*X222+Y310*Y222+Z310*Z222+AA310*AA222+AB310*AB222+AC310*AC222+AD310*AD222+AE310*AE222+AF310*AF222+AG310*AG222+AH310*AH222+AI310*AI222+AJ310*AJ222+AK310*AK222+AL310*AL222+AM310*AM222+AN310*AN222+AO310*AO222+AP310*AP222+AQ310*AQ222+AR310*AR222+AS310*AS222+AT310*AT222+AU310*AU222+AV310*AV222+AW310*AW222+AX310*AX222+AY310*AY222+AZ310*AZ222+BA310*BA222+BB310*BB222+BC310*BC222+BD310*BD222+BE310*BE222+BF310*BF222+BG310*BG222+BH310*BH222+BI310*BI222+BJ310*BJ222+BK310*BK222+BL310*BL222+BM310*BM222+BN310*BN222+BO310*BO222+BP310*BP222+BQ310*BQ222+BR310*BR222+BS310*BS222+BT310*BT222+BU310*BU222+BV310*BV222+BW310*BW222+BX310*BX222+BY310*BY222+BZ310*BZ222+CA310*CA222+CB310*CB222+CC310*CC222+CD310*CD222+CE310*CE222+CF310*CF222+CG310*CG222+CH310*CH222+CI310*CI222+CJ310*CJ222+CK310*CK222+CL310*CL222+CM310*CM222+CN310*CN222+CO310*CO222+CP310*CP222+CQ310*CQ222+CR310*CR222+CS310*CS222+CT310*CT222+CU310*CU222</f>
        <v>0</v>
      </c>
    </row>
    <row r="223" spans="2:113" x14ac:dyDescent="0.45">
      <c r="B223" s="788">
        <v>64</v>
      </c>
      <c r="C223" s="788" t="s">
        <v>2471</v>
      </c>
      <c r="D223" s="789" t="s">
        <v>1695</v>
      </c>
      <c r="E223" s="734">
        <f>0</f>
        <v>0</v>
      </c>
      <c r="F223" s="734">
        <f>0</f>
        <v>0</v>
      </c>
      <c r="G223" s="734">
        <f>0</f>
        <v>0</v>
      </c>
      <c r="H223" s="734">
        <f>0</f>
        <v>0</v>
      </c>
      <c r="I223" s="734">
        <f>0</f>
        <v>0</v>
      </c>
      <c r="J223" s="734">
        <f>0</f>
        <v>0</v>
      </c>
      <c r="K223" s="734">
        <f>0</f>
        <v>0</v>
      </c>
      <c r="L223" s="734">
        <f>0</f>
        <v>0</v>
      </c>
      <c r="M223" s="734">
        <f>0</f>
        <v>0</v>
      </c>
      <c r="N223" s="734">
        <f>0</f>
        <v>0</v>
      </c>
      <c r="O223" s="734">
        <f>0</f>
        <v>0</v>
      </c>
      <c r="P223" s="734">
        <f>0</f>
        <v>0</v>
      </c>
      <c r="Q223" s="734">
        <f>0</f>
        <v>0</v>
      </c>
      <c r="R223" s="734">
        <f>0</f>
        <v>0</v>
      </c>
      <c r="S223" s="734">
        <f>0</f>
        <v>0</v>
      </c>
      <c r="T223" s="734">
        <f>0</f>
        <v>0</v>
      </c>
      <c r="U223" s="734">
        <f>0</f>
        <v>0</v>
      </c>
      <c r="V223" s="734">
        <f>0</f>
        <v>0</v>
      </c>
      <c r="W223" s="734">
        <f>0</f>
        <v>0</v>
      </c>
      <c r="X223" s="734">
        <f>0</f>
        <v>0</v>
      </c>
      <c r="Y223" s="734">
        <f>0</f>
        <v>0</v>
      </c>
      <c r="Z223" s="734">
        <f>0</f>
        <v>0</v>
      </c>
      <c r="AA223" s="734">
        <f>0</f>
        <v>0</v>
      </c>
      <c r="AB223" s="734">
        <f>1</f>
        <v>1</v>
      </c>
      <c r="AC223" s="734">
        <f>0</f>
        <v>0</v>
      </c>
      <c r="AD223" s="734">
        <f>0</f>
        <v>0</v>
      </c>
      <c r="AE223" s="734">
        <f>0</f>
        <v>0</v>
      </c>
      <c r="AF223" s="734">
        <f>0</f>
        <v>0</v>
      </c>
      <c r="AG223" s="734">
        <f>0</f>
        <v>0</v>
      </c>
      <c r="AH223" s="734">
        <f>0</f>
        <v>0</v>
      </c>
      <c r="AI223" s="734">
        <f>0</f>
        <v>0</v>
      </c>
      <c r="AJ223" s="734">
        <f>-1</f>
        <v>-1</v>
      </c>
      <c r="AK223" s="734">
        <f>0</f>
        <v>0</v>
      </c>
      <c r="AL223" s="734">
        <f>0</f>
        <v>0</v>
      </c>
      <c r="AM223" s="734">
        <f>0</f>
        <v>0</v>
      </c>
      <c r="AN223" s="734">
        <f>0</f>
        <v>0</v>
      </c>
      <c r="AO223" s="734">
        <f>0</f>
        <v>0</v>
      </c>
      <c r="AP223" s="734">
        <f>0</f>
        <v>0</v>
      </c>
      <c r="AQ223" s="734">
        <f>0</f>
        <v>0</v>
      </c>
      <c r="AR223" s="734">
        <f>0</f>
        <v>0</v>
      </c>
      <c r="AS223" s="734">
        <f>0</f>
        <v>0</v>
      </c>
      <c r="AT223" s="734">
        <f>0</f>
        <v>0</v>
      </c>
      <c r="AU223" s="734">
        <f>0</f>
        <v>0</v>
      </c>
      <c r="AV223" s="734">
        <f>0</f>
        <v>0</v>
      </c>
      <c r="AW223" s="734">
        <f>0</f>
        <v>0</v>
      </c>
      <c r="AX223" s="734">
        <f>0</f>
        <v>0</v>
      </c>
      <c r="AY223" s="734">
        <f>0</f>
        <v>0</v>
      </c>
      <c r="AZ223" s="734">
        <f>0</f>
        <v>0</v>
      </c>
      <c r="BA223" s="734">
        <f>0</f>
        <v>0</v>
      </c>
      <c r="BB223" s="734">
        <f>0</f>
        <v>0</v>
      </c>
      <c r="BC223" s="734">
        <f>0</f>
        <v>0</v>
      </c>
      <c r="BD223" s="734">
        <f>0</f>
        <v>0</v>
      </c>
      <c r="BE223" s="734">
        <f>0</f>
        <v>0</v>
      </c>
      <c r="BF223" s="734">
        <f>0</f>
        <v>0</v>
      </c>
      <c r="BG223" s="734">
        <f>0</f>
        <v>0</v>
      </c>
      <c r="BH223" s="734">
        <f>0</f>
        <v>0</v>
      </c>
      <c r="BI223" s="734">
        <f>0</f>
        <v>0</v>
      </c>
      <c r="BJ223" s="734">
        <f>0</f>
        <v>0</v>
      </c>
      <c r="BK223" s="734">
        <f>0</f>
        <v>0</v>
      </c>
      <c r="BL223" s="734">
        <f>0</f>
        <v>0</v>
      </c>
      <c r="BM223" s="734">
        <f>0</f>
        <v>0</v>
      </c>
      <c r="BN223" s="734">
        <f>0</f>
        <v>0</v>
      </c>
      <c r="BO223" s="734">
        <f>0</f>
        <v>0</v>
      </c>
      <c r="BP223" s="734">
        <f>0</f>
        <v>0</v>
      </c>
      <c r="BQ223" s="734">
        <f>0</f>
        <v>0</v>
      </c>
      <c r="BR223" s="734">
        <f>0</f>
        <v>0</v>
      </c>
      <c r="BS223" s="734">
        <f>0</f>
        <v>0</v>
      </c>
      <c r="BT223" s="734">
        <f>0</f>
        <v>0</v>
      </c>
      <c r="BU223" s="734">
        <f>0</f>
        <v>0</v>
      </c>
      <c r="BV223" s="901">
        <f>0</f>
        <v>0</v>
      </c>
      <c r="BW223" s="734">
        <f>0</f>
        <v>0</v>
      </c>
      <c r="BX223" s="734">
        <f>0</f>
        <v>0</v>
      </c>
      <c r="BY223" s="734">
        <f>0</f>
        <v>0</v>
      </c>
      <c r="BZ223" s="734">
        <f>0</f>
        <v>0</v>
      </c>
      <c r="CA223" s="901">
        <f>0</f>
        <v>0</v>
      </c>
      <c r="CB223" s="734">
        <f>0</f>
        <v>0</v>
      </c>
      <c r="CC223" s="734">
        <f>0</f>
        <v>0</v>
      </c>
      <c r="CD223" s="734">
        <f>0</f>
        <v>0</v>
      </c>
      <c r="CE223" s="734">
        <f>0</f>
        <v>0</v>
      </c>
      <c r="CF223" s="734">
        <f>0</f>
        <v>0</v>
      </c>
      <c r="CG223" s="734">
        <f>0</f>
        <v>0</v>
      </c>
      <c r="CH223" s="734">
        <f>0</f>
        <v>0</v>
      </c>
      <c r="CI223" s="734">
        <f>0</f>
        <v>0</v>
      </c>
      <c r="CJ223" s="734">
        <f>0</f>
        <v>0</v>
      </c>
      <c r="CK223" s="734">
        <f>0</f>
        <v>0</v>
      </c>
      <c r="CL223" s="734">
        <f>0</f>
        <v>0</v>
      </c>
      <c r="CM223" s="734">
        <f>0</f>
        <v>0</v>
      </c>
      <c r="CN223" s="734">
        <f>0</f>
        <v>0</v>
      </c>
      <c r="CO223" s="734">
        <f>0</f>
        <v>0</v>
      </c>
      <c r="CP223" s="734">
        <f>0</f>
        <v>0</v>
      </c>
      <c r="CQ223" s="734">
        <f>0</f>
        <v>0</v>
      </c>
      <c r="CR223" s="734">
        <f>0</f>
        <v>0</v>
      </c>
      <c r="CS223" s="734">
        <f>0</f>
        <v>0</v>
      </c>
      <c r="CT223" s="734">
        <f>0</f>
        <v>0</v>
      </c>
      <c r="CU223" s="734">
        <f>0</f>
        <v>0</v>
      </c>
      <c r="CV223" s="2863">
        <f>q_AMMON_T*S_N_B*X_BIO</f>
        <v>31.042500000000004</v>
      </c>
      <c r="CX223" s="2880">
        <f>E299*E223+F299*F223+G299*G223+H299*H223+I299*I223+J299*J223+K299*K223+L299*L223+M299*M223+N299*N223+O299*O223+P299*P223+Q299*Q223+R299*R223+S299*S223+T299*T223+U299*U223+V299*V223+W299*W223+X299*X223+Y299*Y223+Z299*Z223+AA299*AA223+AB299*AB223+AC299*AC223+AD299*AD223+AE299*AE223+AF299*AF223+AG299*AG223+AH299*AH223+AI299*AI223+AJ299*AJ223+AK299*AK223+AL299*AL223+AM299*AM223+AN299*AN223+AO299*AO223+AP299*AP223+AQ299*AQ223+AR299*AR223+AS299*AS223+AT299*AT223+AU299*AU223+AV299*AV223+AW299*AW223+AX299*AX223+AY299*AY223+AZ299*AZ223+BA299*BA223+BB299*BB223+BC299*BC223+BD299*BD223+BE299*BE223+BF299*BF223+BG299*BG223+BH299*BH223+BI299*BI223+BJ299*BJ223+BK299*BK223+BL299*BL223+BM299*BM223+BN299*BN223+BO299*BO223+BP299*BP223+BQ299*BQ223+BR299*BR223+BS299*BS223+BT299*BT223+BU299*BU223+BV299*BV223+BW299*BW223+BX299*BX223+BY299*BY223+BZ299*BZ223+CA299*CA223+CB299*CB223+CC299*CC223+CD299*CD223+CE299*CE223+CF299*CF223+CG299*CG223+CH299*CH223+CI299*CI223+CJ299*CJ223+CK299*CK223+CL299*CL223+CM299*CM223+CN299*CN223+CO299*CO223+CP299*CP223+CQ299*CQ223+CR299*CR223+CS299*CS223+CT299*CT223+CU299*CU223</f>
        <v>0</v>
      </c>
      <c r="CY223" s="2880">
        <f>E300*E223+F300*F223+G300*G223+H300*H223+I300*I223+J300*J223+K300*K223+L300*L223+M300*M223+N300*N223+O300*O223+P300*P223+Q300*Q223+R300*R223+S300*S223+T300*T223+U300*U223+V300*V223+W300*W223+X300*X223+Y300*Y223+Z300*Z223+AA300*AA223+AB300*AB223+AC300*AC223+AD300*AD223+AE300*AE223+AF300*AF223+AG300*AG223+AH300*AH223+AI300*AI223+AJ300*AJ223+AK300*AK223+AL300*AL223+AM300*AM223+AN300*AN223+AO300*AO223+AP300*AP223+AQ300*AQ223+AR300*AR223+AS300*AS223+AT300*AT223+AU300*AU223+AV300*AV223+AW300*AW223+AX300*AX223+AY300*AY223+AZ300*AZ223+BA300*BA223+BB300*BB223+BC300*BC223+BD300*BD223+BE300*BE223+BF300*BF223+BG300*BG223+BH300*BH223+BI300*BI223+BJ300*BJ223+BK300*BK223+BL300*BL223+BM300*BM223+BN300*BN223+BO300*BO223+BP300*BP223+BQ300*BQ223+BR300*BR223+BS300*BS223+BT300*BT223+BU300*BU223+BV300*BV223+BW300*BW223+BX300*BX223+BY300*BY223+BZ300*BZ223+CA300*CA223+CB300*CB223+CC300*CC223+CD300*CD223+CE300*CE223+CF300*CF223+CG300*CG223+CH300*CH223+CI300*CI223+CJ300*CJ223+CK300*CK223+CL300*CL223+CM300*CM223+CN300*CN223+CO300*CO223+CP300*CP223+CQ300*CQ223+CR300*CR223+CS300*CS223+CT300*CT223+CU300*CU223</f>
        <v>0</v>
      </c>
      <c r="CZ223" s="2881">
        <f>E301*E223+F301*F223+G301*G223+H301*H223+I301*I223+J301*J223+K301*K223+L301*L223+M301*M223+N301*N223+O301*O223+P301*P223+Q301*Q223+R301*R223+S301*S223+T301*T223+U301*U223+V301*V223+W301*W223+X301*X223+Y301*Y223+Z301*Z223+AA301*AA223+AB301*AB223+AC301*AC223+AD301*AD223+AE301*AE223+AF301*AF223+AG301*AG223+AH301*AH223+AI301*AI223+AJ301*AJ223+AK301*AK223+AL301*AL223+AM301*AM223+AN301*AN223+AO301*AO223+AP301*AP223+AQ301*AQ223+AR301*AR223+AS301*AS223+AT301*AT223+AU301*AU223+AV301*AV223+AW301*AW223+AX301*AX223+AY301*AY223+AZ301*AZ223+BA301*BA223+BB301*BB223+BC301*BC223+BD301*BD223+BE301*BE223+BF301*BF223+BG301*BG223+BH301*BH223+BI301*BI223+BJ301*BJ223+BK301*BK223+BL301*BL223+BM301*BM223+BN301*BN223+BO301*BO223+BP301*BP223+BQ301*BQ223+BR301*BR223+BS301*BS223+BT301*BT223+BU301*BU223+BV301*BV223+BW301*BW223+BX301*BX223+BY301*BY223+BZ301*BZ223+CA301*CA223+CB301*CB223+CC301*CC223+CD301*CD223+CE301*CE223+CF301*CF223+CG301*CG223+CH301*CH223+CI301*CI223+CJ301*CJ223+CK301*CK223+CL301*CL223+CM301*CM223+CN301*CN223+CO301*CO223+CP301*CP223+CQ301*CQ223+CR301*CR223+CS301*CS223+CT301*CT223+CU301*CU223</f>
        <v>0</v>
      </c>
      <c r="DA223" s="2882">
        <f>E302*E223+F302*F223+G302*G223+H302*H223+I302*I223+J302*J223+K302*K223+L302*L223+M302*M223+N302*N223+O302*O223+P302*P223+Q302*Q223+R302*R223+S302*S223+T302*T223+U302*U223+V302*V223+W302*W223+X302*X223+Y302*Y223+Z302*Z223+AA302*AA223+AB302*AB223+AC302*AC223+AD302*AD223+AE302*AE223+AF302*AF223+AG302*AG223+AH302*AH223+AI302*AI223+AJ302*AJ223+AK302*AK223+AL302*AL223+AM302*AM223+AN302*AN223+AO302*AO223+AP302*AP223+AQ302*AQ223+AR302*AR223+AS302*AS223+AT302*AT223+AU302*AU223+AV302*AV223+AW302*AW223+AX302*AX223+AY302*AY223+AZ302*AZ223+BA302*BA223+BB302*BB223+BC302*BC223+BD302*BD223+BE302*BE223+BF302*BF223+BG302*BG223+BH302*BH223+BI302*BI223+BJ302*BJ223+BK302*BK223+BL302*BL223+BM302*BM223+BN302*BN223+BO302*BO223+BP302*BP223+BQ302*BQ223+BR302*BR223+BS302*BS223+BT302*BT223+BU302*BU223+BV302*BV223+BW302*BW223+BX302*BX223+BY302*BY223+BZ302*BZ223+CA302*CA223+CB302*CB223+CC302*CC223+CD302*CD223+CE302*CE223+CF302*CF223+CG302*CG223+CH302*CH223+CI302*CI223+CJ302*CJ223+CK302*CK223+CL302*CL223+CM302*CM223+CN302*CN223+CO302*CO223+CP302*CP223+CQ302*CQ223+CR302*CR223+CS302*CS223+CT302*CT223+CU302*CU223</f>
        <v>0</v>
      </c>
      <c r="DB223" s="2882">
        <f>E303*E223+F303*F223+G303*G223+H303*H223+I303*I223+J303*J223+K303*K223+L303*L223+M303*M223+N303*N223+O303*O223+P303*P223+Q303*Q223+R303*R223+S303*S223+T303*T223+U303*U223+V303*V223+W303*W223+X303*X223+Y303*Y223+Z303*Z223+AA303*AA223+AB303*AB223+AC303*AC223+AD303*AD223+AE303*AE223+AF303*AF223+AG303*AG223+AH303*AH223+AI303*AI223+AJ303*AJ223+AK303*AK223+AL303*AL223+AM303*AM223+AN303*AN223+AO303*AO223+AP303*AP223+AQ303*AQ223+AR303*AR223+AS303*AS223+AT303*AT223+AU303*AU223+AV303*AV223+AW303*AW223+AX303*AX223+AY303*AY223+AZ303*AZ223+BA303*BA223+BB303*BB223+BC303*BC223+BD303*BD223+BE303*BE223+BF303*BF223+BG303*BG223+BH303*BH223+BI303*BI223+BJ303*BJ223+BK303*BK223+BL303*BL223+BM303*BM223+BN303*BN223+BO303*BO223+BP303*BP223+BQ303*BQ223+BR303*BR223+BS303*BS223+BT303*BT223+BU303*BU223+BV303*BV223+BW303*BW223+BX303*BX223+BY303*BY223+BZ303*BZ223+CA303*CA223+CB303*CB223+CC303*CC223+CD303*CD223+CE303*CE223+CF303*CF223+CG303*CG223+CH303*CH223+CI303*CI223+CJ303*CJ223+CK303*CK223+CL303*CL223+CM303*CM223+CN303*CN223+CO303*CO223+CP303*CP223+CQ303*CQ223+CR303*CR223+CS303*CS223+CT303*CT223+CU303*CU223</f>
        <v>0</v>
      </c>
      <c r="DC223" s="2882">
        <f>E304*E223+F304*F223+G304*G223+H304*H223+I304*I223+J304*J223+K304*K223+L304*L223+M304*M223+N304*N223+O304*O223+P304*P223+Q304*Q223+R304*R223+S304*S223+T304*T223+U304*U223+V304*V223+W304*W223+X304*X223+Y304*Y223+Z304*Z223+AA304*AA223+AB304*AB223+AC304*AC223+AD304*AD223+AE304*AE223+AF304*AF223+AG304*AG223+AH304*AH223+AI304*AI223+AJ304*AJ223+AK304*AK223+AL304*AL223+AM304*AM223+AN304*AN223+AO304*AO223+AP304*AP223+AQ304*AQ223+AR304*AR223+AS304*AS223+AT304*AT223+AU304*AU223+AV304*AV223+AW304*AW223+AX304*AX223+AY304*AY223+AZ304*AZ223+BA304*BA223+BB304*BB223+BC304*BC223+BD304*BD223+BE304*BE223+BF304*BF223+BG304*BG223+BH304*BH223+BI304*BI223+BJ304*BJ223+BK304*BK223+BL304*BL223+BM304*BM223+BN304*BN223+BO304*BO223+BP304*BP223+BQ304*BQ223+BR304*BR223+BS304*BS223+BT304*BT223+BU304*BU223+BV304*BV223+BW304*BW223+BX304*BX223+BY304*BY223+BZ304*BZ223+CA304*CA223+CB304*CB223+CC304*CC223+CD304*CD223+CE304*CE223+CF304*CF223+CG304*CG223+CH304*CH223+CI304*CI223+CJ304*CJ223+CK304*CK223+CL304*CL223+CM304*CM223+CN304*CN223+CO304*CO223+CP304*CP223+CQ304*CQ223+CR304*CR223+CS304*CS223+CT304*CT223+CU304*CU223</f>
        <v>0</v>
      </c>
      <c r="DD223" s="2882">
        <f>E305*E223+F305*F223+G305*G223+H305*H223+I305*I223+J305*J223+K305*K223+L305*L223+M305*M223+N305*N223+O305*O223+P305*P223+Q305*Q223+R305*R223+S305*S223+T305*T223+U305*U223+V305*V223+W305*W223+X305*X223+Y305*Y223+Z305*Z223+AA305*AA223+AB305*AB223+AC305*AC223+AD305*AD223+AE305*AE223+AF305*AF223+AG305*AG223+AH305*AH223+AI305*AI223+AJ305*AJ223+AK305*AK223+AL305*AL223+AM305*AM223+AN305*AN223+AO305*AO223+AP305*AP223+AQ305*AQ223+AR305*AR223+AS305*AS223+AT305*AT223+AU305*AU223+AV305*AV223+AW305*AW223+AX305*AX223+AY305*AY223+AZ305*AZ223+BA305*BA223+BB305*BB223+BC305*BC223+BD305*BD223+BE305*BE223+BF305*BF223+BG305*BG223+BH305*BH223+BI305*BI223+BJ305*BJ223+BK305*BK223+BL305*BL223+BM305*BM223+BN305*BN223+BO305*BO223+BP305*BP223+BQ305*BQ223+BR305*BR223+BS305*BS223+BT305*BT223+BU305*BU223+BV305*BV223+BW305*BW223+BX305*BX223+BY305*BY223+BZ305*BZ223+CA305*CA223+CB305*CB223+CC305*CC223+CD305*CD223+CE305*CE223+CF305*CF223+CG305*CG223+CH305*CH223+CI305*CI223+CJ305*CJ223+CK305*CK223+CL305*CL223+CM305*CM223+CN305*CN223+CO305*CO223+CP305*CP223+CQ305*CQ223+CR305*CR223+CS305*CS223+CT305*CT223+CU305*CU223</f>
        <v>0</v>
      </c>
      <c r="DE223" s="2882">
        <f>E306*E223+F306*F223+G306*G223+H306*H223+I306*I223+J306*J223+K306*K223+L306*L223+M306*M223+N306*N223+O306*O223+P306*P223+Q306*Q223+R306*R223+S306*S223+T306*T223+U306*U223+V306*V223+W306*W223+X306*X223+Y306*Y223+Z306*Z223+AA306*AA223+AB306*AB223+AC306*AC223+AD306*AD223+AE306*AE223+AF306*AF223+AG306*AG223+AH306*AH223+AI306*AI223+AJ306*AJ223+AK306*AK223+AL306*AL223+AM306*AM223+AN306*AN223+AO306*AO223+AP306*AP223+AQ306*AQ223+AR306*AR223+AS306*AS223+AT306*AT223+AU306*AU223+AV306*AV223+AW306*AW223+AX306*AX223+AY306*AY223+AZ306*AZ223+BA306*BA223+BB306*BB223+BC306*BC223+BD306*BD223+BE306*BE223+BF306*BF223+BG306*BG223+BH306*BH223+BI306*BI223+BJ306*BJ223+BK306*BK223+BL306*BL223+BM306*BM223+BN306*BN223+BO306*BO223+BP306*BP223+BQ306*BQ223+BR306*BR223+BS306*BS223+BT306*BT223+BU306*BU223+BV306*BV223+BW306*BW223+BX306*BX223+BY306*BY223+BZ306*BZ223+CA306*CA223+CB306*CB223+CC306*CC223+CD306*CD223+CE306*CE223+CF306*CF223+CG306*CG223+CH306*CH223+CI306*CI223+CJ306*CJ223+CK306*CK223+CL306*CL223+CM306*CM223+CN306*CN223+CO306*CO223+CP306*CP223+CQ306*CQ223+CR306*CR223+CS306*CS223+CT306*CT223+CU306*CU223</f>
        <v>0</v>
      </c>
      <c r="DF223" s="2882">
        <f>E307*E223+F307*F223+G307*G223+H307*H223+I307*I223+J307*J223+K307*K223+L307*L223+M307*M223+N307*N223+O307*O223+P307*P223+Q307*Q223+R307*R223+S307*S223+T307*T223+U307*U223+V307*V223+W307*W223+X307*X223+Y307*Y223+Z307*Z223+AA307*AA223+AB307*AB223+AC307*AC223+AD307*AD223+AE307*AE223+AF307*AF223+AG307*AG223+AH307*AH223+AI307*AI223+AJ307*AJ223+AK307*AK223+AL307*AL223+AM307*AM223+AN307*AN223+AO307*AO223+AP307*AP223+AQ307*AQ223+AR307*AR223+AS307*AS223+AT307*AT223+AU307*AU223+AV307*AV223+AW307*AW223+AX307*AX223+AY307*AY223+AZ307*AZ223+BA307*BA223+BB307*BB223+BC307*BC223+BD307*BD223+BE307*BE223+BF307*BF223+BG307*BG223+BH307*BH223+BI307*BI223+BJ307*BJ223+BK307*BK223+BL307*BL223+BM307*BM223+BN307*BN223+BO307*BO223+BP307*BP223+BQ307*BQ223+BR307*BR223+BS307*BS223+BT307*BT223+BU307*BU223+BV307*BV223+BW307*BW223+BX307*BX223+BY307*BY223+BZ307*BZ223+CA307*CA223+CB307*CB223+CC307*CC223+CD307*CD223+CE307*CE223+CF307*CF223+CG307*CG223+CH307*CH223+CI307*CI223+CJ307*CJ223+CK307*CK223+CL307*CL223+CM307*CM223+CN307*CN223+CO307*CO223+CP307*CP223+CQ307*CQ223+CR307*CR223+CS307*CS223+CT307*CT223+CU307*CU223</f>
        <v>0</v>
      </c>
      <c r="DG223" s="2882">
        <f>E308*E223+F308*F223+G308*G223+H308*H223+I308*I223+J308*J223+K308*K223+L308*L223+M308*M223+N308*N223+O308*O223+P308*P223+Q308*Q223+R308*R223+S308*S223+T308*T223+U308*U223+V308*V223+W308*W223+X308*X223+Y308*Y223+Z308*Z223+AA308*AA223+AB308*AB223+AC308*AC223+AD308*AD223+AE308*AE223+AF308*AF223+AG308*AG223+AH308*AH223+AI308*AI223+AJ308*AJ223+AK308*AK223+AL308*AL223+AM308*AM223+AN308*AN223+AO308*AO223+AP308*AP223+AQ308*AQ223+AR308*AR223+AS308*AS223+AT308*AT223+AU308*AU223+AV308*AV223+AW308*AW223+AX308*AX223+AY308*AY223+AZ308*AZ223+BA308*BA223+BB308*BB223+BC308*BC223+BD308*BD223+BE308*BE223+BF308*BF223+BG308*BG223+BH308*BH223+BI308*BI223+BJ308*BJ223+BK308*BK223+BL308*BL223+BM308*BM223+BN308*BN223+BO308*BO223+BP308*BP223+BQ308*BQ223+BR308*BR223+BS308*BS223+BT308*BT223+BU308*BU223+BV308*BV223+BW308*BW223+BX308*BX223+BY308*BY223+BZ308*BZ223+CA308*CA223+CB308*CB223+CC308*CC223+CD308*CD223+CE308*CE223+CF308*CF223+CG308*CG223+CH308*CH223+CI308*CI223+CJ308*CJ223+CK308*CK223+CL308*CL223+CM308*CM223+CN308*CN223+CO308*CO223+CP308*CP223+CQ308*CQ223+CR308*CR223+CS308*CS223+CT308*CT223+CU308*CU223</f>
        <v>0</v>
      </c>
      <c r="DH223" s="2882">
        <f>E309*E223+F309*F223+G309*G223+H309*H223+I309*I223+J309*J223+K309*K223+L309*L223+M309*M223+N309*N223+O309*O223+P309*P223+Q309*Q223+R309*R223+S309*S223+T309*T223+U309*U223+V309*V223+W309*W223+X309*X223+Y309*Y223+Z309*Z223+AA309*AA223+AB309*AB223+AC309*AC223+AD309*AD223+AE309*AE223+AF309*AF223+AG309*AG223+AH309*AH223+AI309*AI223+AJ309*AJ223+AK309*AK223+AL309*AL223+AM309*AM223+AN309*AN223+AO309*AO223+AP309*AP223+AQ309*AQ223+AR309*AR223+AS309*AS223+AT309*AT223+AU309*AU223+AV309*AV223+AW309*AW223+AX309*AX223+AY309*AY223+AZ309*AZ223+BA309*BA223+BB309*BB223+BC309*BC223+BD309*BD223+BE309*BE223+BF309*BF223+BG309*BG223+BH309*BH223+BI309*BI223+BJ309*BJ223+BK309*BK223+BL309*BL223+BM309*BM223+BN309*BN223+BO309*BO223+BP309*BP223+BQ309*BQ223+BR309*BR223+BS309*BS223+BT309*BT223+BU309*BU223+BV309*BV223+BW309*BW223+BX309*BX223+BY309*BY223+BZ309*BZ223+CA309*CA223+CB309*CB223+CC309*CC223+CD309*CD223+CE309*CE223+CF309*CF223+CG309*CG223+CH309*CH223+CI309*CI223+CJ309*CJ223+CK309*CK223+CL309*CL223+CM309*CM223+CN309*CN223+CO309*CO223+CP309*CP223+CQ309*CQ223+CR309*CR223+CS309*CS223+CT309*CT223+CU309*CU223</f>
        <v>0</v>
      </c>
      <c r="DI223" s="2882">
        <f>E310*E223+F310*F223+G310*G223+H310*H223+I310*I223+J310*J223+K310*K223+L310*L223+M310*M223+N310*N223+O310*O223+P310*P223+Q310*Q223+R310*R223+S310*S223+T310*T223+U310*U223+V310*V223+W310*W223+X310*X223+Y310*Y223+Z310*Z223+AA310*AA223+AB310*AB223+AC310*AC223+AD310*AD223+AE310*AE223+AF310*AF223+AG310*AG223+AH310*AH223+AI310*AI223+AJ310*AJ223+AK310*AK223+AL310*AL223+AM310*AM223+AN310*AN223+AO310*AO223+AP310*AP223+AQ310*AQ223+AR310*AR223+AS310*AS223+AT310*AT223+AU310*AU223+AV310*AV223+AW310*AW223+AX310*AX223+AY310*AY223+AZ310*AZ223+BA310*BA223+BB310*BB223+BC310*BC223+BD310*BD223+BE310*BE223+BF310*BF223+BG310*BG223+BH310*BH223+BI310*BI223+BJ310*BJ223+BK310*BK223+BL310*BL223+BM310*BM223+BN310*BN223+BO310*BO223+BP310*BP223+BQ310*BQ223+BR310*BR223+BS310*BS223+BT310*BT223+BU310*BU223+BV310*BV223+BW310*BW223+BX310*BX223+BY310*BY223+BZ310*BZ223+CA310*CA223+CB310*CB223+CC310*CC223+CD310*CD223+CE310*CE223+CF310*CF223+CG310*CG223+CH310*CH223+CI310*CI223+CJ310*CJ223+CK310*CK223+CL310*CL223+CM310*CM223+CN310*CN223+CO310*CO223+CP310*CP223+CQ310*CQ223+CR310*CR223+CS310*CS223+CT310*CT223+CU310*CU223</f>
        <v>0</v>
      </c>
    </row>
    <row r="224" spans="2:113" ht="15.75" x14ac:dyDescent="0.55000000000000004">
      <c r="B224" s="788">
        <v>65</v>
      </c>
      <c r="C224" s="788" t="s">
        <v>2472</v>
      </c>
      <c r="D224" s="789" t="s">
        <v>1696</v>
      </c>
      <c r="E224" s="734">
        <f>0</f>
        <v>0</v>
      </c>
      <c r="F224" s="734">
        <f>0</f>
        <v>0</v>
      </c>
      <c r="G224" s="734">
        <f>0</f>
        <v>0</v>
      </c>
      <c r="H224" s="734">
        <f>0</f>
        <v>0</v>
      </c>
      <c r="I224" s="734">
        <f>0</f>
        <v>0</v>
      </c>
      <c r="J224" s="734">
        <f>0</f>
        <v>0</v>
      </c>
      <c r="K224" s="734">
        <f>0</f>
        <v>0</v>
      </c>
      <c r="L224" s="734">
        <f>0</f>
        <v>0</v>
      </c>
      <c r="M224" s="734">
        <f>0</f>
        <v>0</v>
      </c>
      <c r="N224" s="734">
        <f>0</f>
        <v>0</v>
      </c>
      <c r="O224" s="734">
        <f>0</f>
        <v>0</v>
      </c>
      <c r="P224" s="734">
        <f>0</f>
        <v>0</v>
      </c>
      <c r="Q224" s="734">
        <f>0</f>
        <v>0</v>
      </c>
      <c r="R224" s="734">
        <f>0</f>
        <v>0</v>
      </c>
      <c r="S224" s="734">
        <f>0</f>
        <v>0</v>
      </c>
      <c r="T224" s="734">
        <f>0</f>
        <v>0</v>
      </c>
      <c r="U224" s="734">
        <f>0</f>
        <v>0</v>
      </c>
      <c r="V224" s="734">
        <f>0</f>
        <v>0</v>
      </c>
      <c r="W224" s="734">
        <f>0</f>
        <v>0</v>
      </c>
      <c r="X224" s="734">
        <f>0</f>
        <v>0</v>
      </c>
      <c r="Y224" s="734">
        <f>0</f>
        <v>0</v>
      </c>
      <c r="Z224" s="734">
        <f>0</f>
        <v>0</v>
      </c>
      <c r="AA224" s="734">
        <f>0</f>
        <v>0</v>
      </c>
      <c r="AB224" s="734">
        <f>0</f>
        <v>0</v>
      </c>
      <c r="AC224" s="734">
        <f>0</f>
        <v>0</v>
      </c>
      <c r="AD224" s="734">
        <f>0</f>
        <v>0</v>
      </c>
      <c r="AE224" s="734">
        <f>0</f>
        <v>0</v>
      </c>
      <c r="AF224" s="734">
        <f>0</f>
        <v>0</v>
      </c>
      <c r="AG224" s="734">
        <f>0</f>
        <v>0</v>
      </c>
      <c r="AH224" s="734">
        <f>0</f>
        <v>0</v>
      </c>
      <c r="AI224" s="734">
        <f>0</f>
        <v>0</v>
      </c>
      <c r="AJ224" s="734">
        <f>0</f>
        <v>0</v>
      </c>
      <c r="AK224" s="734">
        <f>0</f>
        <v>0</v>
      </c>
      <c r="AL224" s="734">
        <f>0</f>
        <v>0</v>
      </c>
      <c r="AM224" s="734">
        <f>1</f>
        <v>1</v>
      </c>
      <c r="AN224" s="734">
        <f>0</f>
        <v>0</v>
      </c>
      <c r="AO224" s="734">
        <f>-1</f>
        <v>-1</v>
      </c>
      <c r="AP224" s="734">
        <f>0</f>
        <v>0</v>
      </c>
      <c r="AQ224" s="734">
        <f>0</f>
        <v>0</v>
      </c>
      <c r="AR224" s="734">
        <f>0</f>
        <v>0</v>
      </c>
      <c r="AS224" s="734">
        <f>0</f>
        <v>0</v>
      </c>
      <c r="AT224" s="734">
        <f>0</f>
        <v>0</v>
      </c>
      <c r="AU224" s="734">
        <f>0</f>
        <v>0</v>
      </c>
      <c r="AV224" s="734">
        <f>0</f>
        <v>0</v>
      </c>
      <c r="AW224" s="734">
        <f>0</f>
        <v>0</v>
      </c>
      <c r="AX224" s="734">
        <f>0</f>
        <v>0</v>
      </c>
      <c r="AY224" s="734">
        <f>0</f>
        <v>0</v>
      </c>
      <c r="AZ224" s="734">
        <f>0</f>
        <v>0</v>
      </c>
      <c r="BA224" s="734">
        <f>0</f>
        <v>0</v>
      </c>
      <c r="BB224" s="734">
        <f>0</f>
        <v>0</v>
      </c>
      <c r="BC224" s="734">
        <f>0</f>
        <v>0</v>
      </c>
      <c r="BD224" s="734">
        <f>0</f>
        <v>0</v>
      </c>
      <c r="BE224" s="734">
        <f>0</f>
        <v>0</v>
      </c>
      <c r="BF224" s="734">
        <f>0</f>
        <v>0</v>
      </c>
      <c r="BG224" s="734">
        <f>0</f>
        <v>0</v>
      </c>
      <c r="BH224" s="734">
        <f>0</f>
        <v>0</v>
      </c>
      <c r="BI224" s="734">
        <f>0</f>
        <v>0</v>
      </c>
      <c r="BJ224" s="734">
        <f>0</f>
        <v>0</v>
      </c>
      <c r="BK224" s="734">
        <f>0</f>
        <v>0</v>
      </c>
      <c r="BL224" s="734">
        <f>0</f>
        <v>0</v>
      </c>
      <c r="BM224" s="734">
        <f>0</f>
        <v>0</v>
      </c>
      <c r="BN224" s="734">
        <f>0</f>
        <v>0</v>
      </c>
      <c r="BO224" s="734">
        <f>0</f>
        <v>0</v>
      </c>
      <c r="BP224" s="734">
        <f>0</f>
        <v>0</v>
      </c>
      <c r="BQ224" s="734">
        <f>0</f>
        <v>0</v>
      </c>
      <c r="BR224" s="734">
        <f>0</f>
        <v>0</v>
      </c>
      <c r="BS224" s="734">
        <f>0</f>
        <v>0</v>
      </c>
      <c r="BT224" s="734">
        <f>0</f>
        <v>0</v>
      </c>
      <c r="BU224" s="734">
        <f>0</f>
        <v>0</v>
      </c>
      <c r="BV224" s="901">
        <f>0</f>
        <v>0</v>
      </c>
      <c r="BW224" s="734">
        <f>0</f>
        <v>0</v>
      </c>
      <c r="BX224" s="734">
        <f>0</f>
        <v>0</v>
      </c>
      <c r="BY224" s="734">
        <f>0</f>
        <v>0</v>
      </c>
      <c r="BZ224" s="734">
        <f>0</f>
        <v>0</v>
      </c>
      <c r="CA224" s="901">
        <f>0</f>
        <v>0</v>
      </c>
      <c r="CB224" s="734">
        <f>0</f>
        <v>0</v>
      </c>
      <c r="CC224" s="734">
        <f>0</f>
        <v>0</v>
      </c>
      <c r="CD224" s="734">
        <f>0</f>
        <v>0</v>
      </c>
      <c r="CE224" s="734">
        <f>0</f>
        <v>0</v>
      </c>
      <c r="CF224" s="734">
        <f>0</f>
        <v>0</v>
      </c>
      <c r="CG224" s="734">
        <f>0</f>
        <v>0</v>
      </c>
      <c r="CH224" s="734">
        <f>0</f>
        <v>0</v>
      </c>
      <c r="CI224" s="734">
        <f>0</f>
        <v>0</v>
      </c>
      <c r="CJ224" s="734">
        <f>0</f>
        <v>0</v>
      </c>
      <c r="CK224" s="734">
        <f>0</f>
        <v>0</v>
      </c>
      <c r="CL224" s="734">
        <f>0</f>
        <v>0</v>
      </c>
      <c r="CM224" s="734">
        <f>0</f>
        <v>0</v>
      </c>
      <c r="CN224" s="734">
        <f>0</f>
        <v>0</v>
      </c>
      <c r="CO224" s="734">
        <f>0</f>
        <v>0</v>
      </c>
      <c r="CP224" s="734">
        <f>0</f>
        <v>0</v>
      </c>
      <c r="CQ224" s="734">
        <f>0</f>
        <v>0</v>
      </c>
      <c r="CR224" s="734">
        <f>0</f>
        <v>0</v>
      </c>
      <c r="CS224" s="734">
        <f>0</f>
        <v>0</v>
      </c>
      <c r="CT224" s="734">
        <f>0</f>
        <v>0</v>
      </c>
      <c r="CU224" s="734">
        <f>0</f>
        <v>0</v>
      </c>
      <c r="CV224" s="2863">
        <f>q_SPB_T*S_P_B*X_BIO</f>
        <v>6.2085000000000008</v>
      </c>
      <c r="CX224" s="2880">
        <f>E299*E224+F299*F224+G299*G224+H299*H224+I299*I224+J299*J224+K299*K224+L299*L224+M299*M224+N299*N224+O299*O224+P299*P224+Q299*Q224+R299*R224+S299*S224+T299*T224+U299*U224+V299*V224+W299*W224+X299*X224+Y299*Y224+Z299*Z224+AA299*AA224+AB299*AB224+AC299*AC224+AD299*AD224+AE299*AE224+AF299*AF224+AG299*AG224+AH299*AH224+AI299*AI224+AJ299*AJ224+AK299*AK224+AL299*AL224+AM299*AM224+AN299*AN224+AO299*AO224+AP299*AP224+AQ299*AQ224+AR299*AR224+AS299*AS224+AT299*AT224+AU299*AU224+AV299*AV224+AW299*AW224+AX299*AX224+AY299*AY224+AZ299*AZ224+BA299*BA224+BB299*BB224+BC299*BC224+BD299*BD224+BE299*BE224+BF299*BF224+BG299*BG224+BH299*BH224+BI299*BI224+BJ299*BJ224+BK299*BK224+BL299*BL224+BM299*BM224+BN299*BN224+BO299*BO224+BP299*BP224+BQ299*BQ224+BR299*BR224+BS299*BS224+BT299*BT224+BU299*BU224+BV299*BV224+BW299*BW224+BX299*BX224+BY299*BY224+BZ299*BZ224+CA299*CA224+CB299*CB224+CC299*CC224+CD299*CD224+CE299*CE224+CF299*CF224+CG299*CG224+CH299*CH224+CI299*CI224+CJ299*CJ224+CK299*CK224+CL299*CL224+CM299*CM224+CN299*CN224+CO299*CO224+CP299*CP224+CQ299*CQ224+CR299*CR224+CS299*CS224+CT299*CT224+CU299*CU224</f>
        <v>0</v>
      </c>
      <c r="CY224" s="2880">
        <f>E300*E224+F300*F224+G300*G224+H300*H224+I300*I224+J300*J224+K300*K224+L300*L224+M300*M224+N300*N224+O300*O224+P300*P224+Q300*Q224+R300*R224+S300*S224+T300*T224+U300*U224+V300*V224+W300*W224+X300*X224+Y300*Y224+Z300*Z224+AA300*AA224+AB300*AB224+AC300*AC224+AD300*AD224+AE300*AE224+AF300*AF224+AG300*AG224+AH300*AH224+AI300*AI224+AJ300*AJ224+AK300*AK224+AL300*AL224+AM300*AM224+AN300*AN224+AO300*AO224+AP300*AP224+AQ300*AQ224+AR300*AR224+AS300*AS224+AT300*AT224+AU300*AU224+AV300*AV224+AW300*AW224+AX300*AX224+AY300*AY224+AZ300*AZ224+BA300*BA224+BB300*BB224+BC300*BC224+BD300*BD224+BE300*BE224+BF300*BF224+BG300*BG224+BH300*BH224+BI300*BI224+BJ300*BJ224+BK300*BK224+BL300*BL224+BM300*BM224+BN300*BN224+BO300*BO224+BP300*BP224+BQ300*BQ224+BR300*BR224+BS300*BS224+BT300*BT224+BU300*BU224+BV300*BV224+BW300*BW224+BX300*BX224+BY300*BY224+BZ300*BZ224+CA300*CA224+CB300*CB224+CC300*CC224+CD300*CD224+CE300*CE224+CF300*CF224+CG300*CG224+CH300*CH224+CI300*CI224+CJ300*CJ224+CK300*CK224+CL300*CL224+CM300*CM224+CN300*CN224+CO300*CO224+CP300*CP224+CQ300*CQ224+CR300*CR224+CS300*CS224+CT300*CT224+CU300*CU224</f>
        <v>0</v>
      </c>
      <c r="CZ224" s="2881">
        <f>E301*E224+F301*F224+G301*G224+H301*H224+I301*I224+J301*J224+K301*K224+L301*L224+M301*M224+N301*N224+O301*O224+P301*P224+Q301*Q224+R301*R224+S301*S224+T301*T224+U301*U224+V301*V224+W301*W224+X301*X224+Y301*Y224+Z301*Z224+AA301*AA224+AB301*AB224+AC301*AC224+AD301*AD224+AE301*AE224+AF301*AF224+AG301*AG224+AH301*AH224+AI301*AI224+AJ301*AJ224+AK301*AK224+AL301*AL224+AM301*AM224+AN301*AN224+AO301*AO224+AP301*AP224+AQ301*AQ224+AR301*AR224+AS301*AS224+AT301*AT224+AU301*AU224+AV301*AV224+AW301*AW224+AX301*AX224+AY301*AY224+AZ301*AZ224+BA301*BA224+BB301*BB224+BC301*BC224+BD301*BD224+BE301*BE224+BF301*BF224+BG301*BG224+BH301*BH224+BI301*BI224+BJ301*BJ224+BK301*BK224+BL301*BL224+BM301*BM224+BN301*BN224+BO301*BO224+BP301*BP224+BQ301*BQ224+BR301*BR224+BS301*BS224+BT301*BT224+BU301*BU224+BV301*BV224+BW301*BW224+BX301*BX224+BY301*BY224+BZ301*BZ224+CA301*CA224+CB301*CB224+CC301*CC224+CD301*CD224+CE301*CE224+CF301*CF224+CG301*CG224+CH301*CH224+CI301*CI224+CJ301*CJ224+CK301*CK224+CL301*CL224+CM301*CM224+CN301*CN224+CO301*CO224+CP301*CP224+CQ301*CQ224+CR301*CR224+CS301*CS224+CT301*CT224+CU301*CU224</f>
        <v>0</v>
      </c>
      <c r="DA224" s="2882">
        <f>E302*E224+F302*F224+G302*G224+H302*H224+I302*I224+J302*J224+K302*K224+L302*L224+M302*M224+N302*N224+O302*O224+P302*P224+Q302*Q224+R302*R224+S302*S224+T302*T224+U302*U224+V302*V224+W302*W224+X302*X224+Y302*Y224+Z302*Z224+AA302*AA224+AB302*AB224+AC302*AC224+AD302*AD224+AE302*AE224+AF302*AF224+AG302*AG224+AH302*AH224+AI302*AI224+AJ302*AJ224+AK302*AK224+AL302*AL224+AM302*AM224+AN302*AN224+AO302*AO224+AP302*AP224+AQ302*AQ224+AR302*AR224+AS302*AS224+AT302*AT224+AU302*AU224+AV302*AV224+AW302*AW224+AX302*AX224+AY302*AY224+AZ302*AZ224+BA302*BA224+BB302*BB224+BC302*BC224+BD302*BD224+BE302*BE224+BF302*BF224+BG302*BG224+BH302*BH224+BI302*BI224+BJ302*BJ224+BK302*BK224+BL302*BL224+BM302*BM224+BN302*BN224+BO302*BO224+BP302*BP224+BQ302*BQ224+BR302*BR224+BS302*BS224+BT302*BT224+BU302*BU224+BV302*BV224+BW302*BW224+BX302*BX224+BY302*BY224+BZ302*BZ224+CA302*CA224+CB302*CB224+CC302*CC224+CD302*CD224+CE302*CE224+CF302*CF224+CG302*CG224+CH302*CH224+CI302*CI224+CJ302*CJ224+CK302*CK224+CL302*CL224+CM302*CM224+CN302*CN224+CO302*CO224+CP302*CP224+CQ302*CQ224+CR302*CR224+CS302*CS224+CT302*CT224+CU302*CU224</f>
        <v>0</v>
      </c>
      <c r="DB224" s="2882">
        <f>E303*E224+F303*F224+G303*G224+H303*H224+I303*I224+J303*J224+K303*K224+L303*L224+M303*M224+N303*N224+O303*O224+P303*P224+Q303*Q224+R303*R224+S303*S224+T303*T224+U303*U224+V303*V224+W303*W224+X303*X224+Y303*Y224+Z303*Z224+AA303*AA224+AB303*AB224+AC303*AC224+AD303*AD224+AE303*AE224+AF303*AF224+AG303*AG224+AH303*AH224+AI303*AI224+AJ303*AJ224+AK303*AK224+AL303*AL224+AM303*AM224+AN303*AN224+AO303*AO224+AP303*AP224+AQ303*AQ224+AR303*AR224+AS303*AS224+AT303*AT224+AU303*AU224+AV303*AV224+AW303*AW224+AX303*AX224+AY303*AY224+AZ303*AZ224+BA303*BA224+BB303*BB224+BC303*BC224+BD303*BD224+BE303*BE224+BF303*BF224+BG303*BG224+BH303*BH224+BI303*BI224+BJ303*BJ224+BK303*BK224+BL303*BL224+BM303*BM224+BN303*BN224+BO303*BO224+BP303*BP224+BQ303*BQ224+BR303*BR224+BS303*BS224+BT303*BT224+BU303*BU224+BV303*BV224+BW303*BW224+BX303*BX224+BY303*BY224+BZ303*BZ224+CA303*CA224+CB303*CB224+CC303*CC224+CD303*CD224+CE303*CE224+CF303*CF224+CG303*CG224+CH303*CH224+CI303*CI224+CJ303*CJ224+CK303*CK224+CL303*CL224+CM303*CM224+CN303*CN224+CO303*CO224+CP303*CP224+CQ303*CQ224+CR303*CR224+CS303*CS224+CT303*CT224+CU303*CU224</f>
        <v>0</v>
      </c>
      <c r="DC224" s="2882">
        <f>E304*E224+F304*F224+G304*G224+H304*H224+I304*I224+J304*J224+K304*K224+L304*L224+M304*M224+N304*N224+O304*O224+P304*P224+Q304*Q224+R304*R224+S304*S224+T304*T224+U304*U224+V304*V224+W304*W224+X304*X224+Y304*Y224+Z304*Z224+AA304*AA224+AB304*AB224+AC304*AC224+AD304*AD224+AE304*AE224+AF304*AF224+AG304*AG224+AH304*AH224+AI304*AI224+AJ304*AJ224+AK304*AK224+AL304*AL224+AM304*AM224+AN304*AN224+AO304*AO224+AP304*AP224+AQ304*AQ224+AR304*AR224+AS304*AS224+AT304*AT224+AU304*AU224+AV304*AV224+AW304*AW224+AX304*AX224+AY304*AY224+AZ304*AZ224+BA304*BA224+BB304*BB224+BC304*BC224+BD304*BD224+BE304*BE224+BF304*BF224+BG304*BG224+BH304*BH224+BI304*BI224+BJ304*BJ224+BK304*BK224+BL304*BL224+BM304*BM224+BN304*BN224+BO304*BO224+BP304*BP224+BQ304*BQ224+BR304*BR224+BS304*BS224+BT304*BT224+BU304*BU224+BV304*BV224+BW304*BW224+BX304*BX224+BY304*BY224+BZ304*BZ224+CA304*CA224+CB304*CB224+CC304*CC224+CD304*CD224+CE304*CE224+CF304*CF224+CG304*CG224+CH304*CH224+CI304*CI224+CJ304*CJ224+CK304*CK224+CL304*CL224+CM304*CM224+CN304*CN224+CO304*CO224+CP304*CP224+CQ304*CQ224+CR304*CR224+CS304*CS224+CT304*CT224+CU304*CU224</f>
        <v>0</v>
      </c>
      <c r="DD224" s="2882">
        <f>E305*E224+F305*F224+G305*G224+H305*H224+I305*I224+J305*J224+K305*K224+L305*L224+M305*M224+N305*N224+O305*O224+P305*P224+Q305*Q224+R305*R224+S305*S224+T305*T224+U305*U224+V305*V224+W305*W224+X305*X224+Y305*Y224+Z305*Z224+AA305*AA224+AB305*AB224+AC305*AC224+AD305*AD224+AE305*AE224+AF305*AF224+AG305*AG224+AH305*AH224+AI305*AI224+AJ305*AJ224+AK305*AK224+AL305*AL224+AM305*AM224+AN305*AN224+AO305*AO224+AP305*AP224+AQ305*AQ224+AR305*AR224+AS305*AS224+AT305*AT224+AU305*AU224+AV305*AV224+AW305*AW224+AX305*AX224+AY305*AY224+AZ305*AZ224+BA305*BA224+BB305*BB224+BC305*BC224+BD305*BD224+BE305*BE224+BF305*BF224+BG305*BG224+BH305*BH224+BI305*BI224+BJ305*BJ224+BK305*BK224+BL305*BL224+BM305*BM224+BN305*BN224+BO305*BO224+BP305*BP224+BQ305*BQ224+BR305*BR224+BS305*BS224+BT305*BT224+BU305*BU224+BV305*BV224+BW305*BW224+BX305*BX224+BY305*BY224+BZ305*BZ224+CA305*CA224+CB305*CB224+CC305*CC224+CD305*CD224+CE305*CE224+CF305*CF224+CG305*CG224+CH305*CH224+CI305*CI224+CJ305*CJ224+CK305*CK224+CL305*CL224+CM305*CM224+CN305*CN224+CO305*CO224+CP305*CP224+CQ305*CQ224+CR305*CR224+CS305*CS224+CT305*CT224+CU305*CU224</f>
        <v>0</v>
      </c>
      <c r="DE224" s="2882">
        <f>E306*E224+F306*F224+G306*G224+H306*H224+I306*I224+J306*J224+K306*K224+L306*L224+M306*M224+N306*N224+O306*O224+P306*P224+Q306*Q224+R306*R224+S306*S224+T306*T224+U306*U224+V306*V224+W306*W224+X306*X224+Y306*Y224+Z306*Z224+AA306*AA224+AB306*AB224+AC306*AC224+AD306*AD224+AE306*AE224+AF306*AF224+AG306*AG224+AH306*AH224+AI306*AI224+AJ306*AJ224+AK306*AK224+AL306*AL224+AM306*AM224+AN306*AN224+AO306*AO224+AP306*AP224+AQ306*AQ224+AR306*AR224+AS306*AS224+AT306*AT224+AU306*AU224+AV306*AV224+AW306*AW224+AX306*AX224+AY306*AY224+AZ306*AZ224+BA306*BA224+BB306*BB224+BC306*BC224+BD306*BD224+BE306*BE224+BF306*BF224+BG306*BG224+BH306*BH224+BI306*BI224+BJ306*BJ224+BK306*BK224+BL306*BL224+BM306*BM224+BN306*BN224+BO306*BO224+BP306*BP224+BQ306*BQ224+BR306*BR224+BS306*BS224+BT306*BT224+BU306*BU224+BV306*BV224+BW306*BW224+BX306*BX224+BY306*BY224+BZ306*BZ224+CA306*CA224+CB306*CB224+CC306*CC224+CD306*CD224+CE306*CE224+CF306*CF224+CG306*CG224+CH306*CH224+CI306*CI224+CJ306*CJ224+CK306*CK224+CL306*CL224+CM306*CM224+CN306*CN224+CO306*CO224+CP306*CP224+CQ306*CQ224+CR306*CR224+CS306*CS224+CT306*CT224+CU306*CU224</f>
        <v>0</v>
      </c>
      <c r="DF224" s="2882">
        <f>E307*E224+F307*F224+G307*G224+H307*H224+I307*I224+J307*J224+K307*K224+L307*L224+M307*M224+N307*N224+O307*O224+P307*P224+Q307*Q224+R307*R224+S307*S224+T307*T224+U307*U224+V307*V224+W307*W224+X307*X224+Y307*Y224+Z307*Z224+AA307*AA224+AB307*AB224+AC307*AC224+AD307*AD224+AE307*AE224+AF307*AF224+AG307*AG224+AH307*AH224+AI307*AI224+AJ307*AJ224+AK307*AK224+AL307*AL224+AM307*AM224+AN307*AN224+AO307*AO224+AP307*AP224+AQ307*AQ224+AR307*AR224+AS307*AS224+AT307*AT224+AU307*AU224+AV307*AV224+AW307*AW224+AX307*AX224+AY307*AY224+AZ307*AZ224+BA307*BA224+BB307*BB224+BC307*BC224+BD307*BD224+BE307*BE224+BF307*BF224+BG307*BG224+BH307*BH224+BI307*BI224+BJ307*BJ224+BK307*BK224+BL307*BL224+BM307*BM224+BN307*BN224+BO307*BO224+BP307*BP224+BQ307*BQ224+BR307*BR224+BS307*BS224+BT307*BT224+BU307*BU224+BV307*BV224+BW307*BW224+BX307*BX224+BY307*BY224+BZ307*BZ224+CA307*CA224+CB307*CB224+CC307*CC224+CD307*CD224+CE307*CE224+CF307*CF224+CG307*CG224+CH307*CH224+CI307*CI224+CJ307*CJ224+CK307*CK224+CL307*CL224+CM307*CM224+CN307*CN224+CO307*CO224+CP307*CP224+CQ307*CQ224+CR307*CR224+CS307*CS224+CT307*CT224+CU307*CU224</f>
        <v>0</v>
      </c>
      <c r="DG224" s="2882">
        <f>E308*E224+F308*F224+G308*G224+H308*H224+I308*I224+J308*J224+K308*K224+L308*L224+M308*M224+N308*N224+O308*O224+P308*P224+Q308*Q224+R308*R224+S308*S224+T308*T224+U308*U224+V308*V224+W308*W224+X308*X224+Y308*Y224+Z308*Z224+AA308*AA224+AB308*AB224+AC308*AC224+AD308*AD224+AE308*AE224+AF308*AF224+AG308*AG224+AH308*AH224+AI308*AI224+AJ308*AJ224+AK308*AK224+AL308*AL224+AM308*AM224+AN308*AN224+AO308*AO224+AP308*AP224+AQ308*AQ224+AR308*AR224+AS308*AS224+AT308*AT224+AU308*AU224+AV308*AV224+AW308*AW224+AX308*AX224+AY308*AY224+AZ308*AZ224+BA308*BA224+BB308*BB224+BC308*BC224+BD308*BD224+BE308*BE224+BF308*BF224+BG308*BG224+BH308*BH224+BI308*BI224+BJ308*BJ224+BK308*BK224+BL308*BL224+BM308*BM224+BN308*BN224+BO308*BO224+BP308*BP224+BQ308*BQ224+BR308*BR224+BS308*BS224+BT308*BT224+BU308*BU224+BV308*BV224+BW308*BW224+BX308*BX224+BY308*BY224+BZ308*BZ224+CA308*CA224+CB308*CB224+CC308*CC224+CD308*CD224+CE308*CE224+CF308*CF224+CG308*CG224+CH308*CH224+CI308*CI224+CJ308*CJ224+CK308*CK224+CL308*CL224+CM308*CM224+CN308*CN224+CO308*CO224+CP308*CP224+CQ308*CQ224+CR308*CR224+CS308*CS224+CT308*CT224+CU308*CU224</f>
        <v>0</v>
      </c>
      <c r="DH224" s="2882">
        <f>E309*E224+F309*F224+G309*G224+H309*H224+I309*I224+J309*J224+K309*K224+L309*L224+M309*M224+N309*N224+O309*O224+P309*P224+Q309*Q224+R309*R224+S309*S224+T309*T224+U309*U224+V309*V224+W309*W224+X309*X224+Y309*Y224+Z309*Z224+AA309*AA224+AB309*AB224+AC309*AC224+AD309*AD224+AE309*AE224+AF309*AF224+AG309*AG224+AH309*AH224+AI309*AI224+AJ309*AJ224+AK309*AK224+AL309*AL224+AM309*AM224+AN309*AN224+AO309*AO224+AP309*AP224+AQ309*AQ224+AR309*AR224+AS309*AS224+AT309*AT224+AU309*AU224+AV309*AV224+AW309*AW224+AX309*AX224+AY309*AY224+AZ309*AZ224+BA309*BA224+BB309*BB224+BC309*BC224+BD309*BD224+BE309*BE224+BF309*BF224+BG309*BG224+BH309*BH224+BI309*BI224+BJ309*BJ224+BK309*BK224+BL309*BL224+BM309*BM224+BN309*BN224+BO309*BO224+BP309*BP224+BQ309*BQ224+BR309*BR224+BS309*BS224+BT309*BT224+BU309*BU224+BV309*BV224+BW309*BW224+BX309*BX224+BY309*BY224+BZ309*BZ224+CA309*CA224+CB309*CB224+CC309*CC224+CD309*CD224+CE309*CE224+CF309*CF224+CG309*CG224+CH309*CH224+CI309*CI224+CJ309*CJ224+CK309*CK224+CL309*CL224+CM309*CM224+CN309*CN224+CO309*CO224+CP309*CP224+CQ309*CQ224+CR309*CR224+CS309*CS224+CT309*CT224+CU309*CU224</f>
        <v>0</v>
      </c>
      <c r="DI224" s="2882">
        <f>E310*E224+F310*F224+G310*G224+H310*H224+I310*I224+J310*J224+K310*K224+L310*L224+M310*M224+N310*N224+O310*O224+P310*P224+Q310*Q224+R310*R224+S310*S224+T310*T224+U310*U224+V310*V224+W310*W224+X310*X224+Y310*Y224+Z310*Z224+AA310*AA224+AB310*AB224+AC310*AC224+AD310*AD224+AE310*AE224+AF310*AF224+AG310*AG224+AH310*AH224+AI310*AI224+AJ310*AJ224+AK310*AK224+AL310*AL224+AM310*AM224+AN310*AN224+AO310*AO224+AP310*AP224+AQ310*AQ224+AR310*AR224+AS310*AS224+AT310*AT224+AU310*AU224+AV310*AV224+AW310*AW224+AX310*AX224+AY310*AY224+AZ310*AZ224+BA310*BA224+BB310*BB224+BC310*BC224+BD310*BD224+BE310*BE224+BF310*BF224+BG310*BG224+BH310*BH224+BI310*BI224+BJ310*BJ224+BK310*BK224+BL310*BL224+BM310*BM224+BN310*BN224+BO310*BO224+BP310*BP224+BQ310*BQ224+BR310*BR224+BS310*BS224+BT310*BT224+BU310*BU224+BV310*BV224+BW310*BW224+BX310*BX224+BY310*BY224+BZ310*BZ224+CA310*CA224+CB310*CB224+CC310*CC224+CD310*CD224+CE310*CE224+CF310*CF224+CG310*CG224+CH310*CH224+CI310*CI224+CJ310*CJ224+CK310*CK224+CL310*CL224+CM310*CM224+CN310*CN224+CO310*CO224+CP310*CP224+CQ310*CQ224+CR310*CR224+CS310*CS224+CT310*CT224+CU310*CU224</f>
        <v>0</v>
      </c>
    </row>
    <row r="225" spans="2:113" x14ac:dyDescent="0.45">
      <c r="B225" s="788">
        <v>66</v>
      </c>
      <c r="C225" s="788" t="s">
        <v>2473</v>
      </c>
      <c r="D225" s="789" t="s">
        <v>1697</v>
      </c>
      <c r="E225" s="734">
        <f>0</f>
        <v>0</v>
      </c>
      <c r="F225" s="734">
        <f>0</f>
        <v>0</v>
      </c>
      <c r="G225" s="734">
        <f>0</f>
        <v>0</v>
      </c>
      <c r="H225" s="734">
        <f>0</f>
        <v>0</v>
      </c>
      <c r="I225" s="734">
        <f>1</f>
        <v>1</v>
      </c>
      <c r="J225" s="734">
        <f>0</f>
        <v>0</v>
      </c>
      <c r="K225" s="734">
        <f>0</f>
        <v>0</v>
      </c>
      <c r="L225" s="734">
        <f>0</f>
        <v>0</v>
      </c>
      <c r="M225" s="734">
        <f>0</f>
        <v>0</v>
      </c>
      <c r="N225" s="734">
        <f>0</f>
        <v>0</v>
      </c>
      <c r="O225" s="734">
        <f>-1</f>
        <v>-1</v>
      </c>
      <c r="P225" s="734">
        <f>0</f>
        <v>0</v>
      </c>
      <c r="Q225" s="734">
        <f>0</f>
        <v>0</v>
      </c>
      <c r="R225" s="734">
        <f>0</f>
        <v>0</v>
      </c>
      <c r="S225" s="734">
        <f>0</f>
        <v>0</v>
      </c>
      <c r="T225" s="734">
        <f>0</f>
        <v>0</v>
      </c>
      <c r="U225" s="734">
        <f>0</f>
        <v>0</v>
      </c>
      <c r="V225" s="734">
        <f>0</f>
        <v>0</v>
      </c>
      <c r="W225" s="734">
        <f>0</f>
        <v>0</v>
      </c>
      <c r="X225" s="734">
        <f>0</f>
        <v>0</v>
      </c>
      <c r="Y225" s="734">
        <f>0</f>
        <v>0</v>
      </c>
      <c r="Z225" s="734">
        <f>0</f>
        <v>0</v>
      </c>
      <c r="AA225" s="734">
        <f>0</f>
        <v>0</v>
      </c>
      <c r="AB225" s="734">
        <f>0</f>
        <v>0</v>
      </c>
      <c r="AC225" s="734">
        <f>0</f>
        <v>0</v>
      </c>
      <c r="AD225" s="734">
        <f>0</f>
        <v>0</v>
      </c>
      <c r="AE225" s="734">
        <f>0</f>
        <v>0</v>
      </c>
      <c r="AF225" s="734">
        <f>0</f>
        <v>0</v>
      </c>
      <c r="AG225" s="734">
        <f>0</f>
        <v>0</v>
      </c>
      <c r="AH225" s="734">
        <f>0</f>
        <v>0</v>
      </c>
      <c r="AI225" s="734">
        <f>0</f>
        <v>0</v>
      </c>
      <c r="AJ225" s="734">
        <f>0</f>
        <v>0</v>
      </c>
      <c r="AK225" s="734">
        <f>i_N_XE</f>
        <v>0.06</v>
      </c>
      <c r="AL225" s="734">
        <f>0</f>
        <v>0</v>
      </c>
      <c r="AM225" s="734">
        <f>0</f>
        <v>0</v>
      </c>
      <c r="AN225" s="734">
        <f>0</f>
        <v>0</v>
      </c>
      <c r="AO225" s="734">
        <f>0</f>
        <v>0</v>
      </c>
      <c r="AP225" s="734">
        <f>i_P_BIO</f>
        <v>0.02</v>
      </c>
      <c r="AQ225" s="734">
        <f>0</f>
        <v>0</v>
      </c>
      <c r="AR225" s="734">
        <f>0</f>
        <v>0</v>
      </c>
      <c r="AS225" s="734">
        <f>0</f>
        <v>0</v>
      </c>
      <c r="AT225" s="734">
        <f>0</f>
        <v>0</v>
      </c>
      <c r="AU225" s="734">
        <f>i_CIT_BIO-i_CIT_SB</f>
        <v>6.6000000000000003E-2</v>
      </c>
      <c r="AV225" s="734">
        <f>0</f>
        <v>0</v>
      </c>
      <c r="AW225" s="734">
        <f>0</f>
        <v>0</v>
      </c>
      <c r="AX225" s="734">
        <f>0</f>
        <v>0</v>
      </c>
      <c r="AY225" s="734">
        <f>0</f>
        <v>0</v>
      </c>
      <c r="AZ225" s="734">
        <f>0</f>
        <v>0</v>
      </c>
      <c r="BA225" s="734">
        <f>0</f>
        <v>0</v>
      </c>
      <c r="BB225" s="734">
        <f>0</f>
        <v>0</v>
      </c>
      <c r="BC225" s="793">
        <f>-i_S_XB+i_S_BIO</f>
        <v>8.5000000000000006E-3</v>
      </c>
      <c r="BD225" s="734">
        <f>0</f>
        <v>0</v>
      </c>
      <c r="BE225" s="734">
        <f>0</f>
        <v>0</v>
      </c>
      <c r="BF225" s="734">
        <f>0</f>
        <v>0</v>
      </c>
      <c r="BG225" s="734">
        <f>0</f>
        <v>0</v>
      </c>
      <c r="BH225" s="734">
        <f>0</f>
        <v>0</v>
      </c>
      <c r="BI225" s="734">
        <f>0</f>
        <v>0</v>
      </c>
      <c r="BJ225" s="734">
        <f>0</f>
        <v>0</v>
      </c>
      <c r="BK225" s="734">
        <f>0</f>
        <v>0</v>
      </c>
      <c r="BL225" s="734">
        <f>0</f>
        <v>0</v>
      </c>
      <c r="BM225" s="734">
        <f>0</f>
        <v>0</v>
      </c>
      <c r="BN225" s="734">
        <f>0</f>
        <v>0</v>
      </c>
      <c r="BO225" s="734">
        <f>0</f>
        <v>0</v>
      </c>
      <c r="BP225" s="734">
        <f>0</f>
        <v>0</v>
      </c>
      <c r="BQ225" s="734">
        <f>0</f>
        <v>0</v>
      </c>
      <c r="BR225" s="734">
        <f>0</f>
        <v>0</v>
      </c>
      <c r="BS225" s="734">
        <f>0</f>
        <v>0</v>
      </c>
      <c r="BT225" s="734">
        <f>0</f>
        <v>0</v>
      </c>
      <c r="BU225" s="734">
        <f>0</f>
        <v>0</v>
      </c>
      <c r="BV225" s="901">
        <f>0</f>
        <v>0</v>
      </c>
      <c r="BW225" s="734">
        <f>0</f>
        <v>0</v>
      </c>
      <c r="BX225" s="734">
        <f>0</f>
        <v>0</v>
      </c>
      <c r="BY225" s="734">
        <f>0</f>
        <v>0</v>
      </c>
      <c r="BZ225" s="734">
        <f>0</f>
        <v>0</v>
      </c>
      <c r="CA225" s="901">
        <f>0</f>
        <v>0</v>
      </c>
      <c r="CB225" s="734">
        <f>0</f>
        <v>0</v>
      </c>
      <c r="CC225" s="734">
        <f>0</f>
        <v>0</v>
      </c>
      <c r="CD225" s="734">
        <f>0</f>
        <v>0</v>
      </c>
      <c r="CE225" s="734">
        <f>0</f>
        <v>0</v>
      </c>
      <c r="CF225" s="734">
        <f>0</f>
        <v>0</v>
      </c>
      <c r="CG225" s="734">
        <f>0</f>
        <v>0</v>
      </c>
      <c r="CH225" s="734">
        <f>0</f>
        <v>0</v>
      </c>
      <c r="CI225" s="734">
        <f>0</f>
        <v>0</v>
      </c>
      <c r="CJ225" s="734">
        <f>0</f>
        <v>0</v>
      </c>
      <c r="CK225" s="734">
        <f>0</f>
        <v>0</v>
      </c>
      <c r="CL225" s="734">
        <f>0</f>
        <v>0</v>
      </c>
      <c r="CM225" s="734">
        <f>0</f>
        <v>0</v>
      </c>
      <c r="CN225" s="734">
        <f>0</f>
        <v>0</v>
      </c>
      <c r="CO225" s="734">
        <f>0</f>
        <v>0</v>
      </c>
      <c r="CP225" s="734">
        <f>0</f>
        <v>0</v>
      </c>
      <c r="CQ225" s="734">
        <f>0</f>
        <v>0</v>
      </c>
      <c r="CR225" s="734">
        <f>0</f>
        <v>0</v>
      </c>
      <c r="CS225" s="734">
        <f>0</f>
        <v>0</v>
      </c>
      <c r="CT225" s="734">
        <f>0</f>
        <v>0</v>
      </c>
      <c r="CU225" s="734">
        <f>0</f>
        <v>0</v>
      </c>
      <c r="CV225" s="2863">
        <f>q_XE_T*X_E</f>
        <v>2.1</v>
      </c>
      <c r="CX225" s="2880">
        <f>E299*E225+F299*F225+G299*G225+H299*H225+I299*I225+J299*J225+K299*K225+L299*L225+M299*M225+N299*N225+O299*O225+P299*P225+Q299*Q225+R299*R225+S299*S225+T299*T225+U299*U225+V299*V225+W299*W225+X299*X225+Y299*Y225+Z299*Z225+AA299*AA225+AB299*AB225+AC299*AC225+AD299*AD225+AE299*AE225+AF299*AF225+AG299*AG225+AH299*AH225+AI299*AI225+AJ299*AJ225+AK299*AK225+AL299*AL225+AM299*AM225+AN299*AN225+AO299*AO225+AP299*AP225+AQ299*AQ225+AR299*AR225+AS299*AS225+AT299*AT225+AU299*AU225+AV299*AV225+AW299*AW225+AX299*AX225+AY299*AY225+AZ299*AZ225+BA299*BA225+BB299*BB225+BC299*BC225+BD299*BD225+BE299*BE225+BF299*BF225+BG299*BG225+BH299*BH225+BI299*BI225+BJ299*BJ225+BK299*BK225+BL299*BL225+BM299*BM225+BN299*BN225+BO299*BO225+BP299*BP225+BQ299*BQ225+BR299*BR225+BS299*BS225+BT299*BT225+BU299*BU225+BV299*BV225+BW299*BW225+BX299*BX225+BY299*BY225+BZ299*BZ225+CA299*CA225+CB299*CB225+CC299*CC225+CD299*CD225+CE299*CE225+CF299*CF225+CG299*CG225+CH299*CH225+CI299*CI225+CJ299*CJ225+CK299*CK225+CL299*CL225+CM299*CM225+CN299*CN225+CO299*CO225+CP299*CP225+CQ299*CQ225+CR299*CR225+CS299*CS225+CT299*CT225+CU299*CU225</f>
        <v>0</v>
      </c>
      <c r="CY225" s="2880">
        <f>E300*E225+F300*F225+G300*G225+H300*H225+I300*I225+J300*J225+K300*K225+L300*L225+M300*M225+N300*N225+O300*O225+P300*P225+Q300*Q225+R300*R225+S300*S225+T300*T225+U300*U225+V300*V225+W300*W225+X300*X225+Y300*Y225+Z300*Z225+AA300*AA225+AB300*AB225+AC300*AC225+AD300*AD225+AE300*AE225+AF300*AF225+AG300*AG225+AH300*AH225+AI300*AI225+AJ300*AJ225+AK300*AK225+AL300*AL225+AM300*AM225+AN300*AN225+AO300*AO225+AP300*AP225+AQ300*AQ225+AR300*AR225+AS300*AS225+AT300*AT225+AU300*AU225+AV300*AV225+AW300*AW225+AX300*AX225+AY300*AY225+AZ300*AZ225+BA300*BA225+BB300*BB225+BC300*BC225+BD300*BD225+BE300*BE225+BF300*BF225+BG300*BG225+BH300*BH225+BI300*BI225+BJ300*BJ225+BK300*BK225+BL300*BL225+BM300*BM225+BN300*BN225+BO300*BO225+BP300*BP225+BQ300*BQ225+BR300*BR225+BS300*BS225+BT300*BT225+BU300*BU225+BV300*BV225+BW300*BW225+BX300*BX225+BY300*BY225+BZ300*BZ225+CA300*CA225+CB300*CB225+CC300*CC225+CD300*CD225+CE300*CE225+CF300*CF225+CG300*CG225+CH300*CH225+CI300*CI225+CJ300*CJ225+CK300*CK225+CL300*CL225+CM300*CM225+CN300*CN225+CO300*CO225+CP300*CP225+CQ300*CQ225+CR300*CR225+CS300*CS225+CT300*CT225+CU300*CU225</f>
        <v>0</v>
      </c>
      <c r="CZ225" s="2881">
        <f>E301*E225+F301*F225+G301*G225+H301*H225+I301*I225+J301*J225+K301*K225+L301*L225+M301*M225+N301*N225+O301*O225+P301*P225+Q301*Q225+R301*R225+S301*S225+T301*T225+U301*U225+V301*V225+W301*W225+X301*X225+Y301*Y225+Z301*Z225+AA301*AA225+AB301*AB225+AC301*AC225+AD301*AD225+AE301*AE225+AF301*AF225+AG301*AG225+AH301*AH225+AI301*AI225+AJ301*AJ225+AK301*AK225+AL301*AL225+AM301*AM225+AN301*AN225+AO301*AO225+AP301*AP225+AQ301*AQ225+AR301*AR225+AS301*AS225+AT301*AT225+AU301*AU225+AV301*AV225+AW301*AW225+AX301*AX225+AY301*AY225+AZ301*AZ225+BA301*BA225+BB301*BB225+BC301*BC225+BD301*BD225+BE301*BE225+BF301*BF225+BG301*BG225+BH301*BH225+BI301*BI225+BJ301*BJ225+BK301*BK225+BL301*BL225+BM301*BM225+BN301*BN225+BO301*BO225+BP301*BP225+BQ301*BQ225+BR301*BR225+BS301*BS225+BT301*BT225+BU301*BU225+BV301*BV225+BW301*BW225+BX301*BX225+BY301*BY225+BZ301*BZ225+CA301*CA225+CB301*CB225+CC301*CC225+CD301*CD225+CE301*CE225+CF301*CF225+CG301*CG225+CH301*CH225+CI301*CI225+CJ301*CJ225+CK301*CK225+CL301*CL225+CM301*CM225+CN301*CN225+CO301*CO225+CP301*CP225+CQ301*CQ225+CR301*CR225+CS301*CS225+CT301*CT225+CU301*CU225</f>
        <v>0</v>
      </c>
      <c r="DA225" s="2882">
        <f>E302*E225+F302*F225+G302*G225+H302*H225+I302*I225+J302*J225+K302*K225+L302*L225+M302*M225+N302*N225+O302*O225+P302*P225+Q302*Q225+R302*R225+S302*S225+T302*T225+U302*U225+V302*V225+W302*W225+X302*X225+Y302*Y225+Z302*Z225+AA302*AA225+AB302*AB225+AC302*AC225+AD302*AD225+AE302*AE225+AF302*AF225+AG302*AG225+AH302*AH225+AI302*AI225+AJ302*AJ225+AK302*AK225+AL302*AL225+AM302*AM225+AN302*AN225+AO302*AO225+AP302*AP225+AQ302*AQ225+AR302*AR225+AS302*AS225+AT302*AT225+AU302*AU225+AV302*AV225+AW302*AW225+AX302*AX225+AY302*AY225+AZ302*AZ225+BA302*BA225+BB302*BB225+BC302*BC225+BD302*BD225+BE302*BE225+BF302*BF225+BG302*BG225+BH302*BH225+BI302*BI225+BJ302*BJ225+BK302*BK225+BL302*BL225+BM302*BM225+BN302*BN225+BO302*BO225+BP302*BP225+BQ302*BQ225+BR302*BR225+BS302*BS225+BT302*BT225+BU302*BU225+BV302*BV225+BW302*BW225+BX302*BX225+BY302*BY225+BZ302*BZ225+CA302*CA225+CB302*CB225+CC302*CC225+CD302*CD225+CE302*CE225+CF302*CF225+CG302*CG225+CH302*CH225+CI302*CI225+CJ302*CJ225+CK302*CK225+CL302*CL225+CM302*CM225+CN302*CN225+CO302*CO225+CP302*CP225+CQ302*CQ225+CR302*CR225+CS302*CS225+CT302*CT225+CU302*CU225</f>
        <v>0</v>
      </c>
      <c r="DB225" s="2882">
        <f>E303*E225+F303*F225+G303*G225+H303*H225+I303*I225+J303*J225+K303*K225+L303*L225+M303*M225+N303*N225+O303*O225+P303*P225+Q303*Q225+R303*R225+S303*S225+T303*T225+U303*U225+V303*V225+W303*W225+X303*X225+Y303*Y225+Z303*Z225+AA303*AA225+AB303*AB225+AC303*AC225+AD303*AD225+AE303*AE225+AF303*AF225+AG303*AG225+AH303*AH225+AI303*AI225+AJ303*AJ225+AK303*AK225+AL303*AL225+AM303*AM225+AN303*AN225+AO303*AO225+AP303*AP225+AQ303*AQ225+AR303*AR225+AS303*AS225+AT303*AT225+AU303*AU225+AV303*AV225+AW303*AW225+AX303*AX225+AY303*AY225+AZ303*AZ225+BA303*BA225+BB303*BB225+BC303*BC225+BD303*BD225+BE303*BE225+BF303*BF225+BG303*BG225+BH303*BH225+BI303*BI225+BJ303*BJ225+BK303*BK225+BL303*BL225+BM303*BM225+BN303*BN225+BO303*BO225+BP303*BP225+BQ303*BQ225+BR303*BR225+BS303*BS225+BT303*BT225+BU303*BU225+BV303*BV225+BW303*BW225+BX303*BX225+BY303*BY225+BZ303*BZ225+CA303*CA225+CB303*CB225+CC303*CC225+CD303*CD225+CE303*CE225+CF303*CF225+CG303*CG225+CH303*CH225+CI303*CI225+CJ303*CJ225+CK303*CK225+CL303*CL225+CM303*CM225+CN303*CN225+CO303*CO225+CP303*CP225+CQ303*CQ225+CR303*CR225+CS303*CS225+CT303*CT225+CU303*CU225</f>
        <v>0</v>
      </c>
      <c r="DC225" s="2882">
        <f>E304*E225+F304*F225+G304*G225+H304*H225+I304*I225+J304*J225+K304*K225+L304*L225+M304*M225+N304*N225+O304*O225+P304*P225+Q304*Q225+R304*R225+S304*S225+T304*T225+U304*U225+V304*V225+W304*W225+X304*X225+Y304*Y225+Z304*Z225+AA304*AA225+AB304*AB225+AC304*AC225+AD304*AD225+AE304*AE225+AF304*AF225+AG304*AG225+AH304*AH225+AI304*AI225+AJ304*AJ225+AK304*AK225+AL304*AL225+AM304*AM225+AN304*AN225+AO304*AO225+AP304*AP225+AQ304*AQ225+AR304*AR225+AS304*AS225+AT304*AT225+AU304*AU225+AV304*AV225+AW304*AW225+AX304*AX225+AY304*AY225+AZ304*AZ225+BA304*BA225+BB304*BB225+BC304*BC225+BD304*BD225+BE304*BE225+BF304*BF225+BG304*BG225+BH304*BH225+BI304*BI225+BJ304*BJ225+BK304*BK225+BL304*BL225+BM304*BM225+BN304*BN225+BO304*BO225+BP304*BP225+BQ304*BQ225+BR304*BR225+BS304*BS225+BT304*BT225+BU304*BU225+BV304*BV225+BW304*BW225+BX304*BX225+BY304*BY225+BZ304*BZ225+CA304*CA225+CB304*CB225+CC304*CC225+CD304*CD225+CE304*CE225+CF304*CF225+CG304*CG225+CH304*CH225+CI304*CI225+CJ304*CJ225+CK304*CK225+CL304*CL225+CM304*CM225+CN304*CN225+CO304*CO225+CP304*CP225+CQ304*CQ225+CR304*CR225+CS304*CS225+CT304*CT225+CU304*CU225</f>
        <v>0</v>
      </c>
      <c r="DD225" s="2882">
        <f>E305*E225+F305*F225+G305*G225+H305*H225+I305*I225+J305*J225+K305*K225+L305*L225+M305*M225+N305*N225+O305*O225+P305*P225+Q305*Q225+R305*R225+S305*S225+T305*T225+U305*U225+V305*V225+W305*W225+X305*X225+Y305*Y225+Z305*Z225+AA305*AA225+AB305*AB225+AC305*AC225+AD305*AD225+AE305*AE225+AF305*AF225+AG305*AG225+AH305*AH225+AI305*AI225+AJ305*AJ225+AK305*AK225+AL305*AL225+AM305*AM225+AN305*AN225+AO305*AO225+AP305*AP225+AQ305*AQ225+AR305*AR225+AS305*AS225+AT305*AT225+AU305*AU225+AV305*AV225+AW305*AW225+AX305*AX225+AY305*AY225+AZ305*AZ225+BA305*BA225+BB305*BB225+BC305*BC225+BD305*BD225+BE305*BE225+BF305*BF225+BG305*BG225+BH305*BH225+BI305*BI225+BJ305*BJ225+BK305*BK225+BL305*BL225+BM305*BM225+BN305*BN225+BO305*BO225+BP305*BP225+BQ305*BQ225+BR305*BR225+BS305*BS225+BT305*BT225+BU305*BU225+BV305*BV225+BW305*BW225+BX305*BX225+BY305*BY225+BZ305*BZ225+CA305*CA225+CB305*CB225+CC305*CC225+CD305*CD225+CE305*CE225+CF305*CF225+CG305*CG225+CH305*CH225+CI305*CI225+CJ305*CJ225+CK305*CK225+CL305*CL225+CM305*CM225+CN305*CN225+CO305*CO225+CP305*CP225+CQ305*CQ225+CR305*CR225+CS305*CS225+CT305*CT225+CU305*CU225</f>
        <v>0</v>
      </c>
      <c r="DE225" s="2882">
        <f>E306*E225+F306*F225+G306*G225+H306*H225+I306*I225+J306*J225+K306*K225+L306*L225+M306*M225+N306*N225+O306*O225+P306*P225+Q306*Q225+R306*R225+S306*S225+T306*T225+U306*U225+V306*V225+W306*W225+X306*X225+Y306*Y225+Z306*Z225+AA306*AA225+AB306*AB225+AC306*AC225+AD306*AD225+AE306*AE225+AF306*AF225+AG306*AG225+AH306*AH225+AI306*AI225+AJ306*AJ225+AK306*AK225+AL306*AL225+AM306*AM225+AN306*AN225+AO306*AO225+AP306*AP225+AQ306*AQ225+AR306*AR225+AS306*AS225+AT306*AT225+AU306*AU225+AV306*AV225+AW306*AW225+AX306*AX225+AY306*AY225+AZ306*AZ225+BA306*BA225+BB306*BB225+BC306*BC225+BD306*BD225+BE306*BE225+BF306*BF225+BG306*BG225+BH306*BH225+BI306*BI225+BJ306*BJ225+BK306*BK225+BL306*BL225+BM306*BM225+BN306*BN225+BO306*BO225+BP306*BP225+BQ306*BQ225+BR306*BR225+BS306*BS225+BT306*BT225+BU306*BU225+BV306*BV225+BW306*BW225+BX306*BX225+BY306*BY225+BZ306*BZ225+CA306*CA225+CB306*CB225+CC306*CC225+CD306*CD225+CE306*CE225+CF306*CF225+CG306*CG225+CH306*CH225+CI306*CI225+CJ306*CJ225+CK306*CK225+CL306*CL225+CM306*CM225+CN306*CN225+CO306*CO225+CP306*CP225+CQ306*CQ225+CR306*CR225+CS306*CS225+CT306*CT225+CU306*CU225</f>
        <v>0</v>
      </c>
      <c r="DF225" s="2882">
        <f>E307*E225+F307*F225+G307*G225+H307*H225+I307*I225+J307*J225+K307*K225+L307*L225+M307*M225+N307*N225+O307*O225+P307*P225+Q307*Q225+R307*R225+S307*S225+T307*T225+U307*U225+V307*V225+W307*W225+X307*X225+Y307*Y225+Z307*Z225+AA307*AA225+AB307*AB225+AC307*AC225+AD307*AD225+AE307*AE225+AF307*AF225+AG307*AG225+AH307*AH225+AI307*AI225+AJ307*AJ225+AK307*AK225+AL307*AL225+AM307*AM225+AN307*AN225+AO307*AO225+AP307*AP225+AQ307*AQ225+AR307*AR225+AS307*AS225+AT307*AT225+AU307*AU225+AV307*AV225+AW307*AW225+AX307*AX225+AY307*AY225+AZ307*AZ225+BA307*BA225+BB307*BB225+BC307*BC225+BD307*BD225+BE307*BE225+BF307*BF225+BG307*BG225+BH307*BH225+BI307*BI225+BJ307*BJ225+BK307*BK225+BL307*BL225+BM307*BM225+BN307*BN225+BO307*BO225+BP307*BP225+BQ307*BQ225+BR307*BR225+BS307*BS225+BT307*BT225+BU307*BU225+BV307*BV225+BW307*BW225+BX307*BX225+BY307*BY225+BZ307*BZ225+CA307*CA225+CB307*CB225+CC307*CC225+CD307*CD225+CE307*CE225+CF307*CF225+CG307*CG225+CH307*CH225+CI307*CI225+CJ307*CJ225+CK307*CK225+CL307*CL225+CM307*CM225+CN307*CN225+CO307*CO225+CP307*CP225+CQ307*CQ225+CR307*CR225+CS307*CS225+CT307*CT225+CU307*CU225</f>
        <v>0</v>
      </c>
      <c r="DG225" s="2882">
        <f>E308*E225+F308*F225+G308*G225+H308*H225+I308*I225+J308*J225+K308*K225+L308*L225+M308*M225+N308*N225+O308*O225+P308*P225+Q308*Q225+R308*R225+S308*S225+T308*T225+U308*U225+V308*V225+W308*W225+X308*X225+Y308*Y225+Z308*Z225+AA308*AA225+AB308*AB225+AC308*AC225+AD308*AD225+AE308*AE225+AF308*AF225+AG308*AG225+AH308*AH225+AI308*AI225+AJ308*AJ225+AK308*AK225+AL308*AL225+AM308*AM225+AN308*AN225+AO308*AO225+AP308*AP225+AQ308*AQ225+AR308*AR225+AS308*AS225+AT308*AT225+AU308*AU225+AV308*AV225+AW308*AW225+AX308*AX225+AY308*AY225+AZ308*AZ225+BA308*BA225+BB308*BB225+BC308*BC225+BD308*BD225+BE308*BE225+BF308*BF225+BG308*BG225+BH308*BH225+BI308*BI225+BJ308*BJ225+BK308*BK225+BL308*BL225+BM308*BM225+BN308*BN225+BO308*BO225+BP308*BP225+BQ308*BQ225+BR308*BR225+BS308*BS225+BT308*BT225+BU308*BU225+BV308*BV225+BW308*BW225+BX308*BX225+BY308*BY225+BZ308*BZ225+CA308*CA225+CB308*CB225+CC308*CC225+CD308*CD225+CE308*CE225+CF308*CF225+CG308*CG225+CH308*CH225+CI308*CI225+CJ308*CJ225+CK308*CK225+CL308*CL225+CM308*CM225+CN308*CN225+CO308*CO225+CP308*CP225+CQ308*CQ225+CR308*CR225+CS308*CS225+CT308*CT225+CU308*CU225</f>
        <v>0</v>
      </c>
      <c r="DH225" s="2882">
        <f>E309*E225+F309*F225+G309*G225+H309*H225+I309*I225+J309*J225+K309*K225+L309*L225+M309*M225+N309*N225+O309*O225+P309*P225+Q309*Q225+R309*R225+S309*S225+T309*T225+U309*U225+V309*V225+W309*W225+X309*X225+Y309*Y225+Z309*Z225+AA309*AA225+AB309*AB225+AC309*AC225+AD309*AD225+AE309*AE225+AF309*AF225+AG309*AG225+AH309*AH225+AI309*AI225+AJ309*AJ225+AK309*AK225+AL309*AL225+AM309*AM225+AN309*AN225+AO309*AO225+AP309*AP225+AQ309*AQ225+AR309*AR225+AS309*AS225+AT309*AT225+AU309*AU225+AV309*AV225+AW309*AW225+AX309*AX225+AY309*AY225+AZ309*AZ225+BA309*BA225+BB309*BB225+BC309*BC225+BD309*BD225+BE309*BE225+BF309*BF225+BG309*BG225+BH309*BH225+BI309*BI225+BJ309*BJ225+BK309*BK225+BL309*BL225+BM309*BM225+BN309*BN225+BO309*BO225+BP309*BP225+BQ309*BQ225+BR309*BR225+BS309*BS225+BT309*BT225+BU309*BU225+BV309*BV225+BW309*BW225+BX309*BX225+BY309*BY225+BZ309*BZ225+CA309*CA225+CB309*CB225+CC309*CC225+CD309*CD225+CE309*CE225+CF309*CF225+CG309*CG225+CH309*CH225+CI309*CI225+CJ309*CJ225+CK309*CK225+CL309*CL225+CM309*CM225+CN309*CN225+CO309*CO225+CP309*CP225+CQ309*CQ225+CR309*CR225+CS309*CS225+CT309*CT225+CU309*CU225</f>
        <v>0</v>
      </c>
      <c r="DI225" s="2882">
        <f>E310*E225+F310*F225+G310*G225+H310*H225+I310*I225+J310*J225+K310*K225+L310*L225+M310*M225+N310*N225+O310*O225+P310*P225+Q310*Q225+R310*R225+S310*S225+T310*T225+U310*U225+V310*V225+W310*W225+X310*X225+Y310*Y225+Z310*Z225+AA310*AA225+AB310*AB225+AC310*AC225+AD310*AD225+AE310*AE225+AF310*AF225+AG310*AG225+AH310*AH225+AI310*AI225+AJ310*AJ225+AK310*AK225+AL310*AL225+AM310*AM225+AN310*AN225+AO310*AO225+AP310*AP225+AQ310*AQ225+AR310*AR225+AS310*AS225+AT310*AT225+AU310*AU225+AV310*AV225+AW310*AW225+AX310*AX225+AY310*AY225+AZ310*AZ225+BA310*BA225+BB310*BB225+BC310*BC225+BD310*BD225+BE310*BE225+BF310*BF225+BG310*BG225+BH310*BH225+BI310*BI225+BJ310*BJ225+BK310*BK225+BL310*BL225+BM310*BM225+BN310*BN225+BO310*BO225+BP310*BP225+BQ310*BQ225+BR310*BR225+BS310*BS225+BT310*BT225+BU310*BU225+BV310*BV225+BW310*BW225+BX310*BX225+BY310*BY225+BZ310*BZ225+CA310*CA225+CB310*CB225+CC310*CC225+CD310*CD225+CE310*CE225+CF310*CF225+CG310*CG225+CH310*CH225+CI310*CI225+CJ310*CJ225+CK310*CK225+CL310*CL225+CM310*CM225+CN310*CN225+CO310*CO225+CP310*CP225+CQ310*CQ225+CR310*CR225+CS310*CS225+CT310*CT225+CU310*CU225</f>
        <v>0</v>
      </c>
    </row>
    <row r="226" spans="2:113" x14ac:dyDescent="0.45">
      <c r="B226" s="788">
        <v>67</v>
      </c>
      <c r="C226" s="788" t="s">
        <v>2474</v>
      </c>
      <c r="D226" s="789" t="s">
        <v>1742</v>
      </c>
      <c r="E226" s="734">
        <f>0</f>
        <v>0</v>
      </c>
      <c r="F226" s="734">
        <f>1</f>
        <v>1</v>
      </c>
      <c r="G226" s="734">
        <f>0</f>
        <v>0</v>
      </c>
      <c r="H226" s="734">
        <f>0</f>
        <v>0</v>
      </c>
      <c r="I226" s="734">
        <f>0</f>
        <v>0</v>
      </c>
      <c r="J226" s="734">
        <f>0</f>
        <v>0</v>
      </c>
      <c r="K226" s="734">
        <f>0</f>
        <v>0</v>
      </c>
      <c r="L226" s="734">
        <f>0</f>
        <v>0</v>
      </c>
      <c r="M226" s="734">
        <f>0</f>
        <v>0</v>
      </c>
      <c r="N226" s="734">
        <f>0</f>
        <v>0</v>
      </c>
      <c r="O226" s="734">
        <f>0</f>
        <v>0</v>
      </c>
      <c r="P226" s="734">
        <f>-1</f>
        <v>-1</v>
      </c>
      <c r="Q226" s="734">
        <f>0</f>
        <v>0</v>
      </c>
      <c r="R226" s="734">
        <f>0</f>
        <v>0</v>
      </c>
      <c r="S226" s="734">
        <f>0</f>
        <v>0</v>
      </c>
      <c r="T226" s="734">
        <f>0</f>
        <v>0</v>
      </c>
      <c r="U226" s="734">
        <f>0</f>
        <v>0</v>
      </c>
      <c r="V226" s="734">
        <f>0</f>
        <v>0</v>
      </c>
      <c r="W226" s="734">
        <f>0</f>
        <v>0</v>
      </c>
      <c r="X226" s="734">
        <f>0</f>
        <v>0</v>
      </c>
      <c r="Y226" s="734">
        <f>0</f>
        <v>0</v>
      </c>
      <c r="Z226" s="734">
        <f>0</f>
        <v>0</v>
      </c>
      <c r="AA226" s="734">
        <f>0</f>
        <v>0</v>
      </c>
      <c r="AB226" s="734">
        <f>0</f>
        <v>0</v>
      </c>
      <c r="AC226" s="734">
        <f>0</f>
        <v>0</v>
      </c>
      <c r="AD226" s="734">
        <f>0</f>
        <v>0</v>
      </c>
      <c r="AE226" s="734">
        <f>0</f>
        <v>0</v>
      </c>
      <c r="AF226" s="734">
        <f>0</f>
        <v>0</v>
      </c>
      <c r="AG226" s="734">
        <f>0</f>
        <v>0</v>
      </c>
      <c r="AH226" s="734">
        <f>0</f>
        <v>0</v>
      </c>
      <c r="AI226" s="734">
        <f>0</f>
        <v>0</v>
      </c>
      <c r="AJ226" s="734">
        <f>0</f>
        <v>0</v>
      </c>
      <c r="AK226" s="734">
        <f>i_N_XE</f>
        <v>0.06</v>
      </c>
      <c r="AL226" s="734">
        <f>0</f>
        <v>0</v>
      </c>
      <c r="AM226" s="734">
        <f>0</f>
        <v>0</v>
      </c>
      <c r="AN226" s="734">
        <f>0</f>
        <v>0</v>
      </c>
      <c r="AO226" s="734">
        <f>0</f>
        <v>0</v>
      </c>
      <c r="AP226" s="734">
        <f>i_P_BIO</f>
        <v>0.02</v>
      </c>
      <c r="AQ226" s="734">
        <f>0</f>
        <v>0</v>
      </c>
      <c r="AR226" s="734">
        <f>0</f>
        <v>0</v>
      </c>
      <c r="AS226" s="734">
        <f>0</f>
        <v>0</v>
      </c>
      <c r="AT226" s="734">
        <f>0</f>
        <v>0</v>
      </c>
      <c r="AU226" s="734">
        <f>i_CIT_BIO-i_CIT_SB</f>
        <v>6.6000000000000003E-2</v>
      </c>
      <c r="AV226" s="734">
        <f>0</f>
        <v>0</v>
      </c>
      <c r="AW226" s="734">
        <f>0</f>
        <v>0</v>
      </c>
      <c r="AX226" s="734">
        <f>0</f>
        <v>0</v>
      </c>
      <c r="AY226" s="734">
        <f>0</f>
        <v>0</v>
      </c>
      <c r="AZ226" s="734">
        <f>0</f>
        <v>0</v>
      </c>
      <c r="BA226" s="734">
        <f>0</f>
        <v>0</v>
      </c>
      <c r="BB226" s="734">
        <f>0</f>
        <v>0</v>
      </c>
      <c r="BC226" s="793">
        <f>-i_S_SB+i_S_BIO</f>
        <v>8.5000000000000006E-3</v>
      </c>
      <c r="BD226" s="734">
        <f>0</f>
        <v>0</v>
      </c>
      <c r="BE226" s="734">
        <f>0</f>
        <v>0</v>
      </c>
      <c r="BF226" s="734">
        <f>0</f>
        <v>0</v>
      </c>
      <c r="BG226" s="734">
        <f>0</f>
        <v>0</v>
      </c>
      <c r="BH226" s="734">
        <f>0</f>
        <v>0</v>
      </c>
      <c r="BI226" s="734">
        <f>0</f>
        <v>0</v>
      </c>
      <c r="BJ226" s="734">
        <f>0</f>
        <v>0</v>
      </c>
      <c r="BK226" s="734">
        <f>0</f>
        <v>0</v>
      </c>
      <c r="BL226" s="734">
        <f>0</f>
        <v>0</v>
      </c>
      <c r="BM226" s="734">
        <f>0</f>
        <v>0</v>
      </c>
      <c r="BN226" s="734">
        <f>0</f>
        <v>0</v>
      </c>
      <c r="BO226" s="734">
        <f>0</f>
        <v>0</v>
      </c>
      <c r="BP226" s="734">
        <f>0</f>
        <v>0</v>
      </c>
      <c r="BQ226" s="734">
        <f>0</f>
        <v>0</v>
      </c>
      <c r="BR226" s="734">
        <f>0</f>
        <v>0</v>
      </c>
      <c r="BS226" s="734">
        <f>0</f>
        <v>0</v>
      </c>
      <c r="BT226" s="734">
        <f>0</f>
        <v>0</v>
      </c>
      <c r="BU226" s="734">
        <f>0</f>
        <v>0</v>
      </c>
      <c r="BV226" s="901">
        <f>0</f>
        <v>0</v>
      </c>
      <c r="BW226" s="734">
        <f>0</f>
        <v>0</v>
      </c>
      <c r="BX226" s="734">
        <f>0</f>
        <v>0</v>
      </c>
      <c r="BY226" s="734">
        <f>0</f>
        <v>0</v>
      </c>
      <c r="BZ226" s="734">
        <f>0</f>
        <v>0</v>
      </c>
      <c r="CA226" s="901">
        <f>0</f>
        <v>0</v>
      </c>
      <c r="CB226" s="734">
        <f>0</f>
        <v>0</v>
      </c>
      <c r="CC226" s="734">
        <f>0</f>
        <v>0</v>
      </c>
      <c r="CD226" s="734">
        <f>0</f>
        <v>0</v>
      </c>
      <c r="CE226" s="734">
        <f>0</f>
        <v>0</v>
      </c>
      <c r="CF226" s="734">
        <f>0</f>
        <v>0</v>
      </c>
      <c r="CG226" s="734">
        <f>0</f>
        <v>0</v>
      </c>
      <c r="CH226" s="734">
        <f>0</f>
        <v>0</v>
      </c>
      <c r="CI226" s="734">
        <f>0</f>
        <v>0</v>
      </c>
      <c r="CJ226" s="734">
        <f>0</f>
        <v>0</v>
      </c>
      <c r="CK226" s="734">
        <f>0</f>
        <v>0</v>
      </c>
      <c r="CL226" s="734">
        <f>0</f>
        <v>0</v>
      </c>
      <c r="CM226" s="734">
        <f>0</f>
        <v>0</v>
      </c>
      <c r="CN226" s="734">
        <f>0</f>
        <v>0</v>
      </c>
      <c r="CO226" s="734">
        <f>0</f>
        <v>0</v>
      </c>
      <c r="CP226" s="734">
        <f>0</f>
        <v>0</v>
      </c>
      <c r="CQ226" s="734">
        <f>0</f>
        <v>0</v>
      </c>
      <c r="CR226" s="734">
        <f>0</f>
        <v>0</v>
      </c>
      <c r="CS226" s="734">
        <f>0</f>
        <v>0</v>
      </c>
      <c r="CT226" s="734">
        <f>0</f>
        <v>0</v>
      </c>
      <c r="CU226" s="734">
        <f>0</f>
        <v>0</v>
      </c>
      <c r="CV226" s="2863">
        <f>q_HYD_T*X_BIO*M_RsatXEana_XBIO_KHYD*(M_satSO2_KO2_OHO+η_HYD_anox*(M_satSNO2_KNO2_OHO+M_inhSNO2_KNO2_OHO*M_satSNO3_KNO3_OHO)*M_inhSO2_KO2_OHO)</f>
        <v>3.8506850195827758</v>
      </c>
      <c r="CX226" s="2880">
        <f>E299*E226+F299*F226+G299*G226+H299*H226+I299*I226+J299*J226+K299*K226+L299*L226+M299*M226+N299*N226+O299*O226+P299*P226+Q299*Q226+R299*R226+S299*S226+T299*T226+U299*U226+V299*V226+W299*W226+X299*X226+Y299*Y226+Z299*Z226+AA299*AA226+AB299*AB226+AC299*AC226+AD299*AD226+AE299*AE226+AF299*AF226+AG299*AG226+AH299*AH226+AI299*AI226+AJ299*AJ226+AK299*AK226+AL299*AL226+AM299*AM226+AN299*AN226+AO299*AO226+AP299*AP226+AQ299*AQ226+AR299*AR226+AS299*AS226+AT299*AT226+AU299*AU226+AV299*AV226+AW299*AW226+AX299*AX226+AY299*AY226+AZ299*AZ226+BA299*BA226+BB299*BB226+BC299*BC226+BD299*BD226+BE299*BE226+BF299*BF226+BG299*BG226+BH299*BH226+BI299*BI226+BJ299*BJ226+BK299*BK226+BL299*BL226+BM299*BM226+BN299*BN226+BO299*BO226+BP299*BP226+BQ299*BQ226+BR299*BR226+BS299*BS226+BT299*BT226+BU299*BU226+BV299*BV226+BW299*BW226+BX299*BX226+BY299*BY226+BZ299*BZ226+CA299*CA226+CB299*CB226+CC299*CC226+CD299*CD226+CE299*CE226+CF299*CF226+CG299*CG226+CH299*CH226+CI299*CI226+CJ299*CJ226+CK299*CK226+CL299*CL226+CM299*CM226+CN299*CN226+CO299*CO226+CP299*CP226+CQ299*CQ226+CR299*CR226+CS299*CS226+CT299*CT226+CU299*CU226</f>
        <v>0</v>
      </c>
      <c r="CY226" s="2880">
        <f>E300*E226+F300*F226+G300*G226+H300*H226+I300*I226+J300*J226+K300*K226+L300*L226+M300*M226+N300*N226+O300*O226+P300*P226+Q300*Q226+R300*R226+S300*S226+T300*T226+U300*U226+V300*V226+W300*W226+X300*X226+Y300*Y226+Z300*Z226+AA300*AA226+AB300*AB226+AC300*AC226+AD300*AD226+AE300*AE226+AF300*AF226+AG300*AG226+AH300*AH226+AI300*AI226+AJ300*AJ226+AK300*AK226+AL300*AL226+AM300*AM226+AN300*AN226+AO300*AO226+AP300*AP226+AQ300*AQ226+AR300*AR226+AS300*AS226+AT300*AT226+AU300*AU226+AV300*AV226+AW300*AW226+AX300*AX226+AY300*AY226+AZ300*AZ226+BA300*BA226+BB300*BB226+BC300*BC226+BD300*BD226+BE300*BE226+BF300*BF226+BG300*BG226+BH300*BH226+BI300*BI226+BJ300*BJ226+BK300*BK226+BL300*BL226+BM300*BM226+BN300*BN226+BO300*BO226+BP300*BP226+BQ300*BQ226+BR300*BR226+BS300*BS226+BT300*BT226+BU300*BU226+BV300*BV226+BW300*BW226+BX300*BX226+BY300*BY226+BZ300*BZ226+CA300*CA226+CB300*CB226+CC300*CC226+CD300*CD226+CE300*CE226+CF300*CF226+CG300*CG226+CH300*CH226+CI300*CI226+CJ300*CJ226+CK300*CK226+CL300*CL226+CM300*CM226+CN300*CN226+CO300*CO226+CP300*CP226+CQ300*CQ226+CR300*CR226+CS300*CS226+CT300*CT226+CU300*CU226</f>
        <v>0</v>
      </c>
      <c r="CZ226" s="2881">
        <f>E301*E226+F301*F226+G301*G226+H301*H226+I301*I226+J301*J226+K301*K226+L301*L226+M301*M226+N301*N226+O301*O226+P301*P226+Q301*Q226+R301*R226+S301*S226+T301*T226+U301*U226+V301*V226+W301*W226+X301*X226+Y301*Y226+Z301*Z226+AA301*AA226+AB301*AB226+AC301*AC226+AD301*AD226+AE301*AE226+AF301*AF226+AG301*AG226+AH301*AH226+AI301*AI226+AJ301*AJ226+AK301*AK226+AL301*AL226+AM301*AM226+AN301*AN226+AO301*AO226+AP301*AP226+AQ301*AQ226+AR301*AR226+AS301*AS226+AT301*AT226+AU301*AU226+AV301*AV226+AW301*AW226+AX301*AX226+AY301*AY226+AZ301*AZ226+BA301*BA226+BB301*BB226+BC301*BC226+BD301*BD226+BE301*BE226+BF301*BF226+BG301*BG226+BH301*BH226+BI301*BI226+BJ301*BJ226+BK301*BK226+BL301*BL226+BM301*BM226+BN301*BN226+BO301*BO226+BP301*BP226+BQ301*BQ226+BR301*BR226+BS301*BS226+BT301*BT226+BU301*BU226+BV301*BV226+BW301*BW226+BX301*BX226+BY301*BY226+BZ301*BZ226+CA301*CA226+CB301*CB226+CC301*CC226+CD301*CD226+CE301*CE226+CF301*CF226+CG301*CG226+CH301*CH226+CI301*CI226+CJ301*CJ226+CK301*CK226+CL301*CL226+CM301*CM226+CN301*CN226+CO301*CO226+CP301*CP226+CQ301*CQ226+CR301*CR226+CS301*CS226+CT301*CT226+CU301*CU226</f>
        <v>0</v>
      </c>
      <c r="DA226" s="2882">
        <f>E302*E226+F302*F226+G302*G226+H302*H226+I302*I226+J302*J226+K302*K226+L302*L226+M302*M226+N302*N226+O302*O226+P302*P226+Q302*Q226+R302*R226+S302*S226+T302*T226+U302*U226+V302*V226+W302*W226+X302*X226+Y302*Y226+Z302*Z226+AA302*AA226+AB302*AB226+AC302*AC226+AD302*AD226+AE302*AE226+AF302*AF226+AG302*AG226+AH302*AH226+AI302*AI226+AJ302*AJ226+AK302*AK226+AL302*AL226+AM302*AM226+AN302*AN226+AO302*AO226+AP302*AP226+AQ302*AQ226+AR302*AR226+AS302*AS226+AT302*AT226+AU302*AU226+AV302*AV226+AW302*AW226+AX302*AX226+AY302*AY226+AZ302*AZ226+BA302*BA226+BB302*BB226+BC302*BC226+BD302*BD226+BE302*BE226+BF302*BF226+BG302*BG226+BH302*BH226+BI302*BI226+BJ302*BJ226+BK302*BK226+BL302*BL226+BM302*BM226+BN302*BN226+BO302*BO226+BP302*BP226+BQ302*BQ226+BR302*BR226+BS302*BS226+BT302*BT226+BU302*BU226+BV302*BV226+BW302*BW226+BX302*BX226+BY302*BY226+BZ302*BZ226+CA302*CA226+CB302*CB226+CC302*CC226+CD302*CD226+CE302*CE226+CF302*CF226+CG302*CG226+CH302*CH226+CI302*CI226+CJ302*CJ226+CK302*CK226+CL302*CL226+CM302*CM226+CN302*CN226+CO302*CO226+CP302*CP226+CQ302*CQ226+CR302*CR226+CS302*CS226+CT302*CT226+CU302*CU226</f>
        <v>0</v>
      </c>
      <c r="DB226" s="2882">
        <f>E303*E226+F303*F226+G303*G226+H303*H226+I303*I226+J303*J226+K303*K226+L303*L226+M303*M226+N303*N226+O303*O226+P303*P226+Q303*Q226+R303*R226+S303*S226+T303*T226+U303*U226+V303*V226+W303*W226+X303*X226+Y303*Y226+Z303*Z226+AA303*AA226+AB303*AB226+AC303*AC226+AD303*AD226+AE303*AE226+AF303*AF226+AG303*AG226+AH303*AH226+AI303*AI226+AJ303*AJ226+AK303*AK226+AL303*AL226+AM303*AM226+AN303*AN226+AO303*AO226+AP303*AP226+AQ303*AQ226+AR303*AR226+AS303*AS226+AT303*AT226+AU303*AU226+AV303*AV226+AW303*AW226+AX303*AX226+AY303*AY226+AZ303*AZ226+BA303*BA226+BB303*BB226+BC303*BC226+BD303*BD226+BE303*BE226+BF303*BF226+BG303*BG226+BH303*BH226+BI303*BI226+BJ303*BJ226+BK303*BK226+BL303*BL226+BM303*BM226+BN303*BN226+BO303*BO226+BP303*BP226+BQ303*BQ226+BR303*BR226+BS303*BS226+BT303*BT226+BU303*BU226+BV303*BV226+BW303*BW226+BX303*BX226+BY303*BY226+BZ303*BZ226+CA303*CA226+CB303*CB226+CC303*CC226+CD303*CD226+CE303*CE226+CF303*CF226+CG303*CG226+CH303*CH226+CI303*CI226+CJ303*CJ226+CK303*CK226+CL303*CL226+CM303*CM226+CN303*CN226+CO303*CO226+CP303*CP226+CQ303*CQ226+CR303*CR226+CS303*CS226+CT303*CT226+CU303*CU226</f>
        <v>0</v>
      </c>
      <c r="DC226" s="2882">
        <f>E304*E226+F304*F226+G304*G226+H304*H226+I304*I226+J304*J226+K304*K226+L304*L226+M304*M226+N304*N226+O304*O226+P304*P226+Q304*Q226+R304*R226+S304*S226+T304*T226+U304*U226+V304*V226+W304*W226+X304*X226+Y304*Y226+Z304*Z226+AA304*AA226+AB304*AB226+AC304*AC226+AD304*AD226+AE304*AE226+AF304*AF226+AG304*AG226+AH304*AH226+AI304*AI226+AJ304*AJ226+AK304*AK226+AL304*AL226+AM304*AM226+AN304*AN226+AO304*AO226+AP304*AP226+AQ304*AQ226+AR304*AR226+AS304*AS226+AT304*AT226+AU304*AU226+AV304*AV226+AW304*AW226+AX304*AX226+AY304*AY226+AZ304*AZ226+BA304*BA226+BB304*BB226+BC304*BC226+BD304*BD226+BE304*BE226+BF304*BF226+BG304*BG226+BH304*BH226+BI304*BI226+BJ304*BJ226+BK304*BK226+BL304*BL226+BM304*BM226+BN304*BN226+BO304*BO226+BP304*BP226+BQ304*BQ226+BR304*BR226+BS304*BS226+BT304*BT226+BU304*BU226+BV304*BV226+BW304*BW226+BX304*BX226+BY304*BY226+BZ304*BZ226+CA304*CA226+CB304*CB226+CC304*CC226+CD304*CD226+CE304*CE226+CF304*CF226+CG304*CG226+CH304*CH226+CI304*CI226+CJ304*CJ226+CK304*CK226+CL304*CL226+CM304*CM226+CN304*CN226+CO304*CO226+CP304*CP226+CQ304*CQ226+CR304*CR226+CS304*CS226+CT304*CT226+CU304*CU226</f>
        <v>0</v>
      </c>
      <c r="DD226" s="2882">
        <f>E305*E226+F305*F226+G305*G226+H305*H226+I305*I226+J305*J226+K305*K226+L305*L226+M305*M226+N305*N226+O305*O226+P305*P226+Q305*Q226+R305*R226+S305*S226+T305*T226+U305*U226+V305*V226+W305*W226+X305*X226+Y305*Y226+Z305*Z226+AA305*AA226+AB305*AB226+AC305*AC226+AD305*AD226+AE305*AE226+AF305*AF226+AG305*AG226+AH305*AH226+AI305*AI226+AJ305*AJ226+AK305*AK226+AL305*AL226+AM305*AM226+AN305*AN226+AO305*AO226+AP305*AP226+AQ305*AQ226+AR305*AR226+AS305*AS226+AT305*AT226+AU305*AU226+AV305*AV226+AW305*AW226+AX305*AX226+AY305*AY226+AZ305*AZ226+BA305*BA226+BB305*BB226+BC305*BC226+BD305*BD226+BE305*BE226+BF305*BF226+BG305*BG226+BH305*BH226+BI305*BI226+BJ305*BJ226+BK305*BK226+BL305*BL226+BM305*BM226+BN305*BN226+BO305*BO226+BP305*BP226+BQ305*BQ226+BR305*BR226+BS305*BS226+BT305*BT226+BU305*BU226+BV305*BV226+BW305*BW226+BX305*BX226+BY305*BY226+BZ305*BZ226+CA305*CA226+CB305*CB226+CC305*CC226+CD305*CD226+CE305*CE226+CF305*CF226+CG305*CG226+CH305*CH226+CI305*CI226+CJ305*CJ226+CK305*CK226+CL305*CL226+CM305*CM226+CN305*CN226+CO305*CO226+CP305*CP226+CQ305*CQ226+CR305*CR226+CS305*CS226+CT305*CT226+CU305*CU226</f>
        <v>0</v>
      </c>
      <c r="DE226" s="2882">
        <f>E306*E226+F306*F226+G306*G226+H306*H226+I306*I226+J306*J226+K306*K226+L306*L226+M306*M226+N306*N226+O306*O226+P306*P226+Q306*Q226+R306*R226+S306*S226+T306*T226+U306*U226+V306*V226+W306*W226+X306*X226+Y306*Y226+Z306*Z226+AA306*AA226+AB306*AB226+AC306*AC226+AD306*AD226+AE306*AE226+AF306*AF226+AG306*AG226+AH306*AH226+AI306*AI226+AJ306*AJ226+AK306*AK226+AL306*AL226+AM306*AM226+AN306*AN226+AO306*AO226+AP306*AP226+AQ306*AQ226+AR306*AR226+AS306*AS226+AT306*AT226+AU306*AU226+AV306*AV226+AW306*AW226+AX306*AX226+AY306*AY226+AZ306*AZ226+BA306*BA226+BB306*BB226+BC306*BC226+BD306*BD226+BE306*BE226+BF306*BF226+BG306*BG226+BH306*BH226+BI306*BI226+BJ306*BJ226+BK306*BK226+BL306*BL226+BM306*BM226+BN306*BN226+BO306*BO226+BP306*BP226+BQ306*BQ226+BR306*BR226+BS306*BS226+BT306*BT226+BU306*BU226+BV306*BV226+BW306*BW226+BX306*BX226+BY306*BY226+BZ306*BZ226+CA306*CA226+CB306*CB226+CC306*CC226+CD306*CD226+CE306*CE226+CF306*CF226+CG306*CG226+CH306*CH226+CI306*CI226+CJ306*CJ226+CK306*CK226+CL306*CL226+CM306*CM226+CN306*CN226+CO306*CO226+CP306*CP226+CQ306*CQ226+CR306*CR226+CS306*CS226+CT306*CT226+CU306*CU226</f>
        <v>0</v>
      </c>
      <c r="DF226" s="2882">
        <f>E307*E226+F307*F226+G307*G226+H307*H226+I307*I226+J307*J226+K307*K226+L307*L226+M307*M226+N307*N226+O307*O226+P307*P226+Q307*Q226+R307*R226+S307*S226+T307*T226+U307*U226+V307*V226+W307*W226+X307*X226+Y307*Y226+Z307*Z226+AA307*AA226+AB307*AB226+AC307*AC226+AD307*AD226+AE307*AE226+AF307*AF226+AG307*AG226+AH307*AH226+AI307*AI226+AJ307*AJ226+AK307*AK226+AL307*AL226+AM307*AM226+AN307*AN226+AO307*AO226+AP307*AP226+AQ307*AQ226+AR307*AR226+AS307*AS226+AT307*AT226+AU307*AU226+AV307*AV226+AW307*AW226+AX307*AX226+AY307*AY226+AZ307*AZ226+BA307*BA226+BB307*BB226+BC307*BC226+BD307*BD226+BE307*BE226+BF307*BF226+BG307*BG226+BH307*BH226+BI307*BI226+BJ307*BJ226+BK307*BK226+BL307*BL226+BM307*BM226+BN307*BN226+BO307*BO226+BP307*BP226+BQ307*BQ226+BR307*BR226+BS307*BS226+BT307*BT226+BU307*BU226+BV307*BV226+BW307*BW226+BX307*BX226+BY307*BY226+BZ307*BZ226+CA307*CA226+CB307*CB226+CC307*CC226+CD307*CD226+CE307*CE226+CF307*CF226+CG307*CG226+CH307*CH226+CI307*CI226+CJ307*CJ226+CK307*CK226+CL307*CL226+CM307*CM226+CN307*CN226+CO307*CO226+CP307*CP226+CQ307*CQ226+CR307*CR226+CS307*CS226+CT307*CT226+CU307*CU226</f>
        <v>0</v>
      </c>
      <c r="DG226" s="2882">
        <f>E308*E226+F308*F226+G308*G226+H308*H226+I308*I226+J308*J226+K308*K226+L308*L226+M308*M226+N308*N226+O308*O226+P308*P226+Q308*Q226+R308*R226+S308*S226+T308*T226+U308*U226+V308*V226+W308*W226+X308*X226+Y308*Y226+Z308*Z226+AA308*AA226+AB308*AB226+AC308*AC226+AD308*AD226+AE308*AE226+AF308*AF226+AG308*AG226+AH308*AH226+AI308*AI226+AJ308*AJ226+AK308*AK226+AL308*AL226+AM308*AM226+AN308*AN226+AO308*AO226+AP308*AP226+AQ308*AQ226+AR308*AR226+AS308*AS226+AT308*AT226+AU308*AU226+AV308*AV226+AW308*AW226+AX308*AX226+AY308*AY226+AZ308*AZ226+BA308*BA226+BB308*BB226+BC308*BC226+BD308*BD226+BE308*BE226+BF308*BF226+BG308*BG226+BH308*BH226+BI308*BI226+BJ308*BJ226+BK308*BK226+BL308*BL226+BM308*BM226+BN308*BN226+BO308*BO226+BP308*BP226+BQ308*BQ226+BR308*BR226+BS308*BS226+BT308*BT226+BU308*BU226+BV308*BV226+BW308*BW226+BX308*BX226+BY308*BY226+BZ308*BZ226+CA308*CA226+CB308*CB226+CC308*CC226+CD308*CD226+CE308*CE226+CF308*CF226+CG308*CG226+CH308*CH226+CI308*CI226+CJ308*CJ226+CK308*CK226+CL308*CL226+CM308*CM226+CN308*CN226+CO308*CO226+CP308*CP226+CQ308*CQ226+CR308*CR226+CS308*CS226+CT308*CT226+CU308*CU226</f>
        <v>0</v>
      </c>
      <c r="DH226" s="2882">
        <f>E309*E226+F309*F226+G309*G226+H309*H226+I309*I226+J309*J226+K309*K226+L309*L226+M309*M226+N309*N226+O309*O226+P309*P226+Q309*Q226+R309*R226+S309*S226+T309*T226+U309*U226+V309*V226+W309*W226+X309*X226+Y309*Y226+Z309*Z226+AA309*AA226+AB309*AB226+AC309*AC226+AD309*AD226+AE309*AE226+AF309*AF226+AG309*AG226+AH309*AH226+AI309*AI226+AJ309*AJ226+AK309*AK226+AL309*AL226+AM309*AM226+AN309*AN226+AO309*AO226+AP309*AP226+AQ309*AQ226+AR309*AR226+AS309*AS226+AT309*AT226+AU309*AU226+AV309*AV226+AW309*AW226+AX309*AX226+AY309*AY226+AZ309*AZ226+BA309*BA226+BB309*BB226+BC309*BC226+BD309*BD226+BE309*BE226+BF309*BF226+BG309*BG226+BH309*BH226+BI309*BI226+BJ309*BJ226+BK309*BK226+BL309*BL226+BM309*BM226+BN309*BN226+BO309*BO226+BP309*BP226+BQ309*BQ226+BR309*BR226+BS309*BS226+BT309*BT226+BU309*BU226+BV309*BV226+BW309*BW226+BX309*BX226+BY309*BY226+BZ309*BZ226+CA309*CA226+CB309*CB226+CC309*CC226+CD309*CD226+CE309*CE226+CF309*CF226+CG309*CG226+CH309*CH226+CI309*CI226+CJ309*CJ226+CK309*CK226+CL309*CL226+CM309*CM226+CN309*CN226+CO309*CO226+CP309*CP226+CQ309*CQ226+CR309*CR226+CS309*CS226+CT309*CT226+CU309*CU226</f>
        <v>0</v>
      </c>
      <c r="DI226" s="2882">
        <f>E310*E226+F310*F226+G310*G226+H310*H226+I310*I226+J310*J226+K310*K226+L310*L226+M310*M226+N310*N226+O310*O226+P310*P226+Q310*Q226+R310*R226+S310*S226+T310*T226+U310*U226+V310*V226+W310*W226+X310*X226+Y310*Y226+Z310*Z226+AA310*AA226+AB310*AB226+AC310*AC226+AD310*AD226+AE310*AE226+AF310*AF226+AG310*AG226+AH310*AH226+AI310*AI226+AJ310*AJ226+AK310*AK226+AL310*AL226+AM310*AM226+AN310*AN226+AO310*AO226+AP310*AP226+AQ310*AQ226+AR310*AR226+AS310*AS226+AT310*AT226+AU310*AU226+AV310*AV226+AW310*AW226+AX310*AX226+AY310*AY226+AZ310*AZ226+BA310*BA226+BB310*BB226+BC310*BC226+BD310*BD226+BE310*BE226+BF310*BF226+BG310*BG226+BH310*BH226+BI310*BI226+BJ310*BJ226+BK310*BK226+BL310*BL226+BM310*BM226+BN310*BN226+BO310*BO226+BP310*BP226+BQ310*BQ226+BR310*BR226+BS310*BS226+BT310*BT226+BU310*BU226+BV310*BV226+BW310*BW226+BX310*BX226+BY310*BY226+BZ310*BZ226+CA310*CA226+CB310*CB226+CC310*CC226+CD310*CD226+CE310*CE226+CF310*CF226+CG310*CG226+CH310*CH226+CI310*CI226+CJ310*CJ226+CK310*CK226+CL310*CL226+CM310*CM226+CN310*CN226+CO310*CO226+CP310*CP226+CQ310*CQ226+CR310*CR226+CS310*CS226+CT310*CT226+CU310*CU226</f>
        <v>0</v>
      </c>
    </row>
    <row r="227" spans="2:113" x14ac:dyDescent="0.45">
      <c r="B227" s="788">
        <v>68</v>
      </c>
      <c r="C227" s="788" t="s">
        <v>2475</v>
      </c>
      <c r="D227" s="789" t="s">
        <v>294</v>
      </c>
      <c r="E227" s="793">
        <f>2/3</f>
        <v>0.66666666666666663</v>
      </c>
      <c r="F227" s="734">
        <f>0</f>
        <v>0</v>
      </c>
      <c r="G227" s="734">
        <f>-1</f>
        <v>-1</v>
      </c>
      <c r="H227" s="734">
        <f>0</f>
        <v>0</v>
      </c>
      <c r="I227" s="734">
        <f>0</f>
        <v>0</v>
      </c>
      <c r="J227" s="734">
        <f>0</f>
        <v>0</v>
      </c>
      <c r="K227" s="734">
        <f>0</f>
        <v>0</v>
      </c>
      <c r="L227" s="734">
        <f>0</f>
        <v>0</v>
      </c>
      <c r="M227" s="734">
        <f>0</f>
        <v>0</v>
      </c>
      <c r="N227" s="734">
        <f>0</f>
        <v>0</v>
      </c>
      <c r="O227" s="734">
        <f>0</f>
        <v>0</v>
      </c>
      <c r="P227" s="734">
        <f>0</f>
        <v>0</v>
      </c>
      <c r="Q227" s="734">
        <f>0</f>
        <v>0</v>
      </c>
      <c r="R227" s="734">
        <f>0</f>
        <v>0</v>
      </c>
      <c r="S227" s="734">
        <f>0</f>
        <v>0</v>
      </c>
      <c r="T227" s="734">
        <f>0</f>
        <v>0</v>
      </c>
      <c r="U227" s="734">
        <f>0</f>
        <v>0</v>
      </c>
      <c r="V227" s="734">
        <f>0</f>
        <v>0</v>
      </c>
      <c r="W227" s="734">
        <f>0</f>
        <v>0</v>
      </c>
      <c r="X227" s="734">
        <f>0</f>
        <v>0</v>
      </c>
      <c r="Y227" s="734">
        <f>0</f>
        <v>0</v>
      </c>
      <c r="Z227" s="734">
        <f>0</f>
        <v>0</v>
      </c>
      <c r="AA227" s="734">
        <f>0</f>
        <v>0</v>
      </c>
      <c r="AB227" s="734">
        <f>0</f>
        <v>0</v>
      </c>
      <c r="AC227" s="734">
        <f>0</f>
        <v>0</v>
      </c>
      <c r="AD227" s="734">
        <f>0</f>
        <v>0</v>
      </c>
      <c r="AE227" s="734">
        <f>0</f>
        <v>0</v>
      </c>
      <c r="AF227" s="734">
        <f>0</f>
        <v>0</v>
      </c>
      <c r="AG227" s="734">
        <f>0</f>
        <v>0</v>
      </c>
      <c r="AH227" s="734">
        <f>0</f>
        <v>0</v>
      </c>
      <c r="AI227" s="734">
        <f>0</f>
        <v>0</v>
      </c>
      <c r="AJ227" s="734">
        <f>0</f>
        <v>0</v>
      </c>
      <c r="AK227" s="734">
        <f>0</f>
        <v>0</v>
      </c>
      <c r="AL227" s="734">
        <f>0</f>
        <v>0</v>
      </c>
      <c r="AM227" s="734">
        <f>0</f>
        <v>0</v>
      </c>
      <c r="AN227" s="734">
        <f>0</f>
        <v>0</v>
      </c>
      <c r="AO227" s="734">
        <f>0</f>
        <v>0</v>
      </c>
      <c r="AP227" s="734">
        <f>0</f>
        <v>0</v>
      </c>
      <c r="AQ227" s="734">
        <f>0</f>
        <v>0</v>
      </c>
      <c r="AR227" s="734">
        <f>0</f>
        <v>0</v>
      </c>
      <c r="AS227" s="734">
        <f>0</f>
        <v>0</v>
      </c>
      <c r="AT227" s="793">
        <f>1/3</f>
        <v>0.33333333333333331</v>
      </c>
      <c r="AU227" s="734">
        <f>i_CIT_MEOL-i_CIT_VFA*2/3</f>
        <v>0</v>
      </c>
      <c r="AV227" s="734">
        <f>0</f>
        <v>0</v>
      </c>
      <c r="AW227" s="734">
        <f>0</f>
        <v>0</v>
      </c>
      <c r="AX227" s="734">
        <f>0</f>
        <v>0</v>
      </c>
      <c r="AY227" s="734">
        <f>0</f>
        <v>0</v>
      </c>
      <c r="AZ227" s="734">
        <f>0</f>
        <v>0</v>
      </c>
      <c r="BA227" s="734">
        <f>0</f>
        <v>0</v>
      </c>
      <c r="BB227" s="734">
        <f>0</f>
        <v>0</v>
      </c>
      <c r="BC227" s="734">
        <f>0</f>
        <v>0</v>
      </c>
      <c r="BD227" s="734">
        <f>0</f>
        <v>0</v>
      </c>
      <c r="BE227" s="734">
        <f>0</f>
        <v>0</v>
      </c>
      <c r="BF227" s="734">
        <f>0</f>
        <v>0</v>
      </c>
      <c r="BG227" s="734">
        <f>0</f>
        <v>0</v>
      </c>
      <c r="BH227" s="734">
        <f>0</f>
        <v>0</v>
      </c>
      <c r="BI227" s="734">
        <f>0</f>
        <v>0</v>
      </c>
      <c r="BJ227" s="734">
        <f>0</f>
        <v>0</v>
      </c>
      <c r="BK227" s="734">
        <f>0</f>
        <v>0</v>
      </c>
      <c r="BL227" s="734">
        <f>0</f>
        <v>0</v>
      </c>
      <c r="BM227" s="734">
        <f>0</f>
        <v>0</v>
      </c>
      <c r="BN227" s="734">
        <f>0</f>
        <v>0</v>
      </c>
      <c r="BO227" s="734">
        <f>0</f>
        <v>0</v>
      </c>
      <c r="BP227" s="734">
        <f>0</f>
        <v>0</v>
      </c>
      <c r="BQ227" s="734">
        <f>0</f>
        <v>0</v>
      </c>
      <c r="BR227" s="734">
        <f>0</f>
        <v>0</v>
      </c>
      <c r="BS227" s="734">
        <f>0</f>
        <v>0</v>
      </c>
      <c r="BT227" s="734">
        <f>0</f>
        <v>0</v>
      </c>
      <c r="BU227" s="734">
        <f>0</f>
        <v>0</v>
      </c>
      <c r="BV227" s="901">
        <f>0</f>
        <v>0</v>
      </c>
      <c r="BW227" s="734">
        <f>0</f>
        <v>0</v>
      </c>
      <c r="BX227" s="734">
        <f>0</f>
        <v>0</v>
      </c>
      <c r="BY227" s="734">
        <f>0</f>
        <v>0</v>
      </c>
      <c r="BZ227" s="734">
        <f>0</f>
        <v>0</v>
      </c>
      <c r="CA227" s="901">
        <f>0</f>
        <v>0</v>
      </c>
      <c r="CB227" s="734">
        <f>0</f>
        <v>0</v>
      </c>
      <c r="CC227" s="734">
        <f>0</f>
        <v>0</v>
      </c>
      <c r="CD227" s="734">
        <f>0</f>
        <v>0</v>
      </c>
      <c r="CE227" s="734">
        <f>0</f>
        <v>0</v>
      </c>
      <c r="CF227" s="734">
        <f>0</f>
        <v>0</v>
      </c>
      <c r="CG227" s="734">
        <f>0</f>
        <v>0</v>
      </c>
      <c r="CH227" s="734">
        <f>0</f>
        <v>0</v>
      </c>
      <c r="CI227" s="734">
        <f>0</f>
        <v>0</v>
      </c>
      <c r="CJ227" s="734">
        <f>0</f>
        <v>0</v>
      </c>
      <c r="CK227" s="734">
        <f>0</f>
        <v>0</v>
      </c>
      <c r="CL227" s="734">
        <f>0</f>
        <v>0</v>
      </c>
      <c r="CM227" s="734">
        <f>0</f>
        <v>0</v>
      </c>
      <c r="CN227" s="734">
        <f>0</f>
        <v>0</v>
      </c>
      <c r="CO227" s="734">
        <f>0</f>
        <v>0</v>
      </c>
      <c r="CP227" s="734">
        <f>0</f>
        <v>0</v>
      </c>
      <c r="CQ227" s="734">
        <f>0</f>
        <v>0</v>
      </c>
      <c r="CR227" s="734">
        <f>0</f>
        <v>0</v>
      </c>
      <c r="CS227" s="734">
        <f>0</f>
        <v>0</v>
      </c>
      <c r="CT227" s="734">
        <f>0</f>
        <v>0</v>
      </c>
      <c r="CU227" s="734">
        <f>0</f>
        <v>0</v>
      </c>
      <c r="CV227" s="2863">
        <f>q_MEOL*S_MEOL*M_satSCO2_KCO2_BIO*M_inhSO2_KO2_OHO*M_inhSNO3_KNO3_OHO*M_inhSNO2_KNO2_OHO</f>
        <v>1.7603623491797663E-52</v>
      </c>
      <c r="CX227" s="2880">
        <f>E299*E227+F299*F227+G299*G227+H299*H227+I299*I227+J299*J227+K299*K227+L299*L227+M299*M227+N299*N227+O299*O227+P299*P227+Q299*Q227+R299*R227+S299*S227+T299*T227+U299*U227+V299*V227+W299*W227+X299*X227+Y299*Y227+Z299*Z227+AA299*AA227+AB299*AB227+AC299*AC227+AD299*AD227+AE299*AE227+AF299*AF227+AG299*AG227+AH299*AH227+AI299*AI227+AJ299*AJ227+AK299*AK227+AL299*AL227+AM299*AM227+AN299*AN227+AO299*AO227+AP299*AP227+AQ299*AQ227+AR299*AR227+AS299*AS227+AT299*AT227+AU299*AU227+AV299*AV227+AW299*AW227+AX299*AX227+AY299*AY227+AZ299*AZ227+BA299*BA227+BB299*BB227+BC299*BC227+BD299*BD227+BE299*BE227+BF299*BF227+BG299*BG227+BH299*BH227+BI299*BI227+BJ299*BJ227+BK299*BK227+BL299*BL227+BM299*BM227+BN299*BN227+BO299*BO227+BP299*BP227+BQ299*BQ227+BR299*BR227+BS299*BS227+BT299*BT227+BU299*BU227+BV299*BV227+BW299*BW227+BX299*BX227+BY299*BY227+BZ299*BZ227+CA299*CA227+CB299*CB227+CC299*CC227+CD299*CD227+CE299*CE227+CF299*CF227+CG299*CG227+CH299*CH227+CI299*CI227+CJ299*CJ227+CK299*CK227+CL299*CL227+CM299*CM227+CN299*CN227+CO299*CO227+CP299*CP227+CQ299*CQ227+CR299*CR227+CS299*CS227+CT299*CT227+CU299*CU227</f>
        <v>-5.5511151231257827E-17</v>
      </c>
      <c r="CY227" s="2880">
        <f>E300*E227+F300*F227+G300*G227+H300*H227+I300*I227+J300*J227+K300*K227+L300*L227+M300*M227+N300*N227+O300*O227+P300*P227+Q300*Q227+R300*R227+S300*S227+T300*T227+U300*U227+V300*V227+W300*W227+X300*X227+Y300*Y227+Z300*Z227+AA300*AA227+AB300*AB227+AC300*AC227+AD300*AD227+AE300*AE227+AF300*AF227+AG300*AG227+AH300*AH227+AI300*AI227+AJ300*AJ227+AK300*AK227+AL300*AL227+AM300*AM227+AN300*AN227+AO300*AO227+AP300*AP227+AQ300*AQ227+AR300*AR227+AS300*AS227+AT300*AT227+AU300*AU227+AV300*AV227+AW300*AW227+AX300*AX227+AY300*AY227+AZ300*AZ227+BA300*BA227+BB300*BB227+BC300*BC227+BD300*BD227+BE300*BE227+BF300*BF227+BG300*BG227+BH300*BH227+BI300*BI227+BJ300*BJ227+BK300*BK227+BL300*BL227+BM300*BM227+BN300*BN227+BO300*BO227+BP300*BP227+BQ300*BQ227+BR300*BR227+BS300*BS227+BT300*BT227+BU300*BU227+BV300*BV227+BW300*BW227+BX300*BX227+BY300*BY227+BZ300*BZ227+CA300*CA227+CB300*CB227+CC300*CC227+CD300*CD227+CE300*CE227+CF300*CF227+CG300*CG227+CH300*CH227+CI300*CI227+CJ300*CJ227+CK300*CK227+CL300*CL227+CM300*CM227+CN300*CN227+CO300*CO227+CP300*CP227+CQ300*CQ227+CR300*CR227+CS300*CS227+CT300*CT227+CU300*CU227</f>
        <v>0</v>
      </c>
      <c r="CZ227" s="2881">
        <f>E301*E227+F301*F227+G301*G227+H301*H227+I301*I227+J301*J227+K301*K227+L301*L227+M301*M227+N301*N227+O301*O227+P301*P227+Q301*Q227+R301*R227+S301*S227+T301*T227+U301*U227+V301*V227+W301*W227+X301*X227+Y301*Y227+Z301*Z227+AA301*AA227+AB301*AB227+AC301*AC227+AD301*AD227+AE301*AE227+AF301*AF227+AG301*AG227+AH301*AH227+AI301*AI227+AJ301*AJ227+AK301*AK227+AL301*AL227+AM301*AM227+AN301*AN227+AO301*AO227+AP301*AP227+AQ301*AQ227+AR301*AR227+AS301*AS227+AT301*AT227+AU301*AU227+AV301*AV227+AW301*AW227+AX301*AX227+AY301*AY227+AZ301*AZ227+BA301*BA227+BB301*BB227+BC301*BC227+BD301*BD227+BE301*BE227+BF301*BF227+BG301*BG227+BH301*BH227+BI301*BI227+BJ301*BJ227+BK301*BK227+BL301*BL227+BM301*BM227+BN301*BN227+BO301*BO227+BP301*BP227+BQ301*BQ227+BR301*BR227+BS301*BS227+BT301*BT227+BU301*BU227+BV301*BV227+BW301*BW227+BX301*BX227+BY301*BY227+BZ301*BZ227+CA301*CA227+CB301*CB227+CC301*CC227+CD301*CD227+CE301*CE227+CF301*CF227+CG301*CG227+CH301*CH227+CI301*CI227+CJ301*CJ227+CK301*CK227+CL301*CL227+CM301*CM227+CN301*CN227+CO301*CO227+CP301*CP227+CQ301*CQ227+CR301*CR227+CS301*CS227+CT301*CT227+CU301*CU227</f>
        <v>0</v>
      </c>
      <c r="DA227" s="2882">
        <f>E302*E227+F302*F227+G302*G227+H302*H227+I302*I227+J302*J227+K302*K227+L302*L227+M302*M227+N302*N227+O302*O227+P302*P227+Q302*Q227+R302*R227+S302*S227+T302*T227+U302*U227+V302*V227+W302*W227+X302*X227+Y302*Y227+Z302*Z227+AA302*AA227+AB302*AB227+AC302*AC227+AD302*AD227+AE302*AE227+AF302*AF227+AG302*AG227+AH302*AH227+AI302*AI227+AJ302*AJ227+AK302*AK227+AL302*AL227+AM302*AM227+AN302*AN227+AO302*AO227+AP302*AP227+AQ302*AQ227+AR302*AR227+AS302*AS227+AT302*AT227+AU302*AU227+AV302*AV227+AW302*AW227+AX302*AX227+AY302*AY227+AZ302*AZ227+BA302*BA227+BB302*BB227+BC302*BC227+BD302*BD227+BE302*BE227+BF302*BF227+BG302*BG227+BH302*BH227+BI302*BI227+BJ302*BJ227+BK302*BK227+BL302*BL227+BM302*BM227+BN302*BN227+BO302*BO227+BP302*BP227+BQ302*BQ227+BR302*BR227+BS302*BS227+BT302*BT227+BU302*BU227+BV302*BV227+BW302*BW227+BX302*BX227+BY302*BY227+BZ302*BZ227+CA302*CA227+CB302*CB227+CC302*CC227+CD302*CD227+CE302*CE227+CF302*CF227+CG302*CG227+CH302*CH227+CI302*CI227+CJ302*CJ227+CK302*CK227+CL302*CL227+CM302*CM227+CN302*CN227+CO302*CO227+CP302*CP227+CQ302*CQ227+CR302*CR227+CS302*CS227+CT302*CT227+CU302*CU227</f>
        <v>0</v>
      </c>
      <c r="DB227" s="2882">
        <f>E303*E227+F303*F227+G303*G227+H303*H227+I303*I227+J303*J227+K303*K227+L303*L227+M303*M227+N303*N227+O303*O227+P303*P227+Q303*Q227+R303*R227+S303*S227+T303*T227+U303*U227+V303*V227+W303*W227+X303*X227+Y303*Y227+Z303*Z227+AA303*AA227+AB303*AB227+AC303*AC227+AD303*AD227+AE303*AE227+AF303*AF227+AG303*AG227+AH303*AH227+AI303*AI227+AJ303*AJ227+AK303*AK227+AL303*AL227+AM303*AM227+AN303*AN227+AO303*AO227+AP303*AP227+AQ303*AQ227+AR303*AR227+AS303*AS227+AT303*AT227+AU303*AU227+AV303*AV227+AW303*AW227+AX303*AX227+AY303*AY227+AZ303*AZ227+BA303*BA227+BB303*BB227+BC303*BC227+BD303*BD227+BE303*BE227+BF303*BF227+BG303*BG227+BH303*BH227+BI303*BI227+BJ303*BJ227+BK303*BK227+BL303*BL227+BM303*BM227+BN303*BN227+BO303*BO227+BP303*BP227+BQ303*BQ227+BR303*BR227+BS303*BS227+BT303*BT227+BU303*BU227+BV303*BV227+BW303*BW227+BX303*BX227+BY303*BY227+BZ303*BZ227+CA303*CA227+CB303*CB227+CC303*CC227+CD303*CD227+CE303*CE227+CF303*CF227+CG303*CG227+CH303*CH227+CI303*CI227+CJ303*CJ227+CK303*CK227+CL303*CL227+CM303*CM227+CN303*CN227+CO303*CO227+CP303*CP227+CQ303*CQ227+CR303*CR227+CS303*CS227+CT303*CT227+CU303*CU227</f>
        <v>0</v>
      </c>
      <c r="DC227" s="2882">
        <f>E304*E227+F304*F227+G304*G227+H304*H227+I304*I227+J304*J227+K304*K227+L304*L227+M304*M227+N304*N227+O304*O227+P304*P227+Q304*Q227+R304*R227+S304*S227+T304*T227+U304*U227+V304*V227+W304*W227+X304*X227+Y304*Y227+Z304*Z227+AA304*AA227+AB304*AB227+AC304*AC227+AD304*AD227+AE304*AE227+AF304*AF227+AG304*AG227+AH304*AH227+AI304*AI227+AJ304*AJ227+AK304*AK227+AL304*AL227+AM304*AM227+AN304*AN227+AO304*AO227+AP304*AP227+AQ304*AQ227+AR304*AR227+AS304*AS227+AT304*AT227+AU304*AU227+AV304*AV227+AW304*AW227+AX304*AX227+AY304*AY227+AZ304*AZ227+BA304*BA227+BB304*BB227+BC304*BC227+BD304*BD227+BE304*BE227+BF304*BF227+BG304*BG227+BH304*BH227+BI304*BI227+BJ304*BJ227+BK304*BK227+BL304*BL227+BM304*BM227+BN304*BN227+BO304*BO227+BP304*BP227+BQ304*BQ227+BR304*BR227+BS304*BS227+BT304*BT227+BU304*BU227+BV304*BV227+BW304*BW227+BX304*BX227+BY304*BY227+BZ304*BZ227+CA304*CA227+CB304*CB227+CC304*CC227+CD304*CD227+CE304*CE227+CF304*CF227+CG304*CG227+CH304*CH227+CI304*CI227+CJ304*CJ227+CK304*CK227+CL304*CL227+CM304*CM227+CN304*CN227+CO304*CO227+CP304*CP227+CQ304*CQ227+CR304*CR227+CS304*CS227+CT304*CT227+CU304*CU227</f>
        <v>0</v>
      </c>
      <c r="DD227" s="2882">
        <f>E305*E227+F305*F227+G305*G227+H305*H227+I305*I227+J305*J227+K305*K227+L305*L227+M305*M227+N305*N227+O305*O227+P305*P227+Q305*Q227+R305*R227+S305*S227+T305*T227+U305*U227+V305*V227+W305*W227+X305*X227+Y305*Y227+Z305*Z227+AA305*AA227+AB305*AB227+AC305*AC227+AD305*AD227+AE305*AE227+AF305*AF227+AG305*AG227+AH305*AH227+AI305*AI227+AJ305*AJ227+AK305*AK227+AL305*AL227+AM305*AM227+AN305*AN227+AO305*AO227+AP305*AP227+AQ305*AQ227+AR305*AR227+AS305*AS227+AT305*AT227+AU305*AU227+AV305*AV227+AW305*AW227+AX305*AX227+AY305*AY227+AZ305*AZ227+BA305*BA227+BB305*BB227+BC305*BC227+BD305*BD227+BE305*BE227+BF305*BF227+BG305*BG227+BH305*BH227+BI305*BI227+BJ305*BJ227+BK305*BK227+BL305*BL227+BM305*BM227+BN305*BN227+BO305*BO227+BP305*BP227+BQ305*BQ227+BR305*BR227+BS305*BS227+BT305*BT227+BU305*BU227+BV305*BV227+BW305*BW227+BX305*BX227+BY305*BY227+BZ305*BZ227+CA305*CA227+CB305*CB227+CC305*CC227+CD305*CD227+CE305*CE227+CF305*CF227+CG305*CG227+CH305*CH227+CI305*CI227+CJ305*CJ227+CK305*CK227+CL305*CL227+CM305*CM227+CN305*CN227+CO305*CO227+CP305*CP227+CQ305*CQ227+CR305*CR227+CS305*CS227+CT305*CT227+CU305*CU227</f>
        <v>0</v>
      </c>
      <c r="DE227" s="2882">
        <f>E306*E227+F306*F227+G306*G227+H306*H227+I306*I227+J306*J227+K306*K227+L306*L227+M306*M227+N306*N227+O306*O227+P306*P227+Q306*Q227+R306*R227+S306*S227+T306*T227+U306*U227+V306*V227+W306*W227+X306*X227+Y306*Y227+Z306*Z227+AA306*AA227+AB306*AB227+AC306*AC227+AD306*AD227+AE306*AE227+AF306*AF227+AG306*AG227+AH306*AH227+AI306*AI227+AJ306*AJ227+AK306*AK227+AL306*AL227+AM306*AM227+AN306*AN227+AO306*AO227+AP306*AP227+AQ306*AQ227+AR306*AR227+AS306*AS227+AT306*AT227+AU306*AU227+AV306*AV227+AW306*AW227+AX306*AX227+AY306*AY227+AZ306*AZ227+BA306*BA227+BB306*BB227+BC306*BC227+BD306*BD227+BE306*BE227+BF306*BF227+BG306*BG227+BH306*BH227+BI306*BI227+BJ306*BJ227+BK306*BK227+BL306*BL227+BM306*BM227+BN306*BN227+BO306*BO227+BP306*BP227+BQ306*BQ227+BR306*BR227+BS306*BS227+BT306*BT227+BU306*BU227+BV306*BV227+BW306*BW227+BX306*BX227+BY306*BY227+BZ306*BZ227+CA306*CA227+CB306*CB227+CC306*CC227+CD306*CD227+CE306*CE227+CF306*CF227+CG306*CG227+CH306*CH227+CI306*CI227+CJ306*CJ227+CK306*CK227+CL306*CL227+CM306*CM227+CN306*CN227+CO306*CO227+CP306*CP227+CQ306*CQ227+CR306*CR227+CS306*CS227+CT306*CT227+CU306*CU227</f>
        <v>0</v>
      </c>
      <c r="DF227" s="2882">
        <f>E307*E227+F307*F227+G307*G227+H307*H227+I307*I227+J307*J227+K307*K227+L307*L227+M307*M227+N307*N227+O307*O227+P307*P227+Q307*Q227+R307*R227+S307*S227+T307*T227+U307*U227+V307*V227+W307*W227+X307*X227+Y307*Y227+Z307*Z227+AA307*AA227+AB307*AB227+AC307*AC227+AD307*AD227+AE307*AE227+AF307*AF227+AG307*AG227+AH307*AH227+AI307*AI227+AJ307*AJ227+AK307*AK227+AL307*AL227+AM307*AM227+AN307*AN227+AO307*AO227+AP307*AP227+AQ307*AQ227+AR307*AR227+AS307*AS227+AT307*AT227+AU307*AU227+AV307*AV227+AW307*AW227+AX307*AX227+AY307*AY227+AZ307*AZ227+BA307*BA227+BB307*BB227+BC307*BC227+BD307*BD227+BE307*BE227+BF307*BF227+BG307*BG227+BH307*BH227+BI307*BI227+BJ307*BJ227+BK307*BK227+BL307*BL227+BM307*BM227+BN307*BN227+BO307*BO227+BP307*BP227+BQ307*BQ227+BR307*BR227+BS307*BS227+BT307*BT227+BU307*BU227+BV307*BV227+BW307*BW227+BX307*BX227+BY307*BY227+BZ307*BZ227+CA307*CA227+CB307*CB227+CC307*CC227+CD307*CD227+CE307*CE227+CF307*CF227+CG307*CG227+CH307*CH227+CI307*CI227+CJ307*CJ227+CK307*CK227+CL307*CL227+CM307*CM227+CN307*CN227+CO307*CO227+CP307*CP227+CQ307*CQ227+CR307*CR227+CS307*CS227+CT307*CT227+CU307*CU227</f>
        <v>0</v>
      </c>
      <c r="DG227" s="2882">
        <f>E308*E227+F308*F227+G308*G227+H308*H227+I308*I227+J308*J227+K308*K227+L308*L227+M308*M227+N308*N227+O308*O227+P308*P227+Q308*Q227+R308*R227+S308*S227+T308*T227+U308*U227+V308*V227+W308*W227+X308*X227+Y308*Y227+Z308*Z227+AA308*AA227+AB308*AB227+AC308*AC227+AD308*AD227+AE308*AE227+AF308*AF227+AG308*AG227+AH308*AH227+AI308*AI227+AJ308*AJ227+AK308*AK227+AL308*AL227+AM308*AM227+AN308*AN227+AO308*AO227+AP308*AP227+AQ308*AQ227+AR308*AR227+AS308*AS227+AT308*AT227+AU308*AU227+AV308*AV227+AW308*AW227+AX308*AX227+AY308*AY227+AZ308*AZ227+BA308*BA227+BB308*BB227+BC308*BC227+BD308*BD227+BE308*BE227+BF308*BF227+BG308*BG227+BH308*BH227+BI308*BI227+BJ308*BJ227+BK308*BK227+BL308*BL227+BM308*BM227+BN308*BN227+BO308*BO227+BP308*BP227+BQ308*BQ227+BR308*BR227+BS308*BS227+BT308*BT227+BU308*BU227+BV308*BV227+BW308*BW227+BX308*BX227+BY308*BY227+BZ308*BZ227+CA308*CA227+CB308*CB227+CC308*CC227+CD308*CD227+CE308*CE227+CF308*CF227+CG308*CG227+CH308*CH227+CI308*CI227+CJ308*CJ227+CK308*CK227+CL308*CL227+CM308*CM227+CN308*CN227+CO308*CO227+CP308*CP227+CQ308*CQ227+CR308*CR227+CS308*CS227+CT308*CT227+CU308*CU227</f>
        <v>0</v>
      </c>
      <c r="DH227" s="2882">
        <f>E309*E227+F309*F227+G309*G227+H309*H227+I309*I227+J309*J227+K309*K227+L309*L227+M309*M227+N309*N227+O309*O227+P309*P227+Q309*Q227+R309*R227+S309*S227+T309*T227+U309*U227+V309*V227+W309*W227+X309*X227+Y309*Y227+Z309*Z227+AA309*AA227+AB309*AB227+AC309*AC227+AD309*AD227+AE309*AE227+AF309*AF227+AG309*AG227+AH309*AH227+AI309*AI227+AJ309*AJ227+AK309*AK227+AL309*AL227+AM309*AM227+AN309*AN227+AO309*AO227+AP309*AP227+AQ309*AQ227+AR309*AR227+AS309*AS227+AT309*AT227+AU309*AU227+AV309*AV227+AW309*AW227+AX309*AX227+AY309*AY227+AZ309*AZ227+BA309*BA227+BB309*BB227+BC309*BC227+BD309*BD227+BE309*BE227+BF309*BF227+BG309*BG227+BH309*BH227+BI309*BI227+BJ309*BJ227+BK309*BK227+BL309*BL227+BM309*BM227+BN309*BN227+BO309*BO227+BP309*BP227+BQ309*BQ227+BR309*BR227+BS309*BS227+BT309*BT227+BU309*BU227+BV309*BV227+BW309*BW227+BX309*BX227+BY309*BY227+BZ309*BZ227+CA309*CA227+CB309*CB227+CC309*CC227+CD309*CD227+CE309*CE227+CF309*CF227+CG309*CG227+CH309*CH227+CI309*CI227+CJ309*CJ227+CK309*CK227+CL309*CL227+CM309*CM227+CN309*CN227+CO309*CO227+CP309*CP227+CQ309*CQ227+CR309*CR227+CS309*CS227+CT309*CT227+CU309*CU227</f>
        <v>0</v>
      </c>
      <c r="DI227" s="2882">
        <f>E310*E227+F310*F227+G310*G227+H310*H227+I310*I227+J310*J227+K310*K227+L310*L227+M310*M227+N310*N227+O310*O227+P310*P227+Q310*Q227+R310*R227+S310*S227+T310*T227+U310*U227+V310*V227+W310*W227+X310*X227+Y310*Y227+Z310*Z227+AA310*AA227+AB310*AB227+AC310*AC227+AD310*AD227+AE310*AE227+AF310*AF227+AG310*AG227+AH310*AH227+AI310*AI227+AJ310*AJ227+AK310*AK227+AL310*AL227+AM310*AM227+AN310*AN227+AO310*AO227+AP310*AP227+AQ310*AQ227+AR310*AR227+AS310*AS227+AT310*AT227+AU310*AU227+AV310*AV227+AW310*AW227+AX310*AX227+AY310*AY227+AZ310*AZ227+BA310*BA227+BB310*BB227+BC310*BC227+BD310*BD227+BE310*BE227+BF310*BF227+BG310*BG227+BH310*BH227+BI310*BI227+BJ310*BJ227+BK310*BK227+BL310*BL227+BM310*BM227+BN310*BN227+BO310*BO227+BP310*BP227+BQ310*BQ227+BR310*BR227+BS310*BS227+BT310*BT227+BU310*BU227+BV310*BV227+BW310*BW227+BX310*BX227+BY310*BY227+BZ310*BZ227+CA310*CA227+CB310*CB227+CC310*CC227+CD310*CD227+CE310*CE227+CF310*CF227+CG310*CG227+CH310*CH227+CI310*CI227+CJ310*CJ227+CK310*CK227+CL310*CL227+CM310*CM227+CN310*CN227+CO310*CO227+CP310*CP227+CQ310*CQ227+CR310*CR227+CS310*CS227+CT310*CT227+CU310*CU227</f>
        <v>0</v>
      </c>
    </row>
    <row r="228" spans="2:113" ht="15.75" x14ac:dyDescent="0.55000000000000004">
      <c r="B228" s="788">
        <v>69</v>
      </c>
      <c r="C228" s="788" t="s">
        <v>2476</v>
      </c>
      <c r="D228" s="789" t="s">
        <v>2373</v>
      </c>
      <c r="E228" s="734">
        <f>0</f>
        <v>0</v>
      </c>
      <c r="F228" s="734">
        <f>0</f>
        <v>0</v>
      </c>
      <c r="G228" s="734">
        <f>0</f>
        <v>0</v>
      </c>
      <c r="H228" s="734">
        <f>0</f>
        <v>0</v>
      </c>
      <c r="I228" s="734">
        <f>0</f>
        <v>0</v>
      </c>
      <c r="J228" s="734">
        <f>0</f>
        <v>0</v>
      </c>
      <c r="K228" s="734">
        <f>0</f>
        <v>0</v>
      </c>
      <c r="L228" s="734">
        <f>0</f>
        <v>0</v>
      </c>
      <c r="M228" s="734">
        <f>0</f>
        <v>0</v>
      </c>
      <c r="N228" s="734">
        <f>0</f>
        <v>0</v>
      </c>
      <c r="O228" s="734">
        <f>0</f>
        <v>0</v>
      </c>
      <c r="P228" s="734">
        <f>0</f>
        <v>0</v>
      </c>
      <c r="Q228" s="793">
        <f>-E_EQNO2*X_OHO/X_BIO</f>
        <v>-1.3798835818594273</v>
      </c>
      <c r="R228" s="793">
        <f>-E_EQNO2*X_CASTO/X_BIO</f>
        <v>-1.3798835818594273</v>
      </c>
      <c r="S228" s="793">
        <f>-E_EQNO2*X_MEOLO/X_BIO</f>
        <v>-2.7597671637188542E-3</v>
      </c>
      <c r="T228" s="793">
        <f>-E_EQNO2*X_AOB/X_BIO</f>
        <v>-9.1072316402722189E-2</v>
      </c>
      <c r="U228" s="793">
        <f>-E_EQNO2*X_NOB/X_BIO</f>
        <v>-5.5195343274377084E-2</v>
      </c>
      <c r="V228" s="793">
        <f>-E_EQNO2*X_AMX/X_BIO</f>
        <v>-2.7597671637188542E-3</v>
      </c>
      <c r="W228" s="793">
        <f>-E_EQNO2*X_AMETO/X_BIO</f>
        <v>-8.2793014911565629E-4</v>
      </c>
      <c r="X228" s="793">
        <f>-E_EQNO2*X_HMETO/X_BIO</f>
        <v>-5.5195343274377082E-4</v>
      </c>
      <c r="Y228" s="793">
        <f>-E_EQNO2*X_ASRO/X_BIO</f>
        <v>-2.7597671637188542E-3</v>
      </c>
      <c r="Z228" s="793">
        <f>-E_EQNO2*X_HSRO/X_BIO</f>
        <v>-9.6591850730159912E-2</v>
      </c>
      <c r="AA228" s="793">
        <f>-E_EQNO2*X_SOO/X_BIO</f>
        <v>-0.41396507455782811</v>
      </c>
      <c r="AB228" s="734">
        <f>1+E_EQNO2*i_N_BIO</f>
        <v>1.2398762021032792</v>
      </c>
      <c r="AC228" s="734">
        <f>0</f>
        <v>0</v>
      </c>
      <c r="AD228" s="734">
        <f>0</f>
        <v>0</v>
      </c>
      <c r="AE228" s="734">
        <f>-1</f>
        <v>-1</v>
      </c>
      <c r="AF228" s="734">
        <f>0</f>
        <v>0</v>
      </c>
      <c r="AG228" s="734">
        <f>0</f>
        <v>0</v>
      </c>
      <c r="AH228" s="734">
        <f>0</f>
        <v>0</v>
      </c>
      <c r="AI228" s="734">
        <f>0</f>
        <v>0</v>
      </c>
      <c r="AJ228" s="734">
        <f>0</f>
        <v>0</v>
      </c>
      <c r="AK228" s="734">
        <f>0</f>
        <v>0</v>
      </c>
      <c r="AL228" s="734">
        <f>0</f>
        <v>0</v>
      </c>
      <c r="AM228" s="734">
        <f>E_EQNO2*i_P_BIO</f>
        <v>6.8536057743794038E-2</v>
      </c>
      <c r="AN228" s="734">
        <f>0</f>
        <v>0</v>
      </c>
      <c r="AO228" s="734">
        <f>0</f>
        <v>0</v>
      </c>
      <c r="AP228" s="734">
        <f>0</f>
        <v>0</v>
      </c>
      <c r="AQ228" s="734">
        <f>0</f>
        <v>0</v>
      </c>
      <c r="AR228" s="734">
        <f>0</f>
        <v>0</v>
      </c>
      <c r="AS228" s="734">
        <f>0</f>
        <v>0</v>
      </c>
      <c r="AT228" s="734">
        <f>0</f>
        <v>0</v>
      </c>
      <c r="AU228" s="734">
        <f>i_CIT_BIO*E_EQNO2</f>
        <v>1.2062346162907749</v>
      </c>
      <c r="AV228" s="734">
        <f>0</f>
        <v>0</v>
      </c>
      <c r="AW228" s="734">
        <f>0</f>
        <v>0</v>
      </c>
      <c r="AX228" s="734">
        <f>0</f>
        <v>0</v>
      </c>
      <c r="AY228" s="734">
        <f>0</f>
        <v>0</v>
      </c>
      <c r="AZ228" s="734">
        <f>0</f>
        <v>0</v>
      </c>
      <c r="BA228" s="734">
        <f>0</f>
        <v>0</v>
      </c>
      <c r="BB228" s="734">
        <f>0</f>
        <v>0</v>
      </c>
      <c r="BC228" s="734">
        <f>(i_S_BIO*E_EQNO2*X_BIO)/X_BIO</f>
        <v>3.4268028871897019E-2</v>
      </c>
      <c r="BD228" s="734">
        <f>0</f>
        <v>0</v>
      </c>
      <c r="BE228" s="734">
        <f>0</f>
        <v>0</v>
      </c>
      <c r="BF228" s="734">
        <f>0</f>
        <v>0</v>
      </c>
      <c r="BG228" s="734">
        <f>0</f>
        <v>0</v>
      </c>
      <c r="BH228" s="734">
        <f>0</f>
        <v>0</v>
      </c>
      <c r="BI228" s="734">
        <f>0</f>
        <v>0</v>
      </c>
      <c r="BJ228" s="734">
        <f>0</f>
        <v>0</v>
      </c>
      <c r="BK228" s="734">
        <f>0</f>
        <v>0</v>
      </c>
      <c r="BL228" s="734">
        <f>0</f>
        <v>0</v>
      </c>
      <c r="BM228" s="734">
        <f>0</f>
        <v>0</v>
      </c>
      <c r="BN228" s="734">
        <f>0</f>
        <v>0</v>
      </c>
      <c r="BO228" s="734">
        <f>0</f>
        <v>0</v>
      </c>
      <c r="BP228" s="734">
        <f>0</f>
        <v>0</v>
      </c>
      <c r="BQ228" s="734">
        <f>0</f>
        <v>0</v>
      </c>
      <c r="BR228" s="734">
        <f>0</f>
        <v>0</v>
      </c>
      <c r="BS228" s="734">
        <f>0</f>
        <v>0</v>
      </c>
      <c r="BT228" s="734">
        <f>0</f>
        <v>0</v>
      </c>
      <c r="BU228" s="734">
        <f>0</f>
        <v>0</v>
      </c>
      <c r="BV228" s="901">
        <f>0</f>
        <v>0</v>
      </c>
      <c r="BW228" s="734">
        <f>0</f>
        <v>0</v>
      </c>
      <c r="BX228" s="734">
        <f>0</f>
        <v>0</v>
      </c>
      <c r="BY228" s="734">
        <f>0</f>
        <v>0</v>
      </c>
      <c r="BZ228" s="734">
        <f>0</f>
        <v>0</v>
      </c>
      <c r="CA228" s="901">
        <f>0</f>
        <v>0</v>
      </c>
      <c r="CB228" s="734">
        <f>0</f>
        <v>0</v>
      </c>
      <c r="CC228" s="734">
        <f>0</f>
        <v>0</v>
      </c>
      <c r="CD228" s="734">
        <f>0</f>
        <v>0</v>
      </c>
      <c r="CE228" s="734">
        <f>0</f>
        <v>0</v>
      </c>
      <c r="CF228" s="734">
        <f>0</f>
        <v>0</v>
      </c>
      <c r="CG228" s="734">
        <f>0</f>
        <v>0</v>
      </c>
      <c r="CH228" s="734">
        <f>0</f>
        <v>0</v>
      </c>
      <c r="CI228" s="734">
        <f>0</f>
        <v>0</v>
      </c>
      <c r="CJ228" s="734">
        <f>0</f>
        <v>0</v>
      </c>
      <c r="CK228" s="734">
        <f>0</f>
        <v>0</v>
      </c>
      <c r="CL228" s="734">
        <f>0</f>
        <v>0</v>
      </c>
      <c r="CM228" s="734">
        <f>0</f>
        <v>0</v>
      </c>
      <c r="CN228" s="734">
        <f>0</f>
        <v>0</v>
      </c>
      <c r="CO228" s="734">
        <f>0</f>
        <v>0</v>
      </c>
      <c r="CP228" s="734">
        <f>0</f>
        <v>0</v>
      </c>
      <c r="CQ228" s="734">
        <f>0</f>
        <v>0</v>
      </c>
      <c r="CR228" s="734">
        <f>0</f>
        <v>0</v>
      </c>
      <c r="CS228" s="734">
        <f>0</f>
        <v>0</v>
      </c>
      <c r="CT228" s="734">
        <f>0</f>
        <v>0</v>
      </c>
      <c r="CU228" s="793">
        <f>-E_EQNO2*X_MOB/X_BIO</f>
        <v>-5.5195343274377082E-4</v>
      </c>
      <c r="CV228" s="2863">
        <f>q_ASSIM_T*X_BIO*M_satSNO2_KNO2_ASSIM*M_inhSNHx_KiNHx_ASSIM</f>
        <v>0.61439577241082444</v>
      </c>
      <c r="CX228" s="2880">
        <f>E299*E228+F299*F228+G299*G228+H299*H228+I299*I228+J299*J228+K299*K228+L299*L228+M299*M228+N299*N228+O299*O228+P299*P228+Q299*Q228+R299*R228+S299*S228+T299*T228+U299*U228+V299*V228+W299*W228+X299*X228+Y299*Y228+Z299*Z228+AA299*AA228+AB299*AB228+AC299*AC228+AD299*AD228+AE299*AE228+AF299*AF228+AG299*AG228+AH299*AH228+AI299*AI228+AJ299*AJ228+AK299*AK228+AL299*AL228+AM299*AM228+AN299*AN228+AO299*AO228+AP299*AP228+AQ299*AQ228+AR299*AR228+AS299*AS228+AT299*AT228+AU299*AU228+AV299*AV228+AW299*AW228+AX299*AX228+AY299*AY228+AZ299*AZ228+BA299*BA228+BB299*BB228+BC299*BC228+BD299*BD228+BE299*BE228+BF299*BF228+BG299*BG228+BH299*BH228+BI299*BI228+BJ299*BJ228+BK299*BK228+BL299*BL228+BM299*BM228+BN299*BN228+BO299*BO228+BP299*BP228+BQ299*BQ228+BR299*BR228+BS299*BS228+BT299*BT228+BU299*BU228+BV299*BV228+BW299*BW228+BX299*BX228+BY299*BY228+BZ299*BZ228+CA299*CA228+CB299*CB228+CC299*CC228+CD299*CD228+CE299*CE228+CF299*CF228+CG299*CG228+CH299*CH228+CI299*CI228+CJ299*CJ228+CK299*CK228+CL299*CL228+CM299*CM228+CN299*CN228+CO299*CO228+CP299*CP228+CQ299*CQ228+CR299*CR228+CS299*CS228+CT299*CT228+CU299*CU228</f>
        <v>-1.581850969656351E-16</v>
      </c>
      <c r="CY228" s="2880">
        <f>E300*E228+F300*F228+G300*G228+H300*H228+I300*I228+J300*J228+K300*K228+L300*L228+M300*M228+N300*N228+O300*O228+P300*P228+Q300*Q228+R300*R228+S300*S228+T300*T228+U300*U228+V300*V228+W300*W228+X300*X228+Y300*Y228+Z300*Z228+AA300*AA228+AB300*AB228+AC300*AC228+AD300*AD228+AE300*AE228+AF300*AF228+AG300*AG228+AH300*AH228+AI300*AI228+AJ300*AJ228+AK300*AK228+AL300*AL228+AM300*AM228+AN300*AN228+AO300*AO228+AP300*AP228+AQ300*AQ228+AR300*AR228+AS300*AS228+AT300*AT228+AU300*AU228+AV300*AV228+AW300*AW228+AX300*AX228+AY300*AY228+AZ300*AZ228+BA300*BA228+BB300*BB228+BC300*BC228+BD300*BD228+BE300*BE228+BF300*BF228+BG300*BG228+BH300*BH228+BI300*BI228+BJ300*BJ228+BK300*BK228+BL300*BL228+BM300*BM228+BN300*BN228+BO300*BO228+BP300*BP228+BQ300*BQ228+BR300*BR228+BS300*BS228+BT300*BT228+BU300*BU228+BV300*BV228+BW300*BW228+BX300*BX228+BY300*BY228+BZ300*BZ228+CA300*CA228+CB300*CB228+CC300*CC228+CD300*CD228+CE300*CE228+CF300*CF228+CG300*CG228+CH300*CH228+CI300*CI228+CJ300*CJ228+CK300*CK228+CL300*CL228+CM300*CM228+CN300*CN228+CO300*CO228+CP300*CP228+CQ300*CQ228+CR300*CR228+CS300*CS228+CT300*CT228+CU300*CU228</f>
        <v>4.2039939238125434E-17</v>
      </c>
      <c r="CZ228" s="2881">
        <f>E301*E228+F301*F228+G301*G228+H301*H228+I301*I228+J301*J228+K301*K228+L301*L228+M301*M228+N301*N228+O301*O228+P301*P228+Q301*Q228+R301*R228+S301*S228+T301*T228+U301*U228+V301*V228+W301*W228+X301*X228+Y301*Y228+Z301*Z228+AA301*AA228+AB301*AB228+AC301*AC228+AD301*AD228+AE301*AE228+AF301*AF228+AG301*AG228+AH301*AH228+AI301*AI228+AJ301*AJ228+AK301*AK228+AL301*AL228+AM301*AM228+AN301*AN228+AO301*AO228+AP301*AP228+AQ301*AQ228+AR301*AR228+AS301*AS228+AT301*AT228+AU301*AU228+AV301*AV228+AW301*AW228+AX301*AX228+AY301*AY228+AZ301*AZ228+BA301*BA228+BB301*BB228+BC301*BC228+BD301*BD228+BE301*BE228+BF301*BF228+BG301*BG228+BH301*BH228+BI301*BI228+BJ301*BJ228+BK301*BK228+BL301*BL228+BM301*BM228+BN301*BN228+BO301*BO228+BP301*BP228+BQ301*BQ228+BR301*BR228+BS301*BS228+BT301*BT228+BU301*BU228+BV301*BV228+BW301*BW228+BX301*BX228+BY301*BY228+BZ301*BZ228+CA301*CA228+CB301*CB228+CC301*CC228+CD301*CD228+CE301*CE228+CF301*CF228+CG301*CG228+CH301*CH228+CI301*CI228+CJ301*CJ228+CK301*CK228+CL301*CL228+CM301*CM228+CN301*CN228+CO301*CO228+CP301*CP228+CQ301*CQ228+CR301*CR228+CS301*CS228+CT301*CT228+CU301*CU228</f>
        <v>-3.3278230431726952E-17</v>
      </c>
      <c r="DA228" s="2882">
        <f>E302*E228+F302*F228+G302*G228+H302*H228+I302*I228+J302*J228+K302*K228+L302*L228+M302*M228+N302*N228+O302*O228+P302*P228+Q302*Q228+R302*R228+S302*S228+T302*T228+U302*U228+V302*V228+W302*W228+X302*X228+Y302*Y228+Z302*Z228+AA302*AA228+AB302*AB228+AC302*AC228+AD302*AD228+AE302*AE228+AF302*AF228+AG302*AG228+AH302*AH228+AI302*AI228+AJ302*AJ228+AK302*AK228+AL302*AL228+AM302*AM228+AN302*AN228+AO302*AO228+AP302*AP228+AQ302*AQ228+AR302*AR228+AS302*AS228+AT302*AT228+AU302*AU228+AV302*AV228+AW302*AW228+AX302*AX228+AY302*AY228+AZ302*AZ228+BA302*BA228+BB302*BB228+BC302*BC228+BD302*BD228+BE302*BE228+BF302*BF228+BG302*BG228+BH302*BH228+BI302*BI228+BJ302*BJ228+BK302*BK228+BL302*BL228+BM302*BM228+BN302*BN228+BO302*BO228+BP302*BP228+BQ302*BQ228+BR302*BR228+BS302*BS228+BT302*BT228+BU302*BU228+BV302*BV228+BW302*BW228+BX302*BX228+BY302*BY228+BZ302*BZ228+CA302*CA228+CB302*CB228+CC302*CC228+CD302*CD228+CE302*CE228+CF302*CF228+CG302*CG228+CH302*CH228+CI302*CI228+CJ302*CJ228+CK302*CK228+CL302*CL228+CM302*CM228+CN302*CN228+CO302*CO228+CP302*CP228+CQ302*CQ228+CR302*CR228+CS302*CS228+CT302*CT228+CU302*CU228</f>
        <v>2.3869388453626184E-18</v>
      </c>
      <c r="DB228" s="2882">
        <f>E303*E228+F303*F228+G303*G228+H303*H228+I303*I228+J303*J228+K303*K228+L303*L228+M303*M228+N303*N228+O303*O228+P303*P228+Q303*Q228+R303*R228+S303*S228+T303*T228+U303*U228+V303*V228+W303*W228+X303*X228+Y303*Y228+Z303*Z228+AA303*AA228+AB303*AB228+AC303*AC228+AD303*AD228+AE303*AE228+AF303*AF228+AG303*AG228+AH303*AH228+AI303*AI228+AJ303*AJ228+AK303*AK228+AL303*AL228+AM303*AM228+AN303*AN228+AO303*AO228+AP303*AP228+AQ303*AQ228+AR303*AR228+AS303*AS228+AT303*AT228+AU303*AU228+AV303*AV228+AW303*AW228+AX303*AX228+AY303*AY228+AZ303*AZ228+BA303*BA228+BB303*BB228+BC303*BC228+BD303*BD228+BE303*BE228+BF303*BF228+BG303*BG228+BH303*BH228+BI303*BI228+BJ303*BJ228+BK303*BK228+BL303*BL228+BM303*BM228+BN303*BN228+BO303*BO228+BP303*BP228+BQ303*BQ228+BR303*BR228+BS303*BS228+BT303*BT228+BU303*BU228+BV303*BV228+BW303*BW228+BX303*BX228+BY303*BY228+BZ303*BZ228+CA303*CA228+CB303*CB228+CC303*CC228+CD303*CD228+CE303*CE228+CF303*CF228+CG303*CG228+CH303*CH228+CI303*CI228+CJ303*CJ228+CK303*CK228+CL303*CL228+CM303*CM228+CN303*CN228+CO303*CO228+CP303*CP228+CQ303*CQ228+CR303*CR228+CS303*CS228+CT303*CT228+CU303*CU228</f>
        <v>1.1934694226813092E-18</v>
      </c>
      <c r="DC228" s="2882">
        <f>E304*E228+F304*F228+G304*G228+H304*H228+I304*I228+J304*J228+K304*K228+L304*L228+M304*M228+N304*N228+O304*O228+P304*P228+Q304*Q228+R304*R228+S304*S228+T304*T228+U304*U228+V304*V228+W304*W228+X304*X228+Y304*Y228+Z304*Z228+AA304*AA228+AB304*AB228+AC304*AC228+AD304*AD228+AE304*AE228+AF304*AF228+AG304*AG228+AH304*AH228+AI304*AI228+AJ304*AJ228+AK304*AK228+AL304*AL228+AM304*AM228+AN304*AN228+AO304*AO228+AP304*AP228+AQ304*AQ228+AR304*AR228+AS304*AS228+AT304*AT228+AU304*AU228+AV304*AV228+AW304*AW228+AX304*AX228+AY304*AY228+AZ304*AZ228+BA304*BA228+BB304*BB228+BC304*BC228+BD304*BD228+BE304*BE228+BF304*BF228+BG304*BG228+BH304*BH228+BI304*BI228+BJ304*BJ228+BK304*BK228+BL304*BL228+BM304*BM228+BN304*BN228+BO304*BO228+BP304*BP228+BQ304*BQ228+BR304*BR228+BS304*BS228+BT304*BT228+BU304*BU228+BV304*BV228+BW304*BW228+BX304*BX228+BY304*BY228+BZ304*BZ228+CA304*CA228+CB304*CB228+CC304*CC228+CD304*CD228+CE304*CE228+CF304*CF228+CG304*CG228+CH304*CH228+CI304*CI228+CJ304*CJ228+CK304*CK228+CL304*CL228+CM304*CM228+CN304*CN228+CO304*CO228+CP304*CP228+CQ304*CQ228+CR304*CR228+CS304*CS228+CT304*CT228+CU304*CU228</f>
        <v>0</v>
      </c>
      <c r="DD228" s="2882">
        <f>E305*E228+F305*F228+G305*G228+H305*H228+I305*I228+J305*J228+K305*K228+L305*L228+M305*M228+N305*N228+O305*O228+P305*P228+Q305*Q228+R305*R228+S305*S228+T305*T228+U305*U228+V305*V228+W305*W228+X305*X228+Y305*Y228+Z305*Z228+AA305*AA228+AB305*AB228+AC305*AC228+AD305*AD228+AE305*AE228+AF305*AF228+AG305*AG228+AH305*AH228+AI305*AI228+AJ305*AJ228+AK305*AK228+AL305*AL228+AM305*AM228+AN305*AN228+AO305*AO228+AP305*AP228+AQ305*AQ228+AR305*AR228+AS305*AS228+AT305*AT228+AU305*AU228+AV305*AV228+AW305*AW228+AX305*AX228+AY305*AY228+AZ305*AZ228+BA305*BA228+BB305*BB228+BC305*BC228+BD305*BD228+BE305*BE228+BF305*BF228+BG305*BG228+BH305*BH228+BI305*BI228+BJ305*BJ228+BK305*BK228+BL305*BL228+BM305*BM228+BN305*BN228+BO305*BO228+BP305*BP228+BQ305*BQ228+BR305*BR228+BS305*BS228+BT305*BT228+BU305*BU228+BV305*BV228+BW305*BW228+BX305*BX228+BY305*BY228+BZ305*BZ228+CA305*CA228+CB305*CB228+CC305*CC228+CD305*CD228+CE305*CE228+CF305*CF228+CG305*CG228+CH305*CH228+CI305*CI228+CJ305*CJ228+CK305*CK228+CL305*CL228+CM305*CM228+CN305*CN228+CO305*CO228+CP305*CP228+CQ305*CQ228+CR305*CR228+CS305*CS228+CT305*CT228+CU305*CU228</f>
        <v>0</v>
      </c>
      <c r="DE228" s="2882">
        <f>E306*E228+F306*F228+G306*G228+H306*H228+I306*I228+J306*J228+K306*K228+L306*L228+M306*M228+N306*N228+O306*O228+P306*P228+Q306*Q228+R306*R228+S306*S228+T306*T228+U306*U228+V306*V228+W306*W228+X306*X228+Y306*Y228+Z306*Z228+AA306*AA228+AB306*AB228+AC306*AC228+AD306*AD228+AE306*AE228+AF306*AF228+AG306*AG228+AH306*AH228+AI306*AI228+AJ306*AJ228+AK306*AK228+AL306*AL228+AM306*AM228+AN306*AN228+AO306*AO228+AP306*AP228+AQ306*AQ228+AR306*AR228+AS306*AS228+AT306*AT228+AU306*AU228+AV306*AV228+AW306*AW228+AX306*AX228+AY306*AY228+AZ306*AZ228+BA306*BA228+BB306*BB228+BC306*BC228+BD306*BD228+BE306*BE228+BF306*BF228+BG306*BG228+BH306*BH228+BI306*BI228+BJ306*BJ228+BK306*BK228+BL306*BL228+BM306*BM228+BN306*BN228+BO306*BO228+BP306*BP228+BQ306*BQ228+BR306*BR228+BS306*BS228+BT306*BT228+BU306*BU228+BV306*BV228+BW306*BW228+BX306*BX228+BY306*BY228+BZ306*BZ228+CA306*CA228+CB306*CB228+CC306*CC228+CD306*CD228+CE306*CE228+CF306*CF228+CG306*CG228+CH306*CH228+CI306*CI228+CJ306*CJ228+CK306*CK228+CL306*CL228+CM306*CM228+CN306*CN228+CO306*CO228+CP306*CP228+CQ306*CQ228+CR306*CR228+CS306*CS228+CT306*CT228+CU306*CU228</f>
        <v>0</v>
      </c>
      <c r="DF228" s="2882">
        <f>E307*E228+F307*F228+G307*G228+H307*H228+I307*I228+J307*J228+K307*K228+L307*L228+M307*M228+N307*N228+O307*O228+P307*P228+Q307*Q228+R307*R228+S307*S228+T307*T228+U307*U228+V307*V228+W307*W228+X307*X228+Y307*Y228+Z307*Z228+AA307*AA228+AB307*AB228+AC307*AC228+AD307*AD228+AE307*AE228+AF307*AF228+AG307*AG228+AH307*AH228+AI307*AI228+AJ307*AJ228+AK307*AK228+AL307*AL228+AM307*AM228+AN307*AN228+AO307*AO228+AP307*AP228+AQ307*AQ228+AR307*AR228+AS307*AS228+AT307*AT228+AU307*AU228+AV307*AV228+AW307*AW228+AX307*AX228+AY307*AY228+AZ307*AZ228+BA307*BA228+BB307*BB228+BC307*BC228+BD307*BD228+BE307*BE228+BF307*BF228+BG307*BG228+BH307*BH228+BI307*BI228+BJ307*BJ228+BK307*BK228+BL307*BL228+BM307*BM228+BN307*BN228+BO307*BO228+BP307*BP228+BQ307*BQ228+BR307*BR228+BS307*BS228+BT307*BT228+BU307*BU228+BV307*BV228+BW307*BW228+BX307*BX228+BY307*BY228+BZ307*BZ228+CA307*CA228+CB307*CB228+CC307*CC228+CD307*CD228+CE307*CE228+CF307*CF228+CG307*CG228+CH307*CH228+CI307*CI228+CJ307*CJ228+CK307*CK228+CL307*CL228+CM307*CM228+CN307*CN228+CO307*CO228+CP307*CP228+CQ307*CQ228+CR307*CR228+CS307*CS228+CT307*CT228+CU307*CU228</f>
        <v>0</v>
      </c>
      <c r="DG228" s="2882">
        <f>E308*E228+F308*F228+G308*G228+H308*H228+I308*I228+J308*J228+K308*K228+L308*L228+M308*M228+N308*N228+O308*O228+P308*P228+Q308*Q228+R308*R228+S308*S228+T308*T228+U308*U228+V308*V228+W308*W228+X308*X228+Y308*Y228+Z308*Z228+AA308*AA228+AB308*AB228+AC308*AC228+AD308*AD228+AE308*AE228+AF308*AF228+AG308*AG228+AH308*AH228+AI308*AI228+AJ308*AJ228+AK308*AK228+AL308*AL228+AM308*AM228+AN308*AN228+AO308*AO228+AP308*AP228+AQ308*AQ228+AR308*AR228+AS308*AS228+AT308*AT228+AU308*AU228+AV308*AV228+AW308*AW228+AX308*AX228+AY308*AY228+AZ308*AZ228+BA308*BA228+BB308*BB228+BC308*BC228+BD308*BD228+BE308*BE228+BF308*BF228+BG308*BG228+BH308*BH228+BI308*BI228+BJ308*BJ228+BK308*BK228+BL308*BL228+BM308*BM228+BN308*BN228+BO308*BO228+BP308*BP228+BQ308*BQ228+BR308*BR228+BS308*BS228+BT308*BT228+BU308*BU228+BV308*BV228+BW308*BW228+BX308*BX228+BY308*BY228+BZ308*BZ228+CA308*CA228+CB308*CB228+CC308*CC228+CD308*CD228+CE308*CE228+CF308*CF228+CG308*CG228+CH308*CH228+CI308*CI228+CJ308*CJ228+CK308*CK228+CL308*CL228+CM308*CM228+CN308*CN228+CO308*CO228+CP308*CP228+CQ308*CQ228+CR308*CR228+CS308*CS228+CT308*CT228+CU308*CU228</f>
        <v>0</v>
      </c>
      <c r="DH228" s="2882">
        <f>E309*E228+F309*F228+G309*G228+H309*H228+I309*I228+J309*J228+K309*K228+L309*L228+M309*M228+N309*N228+O309*O228+P309*P228+Q309*Q228+R309*R228+S309*S228+T309*T228+U309*U228+V309*V228+W309*W228+X309*X228+Y309*Y228+Z309*Z228+AA309*AA228+AB309*AB228+AC309*AC228+AD309*AD228+AE309*AE228+AF309*AF228+AG309*AG228+AH309*AH228+AI309*AI228+AJ309*AJ228+AK309*AK228+AL309*AL228+AM309*AM228+AN309*AN228+AO309*AO228+AP309*AP228+AQ309*AQ228+AR309*AR228+AS309*AS228+AT309*AT228+AU309*AU228+AV309*AV228+AW309*AW228+AX309*AX228+AY309*AY228+AZ309*AZ228+BA309*BA228+BB309*BB228+BC309*BC228+BD309*BD228+BE309*BE228+BF309*BF228+BG309*BG228+BH309*BH228+BI309*BI228+BJ309*BJ228+BK309*BK228+BL309*BL228+BM309*BM228+BN309*BN228+BO309*BO228+BP309*BP228+BQ309*BQ228+BR309*BR228+BS309*BS228+BT309*BT228+BU309*BU228+BV309*BV228+BW309*BW228+BX309*BX228+BY309*BY228+BZ309*BZ228+CA309*CA228+CB309*CB228+CC309*CC228+CD309*CD228+CE309*CE228+CF309*CF228+CG309*CG228+CH309*CH228+CI309*CI228+CJ309*CJ228+CK309*CK228+CL309*CL228+CM309*CM228+CN309*CN228+CO309*CO228+CP309*CP228+CQ309*CQ228+CR309*CR228+CS309*CS228+CT309*CT228+CU309*CU228</f>
        <v>0</v>
      </c>
      <c r="DI228" s="2882">
        <f>E310*E228+F310*F228+G310*G228+H310*H228+I310*I228+J310*J228+K310*K228+L310*L228+M310*M228+N310*N228+O310*O228+P310*P228+Q310*Q228+R310*R228+S310*S228+T310*T228+U310*U228+V310*V228+W310*W228+X310*X228+Y310*Y228+Z310*Z228+AA310*AA228+AB310*AB228+AC310*AC228+AD310*AD228+AE310*AE228+AF310*AF228+AG310*AG228+AH310*AH228+AI310*AI228+AJ310*AJ228+AK310*AK228+AL310*AL228+AM310*AM228+AN310*AN228+AO310*AO228+AP310*AP228+AQ310*AQ228+AR310*AR228+AS310*AS228+AT310*AT228+AU310*AU228+AV310*AV228+AW310*AW228+AX310*AX228+AY310*AY228+AZ310*AZ228+BA310*BA228+BB310*BB228+BC310*BC228+BD310*BD228+BE310*BE228+BF310*BF228+BG310*BG228+BH310*BH228+BI310*BI228+BJ310*BJ228+BK310*BK228+BL310*BL228+BM310*BM228+BN310*BN228+BO310*BO228+BP310*BP228+BQ310*BQ228+BR310*BR228+BS310*BS228+BT310*BT228+BU310*BU228+BV310*BV228+BW310*BW228+BX310*BX228+BY310*BY228+BZ310*BZ228+CA310*CA228+CB310*CB228+CC310*CC228+CD310*CD228+CE310*CE228+CF310*CF228+CG310*CG228+CH310*CH228+CI310*CI228+CJ310*CJ228+CK310*CK228+CL310*CL228+CM310*CM228+CN310*CN228+CO310*CO228+CP310*CP228+CQ310*CQ228+CR310*CR228+CS310*CS228+CT310*CT228+CU310*CU228</f>
        <v>0</v>
      </c>
    </row>
    <row r="229" spans="2:113" ht="15.75" x14ac:dyDescent="0.55000000000000004">
      <c r="B229" s="788">
        <v>70</v>
      </c>
      <c r="C229" s="788" t="s">
        <v>2477</v>
      </c>
      <c r="D229" s="789" t="s">
        <v>1698</v>
      </c>
      <c r="E229" s="734">
        <f>0</f>
        <v>0</v>
      </c>
      <c r="F229" s="734">
        <f>0</f>
        <v>0</v>
      </c>
      <c r="G229" s="734">
        <f>0</f>
        <v>0</v>
      </c>
      <c r="H229" s="734">
        <f>0</f>
        <v>0</v>
      </c>
      <c r="I229" s="734">
        <f>0</f>
        <v>0</v>
      </c>
      <c r="J229" s="734">
        <f>0</f>
        <v>0</v>
      </c>
      <c r="K229" s="734">
        <f>0</f>
        <v>0</v>
      </c>
      <c r="L229" s="734">
        <f>0</f>
        <v>0</v>
      </c>
      <c r="M229" s="734">
        <f>0</f>
        <v>0</v>
      </c>
      <c r="N229" s="734">
        <f>0</f>
        <v>0</v>
      </c>
      <c r="O229" s="734">
        <f>0</f>
        <v>0</v>
      </c>
      <c r="P229" s="734">
        <f>0</f>
        <v>0</v>
      </c>
      <c r="Q229" s="793">
        <f>-E_EQNO3*X_OHO/X_BIO</f>
        <v>-1.8398447758125698</v>
      </c>
      <c r="R229" s="793">
        <f>-E_EQNO3*X_CASTO/X_BIO</f>
        <v>-1.8398447758125698</v>
      </c>
      <c r="S229" s="793">
        <f>-E_EQNO3*X_MEOLO/X_BIO</f>
        <v>-3.6796895516251391E-3</v>
      </c>
      <c r="T229" s="793">
        <f>-E_EQNO3*X_AOB/X_BIO</f>
        <v>-0.12142975520362959</v>
      </c>
      <c r="U229" s="793">
        <f>-E_EQNO3*X_NOB/X_BIO</f>
        <v>-7.3593791032502784E-2</v>
      </c>
      <c r="V229" s="793">
        <f>-E_EQNO3*X_AMX/X_BIO</f>
        <v>-3.6796895516251391E-3</v>
      </c>
      <c r="W229" s="793">
        <f>-E_EQNO3*X_AMETO/X_BIO</f>
        <v>-1.1039068654875416E-3</v>
      </c>
      <c r="X229" s="793">
        <f>-E_EQNO3*X_HMETO/X_BIO</f>
        <v>-7.359379103250278E-4</v>
      </c>
      <c r="Y229" s="793">
        <f>-E_EQNO3*X_ASRO/X_BIO</f>
        <v>-3.6796895516251391E-3</v>
      </c>
      <c r="Z229" s="793">
        <f>-E_EQNO3*X_HSRO/X_BIO</f>
        <v>-0.12878913430687988</v>
      </c>
      <c r="AA229" s="793">
        <f>-E_EQNO3*X_SOO/X_BIO</f>
        <v>-0.55195343274377084</v>
      </c>
      <c r="AB229" s="734">
        <f>1+E_EQNO3*i_N_BIO</f>
        <v>1.3198349361377055</v>
      </c>
      <c r="AC229" s="734">
        <f>0</f>
        <v>0</v>
      </c>
      <c r="AD229" s="734">
        <f>-1</f>
        <v>-1</v>
      </c>
      <c r="AE229" s="734">
        <f>0</f>
        <v>0</v>
      </c>
      <c r="AF229" s="734">
        <f>0</f>
        <v>0</v>
      </c>
      <c r="AG229" s="734">
        <f>0</f>
        <v>0</v>
      </c>
      <c r="AH229" s="734">
        <f>0</f>
        <v>0</v>
      </c>
      <c r="AI229" s="734">
        <f>0</f>
        <v>0</v>
      </c>
      <c r="AJ229" s="734">
        <f>0</f>
        <v>0</v>
      </c>
      <c r="AK229" s="734">
        <f>0</f>
        <v>0</v>
      </c>
      <c r="AL229" s="734">
        <f>0</f>
        <v>0</v>
      </c>
      <c r="AM229" s="734">
        <f>E_EQNO3*i_P_BIO</f>
        <v>9.1381410325058712E-2</v>
      </c>
      <c r="AN229" s="734">
        <f>0</f>
        <v>0</v>
      </c>
      <c r="AO229" s="734">
        <f>0</f>
        <v>0</v>
      </c>
      <c r="AP229" s="734">
        <f>0</f>
        <v>0</v>
      </c>
      <c r="AQ229" s="734">
        <f>0</f>
        <v>0</v>
      </c>
      <c r="AR229" s="734">
        <f>0</f>
        <v>0</v>
      </c>
      <c r="AS229" s="734">
        <f>0</f>
        <v>0</v>
      </c>
      <c r="AT229" s="734">
        <f>0</f>
        <v>0</v>
      </c>
      <c r="AU229" s="734">
        <f>i_CIT_BIO*E_EQNO3</f>
        <v>1.6083128217210332</v>
      </c>
      <c r="AV229" s="734">
        <f>0</f>
        <v>0</v>
      </c>
      <c r="AW229" s="734">
        <f>0</f>
        <v>0</v>
      </c>
      <c r="AX229" s="734">
        <f>0</f>
        <v>0</v>
      </c>
      <c r="AY229" s="734">
        <f>0</f>
        <v>0</v>
      </c>
      <c r="AZ229" s="734">
        <f>0</f>
        <v>0</v>
      </c>
      <c r="BA229" s="734">
        <f>0</f>
        <v>0</v>
      </c>
      <c r="BB229" s="734">
        <f>0</f>
        <v>0</v>
      </c>
      <c r="BC229" s="734">
        <f>(i_S_BIO*E_EQNO3*X_BIO)/X_BIO</f>
        <v>4.5690705162529356E-2</v>
      </c>
      <c r="BD229" s="734">
        <f>0</f>
        <v>0</v>
      </c>
      <c r="BE229" s="734">
        <f>0</f>
        <v>0</v>
      </c>
      <c r="BF229" s="734">
        <f>0</f>
        <v>0</v>
      </c>
      <c r="BG229" s="734">
        <f>0</f>
        <v>0</v>
      </c>
      <c r="BH229" s="734">
        <f>0</f>
        <v>0</v>
      </c>
      <c r="BI229" s="734">
        <f>0</f>
        <v>0</v>
      </c>
      <c r="BJ229" s="734">
        <f>0</f>
        <v>0</v>
      </c>
      <c r="BK229" s="734">
        <f>0</f>
        <v>0</v>
      </c>
      <c r="BL229" s="734">
        <f>0</f>
        <v>0</v>
      </c>
      <c r="BM229" s="734">
        <f>0</f>
        <v>0</v>
      </c>
      <c r="BN229" s="734">
        <f>0</f>
        <v>0</v>
      </c>
      <c r="BO229" s="734">
        <f>0</f>
        <v>0</v>
      </c>
      <c r="BP229" s="734">
        <f>0</f>
        <v>0</v>
      </c>
      <c r="BQ229" s="734">
        <f>0</f>
        <v>0</v>
      </c>
      <c r="BR229" s="734">
        <f>0</f>
        <v>0</v>
      </c>
      <c r="BS229" s="734">
        <f>0</f>
        <v>0</v>
      </c>
      <c r="BT229" s="734">
        <f>0</f>
        <v>0</v>
      </c>
      <c r="BU229" s="734">
        <f>0</f>
        <v>0</v>
      </c>
      <c r="BV229" s="901">
        <f>0</f>
        <v>0</v>
      </c>
      <c r="BW229" s="734">
        <f>0</f>
        <v>0</v>
      </c>
      <c r="BX229" s="734">
        <f>0</f>
        <v>0</v>
      </c>
      <c r="BY229" s="734">
        <f>0</f>
        <v>0</v>
      </c>
      <c r="BZ229" s="734">
        <f>0</f>
        <v>0</v>
      </c>
      <c r="CA229" s="901">
        <f>0</f>
        <v>0</v>
      </c>
      <c r="CB229" s="734">
        <f>0</f>
        <v>0</v>
      </c>
      <c r="CC229" s="734">
        <f>0</f>
        <v>0</v>
      </c>
      <c r="CD229" s="734">
        <f>0</f>
        <v>0</v>
      </c>
      <c r="CE229" s="734">
        <f>0</f>
        <v>0</v>
      </c>
      <c r="CF229" s="734">
        <f>0</f>
        <v>0</v>
      </c>
      <c r="CG229" s="734">
        <f>0</f>
        <v>0</v>
      </c>
      <c r="CH229" s="734">
        <f>0</f>
        <v>0</v>
      </c>
      <c r="CI229" s="734">
        <f>0</f>
        <v>0</v>
      </c>
      <c r="CJ229" s="734">
        <f>0</f>
        <v>0</v>
      </c>
      <c r="CK229" s="734">
        <f>0</f>
        <v>0</v>
      </c>
      <c r="CL229" s="734">
        <f>0</f>
        <v>0</v>
      </c>
      <c r="CM229" s="734">
        <f>0</f>
        <v>0</v>
      </c>
      <c r="CN229" s="734">
        <f>0</f>
        <v>0</v>
      </c>
      <c r="CO229" s="734">
        <f>0</f>
        <v>0</v>
      </c>
      <c r="CP229" s="734">
        <f>0</f>
        <v>0</v>
      </c>
      <c r="CQ229" s="734">
        <f>0</f>
        <v>0</v>
      </c>
      <c r="CR229" s="734">
        <f>0</f>
        <v>0</v>
      </c>
      <c r="CS229" s="734">
        <f>0</f>
        <v>0</v>
      </c>
      <c r="CT229" s="734">
        <f>0</f>
        <v>0</v>
      </c>
      <c r="CU229" s="793">
        <f>-E_EQNO3*X_MOB/X_BIO</f>
        <v>-7.359379103250278E-4</v>
      </c>
      <c r="CV229" s="2863">
        <f>q_ASSIM_T*X_BIO*M_satSNO3_KNO3_ASSIM*M_inhSNO2_KNO2_ASSIM*M_inhSNHx_KiNHx_ASSIM</f>
        <v>6.1427291782725889E-3</v>
      </c>
      <c r="CX229" s="2880">
        <f>E299*E229+F299*F229+G299*G229+H299*H229+I299*I229+J299*J229+K299*K229+L299*L229+M299*M229+N299*N229+O299*O229+P299*P229+Q299*Q229+R299*R229+S299*S229+T299*T229+U299*U229+V299*V229+W299*W229+X299*X229+Y299*Y229+Z299*Z229+AA299*AA229+AB299*AB229+AC299*AC229+AD299*AD229+AE299*AE229+AF299*AF229+AG299*AG229+AH299*AH229+AI299*AI229+AJ299*AJ229+AK299*AK229+AL299*AL229+AM299*AM229+AN299*AN229+AO299*AO229+AP299*AP229+AQ299*AQ229+AR299*AR229+AS299*AS229+AT299*AT229+AU299*AU229+AV299*AV229+AW299*AW229+AX299*AX229+AY299*AY229+AZ299*AZ229+BA299*BA229+BB299*BB229+BC299*BC229+BD299*BD229+BE299*BE229+BF299*BF229+BG299*BG229+BH299*BH229+BI299*BI229+BJ299*BJ229+BK299*BK229+BL299*BL229+BM299*BM229+BN299*BN229+BO299*BO229+BP299*BP229+BQ299*BQ229+BR299*BR229+BS299*BS229+BT299*BT229+BU299*BU229+BV299*BV229+BW299*BW229+BX299*BX229+BY299*BY229+BZ299*BZ229+CA299*CA229+CB299*CB229+CC299*CC229+CD299*CD229+CE299*CE229+CF299*CF229+CG299*CG229+CH299*CH229+CI299*CI229+CJ299*CJ229+CK299*CK229+CL299*CL229+CM299*CM229+CN299*CN229+CO299*CO229+CP299*CP229+CQ299*CQ229+CR299*CR229+CS299*CS229+CT299*CT229+CU299*CU229</f>
        <v>8.5109870540112098E-17</v>
      </c>
      <c r="CY229" s="2880">
        <f>E300*E229+F300*F229+G300*G229+H300*H229+I300*I229+J300*J229+K300*K229+L300*L229+M300*M229+N300*N229+O300*O229+P300*P229+Q300*Q229+R300*R229+S300*S229+T300*T229+U300*U229+V300*V229+W300*W229+X300*X229+Y300*Y229+Z300*Z229+AA300*AA229+AB300*AB229+AC300*AC229+AD300*AD229+AE300*AE229+AF300*AF229+AG300*AG229+AH300*AH229+AI300*AI229+AJ300*AJ229+AK300*AK229+AL300*AL229+AM300*AM229+AN300*AN229+AO300*AO229+AP300*AP229+AQ300*AQ229+AR300*AR229+AS300*AS229+AT300*AT229+AU300*AU229+AV300*AV229+AW300*AW229+AX300*AX229+AY300*AY229+AZ300*AZ229+BA300*BA229+BB300*BB229+BC300*BC229+BD300*BD229+BE300*BE229+BF300*BF229+BG300*BG229+BH300*BH229+BI300*BI229+BJ300*BJ229+BK300*BK229+BL300*BL229+BM300*BM229+BN300*BN229+BO300*BO229+BP300*BP229+BQ300*BQ229+BR300*BR229+BS300*BS229+BT300*BT229+BU300*BU229+BV300*BV229+BW300*BW229+BX300*BX229+BY300*BY229+BZ300*BZ229+CA300*CA229+CB300*CB229+CC300*CC229+CD300*CD229+CE300*CE229+CF300*CF229+CG300*CG229+CH300*CH229+CI300*CI229+CJ300*CJ229+CK300*CK229+CL300*CL229+CM300*CM229+CN300*CN229+CO300*CO229+CP300*CP229+CQ300*CQ229+CR300*CR229+CS300*CS229+CT300*CT229+CU300*CU229</f>
        <v>2.0404684886177193E-16</v>
      </c>
      <c r="CZ229" s="2881">
        <f>E301*E229+F301*F229+G301*G229+H301*H229+I301*I229+J301*J229+K301*K229+L301*L229+M301*M229+N301*N229+O301*O229+P301*P229+Q301*Q229+R301*R229+S301*S229+T301*T229+U301*U229+V301*V229+W301*W229+X301*X229+Y301*Y229+Z301*Z229+AA301*AA229+AB301*AB229+AC301*AC229+AD301*AD229+AE301*AE229+AF301*AF229+AG301*AG229+AH301*AH229+AI301*AI229+AJ301*AJ229+AK301*AK229+AL301*AL229+AM301*AM229+AN301*AN229+AO301*AO229+AP301*AP229+AQ301*AQ229+AR301*AR229+AS301*AS229+AT301*AT229+AU301*AU229+AV301*AV229+AW301*AW229+AX301*AX229+AY301*AY229+AZ301*AZ229+BA301*BA229+BB301*BB229+BC301*BC229+BD301*BD229+BE301*BE229+BF301*BF229+BG301*BG229+BH301*BH229+BI301*BI229+BJ301*BJ229+BK301*BK229+BL301*BL229+BM301*BM229+BN301*BN229+BO301*BO229+BP301*BP229+BQ301*BQ229+BR301*BR229+BS301*BS229+BT301*BT229+BU301*BU229+BV301*BV229+BW301*BW229+BX301*BX229+BY301*BY229+BZ301*BZ229+CA301*CA229+CB301*CB229+CC301*CC229+CD301*CD229+CE301*CE229+CF301*CF229+CG301*CG229+CH301*CH229+CI301*CI229+CJ301*CJ229+CK301*CK229+CL301*CL229+CM301*CM229+CN301*CN229+CO301*CO229+CP301*CP229+CQ301*CQ229+CR301*CR229+CS301*CS229+CT301*CT229+CU301*CU229</f>
        <v>-1.1839487723541708E-16</v>
      </c>
      <c r="DA229" s="2882">
        <f>E302*E229+F302*F229+G302*G229+H302*H229+I302*I229+J302*J229+K302*K229+L302*L229+M302*M229+N302*N229+O302*O229+P302*P229+Q302*Q229+R302*R229+S302*S229+T302*T229+U302*U229+V302*V229+W302*W229+X302*X229+Y302*Y229+Z302*Z229+AA302*AA229+AB302*AB229+AC302*AC229+AD302*AD229+AE302*AE229+AF302*AF229+AG302*AG229+AH302*AH229+AI302*AI229+AJ302*AJ229+AK302*AK229+AL302*AL229+AM302*AM229+AN302*AN229+AO302*AO229+AP302*AP229+AQ302*AQ229+AR302*AR229+AS302*AS229+AT302*AT229+AU302*AU229+AV302*AV229+AW302*AW229+AX302*AX229+AY302*AY229+AZ302*AZ229+BA302*BA229+BB302*BB229+BC302*BC229+BD302*BD229+BE302*BE229+BF302*BF229+BG302*BG229+BH302*BH229+BI302*BI229+BJ302*BJ229+BK302*BK229+BL302*BL229+BM302*BM229+BN302*BN229+BO302*BO229+BP302*BP229+BQ302*BQ229+BR302*BR229+BS302*BS229+BT302*BT229+BU302*BU229+BV302*BV229+BW302*BW229+BX302*BX229+BY302*BY229+BZ302*BZ229+CA302*CA229+CB302*CB229+CC302*CC229+CD302*CD229+CE302*CE229+CF302*CF229+CG302*CG229+CH302*CH229+CI302*CI229+CJ302*CJ229+CK302*CK229+CL302*CL229+CM302*CM229+CN302*CN229+CO302*CO229+CP302*CP229+CQ302*CQ229+CR302*CR229+CS302*CS229+CT302*CT229+CU302*CU229</f>
        <v>-6.0698381000243162E-18</v>
      </c>
      <c r="DB229" s="2882">
        <f>E303*E229+F303*F229+G303*G229+H303*H229+I303*I229+J303*J229+K303*K229+L303*L229+M303*M229+N303*N229+O303*O229+P303*P229+Q303*Q229+R303*R229+S303*S229+T303*T229+U303*U229+V303*V229+W303*W229+X303*X229+Y303*Y229+Z303*Z229+AA303*AA229+AB303*AB229+AC303*AC229+AD303*AD229+AE303*AE229+AF303*AF229+AG303*AG229+AH303*AH229+AI303*AI229+AJ303*AJ229+AK303*AK229+AL303*AL229+AM303*AM229+AN303*AN229+AO303*AO229+AP303*AP229+AQ303*AQ229+AR303*AR229+AS303*AS229+AT303*AT229+AU303*AU229+AV303*AV229+AW303*AW229+AX303*AX229+AY303*AY229+AZ303*AZ229+BA303*BA229+BB303*BB229+BC303*BC229+BD303*BD229+BE303*BE229+BF303*BF229+BG303*BG229+BH303*BH229+BI303*BI229+BJ303*BJ229+BK303*BK229+BL303*BL229+BM303*BM229+BN303*BN229+BO303*BO229+BP303*BP229+BQ303*BQ229+BR303*BR229+BS303*BS229+BT303*BT229+BU303*BU229+BV303*BV229+BW303*BW229+BX303*BX229+BY303*BY229+BZ303*BZ229+CA303*CA229+CB303*CB229+CC303*CC229+CD303*CD229+CE303*CE229+CF303*CF229+CG303*CG229+CH303*CH229+CI303*CI229+CJ303*CJ229+CK303*CK229+CL303*CL229+CM303*CM229+CN303*CN229+CO303*CO229+CP303*CP229+CQ303*CQ229+CR303*CR229+CS303*CS229+CT303*CT229+CU303*CU229</f>
        <v>-3.0349190500121581E-18</v>
      </c>
      <c r="DC229" s="2882">
        <f>E304*E229+F304*F229+G304*G229+H304*H229+I304*I229+J304*J229+K304*K229+L304*L229+M304*M229+N304*N229+O304*O229+P304*P229+Q304*Q229+R304*R229+S304*S229+T304*T229+U304*U229+V304*V229+W304*W229+X304*X229+Y304*Y229+Z304*Z229+AA304*AA229+AB304*AB229+AC304*AC229+AD304*AD229+AE304*AE229+AF304*AF229+AG304*AG229+AH304*AH229+AI304*AI229+AJ304*AJ229+AK304*AK229+AL304*AL229+AM304*AM229+AN304*AN229+AO304*AO229+AP304*AP229+AQ304*AQ229+AR304*AR229+AS304*AS229+AT304*AT229+AU304*AU229+AV304*AV229+AW304*AW229+AX304*AX229+AY304*AY229+AZ304*AZ229+BA304*BA229+BB304*BB229+BC304*BC229+BD304*BD229+BE304*BE229+BF304*BF229+BG304*BG229+BH304*BH229+BI304*BI229+BJ304*BJ229+BK304*BK229+BL304*BL229+BM304*BM229+BN304*BN229+BO304*BO229+BP304*BP229+BQ304*BQ229+BR304*BR229+BS304*BS229+BT304*BT229+BU304*BU229+BV304*BV229+BW304*BW229+BX304*BX229+BY304*BY229+BZ304*BZ229+CA304*CA229+CB304*CB229+CC304*CC229+CD304*CD229+CE304*CE229+CF304*CF229+CG304*CG229+CH304*CH229+CI304*CI229+CJ304*CJ229+CK304*CK229+CL304*CL229+CM304*CM229+CN304*CN229+CO304*CO229+CP304*CP229+CQ304*CQ229+CR304*CR229+CS304*CS229+CT304*CT229+CU304*CU229</f>
        <v>0</v>
      </c>
      <c r="DD229" s="2882">
        <f>E305*E229+F305*F229+G305*G229+H305*H229+I305*I229+J305*J229+K305*K229+L305*L229+M305*M229+N305*N229+O305*O229+P305*P229+Q305*Q229+R305*R229+S305*S229+T305*T229+U305*U229+V305*V229+W305*W229+X305*X229+Y305*Y229+Z305*Z229+AA305*AA229+AB305*AB229+AC305*AC229+AD305*AD229+AE305*AE229+AF305*AF229+AG305*AG229+AH305*AH229+AI305*AI229+AJ305*AJ229+AK305*AK229+AL305*AL229+AM305*AM229+AN305*AN229+AO305*AO229+AP305*AP229+AQ305*AQ229+AR305*AR229+AS305*AS229+AT305*AT229+AU305*AU229+AV305*AV229+AW305*AW229+AX305*AX229+AY305*AY229+AZ305*AZ229+BA305*BA229+BB305*BB229+BC305*BC229+BD305*BD229+BE305*BE229+BF305*BF229+BG305*BG229+BH305*BH229+BI305*BI229+BJ305*BJ229+BK305*BK229+BL305*BL229+BM305*BM229+BN305*BN229+BO305*BO229+BP305*BP229+BQ305*BQ229+BR305*BR229+BS305*BS229+BT305*BT229+BU305*BU229+BV305*BV229+BW305*BW229+BX305*BX229+BY305*BY229+BZ305*BZ229+CA305*CA229+CB305*CB229+CC305*CC229+CD305*CD229+CE305*CE229+CF305*CF229+CG305*CG229+CH305*CH229+CI305*CI229+CJ305*CJ229+CK305*CK229+CL305*CL229+CM305*CM229+CN305*CN229+CO305*CO229+CP305*CP229+CQ305*CQ229+CR305*CR229+CS305*CS229+CT305*CT229+CU305*CU229</f>
        <v>0</v>
      </c>
      <c r="DE229" s="2882">
        <f>E306*E229+F306*F229+G306*G229+H306*H229+I306*I229+J306*J229+K306*K229+L306*L229+M306*M229+N306*N229+O306*O229+P306*P229+Q306*Q229+R306*R229+S306*S229+T306*T229+U306*U229+V306*V229+W306*W229+X306*X229+Y306*Y229+Z306*Z229+AA306*AA229+AB306*AB229+AC306*AC229+AD306*AD229+AE306*AE229+AF306*AF229+AG306*AG229+AH306*AH229+AI306*AI229+AJ306*AJ229+AK306*AK229+AL306*AL229+AM306*AM229+AN306*AN229+AO306*AO229+AP306*AP229+AQ306*AQ229+AR306*AR229+AS306*AS229+AT306*AT229+AU306*AU229+AV306*AV229+AW306*AW229+AX306*AX229+AY306*AY229+AZ306*AZ229+BA306*BA229+BB306*BB229+BC306*BC229+BD306*BD229+BE306*BE229+BF306*BF229+BG306*BG229+BH306*BH229+BI306*BI229+BJ306*BJ229+BK306*BK229+BL306*BL229+BM306*BM229+BN306*BN229+BO306*BO229+BP306*BP229+BQ306*BQ229+BR306*BR229+BS306*BS229+BT306*BT229+BU306*BU229+BV306*BV229+BW306*BW229+BX306*BX229+BY306*BY229+BZ306*BZ229+CA306*CA229+CB306*CB229+CC306*CC229+CD306*CD229+CE306*CE229+CF306*CF229+CG306*CG229+CH306*CH229+CI306*CI229+CJ306*CJ229+CK306*CK229+CL306*CL229+CM306*CM229+CN306*CN229+CO306*CO229+CP306*CP229+CQ306*CQ229+CR306*CR229+CS306*CS229+CT306*CT229+CU306*CU229</f>
        <v>0</v>
      </c>
      <c r="DF229" s="2882">
        <f>E307*E229+F307*F229+G307*G229+H307*H229+I307*I229+J307*J229+K307*K229+L307*L229+M307*M229+N307*N229+O307*O229+P307*P229+Q307*Q229+R307*R229+S307*S229+T307*T229+U307*U229+V307*V229+W307*W229+X307*X229+Y307*Y229+Z307*Z229+AA307*AA229+AB307*AB229+AC307*AC229+AD307*AD229+AE307*AE229+AF307*AF229+AG307*AG229+AH307*AH229+AI307*AI229+AJ307*AJ229+AK307*AK229+AL307*AL229+AM307*AM229+AN307*AN229+AO307*AO229+AP307*AP229+AQ307*AQ229+AR307*AR229+AS307*AS229+AT307*AT229+AU307*AU229+AV307*AV229+AW307*AW229+AX307*AX229+AY307*AY229+AZ307*AZ229+BA307*BA229+BB307*BB229+BC307*BC229+BD307*BD229+BE307*BE229+BF307*BF229+BG307*BG229+BH307*BH229+BI307*BI229+BJ307*BJ229+BK307*BK229+BL307*BL229+BM307*BM229+BN307*BN229+BO307*BO229+BP307*BP229+BQ307*BQ229+BR307*BR229+BS307*BS229+BT307*BT229+BU307*BU229+BV307*BV229+BW307*BW229+BX307*BX229+BY307*BY229+BZ307*BZ229+CA307*CA229+CB307*CB229+CC307*CC229+CD307*CD229+CE307*CE229+CF307*CF229+CG307*CG229+CH307*CH229+CI307*CI229+CJ307*CJ229+CK307*CK229+CL307*CL229+CM307*CM229+CN307*CN229+CO307*CO229+CP307*CP229+CQ307*CQ229+CR307*CR229+CS307*CS229+CT307*CT229+CU307*CU229</f>
        <v>0</v>
      </c>
      <c r="DG229" s="2882">
        <f>E308*E229+F308*F229+G308*G229+H308*H229+I308*I229+J308*J229+K308*K229+L308*L229+M308*M229+N308*N229+O308*O229+P308*P229+Q308*Q229+R308*R229+S308*S229+T308*T229+U308*U229+V308*V229+W308*W229+X308*X229+Y308*Y229+Z308*Z229+AA308*AA229+AB308*AB229+AC308*AC229+AD308*AD229+AE308*AE229+AF308*AF229+AG308*AG229+AH308*AH229+AI308*AI229+AJ308*AJ229+AK308*AK229+AL308*AL229+AM308*AM229+AN308*AN229+AO308*AO229+AP308*AP229+AQ308*AQ229+AR308*AR229+AS308*AS229+AT308*AT229+AU308*AU229+AV308*AV229+AW308*AW229+AX308*AX229+AY308*AY229+AZ308*AZ229+BA308*BA229+BB308*BB229+BC308*BC229+BD308*BD229+BE308*BE229+BF308*BF229+BG308*BG229+BH308*BH229+BI308*BI229+BJ308*BJ229+BK308*BK229+BL308*BL229+BM308*BM229+BN308*BN229+BO308*BO229+BP308*BP229+BQ308*BQ229+BR308*BR229+BS308*BS229+BT308*BT229+BU308*BU229+BV308*BV229+BW308*BW229+BX308*BX229+BY308*BY229+BZ308*BZ229+CA308*CA229+CB308*CB229+CC308*CC229+CD308*CD229+CE308*CE229+CF308*CF229+CG308*CG229+CH308*CH229+CI308*CI229+CJ308*CJ229+CK308*CK229+CL308*CL229+CM308*CM229+CN308*CN229+CO308*CO229+CP308*CP229+CQ308*CQ229+CR308*CR229+CS308*CS229+CT308*CT229+CU308*CU229</f>
        <v>0</v>
      </c>
      <c r="DH229" s="2882">
        <f>E309*E229+F309*F229+G309*G229+H309*H229+I309*I229+J309*J229+K309*K229+L309*L229+M309*M229+N309*N229+O309*O229+P309*P229+Q309*Q229+R309*R229+S309*S229+T309*T229+U309*U229+V309*V229+W309*W229+X309*X229+Y309*Y229+Z309*Z229+AA309*AA229+AB309*AB229+AC309*AC229+AD309*AD229+AE309*AE229+AF309*AF229+AG309*AG229+AH309*AH229+AI309*AI229+AJ309*AJ229+AK309*AK229+AL309*AL229+AM309*AM229+AN309*AN229+AO309*AO229+AP309*AP229+AQ309*AQ229+AR309*AR229+AS309*AS229+AT309*AT229+AU309*AU229+AV309*AV229+AW309*AW229+AX309*AX229+AY309*AY229+AZ309*AZ229+BA309*BA229+BB309*BB229+BC309*BC229+BD309*BD229+BE309*BE229+BF309*BF229+BG309*BG229+BH309*BH229+BI309*BI229+BJ309*BJ229+BK309*BK229+BL309*BL229+BM309*BM229+BN309*BN229+BO309*BO229+BP309*BP229+BQ309*BQ229+BR309*BR229+BS309*BS229+BT309*BT229+BU309*BU229+BV309*BV229+BW309*BW229+BX309*BX229+BY309*BY229+BZ309*BZ229+CA309*CA229+CB309*CB229+CC309*CC229+CD309*CD229+CE309*CE229+CF309*CF229+CG309*CG229+CH309*CH229+CI309*CI229+CJ309*CJ229+CK309*CK229+CL309*CL229+CM309*CM229+CN309*CN229+CO309*CO229+CP309*CP229+CQ309*CQ229+CR309*CR229+CS309*CS229+CT309*CT229+CU309*CU229</f>
        <v>0</v>
      </c>
      <c r="DI229" s="2882">
        <f>E310*E229+F310*F229+G310*G229+H310*H229+I310*I229+J310*J229+K310*K229+L310*L229+M310*M229+N310*N229+O310*O229+P310*P229+Q310*Q229+R310*R229+S310*S229+T310*T229+U310*U229+V310*V229+W310*W229+X310*X229+Y310*Y229+Z310*Z229+AA310*AA229+AB310*AB229+AC310*AC229+AD310*AD229+AE310*AE229+AF310*AF229+AG310*AG229+AH310*AH229+AI310*AI229+AJ310*AJ229+AK310*AK229+AL310*AL229+AM310*AM229+AN310*AN229+AO310*AO229+AP310*AP229+AQ310*AQ229+AR310*AR229+AS310*AS229+AT310*AT229+AU310*AU229+AV310*AV229+AW310*AW229+AX310*AX229+AY310*AY229+AZ310*AZ229+BA310*BA229+BB310*BB229+BC310*BC229+BD310*BD229+BE310*BE229+BF310*BF229+BG310*BG229+BH310*BH229+BI310*BI229+BJ310*BJ229+BK310*BK229+BL310*BL229+BM310*BM229+BN310*BN229+BO310*BO229+BP310*BP229+BQ310*BQ229+BR310*BR229+BS310*BS229+BT310*BT229+BU310*BU229+BV310*BV229+BW310*BW229+BX310*BX229+BY310*BY229+BZ310*BZ229+CA310*CA229+CB310*CB229+CC310*CC229+CD310*CD229+CE310*CE229+CF310*CF229+CG310*CG229+CH310*CH229+CI310*CI229+CJ310*CJ229+CK310*CK229+CL310*CL229+CM310*CM229+CN310*CN229+CO310*CO229+CP310*CP229+CQ310*CQ229+CR310*CR229+CS310*CS229+CT310*CT229+CU310*CU229</f>
        <v>0</v>
      </c>
    </row>
    <row r="230" spans="2:113" x14ac:dyDescent="0.45">
      <c r="B230" s="794">
        <v>71</v>
      </c>
      <c r="C230" s="794" t="s">
        <v>2488</v>
      </c>
      <c r="D230" s="795" t="s">
        <v>2952</v>
      </c>
      <c r="E230" s="735">
        <f>0</f>
        <v>0</v>
      </c>
      <c r="F230" s="735">
        <f>0</f>
        <v>0</v>
      </c>
      <c r="G230" s="735">
        <f>0</f>
        <v>0</v>
      </c>
      <c r="H230" s="735">
        <f>0</f>
        <v>0</v>
      </c>
      <c r="I230" s="735">
        <f>0</f>
        <v>0</v>
      </c>
      <c r="J230" s="735">
        <f>0</f>
        <v>0</v>
      </c>
      <c r="K230" s="735">
        <f>0</f>
        <v>0</v>
      </c>
      <c r="L230" s="735">
        <f>0</f>
        <v>0</v>
      </c>
      <c r="M230" s="735">
        <f>0</f>
        <v>0</v>
      </c>
      <c r="N230" s="735">
        <f>0</f>
        <v>0</v>
      </c>
      <c r="O230" s="735">
        <f>0</f>
        <v>0</v>
      </c>
      <c r="P230" s="735">
        <f>0</f>
        <v>0</v>
      </c>
      <c r="Q230" s="796">
        <f>0</f>
        <v>0</v>
      </c>
      <c r="R230" s="735">
        <f>0</f>
        <v>0</v>
      </c>
      <c r="S230" s="735">
        <f>0</f>
        <v>0</v>
      </c>
      <c r="T230" s="735">
        <f>0</f>
        <v>0</v>
      </c>
      <c r="U230" s="735">
        <f>0</f>
        <v>0</v>
      </c>
      <c r="V230" s="735">
        <f>0</f>
        <v>0</v>
      </c>
      <c r="W230" s="735">
        <f>0</f>
        <v>0</v>
      </c>
      <c r="X230" s="735">
        <f>0</f>
        <v>0</v>
      </c>
      <c r="Y230" s="735">
        <f>0</f>
        <v>0</v>
      </c>
      <c r="Z230" s="735">
        <f>0</f>
        <v>0</v>
      </c>
      <c r="AA230" s="735">
        <f>0</f>
        <v>0</v>
      </c>
      <c r="AB230" s="735">
        <f>0</f>
        <v>0</v>
      </c>
      <c r="AC230" s="735">
        <f>0</f>
        <v>0</v>
      </c>
      <c r="AD230" s="735">
        <f>0</f>
        <v>0</v>
      </c>
      <c r="AE230" s="735">
        <f>0</f>
        <v>0</v>
      </c>
      <c r="AF230" s="735">
        <f>0</f>
        <v>0</v>
      </c>
      <c r="AG230" s="735">
        <f>0</f>
        <v>0</v>
      </c>
      <c r="AH230" s="735">
        <f>0</f>
        <v>0</v>
      </c>
      <c r="AI230" s="735">
        <f>0</f>
        <v>0</v>
      </c>
      <c r="AJ230" s="735">
        <f>0</f>
        <v>0</v>
      </c>
      <c r="AK230" s="735">
        <f>0</f>
        <v>0</v>
      </c>
      <c r="AL230" s="735">
        <f>0</f>
        <v>0</v>
      </c>
      <c r="AM230" s="735">
        <f>0</f>
        <v>0</v>
      </c>
      <c r="AN230" s="735">
        <f>0</f>
        <v>0</v>
      </c>
      <c r="AO230" s="735">
        <f>0</f>
        <v>0</v>
      </c>
      <c r="AP230" s="735">
        <f>0</f>
        <v>0</v>
      </c>
      <c r="AQ230" s="735">
        <f>0</f>
        <v>0</v>
      </c>
      <c r="AR230" s="735">
        <f>0</f>
        <v>0</v>
      </c>
      <c r="AS230" s="735">
        <f>0</f>
        <v>0</v>
      </c>
      <c r="AT230" s="735">
        <f>0</f>
        <v>0</v>
      </c>
      <c r="AU230" s="735">
        <f>0</f>
        <v>0</v>
      </c>
      <c r="AV230" s="735">
        <f>0</f>
        <v>0</v>
      </c>
      <c r="AW230" s="735">
        <f>0</f>
        <v>0</v>
      </c>
      <c r="AX230" s="735">
        <f>0</f>
        <v>0</v>
      </c>
      <c r="AY230" s="735">
        <f>0</f>
        <v>0</v>
      </c>
      <c r="AZ230" s="735">
        <f>0</f>
        <v>0</v>
      </c>
      <c r="BA230" s="735">
        <f>0</f>
        <v>0</v>
      </c>
      <c r="BB230" s="735">
        <f>0</f>
        <v>0</v>
      </c>
      <c r="BC230" s="735">
        <f>0</f>
        <v>0</v>
      </c>
      <c r="BD230" s="735">
        <f>0</f>
        <v>0</v>
      </c>
      <c r="BE230" s="735">
        <f>0</f>
        <v>0</v>
      </c>
      <c r="BF230" s="934">
        <f>-X_HFO_H/(X_HFO_H+X_HFO_H_P)</f>
        <v>-0.5</v>
      </c>
      <c r="BG230" s="934">
        <f>X_HFO_H/(X_HFO_H+X_HFO_H_P)</f>
        <v>0.5</v>
      </c>
      <c r="BH230" s="902">
        <f>0</f>
        <v>0</v>
      </c>
      <c r="BI230" s="934">
        <f>-X_HFO_H_P/(X_HFO_H+X_HFO_H_P)</f>
        <v>-0.5</v>
      </c>
      <c r="BJ230" s="902">
        <f>0</f>
        <v>0</v>
      </c>
      <c r="BK230" s="934">
        <f>X_HFO_H_P/(X_HFO_H+X_HFO_H_P)</f>
        <v>0.5</v>
      </c>
      <c r="BL230" s="902">
        <f>0</f>
        <v>0</v>
      </c>
      <c r="BM230" s="797">
        <f>0</f>
        <v>0</v>
      </c>
      <c r="BN230" s="797">
        <f>0</f>
        <v>0</v>
      </c>
      <c r="BO230" s="735">
        <f>0</f>
        <v>0</v>
      </c>
      <c r="BP230" s="797">
        <f>0</f>
        <v>0</v>
      </c>
      <c r="BQ230" s="735">
        <f>0</f>
        <v>0</v>
      </c>
      <c r="BR230" s="797">
        <f>0</f>
        <v>0</v>
      </c>
      <c r="BS230" s="735">
        <f>0</f>
        <v>0</v>
      </c>
      <c r="BT230" s="735">
        <f>0</f>
        <v>0</v>
      </c>
      <c r="BU230" s="735">
        <f>0</f>
        <v>0</v>
      </c>
      <c r="BV230" s="902">
        <f>0</f>
        <v>0</v>
      </c>
      <c r="BW230" s="796">
        <f>0</f>
        <v>0</v>
      </c>
      <c r="BX230" s="735">
        <f>0</f>
        <v>0</v>
      </c>
      <c r="BY230" s="735">
        <f>0</f>
        <v>0</v>
      </c>
      <c r="BZ230" s="735">
        <f>0</f>
        <v>0</v>
      </c>
      <c r="CA230" s="902">
        <f>0</f>
        <v>0</v>
      </c>
      <c r="CB230" s="796">
        <f>0</f>
        <v>0</v>
      </c>
      <c r="CC230" s="796">
        <f>0</f>
        <v>0</v>
      </c>
      <c r="CD230" s="796">
        <f>0</f>
        <v>0</v>
      </c>
      <c r="CE230" s="796">
        <f>0</f>
        <v>0</v>
      </c>
      <c r="CF230" s="796">
        <f>0</f>
        <v>0</v>
      </c>
      <c r="CG230" s="796">
        <f>0</f>
        <v>0</v>
      </c>
      <c r="CH230" s="796">
        <f>0</f>
        <v>0</v>
      </c>
      <c r="CI230" s="796">
        <f>0</f>
        <v>0</v>
      </c>
      <c r="CJ230" s="796">
        <f>0</f>
        <v>0</v>
      </c>
      <c r="CK230" s="796">
        <f>0</f>
        <v>0</v>
      </c>
      <c r="CL230" s="796">
        <f>0</f>
        <v>0</v>
      </c>
      <c r="CM230" s="796">
        <f>0</f>
        <v>0</v>
      </c>
      <c r="CN230" s="796">
        <f>0</f>
        <v>0</v>
      </c>
      <c r="CO230" s="796">
        <f>0</f>
        <v>0</v>
      </c>
      <c r="CP230" s="796">
        <f>0</f>
        <v>0</v>
      </c>
      <c r="CQ230" s="796">
        <f>0</f>
        <v>0</v>
      </c>
      <c r="CR230" s="796">
        <f>0</f>
        <v>0</v>
      </c>
      <c r="CS230" s="796">
        <f>0</f>
        <v>0</v>
      </c>
      <c r="CT230" s="796">
        <f>0</f>
        <v>0</v>
      </c>
      <c r="CU230" s="796">
        <f>0</f>
        <v>0</v>
      </c>
      <c r="CV230" s="2864">
        <f>q_HFOH_AGING*(X_HFO_H+X_HFO_H_P)</f>
        <v>4.9999999999999999E-48</v>
      </c>
      <c r="CX230" s="2880">
        <f>E299*E230+F299*F230+G299*G230+H299*H230+I299*I230+J299*J230+K299*K230+L299*L230+M299*M230+N299*N230+O299*O230+P299*P230+Q299*Q230+R299*R230+S299*S230+T299*T230+U299*U230+V299*V230+W299*W230+X299*X230+Y299*Y230+Z299*Z230+AA299*AA230+AB299*AB230+AC299*AC230+AD299*AD230+AE299*AE230+AF299*AF230+AG299*AG230+AH299*AH230+AI299*AI230+AJ299*AJ230+AK299*AK230+AL299*AL230+AM299*AM230+AN299*AN230+AO299*AO230+AP299*AP230+AQ299*AQ230+AR299*AR230+AS299*AS230+AT299*AT230+AU299*AU230+AV299*AV230+AW299*AW230+AX299*AX230+AY299*AY230+AZ299*AZ230+BA299*BA230+BB299*BB230+BC299*BC230+BD299*BD230+BE299*BE230+BF299*BF230+BG299*BG230+BH299*BH230+BI299*BI230+BJ299*BJ230+BK299*BK230+BL299*BL230+BM299*BM230+BN299*BN230+BO299*BO230+BP299*BP230+BQ299*BQ230+BR299*BR230+BS299*BS230+BT299*BT230+BU299*BU230+BV299*BV230+BW299*BW230+BX299*BX230+BY299*BY230+BZ299*BZ230+CA299*CA230+CB299*CB230+CC299*CC230+CD299*CD230+CE299*CE230+CF299*CF230+CG299*CG230+CH299*CH230+CI299*CI230+CJ299*CJ230+CK299*CK230+CL299*CL230+CM299*CM230+CN299*CN230+CO299*CO230+CP299*CP230+CQ299*CQ230+CR299*CR230+CS299*CS230+CT299*CT230+CU299*CU230</f>
        <v>0</v>
      </c>
      <c r="CY230" s="2880">
        <f>E300*E230+F300*F230+G300*G230+H300*H230+I300*I230+J300*J230+K300*K230+L300*L230+M300*M230+N300*N230+O300*O230+P300*P230+Q300*Q230+R300*R230+S300*S230+T300*T230+U300*U230+V300*V230+W300*W230+X300*X230+Y300*Y230+Z300*Z230+AA300*AA230+AB300*AB230+AC300*AC230+AD300*AD230+AE300*AE230+AF300*AF230+AG300*AG230+AH300*AH230+AI300*AI230+AJ300*AJ230+AK300*AK230+AL300*AL230+AM300*AM230+AN300*AN230+AO300*AO230+AP300*AP230+AQ300*AQ230+AR300*AR230+AS300*AS230+AT300*AT230+AU300*AU230+AV300*AV230+AW300*AW230+AX300*AX230+AY300*AY230+AZ300*AZ230+BA300*BA230+BB300*BB230+BC300*BC230+BD300*BD230+BE300*BE230+BF300*BF230+BG300*BG230+BH300*BH230+BI300*BI230+BJ300*BJ230+BK300*BK230+BL300*BL230+BM300*BM230+BN300*BN230+BO300*BO230+BP300*BP230+BQ300*BQ230+BR300*BR230+BS300*BS230+BT300*BT230+BU300*BU230+BV300*BV230+BW300*BW230+BX300*BX230+BY300*BY230+BZ300*BZ230+CA300*CA230+CB300*CB230+CC300*CC230+CD300*CD230+CE300*CE230+CF300*CF230+CG300*CG230+CH300*CH230+CI300*CI230+CJ300*CJ230+CK300*CK230+CL300*CL230+CM300*CM230+CN300*CN230+CO300*CO230+CP300*CP230+CQ300*CQ230+CR300*CR230+CS300*CS230+CT300*CT230+CU300*CU230</f>
        <v>0</v>
      </c>
      <c r="CZ230" s="2881">
        <f>E301*E230+F301*F230+G301*G230+H301*H230+I301*I230+J301*J230+K301*K230+L301*L230+M301*M230+N301*N230+O301*O230+P301*P230+Q301*Q230+R301*R230+S301*S230+T301*T230+U301*U230+V301*V230+W301*W230+X301*X230+Y301*Y230+Z301*Z230+AA301*AA230+AB301*AB230+AC301*AC230+AD301*AD230+AE301*AE230+AF301*AF230+AG301*AG230+AH301*AH230+AI301*AI230+AJ301*AJ230+AK301*AK230+AL301*AL230+AM301*AM230+AN301*AN230+AO301*AO230+AP301*AP230+AQ301*AQ230+AR301*AR230+AS301*AS230+AT301*AT230+AU301*AU230+AV301*AV230+AW301*AW230+AX301*AX230+AY301*AY230+AZ301*AZ230+BA301*BA230+BB301*BB230+BC301*BC230+BD301*BD230+BE301*BE230+BF301*BF230+BG301*BG230+BH301*BH230+BI301*BI230+BJ301*BJ230+BK301*BK230+BL301*BL230+BM301*BM230+BN301*BN230+BO301*BO230+BP301*BP230+BQ301*BQ230+BR301*BR230+BS301*BS230+BT301*BT230+BU301*BU230+BV301*BV230+BW301*BW230+BX301*BX230+BY301*BY230+BZ301*BZ230+CA301*CA230+CB301*CB230+CC301*CC230+CD301*CD230+CE301*CE230+CF301*CF230+CG301*CG230+CH301*CH230+CI301*CI230+CJ301*CJ230+CK301*CK230+CL301*CL230+CM301*CM230+CN301*CN230+CO301*CO230+CP301*CP230+CQ301*CQ230+CR301*CR230+CS301*CS230+CT301*CT230+CU301*CU230</f>
        <v>0</v>
      </c>
      <c r="DA230" s="2882">
        <f>E302*E230+F302*F230+G302*G230+H302*H230+I302*I230+J302*J230+K302*K230+L302*L230+M302*M230+N302*N230+O302*O230+P302*P230+Q302*Q230+R302*R230+S302*S230+T302*T230+U302*U230+V302*V230+W302*W230+X302*X230+Y302*Y230+Z302*Z230+AA302*AA230+AB302*AB230+AC302*AC230+AD302*AD230+AE302*AE230+AF302*AF230+AG302*AG230+AH302*AH230+AI302*AI230+AJ302*AJ230+AK302*AK230+AL302*AL230+AM302*AM230+AN302*AN230+AO302*AO230+AP302*AP230+AQ302*AQ230+AR302*AR230+AS302*AS230+AT302*AT230+AU302*AU230+AV302*AV230+AW302*AW230+AX302*AX230+AY302*AY230+AZ302*AZ230+BA302*BA230+BB302*BB230+BC302*BC230+BD302*BD230+BE302*BE230+BF302*BF230+BG302*BG230+BH302*BH230+BI302*BI230+BJ302*BJ230+BK302*BK230+BL302*BL230+BM302*BM230+BN302*BN230+BO302*BO230+BP302*BP230+BQ302*BQ230+BR302*BR230+BS302*BS230+BT302*BT230+BU302*BU230+BV302*BV230+BW302*BW230+BX302*BX230+BY302*BY230+BZ302*BZ230+CA302*CA230+CB302*CB230+CC302*CC230+CD302*CD230+CE302*CE230+CF302*CF230+CG302*CG230+CH302*CH230+CI302*CI230+CJ302*CJ230+CK302*CK230+CL302*CL230+CM302*CM230+CN302*CN230+CO302*CO230+CP302*CP230+CQ302*CQ230+CR302*CR230+CS302*CS230+CT302*CT230+CU302*CU230</f>
        <v>0</v>
      </c>
      <c r="DB230" s="2882">
        <f>E303*E230+F303*F230+G303*G230+H303*H230+I303*I230+J303*J230+K303*K230+L303*L230+M303*M230+N303*N230+O303*O230+P303*P230+Q303*Q230+R303*R230+S303*S230+T303*T230+U303*U230+V303*V230+W303*W230+X303*X230+Y303*Y230+Z303*Z230+AA303*AA230+AB303*AB230+AC303*AC230+AD303*AD230+AE303*AE230+AF303*AF230+AG303*AG230+AH303*AH230+AI303*AI230+AJ303*AJ230+AK303*AK230+AL303*AL230+AM303*AM230+AN303*AN230+AO303*AO230+AP303*AP230+AQ303*AQ230+AR303*AR230+AS303*AS230+AT303*AT230+AU303*AU230+AV303*AV230+AW303*AW230+AX303*AX230+AY303*AY230+AZ303*AZ230+BA303*BA230+BB303*BB230+BC303*BC230+BD303*BD230+BE303*BE230+BF303*BF230+BG303*BG230+BH303*BH230+BI303*BI230+BJ303*BJ230+BK303*BK230+BL303*BL230+BM303*BM230+BN303*BN230+BO303*BO230+BP303*BP230+BQ303*BQ230+BR303*BR230+BS303*BS230+BT303*BT230+BU303*BU230+BV303*BV230+BW303*BW230+BX303*BX230+BY303*BY230+BZ303*BZ230+CA303*CA230+CB303*CB230+CC303*CC230+CD303*CD230+CE303*CE230+CF303*CF230+CG303*CG230+CH303*CH230+CI303*CI230+CJ303*CJ230+CK303*CK230+CL303*CL230+CM303*CM230+CN303*CN230+CO303*CO230+CP303*CP230+CQ303*CQ230+CR303*CR230+CS303*CS230+CT303*CT230+CU303*CU230</f>
        <v>0</v>
      </c>
      <c r="DC230" s="2882">
        <f>E304*E230+F304*F230+G304*G230+H304*H230+I304*I230+J304*J230+K304*K230+L304*L230+M304*M230+N304*N230+O304*O230+P304*P230+Q304*Q230+R304*R230+S304*S230+T304*T230+U304*U230+V304*V230+W304*W230+X304*X230+Y304*Y230+Z304*Z230+AA304*AA230+AB304*AB230+AC304*AC230+AD304*AD230+AE304*AE230+AF304*AF230+AG304*AG230+AH304*AH230+AI304*AI230+AJ304*AJ230+AK304*AK230+AL304*AL230+AM304*AM230+AN304*AN230+AO304*AO230+AP304*AP230+AQ304*AQ230+AR304*AR230+AS304*AS230+AT304*AT230+AU304*AU230+AV304*AV230+AW304*AW230+AX304*AX230+AY304*AY230+AZ304*AZ230+BA304*BA230+BB304*BB230+BC304*BC230+BD304*BD230+BE304*BE230+BF304*BF230+BG304*BG230+BH304*BH230+BI304*BI230+BJ304*BJ230+BK304*BK230+BL304*BL230+BM304*BM230+BN304*BN230+BO304*BO230+BP304*BP230+BQ304*BQ230+BR304*BR230+BS304*BS230+BT304*BT230+BU304*BU230+BV304*BV230+BW304*BW230+BX304*BX230+BY304*BY230+BZ304*BZ230+CA304*CA230+CB304*CB230+CC304*CC230+CD304*CD230+CE304*CE230+CF304*CF230+CG304*CG230+CH304*CH230+CI304*CI230+CJ304*CJ230+CK304*CK230+CL304*CL230+CM304*CM230+CN304*CN230+CO304*CO230+CP304*CP230+CQ304*CQ230+CR304*CR230+CS304*CS230+CT304*CT230+CU304*CU230</f>
        <v>0</v>
      </c>
      <c r="DD230" s="2882">
        <f>E305*E230+F305*F230+G305*G230+H305*H230+I305*I230+J305*J230+K305*K230+L305*L230+M305*M230+N305*N230+O305*O230+P305*P230+Q305*Q230+R305*R230+S305*S230+T305*T230+U305*U230+V305*V230+W305*W230+X305*X230+Y305*Y230+Z305*Z230+AA305*AA230+AB305*AB230+AC305*AC230+AD305*AD230+AE305*AE230+AF305*AF230+AG305*AG230+AH305*AH230+AI305*AI230+AJ305*AJ230+AK305*AK230+AL305*AL230+AM305*AM230+AN305*AN230+AO305*AO230+AP305*AP230+AQ305*AQ230+AR305*AR230+AS305*AS230+AT305*AT230+AU305*AU230+AV305*AV230+AW305*AW230+AX305*AX230+AY305*AY230+AZ305*AZ230+BA305*BA230+BB305*BB230+BC305*BC230+BD305*BD230+BE305*BE230+BF305*BF230+BG305*BG230+BH305*BH230+BI305*BI230+BJ305*BJ230+BK305*BK230+BL305*BL230+BM305*BM230+BN305*BN230+BO305*BO230+BP305*BP230+BQ305*BQ230+BR305*BR230+BS305*BS230+BT305*BT230+BU305*BU230+BV305*BV230+BW305*BW230+BX305*BX230+BY305*BY230+BZ305*BZ230+CA305*CA230+CB305*CB230+CC305*CC230+CD305*CD230+CE305*CE230+CF305*CF230+CG305*CG230+CH305*CH230+CI305*CI230+CJ305*CJ230+CK305*CK230+CL305*CL230+CM305*CM230+CN305*CN230+CO305*CO230+CP305*CP230+CQ305*CQ230+CR305*CR230+CS305*CS230+CT305*CT230+CU305*CU230</f>
        <v>0</v>
      </c>
      <c r="DE230" s="2882">
        <f>E306*E230+F306*F230+G306*G230+H306*H230+I306*I230+J306*J230+K306*K230+L306*L230+M306*M230+N306*N230+O306*O230+P306*P230+Q306*Q230+R306*R230+S306*S230+T306*T230+U306*U230+V306*V230+W306*W230+X306*X230+Y306*Y230+Z306*Z230+AA306*AA230+AB306*AB230+AC306*AC230+AD306*AD230+AE306*AE230+AF306*AF230+AG306*AG230+AH306*AH230+AI306*AI230+AJ306*AJ230+AK306*AK230+AL306*AL230+AM306*AM230+AN306*AN230+AO306*AO230+AP306*AP230+AQ306*AQ230+AR306*AR230+AS306*AS230+AT306*AT230+AU306*AU230+AV306*AV230+AW306*AW230+AX306*AX230+AY306*AY230+AZ306*AZ230+BA306*BA230+BB306*BB230+BC306*BC230+BD306*BD230+BE306*BE230+BF306*BF230+BG306*BG230+BH306*BH230+BI306*BI230+BJ306*BJ230+BK306*BK230+BL306*BL230+BM306*BM230+BN306*BN230+BO306*BO230+BP306*BP230+BQ306*BQ230+BR306*BR230+BS306*BS230+BT306*BT230+BU306*BU230+BV306*BV230+BW306*BW230+BX306*BX230+BY306*BY230+BZ306*BZ230+CA306*CA230+CB306*CB230+CC306*CC230+CD306*CD230+CE306*CE230+CF306*CF230+CG306*CG230+CH306*CH230+CI306*CI230+CJ306*CJ230+CK306*CK230+CL306*CL230+CM306*CM230+CN306*CN230+CO306*CO230+CP306*CP230+CQ306*CQ230+CR306*CR230+CS306*CS230+CT306*CT230+CU306*CU230</f>
        <v>0</v>
      </c>
      <c r="DF230" s="2882">
        <f>E307*E230+F307*F230+G307*G230+H307*H230+I307*I230+J307*J230+K307*K230+L307*L230+M307*M230+N307*N230+O307*O230+P307*P230+Q307*Q230+R307*R230+S307*S230+T307*T230+U307*U230+V307*V230+W307*W230+X307*X230+Y307*Y230+Z307*Z230+AA307*AA230+AB307*AB230+AC307*AC230+AD307*AD230+AE307*AE230+AF307*AF230+AG307*AG230+AH307*AH230+AI307*AI230+AJ307*AJ230+AK307*AK230+AL307*AL230+AM307*AM230+AN307*AN230+AO307*AO230+AP307*AP230+AQ307*AQ230+AR307*AR230+AS307*AS230+AT307*AT230+AU307*AU230+AV307*AV230+AW307*AW230+AX307*AX230+AY307*AY230+AZ307*AZ230+BA307*BA230+BB307*BB230+BC307*BC230+BD307*BD230+BE307*BE230+BF307*BF230+BG307*BG230+BH307*BH230+BI307*BI230+BJ307*BJ230+BK307*BK230+BL307*BL230+BM307*BM230+BN307*BN230+BO307*BO230+BP307*BP230+BQ307*BQ230+BR307*BR230+BS307*BS230+BT307*BT230+BU307*BU230+BV307*BV230+BW307*BW230+BX307*BX230+BY307*BY230+BZ307*BZ230+CA307*CA230+CB307*CB230+CC307*CC230+CD307*CD230+CE307*CE230+CF307*CF230+CG307*CG230+CH307*CH230+CI307*CI230+CJ307*CJ230+CK307*CK230+CL307*CL230+CM307*CM230+CN307*CN230+CO307*CO230+CP307*CP230+CQ307*CQ230+CR307*CR230+CS307*CS230+CT307*CT230+CU307*CU230</f>
        <v>0</v>
      </c>
      <c r="DG230" s="2882">
        <f>E308*E230+F308*F230+G308*G230+H308*H230+I308*I230+J308*J230+K308*K230+L308*L230+M308*M230+N308*N230+O308*O230+P308*P230+Q308*Q230+R308*R230+S308*S230+T308*T230+U308*U230+V308*V230+W308*W230+X308*X230+Y308*Y230+Z308*Z230+AA308*AA230+AB308*AB230+AC308*AC230+AD308*AD230+AE308*AE230+AF308*AF230+AG308*AG230+AH308*AH230+AI308*AI230+AJ308*AJ230+AK308*AK230+AL308*AL230+AM308*AM230+AN308*AN230+AO308*AO230+AP308*AP230+AQ308*AQ230+AR308*AR230+AS308*AS230+AT308*AT230+AU308*AU230+AV308*AV230+AW308*AW230+AX308*AX230+AY308*AY230+AZ308*AZ230+BA308*BA230+BB308*BB230+BC308*BC230+BD308*BD230+BE308*BE230+BF308*BF230+BG308*BG230+BH308*BH230+BI308*BI230+BJ308*BJ230+BK308*BK230+BL308*BL230+BM308*BM230+BN308*BN230+BO308*BO230+BP308*BP230+BQ308*BQ230+BR308*BR230+BS308*BS230+BT308*BT230+BU308*BU230+BV308*BV230+BW308*BW230+BX308*BX230+BY308*BY230+BZ308*BZ230+CA308*CA230+CB308*CB230+CC308*CC230+CD308*CD230+CE308*CE230+CF308*CF230+CG308*CG230+CH308*CH230+CI308*CI230+CJ308*CJ230+CK308*CK230+CL308*CL230+CM308*CM230+CN308*CN230+CO308*CO230+CP308*CP230+CQ308*CQ230+CR308*CR230+CS308*CS230+CT308*CT230+CU308*CU230</f>
        <v>0</v>
      </c>
      <c r="DH230" s="2882">
        <f>E309*E230+F309*F230+G309*G230+H309*H230+I309*I230+J309*J230+K309*K230+L309*L230+M309*M230+N309*N230+O309*O230+P309*P230+Q309*Q230+R309*R230+S309*S230+T309*T230+U309*U230+V309*V230+W309*W230+X309*X230+Y309*Y230+Z309*Z230+AA309*AA230+AB309*AB230+AC309*AC230+AD309*AD230+AE309*AE230+AF309*AF230+AG309*AG230+AH309*AH230+AI309*AI230+AJ309*AJ230+AK309*AK230+AL309*AL230+AM309*AM230+AN309*AN230+AO309*AO230+AP309*AP230+AQ309*AQ230+AR309*AR230+AS309*AS230+AT309*AT230+AU309*AU230+AV309*AV230+AW309*AW230+AX309*AX230+AY309*AY230+AZ309*AZ230+BA309*BA230+BB309*BB230+BC309*BC230+BD309*BD230+BE309*BE230+BF309*BF230+BG309*BG230+BH309*BH230+BI309*BI230+BJ309*BJ230+BK309*BK230+BL309*BL230+BM309*BM230+BN309*BN230+BO309*BO230+BP309*BP230+BQ309*BQ230+BR309*BR230+BS309*BS230+BT309*BT230+BU309*BU230+BV309*BV230+BW309*BW230+BX309*BX230+BY309*BY230+BZ309*BZ230+CA309*CA230+CB309*CB230+CC309*CC230+CD309*CD230+CE309*CE230+CF309*CF230+CG309*CG230+CH309*CH230+CI309*CI230+CJ309*CJ230+CK309*CK230+CL309*CL230+CM309*CM230+CN309*CN230+CO309*CO230+CP309*CP230+CQ309*CQ230+CR309*CR230+CS309*CS230+CT309*CT230+CU309*CU230</f>
        <v>0</v>
      </c>
      <c r="DI230" s="2882">
        <f>E310*E230+F310*F230+G310*G230+H310*H230+I310*I230+J310*J230+K310*K230+L310*L230+M310*M230+N310*N230+O310*O230+P310*P230+Q310*Q230+R310*R230+S310*S230+T310*T230+U310*U230+V310*V230+W310*W230+X310*X230+Y310*Y230+Z310*Z230+AA310*AA230+AB310*AB230+AC310*AC230+AD310*AD230+AE310*AE230+AF310*AF230+AG310*AG230+AH310*AH230+AI310*AI230+AJ310*AJ230+AK310*AK230+AL310*AL230+AM310*AM230+AN310*AN230+AO310*AO230+AP310*AP230+AQ310*AQ230+AR310*AR230+AS310*AS230+AT310*AT230+AU310*AU230+AV310*AV230+AW310*AW230+AX310*AX230+AY310*AY230+AZ310*AZ230+BA310*BA230+BB310*BB230+BC310*BC230+BD310*BD230+BE310*BE230+BF310*BF230+BG310*BG230+BH310*BH230+BI310*BI230+BJ310*BJ230+BK310*BK230+BL310*BL230+BM310*BM230+BN310*BN230+BO310*BO230+BP310*BP230+BQ310*BQ230+BR310*BR230+BS310*BS230+BT310*BT230+BU310*BU230+BV310*BV230+BW310*BW230+BX310*BX230+BY310*BY230+BZ310*BZ230+CA310*CA230+CB310*CB230+CC310*CC230+CD310*CD230+CE310*CE230+CF310*CF230+CG310*CG230+CH310*CH230+CI310*CI230+CJ310*CJ230+CK310*CK230+CL310*CL230+CM310*CM230+CN310*CN230+CO310*CO230+CP310*CP230+CQ310*CQ230+CR310*CR230+CS310*CS230+CT310*CT230+CU310*CU230</f>
        <v>0</v>
      </c>
    </row>
    <row r="231" spans="2:113" x14ac:dyDescent="0.45">
      <c r="B231" s="794">
        <v>72</v>
      </c>
      <c r="C231" s="794" t="s">
        <v>2489</v>
      </c>
      <c r="D231" s="795" t="s">
        <v>2953</v>
      </c>
      <c r="E231" s="735">
        <f>0</f>
        <v>0</v>
      </c>
      <c r="F231" s="735">
        <f>0</f>
        <v>0</v>
      </c>
      <c r="G231" s="735">
        <f>0</f>
        <v>0</v>
      </c>
      <c r="H231" s="735">
        <f>0</f>
        <v>0</v>
      </c>
      <c r="I231" s="735">
        <f>0</f>
        <v>0</v>
      </c>
      <c r="J231" s="735">
        <f>0</f>
        <v>0</v>
      </c>
      <c r="K231" s="735">
        <f>0</f>
        <v>0</v>
      </c>
      <c r="L231" s="735">
        <f>0</f>
        <v>0</v>
      </c>
      <c r="M231" s="735">
        <f>0</f>
        <v>0</v>
      </c>
      <c r="N231" s="735">
        <f>0</f>
        <v>0</v>
      </c>
      <c r="O231" s="735">
        <f>0</f>
        <v>0</v>
      </c>
      <c r="P231" s="735">
        <f>0</f>
        <v>0</v>
      </c>
      <c r="Q231" s="796">
        <f>0</f>
        <v>0</v>
      </c>
      <c r="R231" s="735">
        <f>0</f>
        <v>0</v>
      </c>
      <c r="S231" s="735">
        <f>0</f>
        <v>0</v>
      </c>
      <c r="T231" s="735">
        <f>0</f>
        <v>0</v>
      </c>
      <c r="U231" s="735">
        <f>0</f>
        <v>0</v>
      </c>
      <c r="V231" s="735">
        <f>0</f>
        <v>0</v>
      </c>
      <c r="W231" s="735">
        <f>0</f>
        <v>0</v>
      </c>
      <c r="X231" s="735">
        <f>0</f>
        <v>0</v>
      </c>
      <c r="Y231" s="735">
        <f>0</f>
        <v>0</v>
      </c>
      <c r="Z231" s="735">
        <f>0</f>
        <v>0</v>
      </c>
      <c r="AA231" s="735">
        <f>0</f>
        <v>0</v>
      </c>
      <c r="AB231" s="735">
        <f>0</f>
        <v>0</v>
      </c>
      <c r="AC231" s="735">
        <f>0</f>
        <v>0</v>
      </c>
      <c r="AD231" s="735">
        <f>0</f>
        <v>0</v>
      </c>
      <c r="AE231" s="735">
        <f>0</f>
        <v>0</v>
      </c>
      <c r="AF231" s="735">
        <f>0</f>
        <v>0</v>
      </c>
      <c r="AG231" s="735">
        <f>0</f>
        <v>0</v>
      </c>
      <c r="AH231" s="735">
        <f>0</f>
        <v>0</v>
      </c>
      <c r="AI231" s="735">
        <f>0</f>
        <v>0</v>
      </c>
      <c r="AJ231" s="735">
        <f>0</f>
        <v>0</v>
      </c>
      <c r="AK231" s="735">
        <f>0</f>
        <v>0</v>
      </c>
      <c r="AL231" s="735">
        <f>0</f>
        <v>0</v>
      </c>
      <c r="AM231" s="735">
        <f>0</f>
        <v>0</v>
      </c>
      <c r="AN231" s="735">
        <f>0</f>
        <v>0</v>
      </c>
      <c r="AO231" s="735">
        <f>0</f>
        <v>0</v>
      </c>
      <c r="AP231" s="735">
        <f>0</f>
        <v>0</v>
      </c>
      <c r="AQ231" s="735">
        <f>0</f>
        <v>0</v>
      </c>
      <c r="AR231" s="735">
        <f>0</f>
        <v>0</v>
      </c>
      <c r="AS231" s="735">
        <f>0</f>
        <v>0</v>
      </c>
      <c r="AT231" s="735">
        <f>0</f>
        <v>0</v>
      </c>
      <c r="AU231" s="735">
        <f>0</f>
        <v>0</v>
      </c>
      <c r="AV231" s="735">
        <f>0</f>
        <v>0</v>
      </c>
      <c r="AW231" s="735">
        <f>0</f>
        <v>0</v>
      </c>
      <c r="AX231" s="735">
        <f>0</f>
        <v>0</v>
      </c>
      <c r="AY231" s="735">
        <f>0</f>
        <v>0</v>
      </c>
      <c r="AZ231" s="735">
        <f>0</f>
        <v>0</v>
      </c>
      <c r="BA231" s="735">
        <f>0</f>
        <v>0</v>
      </c>
      <c r="BB231" s="735">
        <f>0</f>
        <v>0</v>
      </c>
      <c r="BC231" s="735">
        <f>0</f>
        <v>0</v>
      </c>
      <c r="BD231" s="735">
        <f>0</f>
        <v>0</v>
      </c>
      <c r="BE231" s="735">
        <f>0</f>
        <v>0</v>
      </c>
      <c r="BF231" s="902">
        <f>0</f>
        <v>0</v>
      </c>
      <c r="BG231" s="934">
        <f>-X_HFO_L/(X_HFO_L+X_HFO_L_P)</f>
        <v>-0.5</v>
      </c>
      <c r="BH231" s="934">
        <f>X_HFO_L/(X_HFO_L+X_HFO_L_P)</f>
        <v>0.5</v>
      </c>
      <c r="BI231" s="934">
        <f>0</f>
        <v>0</v>
      </c>
      <c r="BJ231" s="934">
        <f>-X_HFO_L_P/(X_HFO_L+X_HFO_L_P)</f>
        <v>-0.5</v>
      </c>
      <c r="BK231" s="934">
        <f>0</f>
        <v>0</v>
      </c>
      <c r="BL231" s="934">
        <f>X_HFO_L_P/(X_HFO_L+X_HFO_L_P)</f>
        <v>0.5</v>
      </c>
      <c r="BM231" s="735">
        <f>0</f>
        <v>0</v>
      </c>
      <c r="BN231" s="797">
        <f>0</f>
        <v>0</v>
      </c>
      <c r="BO231" s="797">
        <f>0</f>
        <v>0</v>
      </c>
      <c r="BP231" s="797">
        <f>0</f>
        <v>0</v>
      </c>
      <c r="BQ231" s="797">
        <f>0</f>
        <v>0</v>
      </c>
      <c r="BR231" s="797">
        <f>0</f>
        <v>0</v>
      </c>
      <c r="BS231" s="797">
        <f>0</f>
        <v>0</v>
      </c>
      <c r="BT231" s="735">
        <f>0</f>
        <v>0</v>
      </c>
      <c r="BU231" s="735">
        <f>0</f>
        <v>0</v>
      </c>
      <c r="BV231" s="902">
        <f>0</f>
        <v>0</v>
      </c>
      <c r="BW231" s="796">
        <f>0</f>
        <v>0</v>
      </c>
      <c r="BX231" s="735">
        <f>0</f>
        <v>0</v>
      </c>
      <c r="BY231" s="735">
        <f>0</f>
        <v>0</v>
      </c>
      <c r="BZ231" s="735">
        <f>0</f>
        <v>0</v>
      </c>
      <c r="CA231" s="902">
        <f>0</f>
        <v>0</v>
      </c>
      <c r="CB231" s="796">
        <f>0</f>
        <v>0</v>
      </c>
      <c r="CC231" s="796">
        <f>0</f>
        <v>0</v>
      </c>
      <c r="CD231" s="796">
        <f>0</f>
        <v>0</v>
      </c>
      <c r="CE231" s="796">
        <f>0</f>
        <v>0</v>
      </c>
      <c r="CF231" s="796">
        <f>0</f>
        <v>0</v>
      </c>
      <c r="CG231" s="796">
        <f>0</f>
        <v>0</v>
      </c>
      <c r="CH231" s="796">
        <f>0</f>
        <v>0</v>
      </c>
      <c r="CI231" s="796">
        <f>0</f>
        <v>0</v>
      </c>
      <c r="CJ231" s="796">
        <f>0</f>
        <v>0</v>
      </c>
      <c r="CK231" s="796">
        <f>0</f>
        <v>0</v>
      </c>
      <c r="CL231" s="796">
        <f>0</f>
        <v>0</v>
      </c>
      <c r="CM231" s="796">
        <f>0</f>
        <v>0</v>
      </c>
      <c r="CN231" s="796">
        <f>0</f>
        <v>0</v>
      </c>
      <c r="CO231" s="796">
        <f>0</f>
        <v>0</v>
      </c>
      <c r="CP231" s="796">
        <f>0</f>
        <v>0</v>
      </c>
      <c r="CQ231" s="796">
        <f>0</f>
        <v>0</v>
      </c>
      <c r="CR231" s="796">
        <f>0</f>
        <v>0</v>
      </c>
      <c r="CS231" s="796">
        <f>0</f>
        <v>0</v>
      </c>
      <c r="CT231" s="796">
        <f>0</f>
        <v>0</v>
      </c>
      <c r="CU231" s="796">
        <f>0</f>
        <v>0</v>
      </c>
      <c r="CV231" s="2864">
        <f>q_HFOL_AGING*(X_HFO_L+X_HFO_L_P)</f>
        <v>2E-50</v>
      </c>
      <c r="CX231" s="2880">
        <f>E299*E231+F299*F231+G299*G231+H299*H231+I299*I231+J299*J231+K299*K231+L299*L231+M299*M231+N299*N231+O299*O231+P299*P231+Q299*Q231+R299*R231+S299*S231+T299*T231+U299*U231+V299*V231+W299*W231+X299*X231+Y299*Y231+Z299*Z231+AA299*AA231+AB299*AB231+AC299*AC231+AD299*AD231+AE299*AE231+AF299*AF231+AG299*AG231+AH299*AH231+AI299*AI231+AJ299*AJ231+AK299*AK231+AL299*AL231+AM299*AM231+AN299*AN231+AO299*AO231+AP299*AP231+AQ299*AQ231+AR299*AR231+AS299*AS231+AT299*AT231+AU299*AU231+AV299*AV231+AW299*AW231+AX299*AX231+AY299*AY231+AZ299*AZ231+BA299*BA231+BB299*BB231+BC299*BC231+BD299*BD231+BE299*BE231+BF299*BF231+BG299*BG231+BH299*BH231+BI299*BI231+BJ299*BJ231+BK299*BK231+BL299*BL231+BM299*BM231+BN299*BN231+BO299*BO231+BP299*BP231+BQ299*BQ231+BR299*BR231+BS299*BS231+BT299*BT231+BU299*BU231+BV299*BV231+BW299*BW231+BX299*BX231+BY299*BY231+BZ299*BZ231+CA299*CA231+CB299*CB231+CC299*CC231+CD299*CD231+CE299*CE231+CF299*CF231+CG299*CG231+CH299*CH231+CI299*CI231+CJ299*CJ231+CK299*CK231+CL299*CL231+CM299*CM231+CN299*CN231+CO299*CO231+CP299*CP231+CQ299*CQ231+CR299*CR231+CS299*CS231+CT299*CT231+CU299*CU231</f>
        <v>0</v>
      </c>
      <c r="CY231" s="2880">
        <f>E300*E231+F300*F231+G300*G231+H300*H231+I300*I231+J300*J231+K300*K231+L300*L231+M300*M231+N300*N231+O300*O231+P300*P231+Q300*Q231+R300*R231+S300*S231+T300*T231+U300*U231+V300*V231+W300*W231+X300*X231+Y300*Y231+Z300*Z231+AA300*AA231+AB300*AB231+AC300*AC231+AD300*AD231+AE300*AE231+AF300*AF231+AG300*AG231+AH300*AH231+AI300*AI231+AJ300*AJ231+AK300*AK231+AL300*AL231+AM300*AM231+AN300*AN231+AO300*AO231+AP300*AP231+AQ300*AQ231+AR300*AR231+AS300*AS231+AT300*AT231+AU300*AU231+AV300*AV231+AW300*AW231+AX300*AX231+AY300*AY231+AZ300*AZ231+BA300*BA231+BB300*BB231+BC300*BC231+BD300*BD231+BE300*BE231+BF300*BF231+BG300*BG231+BH300*BH231+BI300*BI231+BJ300*BJ231+BK300*BK231+BL300*BL231+BM300*BM231+BN300*BN231+BO300*BO231+BP300*BP231+BQ300*BQ231+BR300*BR231+BS300*BS231+BT300*BT231+BU300*BU231+BV300*BV231+BW300*BW231+BX300*BX231+BY300*BY231+BZ300*BZ231+CA300*CA231+CB300*CB231+CC300*CC231+CD300*CD231+CE300*CE231+CF300*CF231+CG300*CG231+CH300*CH231+CI300*CI231+CJ300*CJ231+CK300*CK231+CL300*CL231+CM300*CM231+CN300*CN231+CO300*CO231+CP300*CP231+CQ300*CQ231+CR300*CR231+CS300*CS231+CT300*CT231+CU300*CU231</f>
        <v>0</v>
      </c>
      <c r="CZ231" s="2881">
        <f>E301*E231+F301*F231+G301*G231+H301*H231+I301*I231+J301*J231+K301*K231+L301*L231+M301*M231+N301*N231+O301*O231+P301*P231+Q301*Q231+R301*R231+S301*S231+T301*T231+U301*U231+V301*V231+W301*W231+X301*X231+Y301*Y231+Z301*Z231+AA301*AA231+AB301*AB231+AC301*AC231+AD301*AD231+AE301*AE231+AF301*AF231+AG301*AG231+AH301*AH231+AI301*AI231+AJ301*AJ231+AK301*AK231+AL301*AL231+AM301*AM231+AN301*AN231+AO301*AO231+AP301*AP231+AQ301*AQ231+AR301*AR231+AS301*AS231+AT301*AT231+AU301*AU231+AV301*AV231+AW301*AW231+AX301*AX231+AY301*AY231+AZ301*AZ231+BA301*BA231+BB301*BB231+BC301*BC231+BD301*BD231+BE301*BE231+BF301*BF231+BG301*BG231+BH301*BH231+BI301*BI231+BJ301*BJ231+BK301*BK231+BL301*BL231+BM301*BM231+BN301*BN231+BO301*BO231+BP301*BP231+BQ301*BQ231+BR301*BR231+BS301*BS231+BT301*BT231+BU301*BU231+BV301*BV231+BW301*BW231+BX301*BX231+BY301*BY231+BZ301*BZ231+CA301*CA231+CB301*CB231+CC301*CC231+CD301*CD231+CE301*CE231+CF301*CF231+CG301*CG231+CH301*CH231+CI301*CI231+CJ301*CJ231+CK301*CK231+CL301*CL231+CM301*CM231+CN301*CN231+CO301*CO231+CP301*CP231+CQ301*CQ231+CR301*CR231+CS301*CS231+CT301*CT231+CU301*CU231</f>
        <v>0</v>
      </c>
      <c r="DA231" s="2882">
        <f>E302*E231+F302*F231+G302*G231+H302*H231+I302*I231+J302*J231+K302*K231+L302*L231+M302*M231+N302*N231+O302*O231+P302*P231+Q302*Q231+R302*R231+S302*S231+T302*T231+U302*U231+V302*V231+W302*W231+X302*X231+Y302*Y231+Z302*Z231+AA302*AA231+AB302*AB231+AC302*AC231+AD302*AD231+AE302*AE231+AF302*AF231+AG302*AG231+AH302*AH231+AI302*AI231+AJ302*AJ231+AK302*AK231+AL302*AL231+AM302*AM231+AN302*AN231+AO302*AO231+AP302*AP231+AQ302*AQ231+AR302*AR231+AS302*AS231+AT302*AT231+AU302*AU231+AV302*AV231+AW302*AW231+AX302*AX231+AY302*AY231+AZ302*AZ231+BA302*BA231+BB302*BB231+BC302*BC231+BD302*BD231+BE302*BE231+BF302*BF231+BG302*BG231+BH302*BH231+BI302*BI231+BJ302*BJ231+BK302*BK231+BL302*BL231+BM302*BM231+BN302*BN231+BO302*BO231+BP302*BP231+BQ302*BQ231+BR302*BR231+BS302*BS231+BT302*BT231+BU302*BU231+BV302*BV231+BW302*BW231+BX302*BX231+BY302*BY231+BZ302*BZ231+CA302*CA231+CB302*CB231+CC302*CC231+CD302*CD231+CE302*CE231+CF302*CF231+CG302*CG231+CH302*CH231+CI302*CI231+CJ302*CJ231+CK302*CK231+CL302*CL231+CM302*CM231+CN302*CN231+CO302*CO231+CP302*CP231+CQ302*CQ231+CR302*CR231+CS302*CS231+CT302*CT231+CU302*CU231</f>
        <v>0</v>
      </c>
      <c r="DB231" s="2882">
        <f>E303*E231+F303*F231+G303*G231+H303*H231+I303*I231+J303*J231+K303*K231+L303*L231+M303*M231+N303*N231+O303*O231+P303*P231+Q303*Q231+R303*R231+S303*S231+T303*T231+U303*U231+V303*V231+W303*W231+X303*X231+Y303*Y231+Z303*Z231+AA303*AA231+AB303*AB231+AC303*AC231+AD303*AD231+AE303*AE231+AF303*AF231+AG303*AG231+AH303*AH231+AI303*AI231+AJ303*AJ231+AK303*AK231+AL303*AL231+AM303*AM231+AN303*AN231+AO303*AO231+AP303*AP231+AQ303*AQ231+AR303*AR231+AS303*AS231+AT303*AT231+AU303*AU231+AV303*AV231+AW303*AW231+AX303*AX231+AY303*AY231+AZ303*AZ231+BA303*BA231+BB303*BB231+BC303*BC231+BD303*BD231+BE303*BE231+BF303*BF231+BG303*BG231+BH303*BH231+BI303*BI231+BJ303*BJ231+BK303*BK231+BL303*BL231+BM303*BM231+BN303*BN231+BO303*BO231+BP303*BP231+BQ303*BQ231+BR303*BR231+BS303*BS231+BT303*BT231+BU303*BU231+BV303*BV231+BW303*BW231+BX303*BX231+BY303*BY231+BZ303*BZ231+CA303*CA231+CB303*CB231+CC303*CC231+CD303*CD231+CE303*CE231+CF303*CF231+CG303*CG231+CH303*CH231+CI303*CI231+CJ303*CJ231+CK303*CK231+CL303*CL231+CM303*CM231+CN303*CN231+CO303*CO231+CP303*CP231+CQ303*CQ231+CR303*CR231+CS303*CS231+CT303*CT231+CU303*CU231</f>
        <v>0</v>
      </c>
      <c r="DC231" s="2882">
        <f>E304*E231+F304*F231+G304*G231+H304*H231+I304*I231+J304*J231+K304*K231+L304*L231+M304*M231+N304*N231+O304*O231+P304*P231+Q304*Q231+R304*R231+S304*S231+T304*T231+U304*U231+V304*V231+W304*W231+X304*X231+Y304*Y231+Z304*Z231+AA304*AA231+AB304*AB231+AC304*AC231+AD304*AD231+AE304*AE231+AF304*AF231+AG304*AG231+AH304*AH231+AI304*AI231+AJ304*AJ231+AK304*AK231+AL304*AL231+AM304*AM231+AN304*AN231+AO304*AO231+AP304*AP231+AQ304*AQ231+AR304*AR231+AS304*AS231+AT304*AT231+AU304*AU231+AV304*AV231+AW304*AW231+AX304*AX231+AY304*AY231+AZ304*AZ231+BA304*BA231+BB304*BB231+BC304*BC231+BD304*BD231+BE304*BE231+BF304*BF231+BG304*BG231+BH304*BH231+BI304*BI231+BJ304*BJ231+BK304*BK231+BL304*BL231+BM304*BM231+BN304*BN231+BO304*BO231+BP304*BP231+BQ304*BQ231+BR304*BR231+BS304*BS231+BT304*BT231+BU304*BU231+BV304*BV231+BW304*BW231+BX304*BX231+BY304*BY231+BZ304*BZ231+CA304*CA231+CB304*CB231+CC304*CC231+CD304*CD231+CE304*CE231+CF304*CF231+CG304*CG231+CH304*CH231+CI304*CI231+CJ304*CJ231+CK304*CK231+CL304*CL231+CM304*CM231+CN304*CN231+CO304*CO231+CP304*CP231+CQ304*CQ231+CR304*CR231+CS304*CS231+CT304*CT231+CU304*CU231</f>
        <v>0</v>
      </c>
      <c r="DD231" s="2882">
        <f>E305*E231+F305*F231+G305*G231+H305*H231+I305*I231+J305*J231+K305*K231+L305*L231+M305*M231+N305*N231+O305*O231+P305*P231+Q305*Q231+R305*R231+S305*S231+T305*T231+U305*U231+V305*V231+W305*W231+X305*X231+Y305*Y231+Z305*Z231+AA305*AA231+AB305*AB231+AC305*AC231+AD305*AD231+AE305*AE231+AF305*AF231+AG305*AG231+AH305*AH231+AI305*AI231+AJ305*AJ231+AK305*AK231+AL305*AL231+AM305*AM231+AN305*AN231+AO305*AO231+AP305*AP231+AQ305*AQ231+AR305*AR231+AS305*AS231+AT305*AT231+AU305*AU231+AV305*AV231+AW305*AW231+AX305*AX231+AY305*AY231+AZ305*AZ231+BA305*BA231+BB305*BB231+BC305*BC231+BD305*BD231+BE305*BE231+BF305*BF231+BG305*BG231+BH305*BH231+BI305*BI231+BJ305*BJ231+BK305*BK231+BL305*BL231+BM305*BM231+BN305*BN231+BO305*BO231+BP305*BP231+BQ305*BQ231+BR305*BR231+BS305*BS231+BT305*BT231+BU305*BU231+BV305*BV231+BW305*BW231+BX305*BX231+BY305*BY231+BZ305*BZ231+CA305*CA231+CB305*CB231+CC305*CC231+CD305*CD231+CE305*CE231+CF305*CF231+CG305*CG231+CH305*CH231+CI305*CI231+CJ305*CJ231+CK305*CK231+CL305*CL231+CM305*CM231+CN305*CN231+CO305*CO231+CP305*CP231+CQ305*CQ231+CR305*CR231+CS305*CS231+CT305*CT231+CU305*CU231</f>
        <v>0</v>
      </c>
      <c r="DE231" s="2882">
        <f>E306*E231+F306*F231+G306*G231+H306*H231+I306*I231+J306*J231+K306*K231+L306*L231+M306*M231+N306*N231+O306*O231+P306*P231+Q306*Q231+R306*R231+S306*S231+T306*T231+U306*U231+V306*V231+W306*W231+X306*X231+Y306*Y231+Z306*Z231+AA306*AA231+AB306*AB231+AC306*AC231+AD306*AD231+AE306*AE231+AF306*AF231+AG306*AG231+AH306*AH231+AI306*AI231+AJ306*AJ231+AK306*AK231+AL306*AL231+AM306*AM231+AN306*AN231+AO306*AO231+AP306*AP231+AQ306*AQ231+AR306*AR231+AS306*AS231+AT306*AT231+AU306*AU231+AV306*AV231+AW306*AW231+AX306*AX231+AY306*AY231+AZ306*AZ231+BA306*BA231+BB306*BB231+BC306*BC231+BD306*BD231+BE306*BE231+BF306*BF231+BG306*BG231+BH306*BH231+BI306*BI231+BJ306*BJ231+BK306*BK231+BL306*BL231+BM306*BM231+BN306*BN231+BO306*BO231+BP306*BP231+BQ306*BQ231+BR306*BR231+BS306*BS231+BT306*BT231+BU306*BU231+BV306*BV231+BW306*BW231+BX306*BX231+BY306*BY231+BZ306*BZ231+CA306*CA231+CB306*CB231+CC306*CC231+CD306*CD231+CE306*CE231+CF306*CF231+CG306*CG231+CH306*CH231+CI306*CI231+CJ306*CJ231+CK306*CK231+CL306*CL231+CM306*CM231+CN306*CN231+CO306*CO231+CP306*CP231+CQ306*CQ231+CR306*CR231+CS306*CS231+CT306*CT231+CU306*CU231</f>
        <v>0</v>
      </c>
      <c r="DF231" s="2882">
        <f>E307*E231+F307*F231+G307*G231+H307*H231+I307*I231+J307*J231+K307*K231+L307*L231+M307*M231+N307*N231+O307*O231+P307*P231+Q307*Q231+R307*R231+S307*S231+T307*T231+U307*U231+V307*V231+W307*W231+X307*X231+Y307*Y231+Z307*Z231+AA307*AA231+AB307*AB231+AC307*AC231+AD307*AD231+AE307*AE231+AF307*AF231+AG307*AG231+AH307*AH231+AI307*AI231+AJ307*AJ231+AK307*AK231+AL307*AL231+AM307*AM231+AN307*AN231+AO307*AO231+AP307*AP231+AQ307*AQ231+AR307*AR231+AS307*AS231+AT307*AT231+AU307*AU231+AV307*AV231+AW307*AW231+AX307*AX231+AY307*AY231+AZ307*AZ231+BA307*BA231+BB307*BB231+BC307*BC231+BD307*BD231+BE307*BE231+BF307*BF231+BG307*BG231+BH307*BH231+BI307*BI231+BJ307*BJ231+BK307*BK231+BL307*BL231+BM307*BM231+BN307*BN231+BO307*BO231+BP307*BP231+BQ307*BQ231+BR307*BR231+BS307*BS231+BT307*BT231+BU307*BU231+BV307*BV231+BW307*BW231+BX307*BX231+BY307*BY231+BZ307*BZ231+CA307*CA231+CB307*CB231+CC307*CC231+CD307*CD231+CE307*CE231+CF307*CF231+CG307*CG231+CH307*CH231+CI307*CI231+CJ307*CJ231+CK307*CK231+CL307*CL231+CM307*CM231+CN307*CN231+CO307*CO231+CP307*CP231+CQ307*CQ231+CR307*CR231+CS307*CS231+CT307*CT231+CU307*CU231</f>
        <v>0</v>
      </c>
      <c r="DG231" s="2882">
        <f>E308*E231+F308*F231+G308*G231+H308*H231+I308*I231+J308*J231+K308*K231+L308*L231+M308*M231+N308*N231+O308*O231+P308*P231+Q308*Q231+R308*R231+S308*S231+T308*T231+U308*U231+V308*V231+W308*W231+X308*X231+Y308*Y231+Z308*Z231+AA308*AA231+AB308*AB231+AC308*AC231+AD308*AD231+AE308*AE231+AF308*AF231+AG308*AG231+AH308*AH231+AI308*AI231+AJ308*AJ231+AK308*AK231+AL308*AL231+AM308*AM231+AN308*AN231+AO308*AO231+AP308*AP231+AQ308*AQ231+AR308*AR231+AS308*AS231+AT308*AT231+AU308*AU231+AV308*AV231+AW308*AW231+AX308*AX231+AY308*AY231+AZ308*AZ231+BA308*BA231+BB308*BB231+BC308*BC231+BD308*BD231+BE308*BE231+BF308*BF231+BG308*BG231+BH308*BH231+BI308*BI231+BJ308*BJ231+BK308*BK231+BL308*BL231+BM308*BM231+BN308*BN231+BO308*BO231+BP308*BP231+BQ308*BQ231+BR308*BR231+BS308*BS231+BT308*BT231+BU308*BU231+BV308*BV231+BW308*BW231+BX308*BX231+BY308*BY231+BZ308*BZ231+CA308*CA231+CB308*CB231+CC308*CC231+CD308*CD231+CE308*CE231+CF308*CF231+CG308*CG231+CH308*CH231+CI308*CI231+CJ308*CJ231+CK308*CK231+CL308*CL231+CM308*CM231+CN308*CN231+CO308*CO231+CP308*CP231+CQ308*CQ231+CR308*CR231+CS308*CS231+CT308*CT231+CU308*CU231</f>
        <v>0</v>
      </c>
      <c r="DH231" s="2882">
        <f>E309*E231+F309*F231+G309*G231+H309*H231+I309*I231+J309*J231+K309*K231+L309*L231+M309*M231+N309*N231+O309*O231+P309*P231+Q309*Q231+R309*R231+S309*S231+T309*T231+U309*U231+V309*V231+W309*W231+X309*X231+Y309*Y231+Z309*Z231+AA309*AA231+AB309*AB231+AC309*AC231+AD309*AD231+AE309*AE231+AF309*AF231+AG309*AG231+AH309*AH231+AI309*AI231+AJ309*AJ231+AK309*AK231+AL309*AL231+AM309*AM231+AN309*AN231+AO309*AO231+AP309*AP231+AQ309*AQ231+AR309*AR231+AS309*AS231+AT309*AT231+AU309*AU231+AV309*AV231+AW309*AW231+AX309*AX231+AY309*AY231+AZ309*AZ231+BA309*BA231+BB309*BB231+BC309*BC231+BD309*BD231+BE309*BE231+BF309*BF231+BG309*BG231+BH309*BH231+BI309*BI231+BJ309*BJ231+BK309*BK231+BL309*BL231+BM309*BM231+BN309*BN231+BO309*BO231+BP309*BP231+BQ309*BQ231+BR309*BR231+BS309*BS231+BT309*BT231+BU309*BU231+BV309*BV231+BW309*BW231+BX309*BX231+BY309*BY231+BZ309*BZ231+CA309*CA231+CB309*CB231+CC309*CC231+CD309*CD231+CE309*CE231+CF309*CF231+CG309*CG231+CH309*CH231+CI309*CI231+CJ309*CJ231+CK309*CK231+CL309*CL231+CM309*CM231+CN309*CN231+CO309*CO231+CP309*CP231+CQ309*CQ231+CR309*CR231+CS309*CS231+CT309*CT231+CU309*CU231</f>
        <v>0</v>
      </c>
      <c r="DI231" s="2882">
        <f>E310*E231+F310*F231+G310*G231+H310*H231+I310*I231+J310*J231+K310*K231+L310*L231+M310*M231+N310*N231+O310*O231+P310*P231+Q310*Q231+R310*R231+S310*S231+T310*T231+U310*U231+V310*V231+W310*W231+X310*X231+Y310*Y231+Z310*Z231+AA310*AA231+AB310*AB231+AC310*AC231+AD310*AD231+AE310*AE231+AF310*AF231+AG310*AG231+AH310*AH231+AI310*AI231+AJ310*AJ231+AK310*AK231+AL310*AL231+AM310*AM231+AN310*AN231+AO310*AO231+AP310*AP231+AQ310*AQ231+AR310*AR231+AS310*AS231+AT310*AT231+AU310*AU231+AV310*AV231+AW310*AW231+AX310*AX231+AY310*AY231+AZ310*AZ231+BA310*BA231+BB310*BB231+BC310*BC231+BD310*BD231+BE310*BE231+BF310*BF231+BG310*BG231+BH310*BH231+BI310*BI231+BJ310*BJ231+BK310*BK231+BL310*BL231+BM310*BM231+BN310*BN231+BO310*BO231+BP310*BP231+BQ310*BQ231+BR310*BR231+BS310*BS231+BT310*BT231+BU310*BU231+BV310*BV231+BW310*BW231+BX310*BX231+BY310*BY231+BZ310*BZ231+CA310*CA231+CB310*CB231+CC310*CC231+CD310*CD231+CE310*CE231+CF310*CF231+CG310*CG231+CH310*CH231+CI310*CI231+CJ310*CJ231+CK310*CK231+CL310*CL231+CM310*CM231+CN310*CN231+CO310*CO231+CP310*CP231+CQ310*CQ231+CR310*CR231+CS310*CS231+CT310*CT231+CU310*CU231</f>
        <v>0</v>
      </c>
    </row>
    <row r="232" spans="2:113" x14ac:dyDescent="0.45">
      <c r="B232" s="794">
        <v>73</v>
      </c>
      <c r="C232" s="794" t="s">
        <v>2933</v>
      </c>
      <c r="D232" s="795" t="s">
        <v>2954</v>
      </c>
      <c r="E232" s="735">
        <f>0</f>
        <v>0</v>
      </c>
      <c r="F232" s="735">
        <f>0</f>
        <v>0</v>
      </c>
      <c r="G232" s="735">
        <f>0</f>
        <v>0</v>
      </c>
      <c r="H232" s="735">
        <f>0</f>
        <v>0</v>
      </c>
      <c r="I232" s="735">
        <f>0</f>
        <v>0</v>
      </c>
      <c r="J232" s="735">
        <f>0</f>
        <v>0</v>
      </c>
      <c r="K232" s="735">
        <f>0</f>
        <v>0</v>
      </c>
      <c r="L232" s="735">
        <f>0</f>
        <v>0</v>
      </c>
      <c r="M232" s="735">
        <f>0</f>
        <v>0</v>
      </c>
      <c r="N232" s="735">
        <f>0</f>
        <v>0</v>
      </c>
      <c r="O232" s="735">
        <f>0</f>
        <v>0</v>
      </c>
      <c r="P232" s="735">
        <f>0</f>
        <v>0</v>
      </c>
      <c r="Q232" s="796">
        <f>0</f>
        <v>0</v>
      </c>
      <c r="R232" s="735">
        <f>0</f>
        <v>0</v>
      </c>
      <c r="S232" s="735">
        <f>0</f>
        <v>0</v>
      </c>
      <c r="T232" s="735">
        <f>0</f>
        <v>0</v>
      </c>
      <c r="U232" s="735">
        <f>0</f>
        <v>0</v>
      </c>
      <c r="V232" s="735">
        <f>0</f>
        <v>0</v>
      </c>
      <c r="W232" s="735">
        <f>0</f>
        <v>0</v>
      </c>
      <c r="X232" s="735">
        <f>0</f>
        <v>0</v>
      </c>
      <c r="Y232" s="735">
        <f>0</f>
        <v>0</v>
      </c>
      <c r="Z232" s="735">
        <f>0</f>
        <v>0</v>
      </c>
      <c r="AA232" s="735">
        <f>0</f>
        <v>0</v>
      </c>
      <c r="AB232" s="735">
        <f>0</f>
        <v>0</v>
      </c>
      <c r="AC232" s="735">
        <f>0</f>
        <v>0</v>
      </c>
      <c r="AD232" s="735">
        <f>0</f>
        <v>0</v>
      </c>
      <c r="AE232" s="735">
        <f>0</f>
        <v>0</v>
      </c>
      <c r="AF232" s="735">
        <f>0</f>
        <v>0</v>
      </c>
      <c r="AG232" s="735">
        <f>0</f>
        <v>0</v>
      </c>
      <c r="AH232" s="735">
        <f>0</f>
        <v>0</v>
      </c>
      <c r="AI232" s="735">
        <f>0</f>
        <v>0</v>
      </c>
      <c r="AJ232" s="735">
        <f>0</f>
        <v>0</v>
      </c>
      <c r="AK232" s="735">
        <f>0</f>
        <v>0</v>
      </c>
      <c r="AL232" s="735">
        <f>0</f>
        <v>0</v>
      </c>
      <c r="AM232" s="902">
        <f>-1</f>
        <v>-1</v>
      </c>
      <c r="AN232" s="735">
        <f>0</f>
        <v>0</v>
      </c>
      <c r="AO232" s="735">
        <f>0</f>
        <v>0</v>
      </c>
      <c r="AP232" s="735">
        <f>0</f>
        <v>0</v>
      </c>
      <c r="AQ232" s="735">
        <f>0</f>
        <v>0</v>
      </c>
      <c r="AR232" s="735">
        <f>0</f>
        <v>0</v>
      </c>
      <c r="AS232" s="735">
        <f>0</f>
        <v>0</v>
      </c>
      <c r="AT232" s="735">
        <f>0</f>
        <v>0</v>
      </c>
      <c r="AU232" s="735">
        <f>0</f>
        <v>0</v>
      </c>
      <c r="AV232" s="735">
        <f>0</f>
        <v>0</v>
      </c>
      <c r="AW232" s="735">
        <f>0</f>
        <v>0</v>
      </c>
      <c r="AX232" s="735">
        <f>0</f>
        <v>0</v>
      </c>
      <c r="AY232" s="735">
        <f>0</f>
        <v>0</v>
      </c>
      <c r="AZ232" s="735">
        <f>0</f>
        <v>0</v>
      </c>
      <c r="BA232" s="735">
        <f>0</f>
        <v>0</v>
      </c>
      <c r="BB232" s="735">
        <f>0</f>
        <v>0</v>
      </c>
      <c r="BC232" s="735">
        <f>0</f>
        <v>0</v>
      </c>
      <c r="BD232" s="735">
        <f>0</f>
        <v>0</v>
      </c>
      <c r="BE232" s="735">
        <f>0</f>
        <v>0</v>
      </c>
      <c r="BF232" s="903">
        <f>-1/(A_SFHFO_H*(A_MP/A_MFe))</f>
        <v>-1.5024813485524857</v>
      </c>
      <c r="BG232" s="902">
        <f>0</f>
        <v>0</v>
      </c>
      <c r="BH232" s="902">
        <f>0</f>
        <v>0</v>
      </c>
      <c r="BI232" s="903">
        <f>1/(A_SFHFO_H*(A_MP/A_MFe))</f>
        <v>1.5024813485524857</v>
      </c>
      <c r="BJ232" s="902">
        <f>0</f>
        <v>0</v>
      </c>
      <c r="BK232" s="903">
        <f>0</f>
        <v>0</v>
      </c>
      <c r="BL232" s="903">
        <f>0</f>
        <v>0</v>
      </c>
      <c r="BM232" s="796">
        <f>0</f>
        <v>0</v>
      </c>
      <c r="BN232" s="735">
        <f>0</f>
        <v>0</v>
      </c>
      <c r="BO232" s="735">
        <f>0</f>
        <v>0</v>
      </c>
      <c r="BP232" s="796">
        <f>0</f>
        <v>0</v>
      </c>
      <c r="BQ232" s="735">
        <f>0</f>
        <v>0</v>
      </c>
      <c r="BR232" s="796">
        <f>0</f>
        <v>0</v>
      </c>
      <c r="BS232" s="796">
        <f>0</f>
        <v>0</v>
      </c>
      <c r="BT232" s="735">
        <f>0</f>
        <v>0</v>
      </c>
      <c r="BU232" s="735">
        <f>0</f>
        <v>0</v>
      </c>
      <c r="BV232" s="902">
        <f>0</f>
        <v>0</v>
      </c>
      <c r="BW232" s="796">
        <f>0</f>
        <v>0</v>
      </c>
      <c r="BX232" s="735">
        <f>0</f>
        <v>0</v>
      </c>
      <c r="BY232" s="735">
        <f>0</f>
        <v>0</v>
      </c>
      <c r="BZ232" s="735">
        <f>0</f>
        <v>0</v>
      </c>
      <c r="CA232" s="902">
        <f>0</f>
        <v>0</v>
      </c>
      <c r="CB232" s="796">
        <f>0</f>
        <v>0</v>
      </c>
      <c r="CC232" s="796">
        <f>0</f>
        <v>0</v>
      </c>
      <c r="CD232" s="796">
        <f>0</f>
        <v>0</v>
      </c>
      <c r="CE232" s="796">
        <f>0</f>
        <v>0</v>
      </c>
      <c r="CF232" s="796">
        <f>0</f>
        <v>0</v>
      </c>
      <c r="CG232" s="796">
        <f>0</f>
        <v>0</v>
      </c>
      <c r="CH232" s="796">
        <f>0</f>
        <v>0</v>
      </c>
      <c r="CI232" s="796">
        <f>0</f>
        <v>0</v>
      </c>
      <c r="CJ232" s="796">
        <f>0</f>
        <v>0</v>
      </c>
      <c r="CK232" s="796">
        <f>0</f>
        <v>0</v>
      </c>
      <c r="CL232" s="796">
        <f>0</f>
        <v>0</v>
      </c>
      <c r="CM232" s="796">
        <f>0</f>
        <v>0</v>
      </c>
      <c r="CN232" s="796">
        <f>0</f>
        <v>0</v>
      </c>
      <c r="CO232" s="796">
        <f>0</f>
        <v>0</v>
      </c>
      <c r="CP232" s="796">
        <f>0</f>
        <v>0</v>
      </c>
      <c r="CQ232" s="796">
        <f>0</f>
        <v>0</v>
      </c>
      <c r="CR232" s="796">
        <f>0</f>
        <v>0</v>
      </c>
      <c r="CS232" s="796">
        <f>0</f>
        <v>0</v>
      </c>
      <c r="CT232" s="796">
        <f>0</f>
        <v>0</v>
      </c>
      <c r="CU232" s="796">
        <f>0</f>
        <v>0</v>
      </c>
      <c r="CV232" s="2864">
        <f>q_P_COPREC*X_HFO_H*M_satSPO4_KP_BIND</f>
        <v>1.25E-48</v>
      </c>
      <c r="CX232" s="2880">
        <f>E299*E232+F299*F232+G299*G232+H299*H232+I299*I232+J299*J232+K299*K232+L299*L232+M299*M232+N299*N232+O299*O232+P299*P232+Q299*Q232+R299*R232+S299*S232+T299*T232+U299*U232+V299*V232+W299*W232+X299*X232+Y299*Y232+Z299*Z232+AA299*AA232+AB299*AB232+AC299*AC232+AD299*AD232+AE299*AE232+AF299*AF232+AG299*AG232+AH299*AH232+AI299*AI232+AJ299*AJ232+AK299*AK232+AL299*AL232+AM299*AM232+AN299*AN232+AO299*AO232+AP299*AP232+AQ299*AQ232+AR299*AR232+AS299*AS232+AT299*AT232+AU299*AU232+AV299*AV232+AW299*AW232+AX299*AX232+AY299*AY232+AZ299*AZ232+BA299*BA232+BB299*BB232+BC299*BC232+BD299*BD232+BE299*BE232+BF299*BF232+BG299*BG232+BH299*BH232+BI299*BI232+BJ299*BJ232+BK299*BK232+BL299*BL232+BM299*BM232+BN299*BN232+BO299*BO232+BP299*BP232+BQ299*BQ232+BR299*BR232+BS299*BS232+BT299*BT232+BU299*BU232+BV299*BV232+BW299*BW232+BX299*BX232+BY299*BY232+BZ299*BZ232+CA299*CA232+CB299*CB232+CC299*CC232+CD299*CD232+CE299*CE232+CF299*CF232+CG299*CG232+CH299*CH232+CI299*CI232+CJ299*CJ232+CK299*CK232+CL299*CL232+CM299*CM232+CN299*CN232+CO299*CO232+CP299*CP232+CQ299*CQ232+CR299*CR232+CS299*CS232+CT299*CT232+CU299*CU232</f>
        <v>0</v>
      </c>
      <c r="CY232" s="2880">
        <f>E300*E232+F300*F232+G300*G232+H300*H232+I300*I232+J300*J232+K300*K232+L300*L232+M300*M232+N300*N232+O300*O232+P300*P232+Q300*Q232+R300*R232+S300*S232+T300*T232+U300*U232+V300*V232+W300*W232+X300*X232+Y300*Y232+Z300*Z232+AA300*AA232+AB300*AB232+AC300*AC232+AD300*AD232+AE300*AE232+AF300*AF232+AG300*AG232+AH300*AH232+AI300*AI232+AJ300*AJ232+AK300*AK232+AL300*AL232+AM300*AM232+AN300*AN232+AO300*AO232+AP300*AP232+AQ300*AQ232+AR300*AR232+AS300*AS232+AT300*AT232+AU300*AU232+AV300*AV232+AW300*AW232+AX300*AX232+AY300*AY232+AZ300*AZ232+BA300*BA232+BB300*BB232+BC300*BC232+BD300*BD232+BE300*BE232+BF300*BF232+BG300*BG232+BH300*BH232+BI300*BI232+BJ300*BJ232+BK300*BK232+BL300*BL232+BM300*BM232+BN300*BN232+BO300*BO232+BP300*BP232+BQ300*BQ232+BR300*BR232+BS300*BS232+BT300*BT232+BU300*BU232+BV300*BV232+BW300*BW232+BX300*BX232+BY300*BY232+BZ300*BZ232+CA300*CA232+CB300*CB232+CC300*CC232+CD300*CD232+CE300*CE232+CF300*CF232+CG300*CG232+CH300*CH232+CI300*CI232+CJ300*CJ232+CK300*CK232+CL300*CL232+CM300*CM232+CN300*CN232+CO300*CO232+CP300*CP232+CQ300*CQ232+CR300*CR232+CS300*CS232+CT300*CT232+CU300*CU232</f>
        <v>0</v>
      </c>
      <c r="CZ232" s="2881">
        <f>E301*E232+F301*F232+G301*G232+H301*H232+I301*I232+J301*J232+K301*K232+L301*L232+M301*M232+N301*N232+O301*O232+P301*P232+Q301*Q232+R301*R232+S301*S232+T301*T232+U301*U232+V301*V232+W301*W232+X301*X232+Y301*Y232+Z301*Z232+AA301*AA232+AB301*AB232+AC301*AC232+AD301*AD232+AE301*AE232+AF301*AF232+AG301*AG232+AH301*AH232+AI301*AI232+AJ301*AJ232+AK301*AK232+AL301*AL232+AM301*AM232+AN301*AN232+AO301*AO232+AP301*AP232+AQ301*AQ232+AR301*AR232+AS301*AS232+AT301*AT232+AU301*AU232+AV301*AV232+AW301*AW232+AX301*AX232+AY301*AY232+AZ301*AZ232+BA301*BA232+BB301*BB232+BC301*BC232+BD301*BD232+BE301*BE232+BF301*BF232+BG301*BG232+BH301*BH232+BI301*BI232+BJ301*BJ232+BK301*BK232+BL301*BL232+BM301*BM232+BN301*BN232+BO301*BO232+BP301*BP232+BQ301*BQ232+BR301*BR232+BS301*BS232+BT301*BT232+BU301*BU232+BV301*BV232+BW301*BW232+BX301*BX232+BY301*BY232+BZ301*BZ232+CA301*CA232+CB301*CB232+CC301*CC232+CD301*CD232+CE301*CE232+CF301*CF232+CG301*CG232+CH301*CH232+CI301*CI232+CJ301*CJ232+CK301*CK232+CL301*CL232+CM301*CM232+CN301*CN232+CO301*CO232+CP301*CP232+CQ301*CQ232+CR301*CR232+CS301*CS232+CT301*CT232+CU301*CU232</f>
        <v>0</v>
      </c>
      <c r="DA232" s="2882">
        <f>E302*E232+F302*F232+G302*G232+H302*H232+I302*I232+J302*J232+K302*K232+L302*L232+M302*M232+N302*N232+O302*O232+P302*P232+Q302*Q232+R302*R232+S302*S232+T302*T232+U302*U232+V302*V232+W302*W232+X302*X232+Y302*Y232+Z302*Z232+AA302*AA232+AB302*AB232+AC302*AC232+AD302*AD232+AE302*AE232+AF302*AF232+AG302*AG232+AH302*AH232+AI302*AI232+AJ302*AJ232+AK302*AK232+AL302*AL232+AM302*AM232+AN302*AN232+AO302*AO232+AP302*AP232+AQ302*AQ232+AR302*AR232+AS302*AS232+AT302*AT232+AU302*AU232+AV302*AV232+AW302*AW232+AX302*AX232+AY302*AY232+AZ302*AZ232+BA302*BA232+BB302*BB232+BC302*BC232+BD302*BD232+BE302*BE232+BF302*BF232+BG302*BG232+BH302*BH232+BI302*BI232+BJ302*BJ232+BK302*BK232+BL302*BL232+BM302*BM232+BN302*BN232+BO302*BO232+BP302*BP232+BQ302*BQ232+BR302*BR232+BS302*BS232+BT302*BT232+BU302*BU232+BV302*BV232+BW302*BW232+BX302*BX232+BY302*BY232+BZ302*BZ232+CA302*CA232+CB302*CB232+CC302*CC232+CD302*CD232+CE302*CE232+CF302*CF232+CG302*CG232+CH302*CH232+CI302*CI232+CJ302*CJ232+CK302*CK232+CL302*CL232+CM302*CM232+CN302*CN232+CO302*CO232+CP302*CP232+CQ302*CQ232+CR302*CR232+CS302*CS232+CT302*CT232+CU302*CU232</f>
        <v>0</v>
      </c>
      <c r="DB232" s="2882">
        <f>E303*E232+F303*F232+G303*G232+H303*H232+I303*I232+J303*J232+K303*K232+L303*L232+M303*M232+N303*N232+O303*O232+P303*P232+Q303*Q232+R303*R232+S303*S232+T303*T232+U303*U232+V303*V232+W303*W232+X303*X232+Y303*Y232+Z303*Z232+AA303*AA232+AB303*AB232+AC303*AC232+AD303*AD232+AE303*AE232+AF303*AF232+AG303*AG232+AH303*AH232+AI303*AI232+AJ303*AJ232+AK303*AK232+AL303*AL232+AM303*AM232+AN303*AN232+AO303*AO232+AP303*AP232+AQ303*AQ232+AR303*AR232+AS303*AS232+AT303*AT232+AU303*AU232+AV303*AV232+AW303*AW232+AX303*AX232+AY303*AY232+AZ303*AZ232+BA303*BA232+BB303*BB232+BC303*BC232+BD303*BD232+BE303*BE232+BF303*BF232+BG303*BG232+BH303*BH232+BI303*BI232+BJ303*BJ232+BK303*BK232+BL303*BL232+BM303*BM232+BN303*BN232+BO303*BO232+BP303*BP232+BQ303*BQ232+BR303*BR232+BS303*BS232+BT303*BT232+BU303*BU232+BV303*BV232+BW303*BW232+BX303*BX232+BY303*BY232+BZ303*BZ232+CA303*CA232+CB303*CB232+CC303*CC232+CD303*CD232+CE303*CE232+CF303*CF232+CG303*CG232+CH303*CH232+CI303*CI232+CJ303*CJ232+CK303*CK232+CL303*CL232+CM303*CM232+CN303*CN232+CO303*CO232+CP303*CP232+CQ303*CQ232+CR303*CR232+CS303*CS232+CT303*CT232+CU303*CU232</f>
        <v>0</v>
      </c>
      <c r="DC232" s="2882">
        <f>E304*E232+F304*F232+G304*G232+H304*H232+I304*I232+J304*J232+K304*K232+L304*L232+M304*M232+N304*N232+O304*O232+P304*P232+Q304*Q232+R304*R232+S304*S232+T304*T232+U304*U232+V304*V232+W304*W232+X304*X232+Y304*Y232+Z304*Z232+AA304*AA232+AB304*AB232+AC304*AC232+AD304*AD232+AE304*AE232+AF304*AF232+AG304*AG232+AH304*AH232+AI304*AI232+AJ304*AJ232+AK304*AK232+AL304*AL232+AM304*AM232+AN304*AN232+AO304*AO232+AP304*AP232+AQ304*AQ232+AR304*AR232+AS304*AS232+AT304*AT232+AU304*AU232+AV304*AV232+AW304*AW232+AX304*AX232+AY304*AY232+AZ304*AZ232+BA304*BA232+BB304*BB232+BC304*BC232+BD304*BD232+BE304*BE232+BF304*BF232+BG304*BG232+BH304*BH232+BI304*BI232+BJ304*BJ232+BK304*BK232+BL304*BL232+BM304*BM232+BN304*BN232+BO304*BO232+BP304*BP232+BQ304*BQ232+BR304*BR232+BS304*BS232+BT304*BT232+BU304*BU232+BV304*BV232+BW304*BW232+BX304*BX232+BY304*BY232+BZ304*BZ232+CA304*CA232+CB304*CB232+CC304*CC232+CD304*CD232+CE304*CE232+CF304*CF232+CG304*CG232+CH304*CH232+CI304*CI232+CJ304*CJ232+CK304*CK232+CL304*CL232+CM304*CM232+CN304*CN232+CO304*CO232+CP304*CP232+CQ304*CQ232+CR304*CR232+CS304*CS232+CT304*CT232+CU304*CU232</f>
        <v>0</v>
      </c>
      <c r="DD232" s="2882">
        <f>E305*E232+F305*F232+G305*G232+H305*H232+I305*I232+J305*J232+K305*K232+L305*L232+M305*M232+N305*N232+O305*O232+P305*P232+Q305*Q232+R305*R232+S305*S232+T305*T232+U305*U232+V305*V232+W305*W232+X305*X232+Y305*Y232+Z305*Z232+AA305*AA232+AB305*AB232+AC305*AC232+AD305*AD232+AE305*AE232+AF305*AF232+AG305*AG232+AH305*AH232+AI305*AI232+AJ305*AJ232+AK305*AK232+AL305*AL232+AM305*AM232+AN305*AN232+AO305*AO232+AP305*AP232+AQ305*AQ232+AR305*AR232+AS305*AS232+AT305*AT232+AU305*AU232+AV305*AV232+AW305*AW232+AX305*AX232+AY305*AY232+AZ305*AZ232+BA305*BA232+BB305*BB232+BC305*BC232+BD305*BD232+BE305*BE232+BF305*BF232+BG305*BG232+BH305*BH232+BI305*BI232+BJ305*BJ232+BK305*BK232+BL305*BL232+BM305*BM232+BN305*BN232+BO305*BO232+BP305*BP232+BQ305*BQ232+BR305*BR232+BS305*BS232+BT305*BT232+BU305*BU232+BV305*BV232+BW305*BW232+BX305*BX232+BY305*BY232+BZ305*BZ232+CA305*CA232+CB305*CB232+CC305*CC232+CD305*CD232+CE305*CE232+CF305*CF232+CG305*CG232+CH305*CH232+CI305*CI232+CJ305*CJ232+CK305*CK232+CL305*CL232+CM305*CM232+CN305*CN232+CO305*CO232+CP305*CP232+CQ305*CQ232+CR305*CR232+CS305*CS232+CT305*CT232+CU305*CU232</f>
        <v>0</v>
      </c>
      <c r="DE232" s="2882">
        <f>E306*E232+F306*F232+G306*G232+H306*H232+I306*I232+J306*J232+K306*K232+L306*L232+M306*M232+N306*N232+O306*O232+P306*P232+Q306*Q232+R306*R232+S306*S232+T306*T232+U306*U232+V306*V232+W306*W232+X306*X232+Y306*Y232+Z306*Z232+AA306*AA232+AB306*AB232+AC306*AC232+AD306*AD232+AE306*AE232+AF306*AF232+AG306*AG232+AH306*AH232+AI306*AI232+AJ306*AJ232+AK306*AK232+AL306*AL232+AM306*AM232+AN306*AN232+AO306*AO232+AP306*AP232+AQ306*AQ232+AR306*AR232+AS306*AS232+AT306*AT232+AU306*AU232+AV306*AV232+AW306*AW232+AX306*AX232+AY306*AY232+AZ306*AZ232+BA306*BA232+BB306*BB232+BC306*BC232+BD306*BD232+BE306*BE232+BF306*BF232+BG306*BG232+BH306*BH232+BI306*BI232+BJ306*BJ232+BK306*BK232+BL306*BL232+BM306*BM232+BN306*BN232+BO306*BO232+BP306*BP232+BQ306*BQ232+BR306*BR232+BS306*BS232+BT306*BT232+BU306*BU232+BV306*BV232+BW306*BW232+BX306*BX232+BY306*BY232+BZ306*BZ232+CA306*CA232+CB306*CB232+CC306*CC232+CD306*CD232+CE306*CE232+CF306*CF232+CG306*CG232+CH306*CH232+CI306*CI232+CJ306*CJ232+CK306*CK232+CL306*CL232+CM306*CM232+CN306*CN232+CO306*CO232+CP306*CP232+CQ306*CQ232+CR306*CR232+CS306*CS232+CT306*CT232+CU306*CU232</f>
        <v>0</v>
      </c>
      <c r="DF232" s="2882">
        <f>E307*E232+F307*F232+G307*G232+H307*H232+I307*I232+J307*J232+K307*K232+L307*L232+M307*M232+N307*N232+O307*O232+P307*P232+Q307*Q232+R307*R232+S307*S232+T307*T232+U307*U232+V307*V232+W307*W232+X307*X232+Y307*Y232+Z307*Z232+AA307*AA232+AB307*AB232+AC307*AC232+AD307*AD232+AE307*AE232+AF307*AF232+AG307*AG232+AH307*AH232+AI307*AI232+AJ307*AJ232+AK307*AK232+AL307*AL232+AM307*AM232+AN307*AN232+AO307*AO232+AP307*AP232+AQ307*AQ232+AR307*AR232+AS307*AS232+AT307*AT232+AU307*AU232+AV307*AV232+AW307*AW232+AX307*AX232+AY307*AY232+AZ307*AZ232+BA307*BA232+BB307*BB232+BC307*BC232+BD307*BD232+BE307*BE232+BF307*BF232+BG307*BG232+BH307*BH232+BI307*BI232+BJ307*BJ232+BK307*BK232+BL307*BL232+BM307*BM232+BN307*BN232+BO307*BO232+BP307*BP232+BQ307*BQ232+BR307*BR232+BS307*BS232+BT307*BT232+BU307*BU232+BV307*BV232+BW307*BW232+BX307*BX232+BY307*BY232+BZ307*BZ232+CA307*CA232+CB307*CB232+CC307*CC232+CD307*CD232+CE307*CE232+CF307*CF232+CG307*CG232+CH307*CH232+CI307*CI232+CJ307*CJ232+CK307*CK232+CL307*CL232+CM307*CM232+CN307*CN232+CO307*CO232+CP307*CP232+CQ307*CQ232+CR307*CR232+CS307*CS232+CT307*CT232+CU307*CU232</f>
        <v>0</v>
      </c>
      <c r="DG232" s="2882">
        <f>E308*E232+F308*F232+G308*G232+H308*H232+I308*I232+J308*J232+K308*K232+L308*L232+M308*M232+N308*N232+O308*O232+P308*P232+Q308*Q232+R308*R232+S308*S232+T308*T232+U308*U232+V308*V232+W308*W232+X308*X232+Y308*Y232+Z308*Z232+AA308*AA232+AB308*AB232+AC308*AC232+AD308*AD232+AE308*AE232+AF308*AF232+AG308*AG232+AH308*AH232+AI308*AI232+AJ308*AJ232+AK308*AK232+AL308*AL232+AM308*AM232+AN308*AN232+AO308*AO232+AP308*AP232+AQ308*AQ232+AR308*AR232+AS308*AS232+AT308*AT232+AU308*AU232+AV308*AV232+AW308*AW232+AX308*AX232+AY308*AY232+AZ308*AZ232+BA308*BA232+BB308*BB232+BC308*BC232+BD308*BD232+BE308*BE232+BF308*BF232+BG308*BG232+BH308*BH232+BI308*BI232+BJ308*BJ232+BK308*BK232+BL308*BL232+BM308*BM232+BN308*BN232+BO308*BO232+BP308*BP232+BQ308*BQ232+BR308*BR232+BS308*BS232+BT308*BT232+BU308*BU232+BV308*BV232+BW308*BW232+BX308*BX232+BY308*BY232+BZ308*BZ232+CA308*CA232+CB308*CB232+CC308*CC232+CD308*CD232+CE308*CE232+CF308*CF232+CG308*CG232+CH308*CH232+CI308*CI232+CJ308*CJ232+CK308*CK232+CL308*CL232+CM308*CM232+CN308*CN232+CO308*CO232+CP308*CP232+CQ308*CQ232+CR308*CR232+CS308*CS232+CT308*CT232+CU308*CU232</f>
        <v>0</v>
      </c>
      <c r="DH232" s="2882">
        <f>E309*E232+F309*F232+G309*G232+H309*H232+I309*I232+J309*J232+K309*K232+L309*L232+M309*M232+N309*N232+O309*O232+P309*P232+Q309*Q232+R309*R232+S309*S232+T309*T232+U309*U232+V309*V232+W309*W232+X309*X232+Y309*Y232+Z309*Z232+AA309*AA232+AB309*AB232+AC309*AC232+AD309*AD232+AE309*AE232+AF309*AF232+AG309*AG232+AH309*AH232+AI309*AI232+AJ309*AJ232+AK309*AK232+AL309*AL232+AM309*AM232+AN309*AN232+AO309*AO232+AP309*AP232+AQ309*AQ232+AR309*AR232+AS309*AS232+AT309*AT232+AU309*AU232+AV309*AV232+AW309*AW232+AX309*AX232+AY309*AY232+AZ309*AZ232+BA309*BA232+BB309*BB232+BC309*BC232+BD309*BD232+BE309*BE232+BF309*BF232+BG309*BG232+BH309*BH232+BI309*BI232+BJ309*BJ232+BK309*BK232+BL309*BL232+BM309*BM232+BN309*BN232+BO309*BO232+BP309*BP232+BQ309*BQ232+BR309*BR232+BS309*BS232+BT309*BT232+BU309*BU232+BV309*BV232+BW309*BW232+BX309*BX232+BY309*BY232+BZ309*BZ232+CA309*CA232+CB309*CB232+CC309*CC232+CD309*CD232+CE309*CE232+CF309*CF232+CG309*CG232+CH309*CH232+CI309*CI232+CJ309*CJ232+CK309*CK232+CL309*CL232+CM309*CM232+CN309*CN232+CO309*CO232+CP309*CP232+CQ309*CQ232+CR309*CR232+CS309*CS232+CT309*CT232+CU309*CU232</f>
        <v>0</v>
      </c>
      <c r="DI232" s="2882">
        <f>E310*E232+F310*F232+G310*G232+H310*H232+I310*I232+J310*J232+K310*K232+L310*L232+M310*M232+N310*N232+O310*O232+P310*P232+Q310*Q232+R310*R232+S310*S232+T310*T232+U310*U232+V310*V232+W310*W232+X310*X232+Y310*Y232+Z310*Z232+AA310*AA232+AB310*AB232+AC310*AC232+AD310*AD232+AE310*AE232+AF310*AF232+AG310*AG232+AH310*AH232+AI310*AI232+AJ310*AJ232+AK310*AK232+AL310*AL232+AM310*AM232+AN310*AN232+AO310*AO232+AP310*AP232+AQ310*AQ232+AR310*AR232+AS310*AS232+AT310*AT232+AU310*AU232+AV310*AV232+AW310*AW232+AX310*AX232+AY310*AY232+AZ310*AZ232+BA310*BA232+BB310*BB232+BC310*BC232+BD310*BD232+BE310*BE232+BF310*BF232+BG310*BG232+BH310*BH232+BI310*BI232+BJ310*BJ232+BK310*BK232+BL310*BL232+BM310*BM232+BN310*BN232+BO310*BO232+BP310*BP232+BQ310*BQ232+BR310*BR232+BS310*BS232+BT310*BT232+BU310*BU232+BV310*BV232+BW310*BW232+BX310*BX232+BY310*BY232+BZ310*BZ232+CA310*CA232+CB310*CB232+CC310*CC232+CD310*CD232+CE310*CE232+CF310*CF232+CG310*CG232+CH310*CH232+CI310*CI232+CJ310*CJ232+CK310*CK232+CL310*CL232+CM310*CM232+CN310*CN232+CO310*CO232+CP310*CP232+CQ310*CQ232+CR310*CR232+CS310*CS232+CT310*CT232+CU310*CU232</f>
        <v>0</v>
      </c>
    </row>
    <row r="233" spans="2:113" x14ac:dyDescent="0.45">
      <c r="B233" s="794">
        <v>74</v>
      </c>
      <c r="C233" s="794" t="s">
        <v>2934</v>
      </c>
      <c r="D233" s="795" t="s">
        <v>2955</v>
      </c>
      <c r="E233" s="735">
        <f>0</f>
        <v>0</v>
      </c>
      <c r="F233" s="735">
        <f>0</f>
        <v>0</v>
      </c>
      <c r="G233" s="735">
        <f>0</f>
        <v>0</v>
      </c>
      <c r="H233" s="735">
        <f>0</f>
        <v>0</v>
      </c>
      <c r="I233" s="735">
        <f>0</f>
        <v>0</v>
      </c>
      <c r="J233" s="735">
        <f>0</f>
        <v>0</v>
      </c>
      <c r="K233" s="735">
        <f>0</f>
        <v>0</v>
      </c>
      <c r="L233" s="735">
        <f>0</f>
        <v>0</v>
      </c>
      <c r="M233" s="735">
        <f>0</f>
        <v>0</v>
      </c>
      <c r="N233" s="735">
        <f>0</f>
        <v>0</v>
      </c>
      <c r="O233" s="735">
        <f>0</f>
        <v>0</v>
      </c>
      <c r="P233" s="735">
        <f>0</f>
        <v>0</v>
      </c>
      <c r="Q233" s="796">
        <f>0</f>
        <v>0</v>
      </c>
      <c r="R233" s="735">
        <f>0</f>
        <v>0</v>
      </c>
      <c r="S233" s="735">
        <f>0</f>
        <v>0</v>
      </c>
      <c r="T233" s="735">
        <f>0</f>
        <v>0</v>
      </c>
      <c r="U233" s="735">
        <f>0</f>
        <v>0</v>
      </c>
      <c r="V233" s="735">
        <f>0</f>
        <v>0</v>
      </c>
      <c r="W233" s="735">
        <f>0</f>
        <v>0</v>
      </c>
      <c r="X233" s="735">
        <f>0</f>
        <v>0</v>
      </c>
      <c r="Y233" s="735">
        <f>0</f>
        <v>0</v>
      </c>
      <c r="Z233" s="735">
        <f>0</f>
        <v>0</v>
      </c>
      <c r="AA233" s="735">
        <f>0</f>
        <v>0</v>
      </c>
      <c r="AB233" s="735">
        <f>0</f>
        <v>0</v>
      </c>
      <c r="AC233" s="735">
        <f>0</f>
        <v>0</v>
      </c>
      <c r="AD233" s="735">
        <f>0</f>
        <v>0</v>
      </c>
      <c r="AE233" s="735">
        <f>0</f>
        <v>0</v>
      </c>
      <c r="AF233" s="735">
        <f>0</f>
        <v>0</v>
      </c>
      <c r="AG233" s="735">
        <f>0</f>
        <v>0</v>
      </c>
      <c r="AH233" s="735">
        <f>0</f>
        <v>0</v>
      </c>
      <c r="AI233" s="735">
        <f>0</f>
        <v>0</v>
      </c>
      <c r="AJ233" s="735">
        <f>0</f>
        <v>0</v>
      </c>
      <c r="AK233" s="735">
        <f>0</f>
        <v>0</v>
      </c>
      <c r="AL233" s="735">
        <f>0</f>
        <v>0</v>
      </c>
      <c r="AM233" s="902">
        <f>-1</f>
        <v>-1</v>
      </c>
      <c r="AN233" s="735">
        <f>0</f>
        <v>0</v>
      </c>
      <c r="AO233" s="735">
        <f>0</f>
        <v>0</v>
      </c>
      <c r="AP233" s="735">
        <f>0</f>
        <v>0</v>
      </c>
      <c r="AQ233" s="735">
        <f>0</f>
        <v>0</v>
      </c>
      <c r="AR233" s="735">
        <f>0</f>
        <v>0</v>
      </c>
      <c r="AS233" s="735">
        <f>0</f>
        <v>0</v>
      </c>
      <c r="AT233" s="735">
        <f>0</f>
        <v>0</v>
      </c>
      <c r="AU233" s="735">
        <f>0</f>
        <v>0</v>
      </c>
      <c r="AV233" s="735">
        <f>0</f>
        <v>0</v>
      </c>
      <c r="AW233" s="735">
        <f>0</f>
        <v>0</v>
      </c>
      <c r="AX233" s="735">
        <f>0</f>
        <v>0</v>
      </c>
      <c r="AY233" s="735">
        <f>0</f>
        <v>0</v>
      </c>
      <c r="AZ233" s="735">
        <f>0</f>
        <v>0</v>
      </c>
      <c r="BA233" s="735">
        <f>0</f>
        <v>0</v>
      </c>
      <c r="BB233" s="735">
        <f>0</f>
        <v>0</v>
      </c>
      <c r="BC233" s="735">
        <f>0</f>
        <v>0</v>
      </c>
      <c r="BD233" s="735">
        <f>0</f>
        <v>0</v>
      </c>
      <c r="BE233" s="735">
        <f>0</f>
        <v>0</v>
      </c>
      <c r="BF233" s="902">
        <f>0</f>
        <v>0</v>
      </c>
      <c r="BG233" s="903">
        <f>-1/(A_SFHFO_L*(A_MP/A_MFe))</f>
        <v>-9.0148880913149121</v>
      </c>
      <c r="BH233" s="902">
        <f>0</f>
        <v>0</v>
      </c>
      <c r="BI233" s="902">
        <f>0</f>
        <v>0</v>
      </c>
      <c r="BJ233" s="903">
        <f>1/(A_SFHFO_L*(A_MP/A_MFe))</f>
        <v>9.0148880913149121</v>
      </c>
      <c r="BK233" s="902">
        <f>0</f>
        <v>0</v>
      </c>
      <c r="BL233" s="902">
        <f>0</f>
        <v>0</v>
      </c>
      <c r="BM233" s="735">
        <f>0</f>
        <v>0</v>
      </c>
      <c r="BN233" s="796">
        <f>0</f>
        <v>0</v>
      </c>
      <c r="BO233" s="735">
        <f>0</f>
        <v>0</v>
      </c>
      <c r="BP233" s="735">
        <f>0</f>
        <v>0</v>
      </c>
      <c r="BQ233" s="796">
        <f>0</f>
        <v>0</v>
      </c>
      <c r="BR233" s="735">
        <f>0</f>
        <v>0</v>
      </c>
      <c r="BS233" s="735">
        <f>0</f>
        <v>0</v>
      </c>
      <c r="BT233" s="735">
        <f>0</f>
        <v>0</v>
      </c>
      <c r="BU233" s="735">
        <f>0</f>
        <v>0</v>
      </c>
      <c r="BV233" s="902">
        <f>0</f>
        <v>0</v>
      </c>
      <c r="BW233" s="796">
        <f>0</f>
        <v>0</v>
      </c>
      <c r="BX233" s="735">
        <f>0</f>
        <v>0</v>
      </c>
      <c r="BY233" s="735">
        <f>0</f>
        <v>0</v>
      </c>
      <c r="BZ233" s="735">
        <f>0</f>
        <v>0</v>
      </c>
      <c r="CA233" s="902">
        <f>0</f>
        <v>0</v>
      </c>
      <c r="CB233" s="796">
        <f>0</f>
        <v>0</v>
      </c>
      <c r="CC233" s="796">
        <f>0</f>
        <v>0</v>
      </c>
      <c r="CD233" s="796">
        <f>0</f>
        <v>0</v>
      </c>
      <c r="CE233" s="796">
        <f>0</f>
        <v>0</v>
      </c>
      <c r="CF233" s="796">
        <f>0</f>
        <v>0</v>
      </c>
      <c r="CG233" s="796">
        <f>0</f>
        <v>0</v>
      </c>
      <c r="CH233" s="796">
        <f>0</f>
        <v>0</v>
      </c>
      <c r="CI233" s="796">
        <f>0</f>
        <v>0</v>
      </c>
      <c r="CJ233" s="796">
        <f>0</f>
        <v>0</v>
      </c>
      <c r="CK233" s="796">
        <f>0</f>
        <v>0</v>
      </c>
      <c r="CL233" s="796">
        <f>0</f>
        <v>0</v>
      </c>
      <c r="CM233" s="796">
        <f>0</f>
        <v>0</v>
      </c>
      <c r="CN233" s="796">
        <f>0</f>
        <v>0</v>
      </c>
      <c r="CO233" s="796">
        <f>0</f>
        <v>0</v>
      </c>
      <c r="CP233" s="796">
        <f>0</f>
        <v>0</v>
      </c>
      <c r="CQ233" s="796">
        <f>0</f>
        <v>0</v>
      </c>
      <c r="CR233" s="796">
        <f>0</f>
        <v>0</v>
      </c>
      <c r="CS233" s="796">
        <f>0</f>
        <v>0</v>
      </c>
      <c r="CT233" s="796">
        <f>0</f>
        <v>0</v>
      </c>
      <c r="CU233" s="796">
        <f>0</f>
        <v>0</v>
      </c>
      <c r="CV233" s="2864">
        <f>q_P_BIND*X_HFO_L*M_satSPO4_KP_BIND</f>
        <v>8.3333333333333332E-51</v>
      </c>
      <c r="CX233" s="2880">
        <f>E299*E233+F299*F233+G299*G233+H299*H233+I299*I233+J299*J233+K299*K233+L299*L233+M299*M233+N299*N233+O299*O233+P299*P233+Q299*Q233+R299*R233+S299*S233+T299*T233+U299*U233+V299*V233+W299*W233+X299*X233+Y299*Y233+Z299*Z233+AA299*AA233+AB299*AB233+AC299*AC233+AD299*AD233+AE299*AE233+AF299*AF233+AG299*AG233+AH299*AH233+AI299*AI233+AJ299*AJ233+AK299*AK233+AL299*AL233+AM299*AM233+AN299*AN233+AO299*AO233+AP299*AP233+AQ299*AQ233+AR299*AR233+AS299*AS233+AT299*AT233+AU299*AU233+AV299*AV233+AW299*AW233+AX299*AX233+AY299*AY233+AZ299*AZ233+BA299*BA233+BB299*BB233+BC299*BC233+BD299*BD233+BE299*BE233+BF299*BF233+BG299*BG233+BH299*BH233+BI299*BI233+BJ299*BJ233+BK299*BK233+BL299*BL233+BM299*BM233+BN299*BN233+BO299*BO233+BP299*BP233+BQ299*BQ233+BR299*BR233+BS299*BS233+BT299*BT233+BU299*BU233+BV299*BV233+BW299*BW233+BX299*BX233+BY299*BY233+BZ299*BZ233+CA299*CA233+CB299*CB233+CC299*CC233+CD299*CD233+CE299*CE233+CF299*CF233+CG299*CG233+CH299*CH233+CI299*CI233+CJ299*CJ233+CK299*CK233+CL299*CL233+CM299*CM233+CN299*CN233+CO299*CO233+CP299*CP233+CQ299*CQ233+CR299*CR233+CS299*CS233+CT299*CT233+CU299*CU233</f>
        <v>0</v>
      </c>
      <c r="CY233" s="2880">
        <f>E300*E233+F300*F233+G300*G233+H300*H233+I300*I233+J300*J233+K300*K233+L300*L233+M300*M233+N300*N233+O300*O233+P300*P233+Q300*Q233+R300*R233+S300*S233+T300*T233+U300*U233+V300*V233+W300*W233+X300*X233+Y300*Y233+Z300*Z233+AA300*AA233+AB300*AB233+AC300*AC233+AD300*AD233+AE300*AE233+AF300*AF233+AG300*AG233+AH300*AH233+AI300*AI233+AJ300*AJ233+AK300*AK233+AL300*AL233+AM300*AM233+AN300*AN233+AO300*AO233+AP300*AP233+AQ300*AQ233+AR300*AR233+AS300*AS233+AT300*AT233+AU300*AU233+AV300*AV233+AW300*AW233+AX300*AX233+AY300*AY233+AZ300*AZ233+BA300*BA233+BB300*BB233+BC300*BC233+BD300*BD233+BE300*BE233+BF300*BF233+BG300*BG233+BH300*BH233+BI300*BI233+BJ300*BJ233+BK300*BK233+BL300*BL233+BM300*BM233+BN300*BN233+BO300*BO233+BP300*BP233+BQ300*BQ233+BR300*BR233+BS300*BS233+BT300*BT233+BU300*BU233+BV300*BV233+BW300*BW233+BX300*BX233+BY300*BY233+BZ300*BZ233+CA300*CA233+CB300*CB233+CC300*CC233+CD300*CD233+CE300*CE233+CF300*CF233+CG300*CG233+CH300*CH233+CI300*CI233+CJ300*CJ233+CK300*CK233+CL300*CL233+CM300*CM233+CN300*CN233+CO300*CO233+CP300*CP233+CQ300*CQ233+CR300*CR233+CS300*CS233+CT300*CT233+CU300*CU233</f>
        <v>0</v>
      </c>
      <c r="CZ233" s="2881">
        <f>E301*E233+F301*F233+G301*G233+H301*H233+I301*I233+J301*J233+K301*K233+L301*L233+M301*M233+N301*N233+O301*O233+P301*P233+Q301*Q233+R301*R233+S301*S233+T301*T233+U301*U233+V301*V233+W301*W233+X301*X233+Y301*Y233+Z301*Z233+AA301*AA233+AB301*AB233+AC301*AC233+AD301*AD233+AE301*AE233+AF301*AF233+AG301*AG233+AH301*AH233+AI301*AI233+AJ301*AJ233+AK301*AK233+AL301*AL233+AM301*AM233+AN301*AN233+AO301*AO233+AP301*AP233+AQ301*AQ233+AR301*AR233+AS301*AS233+AT301*AT233+AU301*AU233+AV301*AV233+AW301*AW233+AX301*AX233+AY301*AY233+AZ301*AZ233+BA301*BA233+BB301*BB233+BC301*BC233+BD301*BD233+BE301*BE233+BF301*BF233+BG301*BG233+BH301*BH233+BI301*BI233+BJ301*BJ233+BK301*BK233+BL301*BL233+BM301*BM233+BN301*BN233+BO301*BO233+BP301*BP233+BQ301*BQ233+BR301*BR233+BS301*BS233+BT301*BT233+BU301*BU233+BV301*BV233+BW301*BW233+BX301*BX233+BY301*BY233+BZ301*BZ233+CA301*CA233+CB301*CB233+CC301*CC233+CD301*CD233+CE301*CE233+CF301*CF233+CG301*CG233+CH301*CH233+CI301*CI233+CJ301*CJ233+CK301*CK233+CL301*CL233+CM301*CM233+CN301*CN233+CO301*CO233+CP301*CP233+CQ301*CQ233+CR301*CR233+CS301*CS233+CT301*CT233+CU301*CU233</f>
        <v>0</v>
      </c>
      <c r="DA233" s="2882">
        <f>E302*E233+F302*F233+G302*G233+H302*H233+I302*I233+J302*J233+K302*K233+L302*L233+M302*M233+N302*N233+O302*O233+P302*P233+Q302*Q233+R302*R233+S302*S233+T302*T233+U302*U233+V302*V233+W302*W233+X302*X233+Y302*Y233+Z302*Z233+AA302*AA233+AB302*AB233+AC302*AC233+AD302*AD233+AE302*AE233+AF302*AF233+AG302*AG233+AH302*AH233+AI302*AI233+AJ302*AJ233+AK302*AK233+AL302*AL233+AM302*AM233+AN302*AN233+AO302*AO233+AP302*AP233+AQ302*AQ233+AR302*AR233+AS302*AS233+AT302*AT233+AU302*AU233+AV302*AV233+AW302*AW233+AX302*AX233+AY302*AY233+AZ302*AZ233+BA302*BA233+BB302*BB233+BC302*BC233+BD302*BD233+BE302*BE233+BF302*BF233+BG302*BG233+BH302*BH233+BI302*BI233+BJ302*BJ233+BK302*BK233+BL302*BL233+BM302*BM233+BN302*BN233+BO302*BO233+BP302*BP233+BQ302*BQ233+BR302*BR233+BS302*BS233+BT302*BT233+BU302*BU233+BV302*BV233+BW302*BW233+BX302*BX233+BY302*BY233+BZ302*BZ233+CA302*CA233+CB302*CB233+CC302*CC233+CD302*CD233+CE302*CE233+CF302*CF233+CG302*CG233+CH302*CH233+CI302*CI233+CJ302*CJ233+CK302*CK233+CL302*CL233+CM302*CM233+CN302*CN233+CO302*CO233+CP302*CP233+CQ302*CQ233+CR302*CR233+CS302*CS233+CT302*CT233+CU302*CU233</f>
        <v>0</v>
      </c>
      <c r="DB233" s="2882">
        <f>E303*E233+F303*F233+G303*G233+H303*H233+I303*I233+J303*J233+K303*K233+L303*L233+M303*M233+N303*N233+O303*O233+P303*P233+Q303*Q233+R303*R233+S303*S233+T303*T233+U303*U233+V303*V233+W303*W233+X303*X233+Y303*Y233+Z303*Z233+AA303*AA233+AB303*AB233+AC303*AC233+AD303*AD233+AE303*AE233+AF303*AF233+AG303*AG233+AH303*AH233+AI303*AI233+AJ303*AJ233+AK303*AK233+AL303*AL233+AM303*AM233+AN303*AN233+AO303*AO233+AP303*AP233+AQ303*AQ233+AR303*AR233+AS303*AS233+AT303*AT233+AU303*AU233+AV303*AV233+AW303*AW233+AX303*AX233+AY303*AY233+AZ303*AZ233+BA303*BA233+BB303*BB233+BC303*BC233+BD303*BD233+BE303*BE233+BF303*BF233+BG303*BG233+BH303*BH233+BI303*BI233+BJ303*BJ233+BK303*BK233+BL303*BL233+BM303*BM233+BN303*BN233+BO303*BO233+BP303*BP233+BQ303*BQ233+BR303*BR233+BS303*BS233+BT303*BT233+BU303*BU233+BV303*BV233+BW303*BW233+BX303*BX233+BY303*BY233+BZ303*BZ233+CA303*CA233+CB303*CB233+CC303*CC233+CD303*CD233+CE303*CE233+CF303*CF233+CG303*CG233+CH303*CH233+CI303*CI233+CJ303*CJ233+CK303*CK233+CL303*CL233+CM303*CM233+CN303*CN233+CO303*CO233+CP303*CP233+CQ303*CQ233+CR303*CR233+CS303*CS233+CT303*CT233+CU303*CU233</f>
        <v>0</v>
      </c>
      <c r="DC233" s="2882">
        <f>E304*E233+F304*F233+G304*G233+H304*H233+I304*I233+J304*J233+K304*K233+L304*L233+M304*M233+N304*N233+O304*O233+P304*P233+Q304*Q233+R304*R233+S304*S233+T304*T233+U304*U233+V304*V233+W304*W233+X304*X233+Y304*Y233+Z304*Z233+AA304*AA233+AB304*AB233+AC304*AC233+AD304*AD233+AE304*AE233+AF304*AF233+AG304*AG233+AH304*AH233+AI304*AI233+AJ304*AJ233+AK304*AK233+AL304*AL233+AM304*AM233+AN304*AN233+AO304*AO233+AP304*AP233+AQ304*AQ233+AR304*AR233+AS304*AS233+AT304*AT233+AU304*AU233+AV304*AV233+AW304*AW233+AX304*AX233+AY304*AY233+AZ304*AZ233+BA304*BA233+BB304*BB233+BC304*BC233+BD304*BD233+BE304*BE233+BF304*BF233+BG304*BG233+BH304*BH233+BI304*BI233+BJ304*BJ233+BK304*BK233+BL304*BL233+BM304*BM233+BN304*BN233+BO304*BO233+BP304*BP233+BQ304*BQ233+BR304*BR233+BS304*BS233+BT304*BT233+BU304*BU233+BV304*BV233+BW304*BW233+BX304*BX233+BY304*BY233+BZ304*BZ233+CA304*CA233+CB304*CB233+CC304*CC233+CD304*CD233+CE304*CE233+CF304*CF233+CG304*CG233+CH304*CH233+CI304*CI233+CJ304*CJ233+CK304*CK233+CL304*CL233+CM304*CM233+CN304*CN233+CO304*CO233+CP304*CP233+CQ304*CQ233+CR304*CR233+CS304*CS233+CT304*CT233+CU304*CU233</f>
        <v>0</v>
      </c>
      <c r="DD233" s="2882">
        <f>E305*E233+F305*F233+G305*G233+H305*H233+I305*I233+J305*J233+K305*K233+L305*L233+M305*M233+N305*N233+O305*O233+P305*P233+Q305*Q233+R305*R233+S305*S233+T305*T233+U305*U233+V305*V233+W305*W233+X305*X233+Y305*Y233+Z305*Z233+AA305*AA233+AB305*AB233+AC305*AC233+AD305*AD233+AE305*AE233+AF305*AF233+AG305*AG233+AH305*AH233+AI305*AI233+AJ305*AJ233+AK305*AK233+AL305*AL233+AM305*AM233+AN305*AN233+AO305*AO233+AP305*AP233+AQ305*AQ233+AR305*AR233+AS305*AS233+AT305*AT233+AU305*AU233+AV305*AV233+AW305*AW233+AX305*AX233+AY305*AY233+AZ305*AZ233+BA305*BA233+BB305*BB233+BC305*BC233+BD305*BD233+BE305*BE233+BF305*BF233+BG305*BG233+BH305*BH233+BI305*BI233+BJ305*BJ233+BK305*BK233+BL305*BL233+BM305*BM233+BN305*BN233+BO305*BO233+BP305*BP233+BQ305*BQ233+BR305*BR233+BS305*BS233+BT305*BT233+BU305*BU233+BV305*BV233+BW305*BW233+BX305*BX233+BY305*BY233+BZ305*BZ233+CA305*CA233+CB305*CB233+CC305*CC233+CD305*CD233+CE305*CE233+CF305*CF233+CG305*CG233+CH305*CH233+CI305*CI233+CJ305*CJ233+CK305*CK233+CL305*CL233+CM305*CM233+CN305*CN233+CO305*CO233+CP305*CP233+CQ305*CQ233+CR305*CR233+CS305*CS233+CT305*CT233+CU305*CU233</f>
        <v>0</v>
      </c>
      <c r="DE233" s="2882">
        <f>E306*E233+F306*F233+G306*G233+H306*H233+I306*I233+J306*J233+K306*K233+L306*L233+M306*M233+N306*N233+O306*O233+P306*P233+Q306*Q233+R306*R233+S306*S233+T306*T233+U306*U233+V306*V233+W306*W233+X306*X233+Y306*Y233+Z306*Z233+AA306*AA233+AB306*AB233+AC306*AC233+AD306*AD233+AE306*AE233+AF306*AF233+AG306*AG233+AH306*AH233+AI306*AI233+AJ306*AJ233+AK306*AK233+AL306*AL233+AM306*AM233+AN306*AN233+AO306*AO233+AP306*AP233+AQ306*AQ233+AR306*AR233+AS306*AS233+AT306*AT233+AU306*AU233+AV306*AV233+AW306*AW233+AX306*AX233+AY306*AY233+AZ306*AZ233+BA306*BA233+BB306*BB233+BC306*BC233+BD306*BD233+BE306*BE233+BF306*BF233+BG306*BG233+BH306*BH233+BI306*BI233+BJ306*BJ233+BK306*BK233+BL306*BL233+BM306*BM233+BN306*BN233+BO306*BO233+BP306*BP233+BQ306*BQ233+BR306*BR233+BS306*BS233+BT306*BT233+BU306*BU233+BV306*BV233+BW306*BW233+BX306*BX233+BY306*BY233+BZ306*BZ233+CA306*CA233+CB306*CB233+CC306*CC233+CD306*CD233+CE306*CE233+CF306*CF233+CG306*CG233+CH306*CH233+CI306*CI233+CJ306*CJ233+CK306*CK233+CL306*CL233+CM306*CM233+CN306*CN233+CO306*CO233+CP306*CP233+CQ306*CQ233+CR306*CR233+CS306*CS233+CT306*CT233+CU306*CU233</f>
        <v>0</v>
      </c>
      <c r="DF233" s="2882">
        <f>E307*E233+F307*F233+G307*G233+H307*H233+I307*I233+J307*J233+K307*K233+L307*L233+M307*M233+N307*N233+O307*O233+P307*P233+Q307*Q233+R307*R233+S307*S233+T307*T233+U307*U233+V307*V233+W307*W233+X307*X233+Y307*Y233+Z307*Z233+AA307*AA233+AB307*AB233+AC307*AC233+AD307*AD233+AE307*AE233+AF307*AF233+AG307*AG233+AH307*AH233+AI307*AI233+AJ307*AJ233+AK307*AK233+AL307*AL233+AM307*AM233+AN307*AN233+AO307*AO233+AP307*AP233+AQ307*AQ233+AR307*AR233+AS307*AS233+AT307*AT233+AU307*AU233+AV307*AV233+AW307*AW233+AX307*AX233+AY307*AY233+AZ307*AZ233+BA307*BA233+BB307*BB233+BC307*BC233+BD307*BD233+BE307*BE233+BF307*BF233+BG307*BG233+BH307*BH233+BI307*BI233+BJ307*BJ233+BK307*BK233+BL307*BL233+BM307*BM233+BN307*BN233+BO307*BO233+BP307*BP233+BQ307*BQ233+BR307*BR233+BS307*BS233+BT307*BT233+BU307*BU233+BV307*BV233+BW307*BW233+BX307*BX233+BY307*BY233+BZ307*BZ233+CA307*CA233+CB307*CB233+CC307*CC233+CD307*CD233+CE307*CE233+CF307*CF233+CG307*CG233+CH307*CH233+CI307*CI233+CJ307*CJ233+CK307*CK233+CL307*CL233+CM307*CM233+CN307*CN233+CO307*CO233+CP307*CP233+CQ307*CQ233+CR307*CR233+CS307*CS233+CT307*CT233+CU307*CU233</f>
        <v>0</v>
      </c>
      <c r="DG233" s="2882">
        <f>E308*E233+F308*F233+G308*G233+H308*H233+I308*I233+J308*J233+K308*K233+L308*L233+M308*M233+N308*N233+O308*O233+P308*P233+Q308*Q233+R308*R233+S308*S233+T308*T233+U308*U233+V308*V233+W308*W233+X308*X233+Y308*Y233+Z308*Z233+AA308*AA233+AB308*AB233+AC308*AC233+AD308*AD233+AE308*AE233+AF308*AF233+AG308*AG233+AH308*AH233+AI308*AI233+AJ308*AJ233+AK308*AK233+AL308*AL233+AM308*AM233+AN308*AN233+AO308*AO233+AP308*AP233+AQ308*AQ233+AR308*AR233+AS308*AS233+AT308*AT233+AU308*AU233+AV308*AV233+AW308*AW233+AX308*AX233+AY308*AY233+AZ308*AZ233+BA308*BA233+BB308*BB233+BC308*BC233+BD308*BD233+BE308*BE233+BF308*BF233+BG308*BG233+BH308*BH233+BI308*BI233+BJ308*BJ233+BK308*BK233+BL308*BL233+BM308*BM233+BN308*BN233+BO308*BO233+BP308*BP233+BQ308*BQ233+BR308*BR233+BS308*BS233+BT308*BT233+BU308*BU233+BV308*BV233+BW308*BW233+BX308*BX233+BY308*BY233+BZ308*BZ233+CA308*CA233+CB308*CB233+CC308*CC233+CD308*CD233+CE308*CE233+CF308*CF233+CG308*CG233+CH308*CH233+CI308*CI233+CJ308*CJ233+CK308*CK233+CL308*CL233+CM308*CM233+CN308*CN233+CO308*CO233+CP308*CP233+CQ308*CQ233+CR308*CR233+CS308*CS233+CT308*CT233+CU308*CU233</f>
        <v>0</v>
      </c>
      <c r="DH233" s="2882">
        <f>E309*E233+F309*F233+G309*G233+H309*H233+I309*I233+J309*J233+K309*K233+L309*L233+M309*M233+N309*N233+O309*O233+P309*P233+Q309*Q233+R309*R233+S309*S233+T309*T233+U309*U233+V309*V233+W309*W233+X309*X233+Y309*Y233+Z309*Z233+AA309*AA233+AB309*AB233+AC309*AC233+AD309*AD233+AE309*AE233+AF309*AF233+AG309*AG233+AH309*AH233+AI309*AI233+AJ309*AJ233+AK309*AK233+AL309*AL233+AM309*AM233+AN309*AN233+AO309*AO233+AP309*AP233+AQ309*AQ233+AR309*AR233+AS309*AS233+AT309*AT233+AU309*AU233+AV309*AV233+AW309*AW233+AX309*AX233+AY309*AY233+AZ309*AZ233+BA309*BA233+BB309*BB233+BC309*BC233+BD309*BD233+BE309*BE233+BF309*BF233+BG309*BG233+BH309*BH233+BI309*BI233+BJ309*BJ233+BK309*BK233+BL309*BL233+BM309*BM233+BN309*BN233+BO309*BO233+BP309*BP233+BQ309*BQ233+BR309*BR233+BS309*BS233+BT309*BT233+BU309*BU233+BV309*BV233+BW309*BW233+BX309*BX233+BY309*BY233+BZ309*BZ233+CA309*CA233+CB309*CB233+CC309*CC233+CD309*CD233+CE309*CE233+CF309*CF233+CG309*CG233+CH309*CH233+CI309*CI233+CJ309*CJ233+CK309*CK233+CL309*CL233+CM309*CM233+CN309*CN233+CO309*CO233+CP309*CP233+CQ309*CQ233+CR309*CR233+CS309*CS233+CT309*CT233+CU309*CU233</f>
        <v>0</v>
      </c>
      <c r="DI233" s="2882">
        <f>E310*E233+F310*F233+G310*G233+H310*H233+I310*I233+J310*J233+K310*K233+L310*L233+M310*M233+N310*N233+O310*O233+P310*P233+Q310*Q233+R310*R233+S310*S233+T310*T233+U310*U233+V310*V233+W310*W233+X310*X233+Y310*Y233+Z310*Z233+AA310*AA233+AB310*AB233+AC310*AC233+AD310*AD233+AE310*AE233+AF310*AF233+AG310*AG233+AH310*AH233+AI310*AI233+AJ310*AJ233+AK310*AK233+AL310*AL233+AM310*AM233+AN310*AN233+AO310*AO233+AP310*AP233+AQ310*AQ233+AR310*AR233+AS310*AS233+AT310*AT233+AU310*AU233+AV310*AV233+AW310*AW233+AX310*AX233+AY310*AY233+AZ310*AZ233+BA310*BA233+BB310*BB233+BC310*BC233+BD310*BD233+BE310*BE233+BF310*BF233+BG310*BG233+BH310*BH233+BI310*BI233+BJ310*BJ233+BK310*BK233+BL310*BL233+BM310*BM233+BN310*BN233+BO310*BO233+BP310*BP233+BQ310*BQ233+BR310*BR233+BS310*BS233+BT310*BT233+BU310*BU233+BV310*BV233+BW310*BW233+BX310*BX233+BY310*BY233+BZ310*BZ233+CA310*CA233+CB310*CB233+CC310*CC233+CD310*CD233+CE310*CE233+CF310*CF233+CG310*CG233+CH310*CH233+CI310*CI233+CJ310*CJ233+CK310*CK233+CL310*CL233+CM310*CM233+CN310*CN233+CO310*CO233+CP310*CP233+CQ310*CQ233+CR310*CR233+CS310*CS233+CT310*CT233+CU310*CU233</f>
        <v>0</v>
      </c>
    </row>
    <row r="234" spans="2:113" ht="15.75" x14ac:dyDescent="0.55000000000000004">
      <c r="B234" s="794">
        <v>75</v>
      </c>
      <c r="C234" s="794" t="s">
        <v>3064</v>
      </c>
      <c r="D234" s="800" t="s">
        <v>3445</v>
      </c>
      <c r="E234" s="735">
        <f>0</f>
        <v>0</v>
      </c>
      <c r="F234" s="735">
        <f>0</f>
        <v>0</v>
      </c>
      <c r="G234" s="735">
        <f>0</f>
        <v>0</v>
      </c>
      <c r="H234" s="735">
        <f>0</f>
        <v>0</v>
      </c>
      <c r="I234" s="735">
        <f>0</f>
        <v>0</v>
      </c>
      <c r="J234" s="735">
        <f>0</f>
        <v>0</v>
      </c>
      <c r="K234" s="735">
        <f>0</f>
        <v>0</v>
      </c>
      <c r="L234" s="735">
        <f>0</f>
        <v>0</v>
      </c>
      <c r="M234" s="735">
        <f>0</f>
        <v>0</v>
      </c>
      <c r="N234" s="735">
        <f>0</f>
        <v>0</v>
      </c>
      <c r="O234" s="735">
        <f>0</f>
        <v>0</v>
      </c>
      <c r="P234" s="735">
        <f>0</f>
        <v>0</v>
      </c>
      <c r="Q234" s="796">
        <f>0</f>
        <v>0</v>
      </c>
      <c r="R234" s="735">
        <f>0</f>
        <v>0</v>
      </c>
      <c r="S234" s="735">
        <f>0</f>
        <v>0</v>
      </c>
      <c r="T234" s="735">
        <f>0</f>
        <v>0</v>
      </c>
      <c r="U234" s="735">
        <f>0</f>
        <v>0</v>
      </c>
      <c r="V234" s="735">
        <f>0</f>
        <v>0</v>
      </c>
      <c r="W234" s="735">
        <f>0</f>
        <v>0</v>
      </c>
      <c r="X234" s="735">
        <f>0</f>
        <v>0</v>
      </c>
      <c r="Y234" s="735">
        <f>0</f>
        <v>0</v>
      </c>
      <c r="Z234" s="735">
        <f>0</f>
        <v>0</v>
      </c>
      <c r="AA234" s="735">
        <f>0</f>
        <v>0</v>
      </c>
      <c r="AB234" s="735">
        <f>0</f>
        <v>0</v>
      </c>
      <c r="AC234" s="735">
        <f>0</f>
        <v>0</v>
      </c>
      <c r="AD234" s="735">
        <f>0</f>
        <v>0</v>
      </c>
      <c r="AE234" s="735">
        <f>0</f>
        <v>0</v>
      </c>
      <c r="AF234" s="735">
        <f>0</f>
        <v>0</v>
      </c>
      <c r="AG234" s="735">
        <f>0</f>
        <v>0</v>
      </c>
      <c r="AH234" s="735">
        <f>0</f>
        <v>0</v>
      </c>
      <c r="AI234" s="735">
        <f>0</f>
        <v>0</v>
      </c>
      <c r="AJ234" s="735">
        <f>0</f>
        <v>0</v>
      </c>
      <c r="AK234" s="735">
        <f>0</f>
        <v>0</v>
      </c>
      <c r="AL234" s="735">
        <f>0</f>
        <v>0</v>
      </c>
      <c r="AM234" s="903">
        <f>(A_SFHFO_H*(A_MP/A_MFe))</f>
        <v>0.66556566639806602</v>
      </c>
      <c r="AN234" s="735">
        <f>0</f>
        <v>0</v>
      </c>
      <c r="AO234" s="735">
        <f>0</f>
        <v>0</v>
      </c>
      <c r="AP234" s="735">
        <f>0</f>
        <v>0</v>
      </c>
      <c r="AQ234" s="735">
        <f>0</f>
        <v>0</v>
      </c>
      <c r="AR234" s="735">
        <f>0</f>
        <v>0</v>
      </c>
      <c r="AS234" s="735">
        <f>0</f>
        <v>0</v>
      </c>
      <c r="AT234" s="735">
        <f>0</f>
        <v>0</v>
      </c>
      <c r="AU234" s="735">
        <f>0</f>
        <v>0</v>
      </c>
      <c r="AV234" s="735">
        <f>0</f>
        <v>0</v>
      </c>
      <c r="AW234" s="735">
        <f>0</f>
        <v>0</v>
      </c>
      <c r="AX234" s="735">
        <f>0</f>
        <v>0</v>
      </c>
      <c r="AY234" s="735">
        <f>0</f>
        <v>0</v>
      </c>
      <c r="AZ234" s="735">
        <f>0</f>
        <v>0</v>
      </c>
      <c r="BA234" s="735">
        <f>0</f>
        <v>0</v>
      </c>
      <c r="BB234" s="735">
        <f>0</f>
        <v>0</v>
      </c>
      <c r="BC234" s="735">
        <f>0</f>
        <v>0</v>
      </c>
      <c r="BD234" s="735">
        <f>0</f>
        <v>0</v>
      </c>
      <c r="BE234" s="796">
        <f>0</f>
        <v>0</v>
      </c>
      <c r="BF234" s="902">
        <f>1</f>
        <v>1</v>
      </c>
      <c r="BG234" s="902">
        <f>0</f>
        <v>0</v>
      </c>
      <c r="BH234" s="903">
        <f>0</f>
        <v>0</v>
      </c>
      <c r="BI234" s="903">
        <f>-1</f>
        <v>-1</v>
      </c>
      <c r="BJ234" s="902">
        <f>0</f>
        <v>0</v>
      </c>
      <c r="BK234" s="903">
        <f>0</f>
        <v>0</v>
      </c>
      <c r="BL234" s="903">
        <f>0</f>
        <v>0</v>
      </c>
      <c r="BM234" s="735">
        <f>0</f>
        <v>0</v>
      </c>
      <c r="BN234" s="735">
        <f>0</f>
        <v>0</v>
      </c>
      <c r="BO234" s="796">
        <f>0</f>
        <v>0</v>
      </c>
      <c r="BP234" s="796">
        <f>0</f>
        <v>0</v>
      </c>
      <c r="BQ234" s="735">
        <f>0</f>
        <v>0</v>
      </c>
      <c r="BR234" s="796">
        <f>0</f>
        <v>0</v>
      </c>
      <c r="BS234" s="796">
        <f>0</f>
        <v>0</v>
      </c>
      <c r="BT234" s="796">
        <f>0</f>
        <v>0</v>
      </c>
      <c r="BU234" s="796">
        <f>0</f>
        <v>0</v>
      </c>
      <c r="BV234" s="903">
        <f>0</f>
        <v>0</v>
      </c>
      <c r="BW234" s="796">
        <f>0</f>
        <v>0</v>
      </c>
      <c r="BX234" s="796">
        <f>0</f>
        <v>0</v>
      </c>
      <c r="BY234" s="796">
        <f>0</f>
        <v>0</v>
      </c>
      <c r="BZ234" s="796">
        <f>0</f>
        <v>0</v>
      </c>
      <c r="CA234" s="903">
        <f>0</f>
        <v>0</v>
      </c>
      <c r="CB234" s="796">
        <f>0</f>
        <v>0</v>
      </c>
      <c r="CC234" s="796">
        <f>0</f>
        <v>0</v>
      </c>
      <c r="CD234" s="796">
        <f>0</f>
        <v>0</v>
      </c>
      <c r="CE234" s="796">
        <f>0</f>
        <v>0</v>
      </c>
      <c r="CF234" s="796">
        <f>0</f>
        <v>0</v>
      </c>
      <c r="CG234" s="796">
        <f>0</f>
        <v>0</v>
      </c>
      <c r="CH234" s="796">
        <f>0</f>
        <v>0</v>
      </c>
      <c r="CI234" s="796">
        <f>0</f>
        <v>0</v>
      </c>
      <c r="CJ234" s="796">
        <f>0</f>
        <v>0</v>
      </c>
      <c r="CK234" s="796">
        <f>0</f>
        <v>0</v>
      </c>
      <c r="CL234" s="796">
        <f>0</f>
        <v>0</v>
      </c>
      <c r="CM234" s="796">
        <f>0</f>
        <v>0</v>
      </c>
      <c r="CN234" s="796">
        <f>0</f>
        <v>0</v>
      </c>
      <c r="CO234" s="796">
        <f>0</f>
        <v>0</v>
      </c>
      <c r="CP234" s="796">
        <f>0</f>
        <v>0</v>
      </c>
      <c r="CQ234" s="796">
        <f>0</f>
        <v>0</v>
      </c>
      <c r="CR234" s="796">
        <f>0</f>
        <v>0</v>
      </c>
      <c r="CS234" s="796">
        <f>0</f>
        <v>0</v>
      </c>
      <c r="CT234" s="796">
        <f>0</f>
        <v>0</v>
      </c>
      <c r="CU234" s="796">
        <f>0</f>
        <v>0</v>
      </c>
      <c r="CV234" s="2864">
        <f>q_HFOH_DESORP*X_HFO_H_P*M_inhSPO4_KiP_DESORP</f>
        <v>1.6666666666666669E-49</v>
      </c>
      <c r="CX234" s="2880">
        <f>E299*E234+F299*F234+G299*G234+H299*H234+I299*I234+J299*J234+K299*K234+L299*L234+M299*M234+N299*N234+O299*O234+P299*P234+Q299*Q234+R299*R234+S299*S234+T299*T234+U299*U234+V299*V234+W299*W234+X299*X234+Y299*Y234+Z299*Z234+AA299*AA234+AB299*AB234+AC299*AC234+AD299*AD234+AE299*AE234+AF299*AF234+AG299*AG234+AH299*AH234+AI299*AI234+AJ299*AJ234+AK299*AK234+AL299*AL234+AM299*AM234+AN299*AN234+AO299*AO234+AP299*AP234+AQ299*AQ234+AR299*AR234+AS299*AS234+AT299*AT234+AU299*AU234+AV299*AV234+AW299*AW234+AX299*AX234+AY299*AY234+AZ299*AZ234+BA299*BA234+BB299*BB234+BC299*BC234+BD299*BD234+BE299*BE234+BF299*BF234+BG299*BG234+BH299*BH234+BI299*BI234+BJ299*BJ234+BK299*BK234+BL299*BL234+BM299*BM234+BN299*BN234+BO299*BO234+BP299*BP234+BQ299*BQ234+BR299*BR234+BS299*BS234+BT299*BT234+BU299*BU234+BV299*BV234+BW299*BW234+BX299*BX234+BY299*BY234+BZ299*BZ234+CA299*CA234+CB299*CB234+CC299*CC234+CD299*CD234+CE299*CE234+CF299*CF234+CG299*CG234+CH299*CH234+CI299*CI234+CJ299*CJ234+CK299*CK234+CL299*CL234+CM299*CM234+CN299*CN234+CO299*CO234+CP299*CP234+CQ299*CQ234+CR299*CR234+CS299*CS234+CT299*CT234+CU299*CU234</f>
        <v>0</v>
      </c>
      <c r="CY234" s="2880">
        <f>E300*E234+F300*F234+G300*G234+H300*H234+I300*I234+J300*J234+K300*K234+L300*L234+M300*M234+N300*N234+O300*O234+P300*P234+Q300*Q234+R300*R234+S300*S234+T300*T234+U300*U234+V300*V234+W300*W234+X300*X234+Y300*Y234+Z300*Z234+AA300*AA234+AB300*AB234+AC300*AC234+AD300*AD234+AE300*AE234+AF300*AF234+AG300*AG234+AH300*AH234+AI300*AI234+AJ300*AJ234+AK300*AK234+AL300*AL234+AM300*AM234+AN300*AN234+AO300*AO234+AP300*AP234+AQ300*AQ234+AR300*AR234+AS300*AS234+AT300*AT234+AU300*AU234+AV300*AV234+AW300*AW234+AX300*AX234+AY300*AY234+AZ300*AZ234+BA300*BA234+BB300*BB234+BC300*BC234+BD300*BD234+BE300*BE234+BF300*BF234+BG300*BG234+BH300*BH234+BI300*BI234+BJ300*BJ234+BK300*BK234+BL300*BL234+BM300*BM234+BN300*BN234+BO300*BO234+BP300*BP234+BQ300*BQ234+BR300*BR234+BS300*BS234+BT300*BT234+BU300*BU234+BV300*BV234+BW300*BW234+BX300*BX234+BY300*BY234+BZ300*BZ234+CA300*CA234+CB300*CB234+CC300*CC234+CD300*CD234+CE300*CE234+CF300*CF234+CG300*CG234+CH300*CH234+CI300*CI234+CJ300*CJ234+CK300*CK234+CL300*CL234+CM300*CM234+CN300*CN234+CO300*CO234+CP300*CP234+CQ300*CQ234+CR300*CR234+CS300*CS234+CT300*CT234+CU300*CU234</f>
        <v>0</v>
      </c>
      <c r="CZ234" s="2881">
        <f>E301*E234+F301*F234+G301*G234+H301*H234+I301*I234+J301*J234+K301*K234+L301*L234+M301*M234+N301*N234+O301*O234+P301*P234+Q301*Q234+R301*R234+S301*S234+T301*T234+U301*U234+V301*V234+W301*W234+X301*X234+Y301*Y234+Z301*Z234+AA301*AA234+AB301*AB234+AC301*AC234+AD301*AD234+AE301*AE234+AF301*AF234+AG301*AG234+AH301*AH234+AI301*AI234+AJ301*AJ234+AK301*AK234+AL301*AL234+AM301*AM234+AN301*AN234+AO301*AO234+AP301*AP234+AQ301*AQ234+AR301*AR234+AS301*AS234+AT301*AT234+AU301*AU234+AV301*AV234+AW301*AW234+AX301*AX234+AY301*AY234+AZ301*AZ234+BA301*BA234+BB301*BB234+BC301*BC234+BD301*BD234+BE301*BE234+BF301*BF234+BG301*BG234+BH301*BH234+BI301*BI234+BJ301*BJ234+BK301*BK234+BL301*BL234+BM301*BM234+BN301*BN234+BO301*BO234+BP301*BP234+BQ301*BQ234+BR301*BR234+BS301*BS234+BT301*BT234+BU301*BU234+BV301*BV234+BW301*BW234+BX301*BX234+BY301*BY234+BZ301*BZ234+CA301*CA234+CB301*CB234+CC301*CC234+CD301*CD234+CE301*CE234+CF301*CF234+CG301*CG234+CH301*CH234+CI301*CI234+CJ301*CJ234+CK301*CK234+CL301*CL234+CM301*CM234+CN301*CN234+CO301*CO234+CP301*CP234+CQ301*CQ234+CR301*CR234+CS301*CS234+CT301*CT234+CU301*CU234</f>
        <v>0</v>
      </c>
      <c r="DA234" s="2882">
        <f>E302*E234+F302*F234+G302*G234+H302*H234+I302*I234+J302*J234+K302*K234+L302*L234+M302*M234+N302*N234+O302*O234+P302*P234+Q302*Q234+R302*R234+S302*S234+T302*T234+U302*U234+V302*V234+W302*W234+X302*X234+Y302*Y234+Z302*Z234+AA302*AA234+AB302*AB234+AC302*AC234+AD302*AD234+AE302*AE234+AF302*AF234+AG302*AG234+AH302*AH234+AI302*AI234+AJ302*AJ234+AK302*AK234+AL302*AL234+AM302*AM234+AN302*AN234+AO302*AO234+AP302*AP234+AQ302*AQ234+AR302*AR234+AS302*AS234+AT302*AT234+AU302*AU234+AV302*AV234+AW302*AW234+AX302*AX234+AY302*AY234+AZ302*AZ234+BA302*BA234+BB302*BB234+BC302*BC234+BD302*BD234+BE302*BE234+BF302*BF234+BG302*BG234+BH302*BH234+BI302*BI234+BJ302*BJ234+BK302*BK234+BL302*BL234+BM302*BM234+BN302*BN234+BO302*BO234+BP302*BP234+BQ302*BQ234+BR302*BR234+BS302*BS234+BT302*BT234+BU302*BU234+BV302*BV234+BW302*BW234+BX302*BX234+BY302*BY234+BZ302*BZ234+CA302*CA234+CB302*CB234+CC302*CC234+CD302*CD234+CE302*CE234+CF302*CF234+CG302*CG234+CH302*CH234+CI302*CI234+CJ302*CJ234+CK302*CK234+CL302*CL234+CM302*CM234+CN302*CN234+CO302*CO234+CP302*CP234+CQ302*CQ234+CR302*CR234+CS302*CS234+CT302*CT234+CU302*CU234</f>
        <v>0</v>
      </c>
      <c r="DB234" s="2882">
        <f>E303*E234+F303*F234+G303*G234+H303*H234+I303*I234+J303*J234+K303*K234+L303*L234+M303*M234+N303*N234+O303*O234+P303*P234+Q303*Q234+R303*R234+S303*S234+T303*T234+U303*U234+V303*V234+W303*W234+X303*X234+Y303*Y234+Z303*Z234+AA303*AA234+AB303*AB234+AC303*AC234+AD303*AD234+AE303*AE234+AF303*AF234+AG303*AG234+AH303*AH234+AI303*AI234+AJ303*AJ234+AK303*AK234+AL303*AL234+AM303*AM234+AN303*AN234+AO303*AO234+AP303*AP234+AQ303*AQ234+AR303*AR234+AS303*AS234+AT303*AT234+AU303*AU234+AV303*AV234+AW303*AW234+AX303*AX234+AY303*AY234+AZ303*AZ234+BA303*BA234+BB303*BB234+BC303*BC234+BD303*BD234+BE303*BE234+BF303*BF234+BG303*BG234+BH303*BH234+BI303*BI234+BJ303*BJ234+BK303*BK234+BL303*BL234+BM303*BM234+BN303*BN234+BO303*BO234+BP303*BP234+BQ303*BQ234+BR303*BR234+BS303*BS234+BT303*BT234+BU303*BU234+BV303*BV234+BW303*BW234+BX303*BX234+BY303*BY234+BZ303*BZ234+CA303*CA234+CB303*CB234+CC303*CC234+CD303*CD234+CE303*CE234+CF303*CF234+CG303*CG234+CH303*CH234+CI303*CI234+CJ303*CJ234+CK303*CK234+CL303*CL234+CM303*CM234+CN303*CN234+CO303*CO234+CP303*CP234+CQ303*CQ234+CR303*CR234+CS303*CS234+CT303*CT234+CU303*CU234</f>
        <v>0</v>
      </c>
      <c r="DC234" s="2882">
        <f>E304*E234+F304*F234+G304*G234+H304*H234+I304*I234+J304*J234+K304*K234+L304*L234+M304*M234+N304*N234+O304*O234+P304*P234+Q304*Q234+R304*R234+S304*S234+T304*T234+U304*U234+V304*V234+W304*W234+X304*X234+Y304*Y234+Z304*Z234+AA304*AA234+AB304*AB234+AC304*AC234+AD304*AD234+AE304*AE234+AF304*AF234+AG304*AG234+AH304*AH234+AI304*AI234+AJ304*AJ234+AK304*AK234+AL304*AL234+AM304*AM234+AN304*AN234+AO304*AO234+AP304*AP234+AQ304*AQ234+AR304*AR234+AS304*AS234+AT304*AT234+AU304*AU234+AV304*AV234+AW304*AW234+AX304*AX234+AY304*AY234+AZ304*AZ234+BA304*BA234+BB304*BB234+BC304*BC234+BD304*BD234+BE304*BE234+BF304*BF234+BG304*BG234+BH304*BH234+BI304*BI234+BJ304*BJ234+BK304*BK234+BL304*BL234+BM304*BM234+BN304*BN234+BO304*BO234+BP304*BP234+BQ304*BQ234+BR304*BR234+BS304*BS234+BT304*BT234+BU304*BU234+BV304*BV234+BW304*BW234+BX304*BX234+BY304*BY234+BZ304*BZ234+CA304*CA234+CB304*CB234+CC304*CC234+CD304*CD234+CE304*CE234+CF304*CF234+CG304*CG234+CH304*CH234+CI304*CI234+CJ304*CJ234+CK304*CK234+CL304*CL234+CM304*CM234+CN304*CN234+CO304*CO234+CP304*CP234+CQ304*CQ234+CR304*CR234+CS304*CS234+CT304*CT234+CU304*CU234</f>
        <v>0</v>
      </c>
      <c r="DD234" s="2882">
        <f>E305*E234+F305*F234+G305*G234+H305*H234+I305*I234+J305*J234+K305*K234+L305*L234+M305*M234+N305*N234+O305*O234+P305*P234+Q305*Q234+R305*R234+S305*S234+T305*T234+U305*U234+V305*V234+W305*W234+X305*X234+Y305*Y234+Z305*Z234+AA305*AA234+AB305*AB234+AC305*AC234+AD305*AD234+AE305*AE234+AF305*AF234+AG305*AG234+AH305*AH234+AI305*AI234+AJ305*AJ234+AK305*AK234+AL305*AL234+AM305*AM234+AN305*AN234+AO305*AO234+AP305*AP234+AQ305*AQ234+AR305*AR234+AS305*AS234+AT305*AT234+AU305*AU234+AV305*AV234+AW305*AW234+AX305*AX234+AY305*AY234+AZ305*AZ234+BA305*BA234+BB305*BB234+BC305*BC234+BD305*BD234+BE305*BE234+BF305*BF234+BG305*BG234+BH305*BH234+BI305*BI234+BJ305*BJ234+BK305*BK234+BL305*BL234+BM305*BM234+BN305*BN234+BO305*BO234+BP305*BP234+BQ305*BQ234+BR305*BR234+BS305*BS234+BT305*BT234+BU305*BU234+BV305*BV234+BW305*BW234+BX305*BX234+BY305*BY234+BZ305*BZ234+CA305*CA234+CB305*CB234+CC305*CC234+CD305*CD234+CE305*CE234+CF305*CF234+CG305*CG234+CH305*CH234+CI305*CI234+CJ305*CJ234+CK305*CK234+CL305*CL234+CM305*CM234+CN305*CN234+CO305*CO234+CP305*CP234+CQ305*CQ234+CR305*CR234+CS305*CS234+CT305*CT234+CU305*CU234</f>
        <v>0</v>
      </c>
      <c r="DE234" s="2882">
        <f>E306*E234+F306*F234+G306*G234+H306*H234+I306*I234+J306*J234+K306*K234+L306*L234+M306*M234+N306*N234+O306*O234+P306*P234+Q306*Q234+R306*R234+S306*S234+T306*T234+U306*U234+V306*V234+W306*W234+X306*X234+Y306*Y234+Z306*Z234+AA306*AA234+AB306*AB234+AC306*AC234+AD306*AD234+AE306*AE234+AF306*AF234+AG306*AG234+AH306*AH234+AI306*AI234+AJ306*AJ234+AK306*AK234+AL306*AL234+AM306*AM234+AN306*AN234+AO306*AO234+AP306*AP234+AQ306*AQ234+AR306*AR234+AS306*AS234+AT306*AT234+AU306*AU234+AV306*AV234+AW306*AW234+AX306*AX234+AY306*AY234+AZ306*AZ234+BA306*BA234+BB306*BB234+BC306*BC234+BD306*BD234+BE306*BE234+BF306*BF234+BG306*BG234+BH306*BH234+BI306*BI234+BJ306*BJ234+BK306*BK234+BL306*BL234+BM306*BM234+BN306*BN234+BO306*BO234+BP306*BP234+BQ306*BQ234+BR306*BR234+BS306*BS234+BT306*BT234+BU306*BU234+BV306*BV234+BW306*BW234+BX306*BX234+BY306*BY234+BZ306*BZ234+CA306*CA234+CB306*CB234+CC306*CC234+CD306*CD234+CE306*CE234+CF306*CF234+CG306*CG234+CH306*CH234+CI306*CI234+CJ306*CJ234+CK306*CK234+CL306*CL234+CM306*CM234+CN306*CN234+CO306*CO234+CP306*CP234+CQ306*CQ234+CR306*CR234+CS306*CS234+CT306*CT234+CU306*CU234</f>
        <v>0</v>
      </c>
      <c r="DF234" s="2882">
        <f>E307*E234+F307*F234+G307*G234+H307*H234+I307*I234+J307*J234+K307*K234+L307*L234+M307*M234+N307*N234+O307*O234+P307*P234+Q307*Q234+R307*R234+S307*S234+T307*T234+U307*U234+V307*V234+W307*W234+X307*X234+Y307*Y234+Z307*Z234+AA307*AA234+AB307*AB234+AC307*AC234+AD307*AD234+AE307*AE234+AF307*AF234+AG307*AG234+AH307*AH234+AI307*AI234+AJ307*AJ234+AK307*AK234+AL307*AL234+AM307*AM234+AN307*AN234+AO307*AO234+AP307*AP234+AQ307*AQ234+AR307*AR234+AS307*AS234+AT307*AT234+AU307*AU234+AV307*AV234+AW307*AW234+AX307*AX234+AY307*AY234+AZ307*AZ234+BA307*BA234+BB307*BB234+BC307*BC234+BD307*BD234+BE307*BE234+BF307*BF234+BG307*BG234+BH307*BH234+BI307*BI234+BJ307*BJ234+BK307*BK234+BL307*BL234+BM307*BM234+BN307*BN234+BO307*BO234+BP307*BP234+BQ307*BQ234+BR307*BR234+BS307*BS234+BT307*BT234+BU307*BU234+BV307*BV234+BW307*BW234+BX307*BX234+BY307*BY234+BZ307*BZ234+CA307*CA234+CB307*CB234+CC307*CC234+CD307*CD234+CE307*CE234+CF307*CF234+CG307*CG234+CH307*CH234+CI307*CI234+CJ307*CJ234+CK307*CK234+CL307*CL234+CM307*CM234+CN307*CN234+CO307*CO234+CP307*CP234+CQ307*CQ234+CR307*CR234+CS307*CS234+CT307*CT234+CU307*CU234</f>
        <v>0</v>
      </c>
      <c r="DG234" s="2882">
        <f>E308*E234+F308*F234+G308*G234+H308*H234+I308*I234+J308*J234+K308*K234+L308*L234+M308*M234+N308*N234+O308*O234+P308*P234+Q308*Q234+R308*R234+S308*S234+T308*T234+U308*U234+V308*V234+W308*W234+X308*X234+Y308*Y234+Z308*Z234+AA308*AA234+AB308*AB234+AC308*AC234+AD308*AD234+AE308*AE234+AF308*AF234+AG308*AG234+AH308*AH234+AI308*AI234+AJ308*AJ234+AK308*AK234+AL308*AL234+AM308*AM234+AN308*AN234+AO308*AO234+AP308*AP234+AQ308*AQ234+AR308*AR234+AS308*AS234+AT308*AT234+AU308*AU234+AV308*AV234+AW308*AW234+AX308*AX234+AY308*AY234+AZ308*AZ234+BA308*BA234+BB308*BB234+BC308*BC234+BD308*BD234+BE308*BE234+BF308*BF234+BG308*BG234+BH308*BH234+BI308*BI234+BJ308*BJ234+BK308*BK234+BL308*BL234+BM308*BM234+BN308*BN234+BO308*BO234+BP308*BP234+BQ308*BQ234+BR308*BR234+BS308*BS234+BT308*BT234+BU308*BU234+BV308*BV234+BW308*BW234+BX308*BX234+BY308*BY234+BZ308*BZ234+CA308*CA234+CB308*CB234+CC308*CC234+CD308*CD234+CE308*CE234+CF308*CF234+CG308*CG234+CH308*CH234+CI308*CI234+CJ308*CJ234+CK308*CK234+CL308*CL234+CM308*CM234+CN308*CN234+CO308*CO234+CP308*CP234+CQ308*CQ234+CR308*CR234+CS308*CS234+CT308*CT234+CU308*CU234</f>
        <v>0</v>
      </c>
      <c r="DH234" s="2882">
        <f>E309*E234+F309*F234+G309*G234+H309*H234+I309*I234+J309*J234+K309*K234+L309*L234+M309*M234+N309*N234+O309*O234+P309*P234+Q309*Q234+R309*R234+S309*S234+T309*T234+U309*U234+V309*V234+W309*W234+X309*X234+Y309*Y234+Z309*Z234+AA309*AA234+AB309*AB234+AC309*AC234+AD309*AD234+AE309*AE234+AF309*AF234+AG309*AG234+AH309*AH234+AI309*AI234+AJ309*AJ234+AK309*AK234+AL309*AL234+AM309*AM234+AN309*AN234+AO309*AO234+AP309*AP234+AQ309*AQ234+AR309*AR234+AS309*AS234+AT309*AT234+AU309*AU234+AV309*AV234+AW309*AW234+AX309*AX234+AY309*AY234+AZ309*AZ234+BA309*BA234+BB309*BB234+BC309*BC234+BD309*BD234+BE309*BE234+BF309*BF234+BG309*BG234+BH309*BH234+BI309*BI234+BJ309*BJ234+BK309*BK234+BL309*BL234+BM309*BM234+BN309*BN234+BO309*BO234+BP309*BP234+BQ309*BQ234+BR309*BR234+BS309*BS234+BT309*BT234+BU309*BU234+BV309*BV234+BW309*BW234+BX309*BX234+BY309*BY234+BZ309*BZ234+CA309*CA234+CB309*CB234+CC309*CC234+CD309*CD234+CE309*CE234+CF309*CF234+CG309*CG234+CH309*CH234+CI309*CI234+CJ309*CJ234+CK309*CK234+CL309*CL234+CM309*CM234+CN309*CN234+CO309*CO234+CP309*CP234+CQ309*CQ234+CR309*CR234+CS309*CS234+CT309*CT234+CU309*CU234</f>
        <v>0</v>
      </c>
      <c r="DI234" s="2882">
        <f>E310*E234+F310*F234+G310*G234+H310*H234+I310*I234+J310*J234+K310*K234+L310*L234+M310*M234+N310*N234+O310*O234+P310*P234+Q310*Q234+R310*R234+S310*S234+T310*T234+U310*U234+V310*V234+W310*W234+X310*X234+Y310*Y234+Z310*Z234+AA310*AA234+AB310*AB234+AC310*AC234+AD310*AD234+AE310*AE234+AF310*AF234+AG310*AG234+AH310*AH234+AI310*AI234+AJ310*AJ234+AK310*AK234+AL310*AL234+AM310*AM234+AN310*AN234+AO310*AO234+AP310*AP234+AQ310*AQ234+AR310*AR234+AS310*AS234+AT310*AT234+AU310*AU234+AV310*AV234+AW310*AW234+AX310*AX234+AY310*AY234+AZ310*AZ234+BA310*BA234+BB310*BB234+BC310*BC234+BD310*BD234+BE310*BE234+BF310*BF234+BG310*BG234+BH310*BH234+BI310*BI234+BJ310*BJ234+BK310*BK234+BL310*BL234+BM310*BM234+BN310*BN234+BO310*BO234+BP310*BP234+BQ310*BQ234+BR310*BR234+BS310*BS234+BT310*BT234+BU310*BU234+BV310*BV234+BW310*BW234+BX310*BX234+BY310*BY234+BZ310*BZ234+CA310*CA234+CB310*CB234+CC310*CC234+CD310*CD234+CE310*CE234+CF310*CF234+CG310*CG234+CH310*CH234+CI310*CI234+CJ310*CJ234+CK310*CK234+CL310*CL234+CM310*CM234+CN310*CN234+CO310*CO234+CP310*CP234+CQ310*CQ234+CR310*CR234+CS310*CS234+CT310*CT234+CU310*CU234</f>
        <v>0</v>
      </c>
    </row>
    <row r="235" spans="2:113" ht="15.75" x14ac:dyDescent="0.55000000000000004">
      <c r="B235" s="794">
        <v>76</v>
      </c>
      <c r="C235" s="794" t="s">
        <v>3065</v>
      </c>
      <c r="D235" s="800" t="s">
        <v>3446</v>
      </c>
      <c r="E235" s="735">
        <f>0</f>
        <v>0</v>
      </c>
      <c r="F235" s="735">
        <f>0</f>
        <v>0</v>
      </c>
      <c r="G235" s="735">
        <f>0</f>
        <v>0</v>
      </c>
      <c r="H235" s="735">
        <f>0</f>
        <v>0</v>
      </c>
      <c r="I235" s="735">
        <f>0</f>
        <v>0</v>
      </c>
      <c r="J235" s="735">
        <f>0</f>
        <v>0</v>
      </c>
      <c r="K235" s="735">
        <f>0</f>
        <v>0</v>
      </c>
      <c r="L235" s="735">
        <f>0</f>
        <v>0</v>
      </c>
      <c r="M235" s="735">
        <f>0</f>
        <v>0</v>
      </c>
      <c r="N235" s="735">
        <f>0</f>
        <v>0</v>
      </c>
      <c r="O235" s="735">
        <f>0</f>
        <v>0</v>
      </c>
      <c r="P235" s="735">
        <f>0</f>
        <v>0</v>
      </c>
      <c r="Q235" s="796">
        <f>0</f>
        <v>0</v>
      </c>
      <c r="R235" s="735">
        <f>0</f>
        <v>0</v>
      </c>
      <c r="S235" s="735">
        <f>0</f>
        <v>0</v>
      </c>
      <c r="T235" s="735">
        <f>0</f>
        <v>0</v>
      </c>
      <c r="U235" s="735">
        <f>0</f>
        <v>0</v>
      </c>
      <c r="V235" s="735">
        <f>0</f>
        <v>0</v>
      </c>
      <c r="W235" s="735">
        <f>0</f>
        <v>0</v>
      </c>
      <c r="X235" s="735">
        <f>0</f>
        <v>0</v>
      </c>
      <c r="Y235" s="735">
        <f>0</f>
        <v>0</v>
      </c>
      <c r="Z235" s="735">
        <f>0</f>
        <v>0</v>
      </c>
      <c r="AA235" s="735">
        <f>0</f>
        <v>0</v>
      </c>
      <c r="AB235" s="735">
        <f>0</f>
        <v>0</v>
      </c>
      <c r="AC235" s="735">
        <f>0</f>
        <v>0</v>
      </c>
      <c r="AD235" s="735">
        <f>0</f>
        <v>0</v>
      </c>
      <c r="AE235" s="735">
        <f>0</f>
        <v>0</v>
      </c>
      <c r="AF235" s="735">
        <f>0</f>
        <v>0</v>
      </c>
      <c r="AG235" s="735">
        <f>0</f>
        <v>0</v>
      </c>
      <c r="AH235" s="735">
        <f>0</f>
        <v>0</v>
      </c>
      <c r="AI235" s="735">
        <f>0</f>
        <v>0</v>
      </c>
      <c r="AJ235" s="735">
        <f>0</f>
        <v>0</v>
      </c>
      <c r="AK235" s="735">
        <f>0</f>
        <v>0</v>
      </c>
      <c r="AL235" s="735">
        <f>0</f>
        <v>0</v>
      </c>
      <c r="AM235" s="903">
        <f>(A_SFHFO_L*(A_MP/A_MFe))</f>
        <v>0.11092761106634436</v>
      </c>
      <c r="AN235" s="735">
        <f>0</f>
        <v>0</v>
      </c>
      <c r="AO235" s="735">
        <f>0</f>
        <v>0</v>
      </c>
      <c r="AP235" s="735">
        <f>0</f>
        <v>0</v>
      </c>
      <c r="AQ235" s="735">
        <f>0</f>
        <v>0</v>
      </c>
      <c r="AR235" s="735">
        <f>0</f>
        <v>0</v>
      </c>
      <c r="AS235" s="735">
        <f>0</f>
        <v>0</v>
      </c>
      <c r="AT235" s="735">
        <f>0</f>
        <v>0</v>
      </c>
      <c r="AU235" s="735">
        <f>0</f>
        <v>0</v>
      </c>
      <c r="AV235" s="735">
        <f>0</f>
        <v>0</v>
      </c>
      <c r="AW235" s="735">
        <f>0</f>
        <v>0</v>
      </c>
      <c r="AX235" s="735">
        <f>0</f>
        <v>0</v>
      </c>
      <c r="AY235" s="735">
        <f>0</f>
        <v>0</v>
      </c>
      <c r="AZ235" s="735">
        <f>0</f>
        <v>0</v>
      </c>
      <c r="BA235" s="735">
        <f>0</f>
        <v>0</v>
      </c>
      <c r="BB235" s="735">
        <f>0</f>
        <v>0</v>
      </c>
      <c r="BC235" s="735">
        <f>0</f>
        <v>0</v>
      </c>
      <c r="BD235" s="735">
        <f>0</f>
        <v>0</v>
      </c>
      <c r="BE235" s="796">
        <f>0</f>
        <v>0</v>
      </c>
      <c r="BF235" s="902">
        <f>0</f>
        <v>0</v>
      </c>
      <c r="BG235" s="902">
        <f>1</f>
        <v>1</v>
      </c>
      <c r="BH235" s="903">
        <f>0</f>
        <v>0</v>
      </c>
      <c r="BI235" s="903">
        <f>0</f>
        <v>0</v>
      </c>
      <c r="BJ235" s="902">
        <f>-1</f>
        <v>-1</v>
      </c>
      <c r="BK235" s="903">
        <f>0</f>
        <v>0</v>
      </c>
      <c r="BL235" s="903">
        <f>0</f>
        <v>0</v>
      </c>
      <c r="BM235" s="735">
        <f>0</f>
        <v>0</v>
      </c>
      <c r="BN235" s="735">
        <f>0</f>
        <v>0</v>
      </c>
      <c r="BO235" s="796">
        <f>0</f>
        <v>0</v>
      </c>
      <c r="BP235" s="796">
        <f>0</f>
        <v>0</v>
      </c>
      <c r="BQ235" s="735">
        <f>0</f>
        <v>0</v>
      </c>
      <c r="BR235" s="796">
        <f>0</f>
        <v>0</v>
      </c>
      <c r="BS235" s="796">
        <f>0</f>
        <v>0</v>
      </c>
      <c r="BT235" s="796">
        <f>0</f>
        <v>0</v>
      </c>
      <c r="BU235" s="796">
        <f>0</f>
        <v>0</v>
      </c>
      <c r="BV235" s="903">
        <f>0</f>
        <v>0</v>
      </c>
      <c r="BW235" s="796">
        <f>0</f>
        <v>0</v>
      </c>
      <c r="BX235" s="796">
        <f>0</f>
        <v>0</v>
      </c>
      <c r="BY235" s="796">
        <f>0</f>
        <v>0</v>
      </c>
      <c r="BZ235" s="796">
        <f>0</f>
        <v>0</v>
      </c>
      <c r="CA235" s="903">
        <f>0</f>
        <v>0</v>
      </c>
      <c r="CB235" s="796">
        <f>0</f>
        <v>0</v>
      </c>
      <c r="CC235" s="796">
        <f>0</f>
        <v>0</v>
      </c>
      <c r="CD235" s="796">
        <f>0</f>
        <v>0</v>
      </c>
      <c r="CE235" s="796">
        <f>0</f>
        <v>0</v>
      </c>
      <c r="CF235" s="796">
        <f>0</f>
        <v>0</v>
      </c>
      <c r="CG235" s="796">
        <f>0</f>
        <v>0</v>
      </c>
      <c r="CH235" s="796">
        <f>0</f>
        <v>0</v>
      </c>
      <c r="CI235" s="796">
        <f>0</f>
        <v>0</v>
      </c>
      <c r="CJ235" s="796">
        <f>0</f>
        <v>0</v>
      </c>
      <c r="CK235" s="796">
        <f>0</f>
        <v>0</v>
      </c>
      <c r="CL235" s="796">
        <f>0</f>
        <v>0</v>
      </c>
      <c r="CM235" s="796">
        <f>0</f>
        <v>0</v>
      </c>
      <c r="CN235" s="796">
        <f>0</f>
        <v>0</v>
      </c>
      <c r="CO235" s="796">
        <f>0</f>
        <v>0</v>
      </c>
      <c r="CP235" s="796">
        <f>0</f>
        <v>0</v>
      </c>
      <c r="CQ235" s="796">
        <f>0</f>
        <v>0</v>
      </c>
      <c r="CR235" s="796">
        <f>0</f>
        <v>0</v>
      </c>
      <c r="CS235" s="796">
        <f>0</f>
        <v>0</v>
      </c>
      <c r="CT235" s="796">
        <f>0</f>
        <v>0</v>
      </c>
      <c r="CU235" s="796">
        <f>0</f>
        <v>0</v>
      </c>
      <c r="CV235" s="2864">
        <f>q_HFOL_DESORP*X_HFO_L_P*M_inhSPO4_KiP_DESORP</f>
        <v>1.6666666666666666E-50</v>
      </c>
      <c r="CX235" s="2880">
        <f>E299*E235+F299*F235+G299*G235+H299*H235+I299*I235+J299*J235+K299*K235+L299*L235+M299*M235+N299*N235+O299*O235+P299*P235+Q299*Q235+R299*R235+S299*S235+T299*T235+U299*U235+V299*V235+W299*W235+X299*X235+Y299*Y235+Z299*Z235+AA299*AA235+AB299*AB235+AC299*AC235+AD299*AD235+AE299*AE235+AF299*AF235+AG299*AG235+AH299*AH235+AI299*AI235+AJ299*AJ235+AK299*AK235+AL299*AL235+AM299*AM235+AN299*AN235+AO299*AO235+AP299*AP235+AQ299*AQ235+AR299*AR235+AS299*AS235+AT299*AT235+AU299*AU235+AV299*AV235+AW299*AW235+AX299*AX235+AY299*AY235+AZ299*AZ235+BA299*BA235+BB299*BB235+BC299*BC235+BD299*BD235+BE299*BE235+BF299*BF235+BG299*BG235+BH299*BH235+BI299*BI235+BJ299*BJ235+BK299*BK235+BL299*BL235+BM299*BM235+BN299*BN235+BO299*BO235+BP299*BP235+BQ299*BQ235+BR299*BR235+BS299*BS235+BT299*BT235+BU299*BU235+BV299*BV235+BW299*BW235+BX299*BX235+BY299*BY235+BZ299*BZ235+CA299*CA235+CB299*CB235+CC299*CC235+CD299*CD235+CE299*CE235+CF299*CF235+CG299*CG235+CH299*CH235+CI299*CI235+CJ299*CJ235+CK299*CK235+CL299*CL235+CM299*CM235+CN299*CN235+CO299*CO235+CP299*CP235+CQ299*CQ235+CR299*CR235+CS299*CS235+CT299*CT235+CU299*CU235</f>
        <v>0</v>
      </c>
      <c r="CY235" s="2880">
        <f>E300*E235+F300*F235+G300*G235+H300*H235+I300*I235+J300*J235+K300*K235+L300*L235+M300*M235+N300*N235+O300*O235+P300*P235+Q300*Q235+R300*R235+S300*S235+T300*T235+U300*U235+V300*V235+W300*W235+X300*X235+Y300*Y235+Z300*Z235+AA300*AA235+AB300*AB235+AC300*AC235+AD300*AD235+AE300*AE235+AF300*AF235+AG300*AG235+AH300*AH235+AI300*AI235+AJ300*AJ235+AK300*AK235+AL300*AL235+AM300*AM235+AN300*AN235+AO300*AO235+AP300*AP235+AQ300*AQ235+AR300*AR235+AS300*AS235+AT300*AT235+AU300*AU235+AV300*AV235+AW300*AW235+AX300*AX235+AY300*AY235+AZ300*AZ235+BA300*BA235+BB300*BB235+BC300*BC235+BD300*BD235+BE300*BE235+BF300*BF235+BG300*BG235+BH300*BH235+BI300*BI235+BJ300*BJ235+BK300*BK235+BL300*BL235+BM300*BM235+BN300*BN235+BO300*BO235+BP300*BP235+BQ300*BQ235+BR300*BR235+BS300*BS235+BT300*BT235+BU300*BU235+BV300*BV235+BW300*BW235+BX300*BX235+BY300*BY235+BZ300*BZ235+CA300*CA235+CB300*CB235+CC300*CC235+CD300*CD235+CE300*CE235+CF300*CF235+CG300*CG235+CH300*CH235+CI300*CI235+CJ300*CJ235+CK300*CK235+CL300*CL235+CM300*CM235+CN300*CN235+CO300*CO235+CP300*CP235+CQ300*CQ235+CR300*CR235+CS300*CS235+CT300*CT235+CU300*CU235</f>
        <v>0</v>
      </c>
      <c r="CZ235" s="2881">
        <f>E301*E235+F301*F235+G301*G235+H301*H235+I301*I235+J301*J235+K301*K235+L301*L235+M301*M235+N301*N235+O301*O235+P301*P235+Q301*Q235+R301*R235+S301*S235+T301*T235+U301*U235+V301*V235+W301*W235+X301*X235+Y301*Y235+Z301*Z235+AA301*AA235+AB301*AB235+AC301*AC235+AD301*AD235+AE301*AE235+AF301*AF235+AG301*AG235+AH301*AH235+AI301*AI235+AJ301*AJ235+AK301*AK235+AL301*AL235+AM301*AM235+AN301*AN235+AO301*AO235+AP301*AP235+AQ301*AQ235+AR301*AR235+AS301*AS235+AT301*AT235+AU301*AU235+AV301*AV235+AW301*AW235+AX301*AX235+AY301*AY235+AZ301*AZ235+BA301*BA235+BB301*BB235+BC301*BC235+BD301*BD235+BE301*BE235+BF301*BF235+BG301*BG235+BH301*BH235+BI301*BI235+BJ301*BJ235+BK301*BK235+BL301*BL235+BM301*BM235+BN301*BN235+BO301*BO235+BP301*BP235+BQ301*BQ235+BR301*BR235+BS301*BS235+BT301*BT235+BU301*BU235+BV301*BV235+BW301*BW235+BX301*BX235+BY301*BY235+BZ301*BZ235+CA301*CA235+CB301*CB235+CC301*CC235+CD301*CD235+CE301*CE235+CF301*CF235+CG301*CG235+CH301*CH235+CI301*CI235+CJ301*CJ235+CK301*CK235+CL301*CL235+CM301*CM235+CN301*CN235+CO301*CO235+CP301*CP235+CQ301*CQ235+CR301*CR235+CS301*CS235+CT301*CT235+CU301*CU235</f>
        <v>0</v>
      </c>
      <c r="DA235" s="2882">
        <f>E302*E235+F302*F235+G302*G235+H302*H235+I302*I235+J302*J235+K302*K235+L302*L235+M302*M235+N302*N235+O302*O235+P302*P235+Q302*Q235+R302*R235+S302*S235+T302*T235+U302*U235+V302*V235+W302*W235+X302*X235+Y302*Y235+Z302*Z235+AA302*AA235+AB302*AB235+AC302*AC235+AD302*AD235+AE302*AE235+AF302*AF235+AG302*AG235+AH302*AH235+AI302*AI235+AJ302*AJ235+AK302*AK235+AL302*AL235+AM302*AM235+AN302*AN235+AO302*AO235+AP302*AP235+AQ302*AQ235+AR302*AR235+AS302*AS235+AT302*AT235+AU302*AU235+AV302*AV235+AW302*AW235+AX302*AX235+AY302*AY235+AZ302*AZ235+BA302*BA235+BB302*BB235+BC302*BC235+BD302*BD235+BE302*BE235+BF302*BF235+BG302*BG235+BH302*BH235+BI302*BI235+BJ302*BJ235+BK302*BK235+BL302*BL235+BM302*BM235+BN302*BN235+BO302*BO235+BP302*BP235+BQ302*BQ235+BR302*BR235+BS302*BS235+BT302*BT235+BU302*BU235+BV302*BV235+BW302*BW235+BX302*BX235+BY302*BY235+BZ302*BZ235+CA302*CA235+CB302*CB235+CC302*CC235+CD302*CD235+CE302*CE235+CF302*CF235+CG302*CG235+CH302*CH235+CI302*CI235+CJ302*CJ235+CK302*CK235+CL302*CL235+CM302*CM235+CN302*CN235+CO302*CO235+CP302*CP235+CQ302*CQ235+CR302*CR235+CS302*CS235+CT302*CT235+CU302*CU235</f>
        <v>0</v>
      </c>
      <c r="DB235" s="2882">
        <f>E303*E235+F303*F235+G303*G235+H303*H235+I303*I235+J303*J235+K303*K235+L303*L235+M303*M235+N303*N235+O303*O235+P303*P235+Q303*Q235+R303*R235+S303*S235+T303*T235+U303*U235+V303*V235+W303*W235+X303*X235+Y303*Y235+Z303*Z235+AA303*AA235+AB303*AB235+AC303*AC235+AD303*AD235+AE303*AE235+AF303*AF235+AG303*AG235+AH303*AH235+AI303*AI235+AJ303*AJ235+AK303*AK235+AL303*AL235+AM303*AM235+AN303*AN235+AO303*AO235+AP303*AP235+AQ303*AQ235+AR303*AR235+AS303*AS235+AT303*AT235+AU303*AU235+AV303*AV235+AW303*AW235+AX303*AX235+AY303*AY235+AZ303*AZ235+BA303*BA235+BB303*BB235+BC303*BC235+BD303*BD235+BE303*BE235+BF303*BF235+BG303*BG235+BH303*BH235+BI303*BI235+BJ303*BJ235+BK303*BK235+BL303*BL235+BM303*BM235+BN303*BN235+BO303*BO235+BP303*BP235+BQ303*BQ235+BR303*BR235+BS303*BS235+BT303*BT235+BU303*BU235+BV303*BV235+BW303*BW235+BX303*BX235+BY303*BY235+BZ303*BZ235+CA303*CA235+CB303*CB235+CC303*CC235+CD303*CD235+CE303*CE235+CF303*CF235+CG303*CG235+CH303*CH235+CI303*CI235+CJ303*CJ235+CK303*CK235+CL303*CL235+CM303*CM235+CN303*CN235+CO303*CO235+CP303*CP235+CQ303*CQ235+CR303*CR235+CS303*CS235+CT303*CT235+CU303*CU235</f>
        <v>0</v>
      </c>
      <c r="DC235" s="2882">
        <f>E304*E235+F304*F235+G304*G235+H304*H235+I304*I235+J304*J235+K304*K235+L304*L235+M304*M235+N304*N235+O304*O235+P304*P235+Q304*Q235+R304*R235+S304*S235+T304*T235+U304*U235+V304*V235+W304*W235+X304*X235+Y304*Y235+Z304*Z235+AA304*AA235+AB304*AB235+AC304*AC235+AD304*AD235+AE304*AE235+AF304*AF235+AG304*AG235+AH304*AH235+AI304*AI235+AJ304*AJ235+AK304*AK235+AL304*AL235+AM304*AM235+AN304*AN235+AO304*AO235+AP304*AP235+AQ304*AQ235+AR304*AR235+AS304*AS235+AT304*AT235+AU304*AU235+AV304*AV235+AW304*AW235+AX304*AX235+AY304*AY235+AZ304*AZ235+BA304*BA235+BB304*BB235+BC304*BC235+BD304*BD235+BE304*BE235+BF304*BF235+BG304*BG235+BH304*BH235+BI304*BI235+BJ304*BJ235+BK304*BK235+BL304*BL235+BM304*BM235+BN304*BN235+BO304*BO235+BP304*BP235+BQ304*BQ235+BR304*BR235+BS304*BS235+BT304*BT235+BU304*BU235+BV304*BV235+BW304*BW235+BX304*BX235+BY304*BY235+BZ304*BZ235+CA304*CA235+CB304*CB235+CC304*CC235+CD304*CD235+CE304*CE235+CF304*CF235+CG304*CG235+CH304*CH235+CI304*CI235+CJ304*CJ235+CK304*CK235+CL304*CL235+CM304*CM235+CN304*CN235+CO304*CO235+CP304*CP235+CQ304*CQ235+CR304*CR235+CS304*CS235+CT304*CT235+CU304*CU235</f>
        <v>0</v>
      </c>
      <c r="DD235" s="2882">
        <f>E305*E235+F305*F235+G305*G235+H305*H235+I305*I235+J305*J235+K305*K235+L305*L235+M305*M235+N305*N235+O305*O235+P305*P235+Q305*Q235+R305*R235+S305*S235+T305*T235+U305*U235+V305*V235+W305*W235+X305*X235+Y305*Y235+Z305*Z235+AA305*AA235+AB305*AB235+AC305*AC235+AD305*AD235+AE305*AE235+AF305*AF235+AG305*AG235+AH305*AH235+AI305*AI235+AJ305*AJ235+AK305*AK235+AL305*AL235+AM305*AM235+AN305*AN235+AO305*AO235+AP305*AP235+AQ305*AQ235+AR305*AR235+AS305*AS235+AT305*AT235+AU305*AU235+AV305*AV235+AW305*AW235+AX305*AX235+AY305*AY235+AZ305*AZ235+BA305*BA235+BB305*BB235+BC305*BC235+BD305*BD235+BE305*BE235+BF305*BF235+BG305*BG235+BH305*BH235+BI305*BI235+BJ305*BJ235+BK305*BK235+BL305*BL235+BM305*BM235+BN305*BN235+BO305*BO235+BP305*BP235+BQ305*BQ235+BR305*BR235+BS305*BS235+BT305*BT235+BU305*BU235+BV305*BV235+BW305*BW235+BX305*BX235+BY305*BY235+BZ305*BZ235+CA305*CA235+CB305*CB235+CC305*CC235+CD305*CD235+CE305*CE235+CF305*CF235+CG305*CG235+CH305*CH235+CI305*CI235+CJ305*CJ235+CK305*CK235+CL305*CL235+CM305*CM235+CN305*CN235+CO305*CO235+CP305*CP235+CQ305*CQ235+CR305*CR235+CS305*CS235+CT305*CT235+CU305*CU235</f>
        <v>0</v>
      </c>
      <c r="DE235" s="2882">
        <f>E306*E235+F306*F235+G306*G235+H306*H235+I306*I235+J306*J235+K306*K235+L306*L235+M306*M235+N306*N235+O306*O235+P306*P235+Q306*Q235+R306*R235+S306*S235+T306*T235+U306*U235+V306*V235+W306*W235+X306*X235+Y306*Y235+Z306*Z235+AA306*AA235+AB306*AB235+AC306*AC235+AD306*AD235+AE306*AE235+AF306*AF235+AG306*AG235+AH306*AH235+AI306*AI235+AJ306*AJ235+AK306*AK235+AL306*AL235+AM306*AM235+AN306*AN235+AO306*AO235+AP306*AP235+AQ306*AQ235+AR306*AR235+AS306*AS235+AT306*AT235+AU306*AU235+AV306*AV235+AW306*AW235+AX306*AX235+AY306*AY235+AZ306*AZ235+BA306*BA235+BB306*BB235+BC306*BC235+BD306*BD235+BE306*BE235+BF306*BF235+BG306*BG235+BH306*BH235+BI306*BI235+BJ306*BJ235+BK306*BK235+BL306*BL235+BM306*BM235+BN306*BN235+BO306*BO235+BP306*BP235+BQ306*BQ235+BR306*BR235+BS306*BS235+BT306*BT235+BU306*BU235+BV306*BV235+BW306*BW235+BX306*BX235+BY306*BY235+BZ306*BZ235+CA306*CA235+CB306*CB235+CC306*CC235+CD306*CD235+CE306*CE235+CF306*CF235+CG306*CG235+CH306*CH235+CI306*CI235+CJ306*CJ235+CK306*CK235+CL306*CL235+CM306*CM235+CN306*CN235+CO306*CO235+CP306*CP235+CQ306*CQ235+CR306*CR235+CS306*CS235+CT306*CT235+CU306*CU235</f>
        <v>0</v>
      </c>
      <c r="DF235" s="2882">
        <f>E307*E235+F307*F235+G307*G235+H307*H235+I307*I235+J307*J235+K307*K235+L307*L235+M307*M235+N307*N235+O307*O235+P307*P235+Q307*Q235+R307*R235+S307*S235+T307*T235+U307*U235+V307*V235+W307*W235+X307*X235+Y307*Y235+Z307*Z235+AA307*AA235+AB307*AB235+AC307*AC235+AD307*AD235+AE307*AE235+AF307*AF235+AG307*AG235+AH307*AH235+AI307*AI235+AJ307*AJ235+AK307*AK235+AL307*AL235+AM307*AM235+AN307*AN235+AO307*AO235+AP307*AP235+AQ307*AQ235+AR307*AR235+AS307*AS235+AT307*AT235+AU307*AU235+AV307*AV235+AW307*AW235+AX307*AX235+AY307*AY235+AZ307*AZ235+BA307*BA235+BB307*BB235+BC307*BC235+BD307*BD235+BE307*BE235+BF307*BF235+BG307*BG235+BH307*BH235+BI307*BI235+BJ307*BJ235+BK307*BK235+BL307*BL235+BM307*BM235+BN307*BN235+BO307*BO235+BP307*BP235+BQ307*BQ235+BR307*BR235+BS307*BS235+BT307*BT235+BU307*BU235+BV307*BV235+BW307*BW235+BX307*BX235+BY307*BY235+BZ307*BZ235+CA307*CA235+CB307*CB235+CC307*CC235+CD307*CD235+CE307*CE235+CF307*CF235+CG307*CG235+CH307*CH235+CI307*CI235+CJ307*CJ235+CK307*CK235+CL307*CL235+CM307*CM235+CN307*CN235+CO307*CO235+CP307*CP235+CQ307*CQ235+CR307*CR235+CS307*CS235+CT307*CT235+CU307*CU235</f>
        <v>0</v>
      </c>
      <c r="DG235" s="2882">
        <f>E308*E235+F308*F235+G308*G235+H308*H235+I308*I235+J308*J235+K308*K235+L308*L235+M308*M235+N308*N235+O308*O235+P308*P235+Q308*Q235+R308*R235+S308*S235+T308*T235+U308*U235+V308*V235+W308*W235+X308*X235+Y308*Y235+Z308*Z235+AA308*AA235+AB308*AB235+AC308*AC235+AD308*AD235+AE308*AE235+AF308*AF235+AG308*AG235+AH308*AH235+AI308*AI235+AJ308*AJ235+AK308*AK235+AL308*AL235+AM308*AM235+AN308*AN235+AO308*AO235+AP308*AP235+AQ308*AQ235+AR308*AR235+AS308*AS235+AT308*AT235+AU308*AU235+AV308*AV235+AW308*AW235+AX308*AX235+AY308*AY235+AZ308*AZ235+BA308*BA235+BB308*BB235+BC308*BC235+BD308*BD235+BE308*BE235+BF308*BF235+BG308*BG235+BH308*BH235+BI308*BI235+BJ308*BJ235+BK308*BK235+BL308*BL235+BM308*BM235+BN308*BN235+BO308*BO235+BP308*BP235+BQ308*BQ235+BR308*BR235+BS308*BS235+BT308*BT235+BU308*BU235+BV308*BV235+BW308*BW235+BX308*BX235+BY308*BY235+BZ308*BZ235+CA308*CA235+CB308*CB235+CC308*CC235+CD308*CD235+CE308*CE235+CF308*CF235+CG308*CG235+CH308*CH235+CI308*CI235+CJ308*CJ235+CK308*CK235+CL308*CL235+CM308*CM235+CN308*CN235+CO308*CO235+CP308*CP235+CQ308*CQ235+CR308*CR235+CS308*CS235+CT308*CT235+CU308*CU235</f>
        <v>0</v>
      </c>
      <c r="DH235" s="2882">
        <f>E309*E235+F309*F235+G309*G235+H309*H235+I309*I235+J309*J235+K309*K235+L309*L235+M309*M235+N309*N235+O309*O235+P309*P235+Q309*Q235+R309*R235+S309*S235+T309*T235+U309*U235+V309*V235+W309*W235+X309*X235+Y309*Y235+Z309*Z235+AA309*AA235+AB309*AB235+AC309*AC235+AD309*AD235+AE309*AE235+AF309*AF235+AG309*AG235+AH309*AH235+AI309*AI235+AJ309*AJ235+AK309*AK235+AL309*AL235+AM309*AM235+AN309*AN235+AO309*AO235+AP309*AP235+AQ309*AQ235+AR309*AR235+AS309*AS235+AT309*AT235+AU309*AU235+AV309*AV235+AW309*AW235+AX309*AX235+AY309*AY235+AZ309*AZ235+BA309*BA235+BB309*BB235+BC309*BC235+BD309*BD235+BE309*BE235+BF309*BF235+BG309*BG235+BH309*BH235+BI309*BI235+BJ309*BJ235+BK309*BK235+BL309*BL235+BM309*BM235+BN309*BN235+BO309*BO235+BP309*BP235+BQ309*BQ235+BR309*BR235+BS309*BS235+BT309*BT235+BU309*BU235+BV309*BV235+BW309*BW235+BX309*BX235+BY309*BY235+BZ309*BZ235+CA309*CA235+CB309*CB235+CC309*CC235+CD309*CD235+CE309*CE235+CF309*CF235+CG309*CG235+CH309*CH235+CI309*CI235+CJ309*CJ235+CK309*CK235+CL309*CL235+CM309*CM235+CN309*CN235+CO309*CO235+CP309*CP235+CQ309*CQ235+CR309*CR235+CS309*CS235+CT309*CT235+CU309*CU235</f>
        <v>0</v>
      </c>
      <c r="DI235" s="2882">
        <f>E310*E235+F310*F235+G310*G235+H310*H235+I310*I235+J310*J235+K310*K235+L310*L235+M310*M235+N310*N235+O310*O235+P310*P235+Q310*Q235+R310*R235+S310*S235+T310*T235+U310*U235+V310*V235+W310*W235+X310*X235+Y310*Y235+Z310*Z235+AA310*AA235+AB310*AB235+AC310*AC235+AD310*AD235+AE310*AE235+AF310*AF235+AG310*AG235+AH310*AH235+AI310*AI235+AJ310*AJ235+AK310*AK235+AL310*AL235+AM310*AM235+AN310*AN235+AO310*AO235+AP310*AP235+AQ310*AQ235+AR310*AR235+AS310*AS235+AT310*AT235+AU310*AU235+AV310*AV235+AW310*AW235+AX310*AX235+AY310*AY235+AZ310*AZ235+BA310*BA235+BB310*BB235+BC310*BC235+BD310*BD235+BE310*BE235+BF310*BF235+BG310*BG235+BH310*BH235+BI310*BI235+BJ310*BJ235+BK310*BK235+BL310*BL235+BM310*BM235+BN310*BN235+BO310*BO235+BP310*BP235+BQ310*BQ235+BR310*BR235+BS310*BS235+BT310*BT235+BU310*BU235+BV310*BV235+BW310*BW235+BX310*BX235+BY310*BY235+BZ310*BZ235+CA310*CA235+CB310*CB235+CC310*CC235+CD310*CD235+CE310*CE235+CF310*CF235+CG310*CG235+CH310*CH235+CI310*CI235+CJ310*CJ235+CK310*CK235+CL310*CL235+CM310*CM235+CN310*CN235+CO310*CO235+CP310*CP235+CQ310*CQ235+CR310*CR235+CS310*CS235+CT310*CT235+CU310*CU235</f>
        <v>0</v>
      </c>
    </row>
    <row r="236" spans="2:113" ht="15.75" x14ac:dyDescent="0.55000000000000004">
      <c r="B236" s="794">
        <v>77</v>
      </c>
      <c r="C236" s="794" t="s">
        <v>3066</v>
      </c>
      <c r="D236" s="800" t="s">
        <v>3447</v>
      </c>
      <c r="E236" s="735">
        <f>0</f>
        <v>0</v>
      </c>
      <c r="F236" s="735">
        <f>0</f>
        <v>0</v>
      </c>
      <c r="G236" s="735">
        <f>0</f>
        <v>0</v>
      </c>
      <c r="H236" s="735">
        <f>0</f>
        <v>0</v>
      </c>
      <c r="I236" s="735">
        <f>0</f>
        <v>0</v>
      </c>
      <c r="J236" s="735">
        <f>0</f>
        <v>0</v>
      </c>
      <c r="K236" s="735">
        <f>0</f>
        <v>0</v>
      </c>
      <c r="L236" s="735">
        <f>0</f>
        <v>0</v>
      </c>
      <c r="M236" s="735">
        <f>0</f>
        <v>0</v>
      </c>
      <c r="N236" s="735">
        <f>0</f>
        <v>0</v>
      </c>
      <c r="O236" s="735">
        <f>0</f>
        <v>0</v>
      </c>
      <c r="P236" s="735">
        <f>0</f>
        <v>0</v>
      </c>
      <c r="Q236" s="796">
        <f>0</f>
        <v>0</v>
      </c>
      <c r="R236" s="735">
        <f>0</f>
        <v>0</v>
      </c>
      <c r="S236" s="735">
        <f>0</f>
        <v>0</v>
      </c>
      <c r="T236" s="735">
        <f>0</f>
        <v>0</v>
      </c>
      <c r="U236" s="735">
        <f>0</f>
        <v>0</v>
      </c>
      <c r="V236" s="735">
        <f>0</f>
        <v>0</v>
      </c>
      <c r="W236" s="735">
        <f>0</f>
        <v>0</v>
      </c>
      <c r="X236" s="735">
        <f>0</f>
        <v>0</v>
      </c>
      <c r="Y236" s="735">
        <f>0</f>
        <v>0</v>
      </c>
      <c r="Z236" s="735">
        <f>0</f>
        <v>0</v>
      </c>
      <c r="AA236" s="735">
        <f>0</f>
        <v>0</v>
      </c>
      <c r="AB236" s="735">
        <f>0</f>
        <v>0</v>
      </c>
      <c r="AC236" s="735">
        <f>0</f>
        <v>0</v>
      </c>
      <c r="AD236" s="735">
        <f>0</f>
        <v>0</v>
      </c>
      <c r="AE236" s="735">
        <f>0</f>
        <v>0</v>
      </c>
      <c r="AF236" s="735">
        <f>0</f>
        <v>0</v>
      </c>
      <c r="AG236" s="735">
        <f>0</f>
        <v>0</v>
      </c>
      <c r="AH236" s="735">
        <f>0</f>
        <v>0</v>
      </c>
      <c r="AI236" s="735">
        <f>0</f>
        <v>0</v>
      </c>
      <c r="AJ236" s="735">
        <f>0</f>
        <v>0</v>
      </c>
      <c r="AK236" s="735">
        <f>0</f>
        <v>0</v>
      </c>
      <c r="AL236" s="735">
        <f>0</f>
        <v>0</v>
      </c>
      <c r="AM236" s="903">
        <f>(A_SFHFO_H*(A_MP/A_MFe))*X_HFO_H_P_old/(X_HFO_H_P_old+X_HFO_L_P_old)+(A_SFHFO_L*(A_MP/A_MFe))*X_HFO_L_P_old/(X_HFO_H_P_old+X_HFO_L_P_old)</f>
        <v>0.38824663873220522</v>
      </c>
      <c r="AN236" s="735">
        <f>0</f>
        <v>0</v>
      </c>
      <c r="AO236" s="735">
        <f>0</f>
        <v>0</v>
      </c>
      <c r="AP236" s="735">
        <f>0</f>
        <v>0</v>
      </c>
      <c r="AQ236" s="735">
        <f>0</f>
        <v>0</v>
      </c>
      <c r="AR236" s="735">
        <f>0</f>
        <v>0</v>
      </c>
      <c r="AS236" s="735">
        <f>0</f>
        <v>0</v>
      </c>
      <c r="AT236" s="735">
        <f>0</f>
        <v>0</v>
      </c>
      <c r="AU236" s="735">
        <f>0</f>
        <v>0</v>
      </c>
      <c r="AV236" s="735">
        <f>0</f>
        <v>0</v>
      </c>
      <c r="AW236" s="735">
        <f>0</f>
        <v>0</v>
      </c>
      <c r="AX236" s="735">
        <f>0</f>
        <v>0</v>
      </c>
      <c r="AY236" s="735">
        <f>0</f>
        <v>0</v>
      </c>
      <c r="AZ236" s="735">
        <f>0</f>
        <v>0</v>
      </c>
      <c r="BA236" s="735">
        <f>0</f>
        <v>0</v>
      </c>
      <c r="BB236" s="735">
        <f>0</f>
        <v>0</v>
      </c>
      <c r="BC236" s="735">
        <f>0</f>
        <v>0</v>
      </c>
      <c r="BD236" s="735">
        <f>0</f>
        <v>0</v>
      </c>
      <c r="BE236" s="796">
        <f>0</f>
        <v>0</v>
      </c>
      <c r="BF236" s="902">
        <f>0</f>
        <v>0</v>
      </c>
      <c r="BG236" s="902">
        <f>0</f>
        <v>0</v>
      </c>
      <c r="BH236" s="903">
        <f>1</f>
        <v>1</v>
      </c>
      <c r="BI236" s="903">
        <f>0</f>
        <v>0</v>
      </c>
      <c r="BJ236" s="902">
        <f>0</f>
        <v>0</v>
      </c>
      <c r="BK236" s="934">
        <f>-X_HFO_H_P_old/(X_HFO_H_P_old+X_HFO_L_P_old)</f>
        <v>-0.5</v>
      </c>
      <c r="BL236" s="934">
        <f>-X_HFO_L_P_old/(X_HFO_H_P_old+X_HFO_L_P_old)</f>
        <v>-0.5</v>
      </c>
      <c r="BM236" s="801">
        <f>0</f>
        <v>0</v>
      </c>
      <c r="BN236" s="801">
        <f>0</f>
        <v>0</v>
      </c>
      <c r="BO236" s="802">
        <f>0</f>
        <v>0</v>
      </c>
      <c r="BP236" s="802">
        <f>0</f>
        <v>0</v>
      </c>
      <c r="BQ236" s="801">
        <f>0</f>
        <v>0</v>
      </c>
      <c r="BR236" s="803">
        <f>0</f>
        <v>0</v>
      </c>
      <c r="BS236" s="803">
        <f>0</f>
        <v>0</v>
      </c>
      <c r="BT236" s="796">
        <f>0</f>
        <v>0</v>
      </c>
      <c r="BU236" s="796">
        <f>0</f>
        <v>0</v>
      </c>
      <c r="BV236" s="903">
        <f>0</f>
        <v>0</v>
      </c>
      <c r="BW236" s="796">
        <f>0</f>
        <v>0</v>
      </c>
      <c r="BX236" s="796">
        <f>0</f>
        <v>0</v>
      </c>
      <c r="BY236" s="796">
        <f>0</f>
        <v>0</v>
      </c>
      <c r="BZ236" s="796">
        <f>0</f>
        <v>0</v>
      </c>
      <c r="CA236" s="903">
        <f>0</f>
        <v>0</v>
      </c>
      <c r="CB236" s="796">
        <f>0</f>
        <v>0</v>
      </c>
      <c r="CC236" s="796">
        <f>0</f>
        <v>0</v>
      </c>
      <c r="CD236" s="796">
        <f>0</f>
        <v>0</v>
      </c>
      <c r="CE236" s="796">
        <f>0</f>
        <v>0</v>
      </c>
      <c r="CF236" s="796">
        <f>0</f>
        <v>0</v>
      </c>
      <c r="CG236" s="796">
        <f>0</f>
        <v>0</v>
      </c>
      <c r="CH236" s="796">
        <f>0</f>
        <v>0</v>
      </c>
      <c r="CI236" s="796">
        <f>0</f>
        <v>0</v>
      </c>
      <c r="CJ236" s="796">
        <f>0</f>
        <v>0</v>
      </c>
      <c r="CK236" s="796">
        <f>0</f>
        <v>0</v>
      </c>
      <c r="CL236" s="796">
        <f>0</f>
        <v>0</v>
      </c>
      <c r="CM236" s="796">
        <f>0</f>
        <v>0</v>
      </c>
      <c r="CN236" s="796">
        <f>0</f>
        <v>0</v>
      </c>
      <c r="CO236" s="796">
        <f>0</f>
        <v>0</v>
      </c>
      <c r="CP236" s="796">
        <f>0</f>
        <v>0</v>
      </c>
      <c r="CQ236" s="796">
        <f>0</f>
        <v>0</v>
      </c>
      <c r="CR236" s="796">
        <f>0</f>
        <v>0</v>
      </c>
      <c r="CS236" s="796">
        <f>0</f>
        <v>0</v>
      </c>
      <c r="CT236" s="796">
        <f>0</f>
        <v>0</v>
      </c>
      <c r="CU236" s="796">
        <f>0</f>
        <v>0</v>
      </c>
      <c r="CV236" s="2864">
        <f>q_HFO_DISS*(X_HFO_H_P_old+X_HFO_L_P_old)*L_oginhSPO4_KiP_HFO_DISS</f>
        <v>0</v>
      </c>
      <c r="CX236" s="2880">
        <f>E299*E236+F299*F236+G299*G236+H299*H236+I299*I236+J299*J236+K299*K236+L299*L236+M299*M236+N299*N236+O299*O236+P299*P236+Q299*Q236+R299*R236+S299*S236+T299*T236+U299*U236+V299*V236+W299*W236+X299*X236+Y299*Y236+Z299*Z236+AA299*AA236+AB299*AB236+AC299*AC236+AD299*AD236+AE299*AE236+AF299*AF236+AG299*AG236+AH299*AH236+AI299*AI236+AJ299*AJ236+AK299*AK236+AL299*AL236+AM299*AM236+AN299*AN236+AO299*AO236+AP299*AP236+AQ299*AQ236+AR299*AR236+AS299*AS236+AT299*AT236+AU299*AU236+AV299*AV236+AW299*AW236+AX299*AX236+AY299*AY236+AZ299*AZ236+BA299*BA236+BB299*BB236+BC299*BC236+BD299*BD236+BE299*BE236+BF299*BF236+BG299*BG236+BH299*BH236+BI299*BI236+BJ299*BJ236+BK299*BK236+BL299*BL236+BM299*BM236+BN299*BN236+BO299*BO236+BP299*BP236+BQ299*BQ236+BR299*BR236+BS299*BS236+BT299*BT236+BU299*BU236+BV299*BV236+BW299*BW236+BX299*BX236+BY299*BY236+BZ299*BZ236+CA299*CA236+CB299*CB236+CC299*CC236+CD299*CD236+CE299*CE236+CF299*CF236+CG299*CG236+CH299*CH236+CI299*CI236+CJ299*CJ236+CK299*CK236+CL299*CL236+CM299*CM236+CN299*CN236+CO299*CO236+CP299*CP236+CQ299*CQ236+CR299*CR236+CS299*CS236+CT299*CT236+CU299*CU236</f>
        <v>0</v>
      </c>
      <c r="CY236" s="2880">
        <f>E300*E236+F300*F236+G300*G236+H300*H236+I300*I236+J300*J236+K300*K236+L300*L236+M300*M236+N300*N236+O300*O236+P300*P236+Q300*Q236+R300*R236+S300*S236+T300*T236+U300*U236+V300*V236+W300*W236+X300*X236+Y300*Y236+Z300*Z236+AA300*AA236+AB300*AB236+AC300*AC236+AD300*AD236+AE300*AE236+AF300*AF236+AG300*AG236+AH300*AH236+AI300*AI236+AJ300*AJ236+AK300*AK236+AL300*AL236+AM300*AM236+AN300*AN236+AO300*AO236+AP300*AP236+AQ300*AQ236+AR300*AR236+AS300*AS236+AT300*AT236+AU300*AU236+AV300*AV236+AW300*AW236+AX300*AX236+AY300*AY236+AZ300*AZ236+BA300*BA236+BB300*BB236+BC300*BC236+BD300*BD236+BE300*BE236+BF300*BF236+BG300*BG236+BH300*BH236+BI300*BI236+BJ300*BJ236+BK300*BK236+BL300*BL236+BM300*BM236+BN300*BN236+BO300*BO236+BP300*BP236+BQ300*BQ236+BR300*BR236+BS300*BS236+BT300*BT236+BU300*BU236+BV300*BV236+BW300*BW236+BX300*BX236+BY300*BY236+BZ300*BZ236+CA300*CA236+CB300*CB236+CC300*CC236+CD300*CD236+CE300*CE236+CF300*CF236+CG300*CG236+CH300*CH236+CI300*CI236+CJ300*CJ236+CK300*CK236+CL300*CL236+CM300*CM236+CN300*CN236+CO300*CO236+CP300*CP236+CQ300*CQ236+CR300*CR236+CS300*CS236+CT300*CT236+CU300*CU236</f>
        <v>0</v>
      </c>
      <c r="CZ236" s="2881">
        <f>E301*E236+F301*F236+G301*G236+H301*H236+I301*I236+J301*J236+K301*K236+L301*L236+M301*M236+N301*N236+O301*O236+P301*P236+Q301*Q236+R301*R236+S301*S236+T301*T236+U301*U236+V301*V236+W301*W236+X301*X236+Y301*Y236+Z301*Z236+AA301*AA236+AB301*AB236+AC301*AC236+AD301*AD236+AE301*AE236+AF301*AF236+AG301*AG236+AH301*AH236+AI301*AI236+AJ301*AJ236+AK301*AK236+AL301*AL236+AM301*AM236+AN301*AN236+AO301*AO236+AP301*AP236+AQ301*AQ236+AR301*AR236+AS301*AS236+AT301*AT236+AU301*AU236+AV301*AV236+AW301*AW236+AX301*AX236+AY301*AY236+AZ301*AZ236+BA301*BA236+BB301*BB236+BC301*BC236+BD301*BD236+BE301*BE236+BF301*BF236+BG301*BG236+BH301*BH236+BI301*BI236+BJ301*BJ236+BK301*BK236+BL301*BL236+BM301*BM236+BN301*BN236+BO301*BO236+BP301*BP236+BQ301*BQ236+BR301*BR236+BS301*BS236+BT301*BT236+BU301*BU236+BV301*BV236+BW301*BW236+BX301*BX236+BY301*BY236+BZ301*BZ236+CA301*CA236+CB301*CB236+CC301*CC236+CD301*CD236+CE301*CE236+CF301*CF236+CG301*CG236+CH301*CH236+CI301*CI236+CJ301*CJ236+CK301*CK236+CL301*CL236+CM301*CM236+CN301*CN236+CO301*CO236+CP301*CP236+CQ301*CQ236+CR301*CR236+CS301*CS236+CT301*CT236+CU301*CU236</f>
        <v>0</v>
      </c>
      <c r="DA236" s="2882">
        <f>E302*E236+F302*F236+G302*G236+H302*H236+I302*I236+J302*J236+K302*K236+L302*L236+M302*M236+N302*N236+O302*O236+P302*P236+Q302*Q236+R302*R236+S302*S236+T302*T236+U302*U236+V302*V236+W302*W236+X302*X236+Y302*Y236+Z302*Z236+AA302*AA236+AB302*AB236+AC302*AC236+AD302*AD236+AE302*AE236+AF302*AF236+AG302*AG236+AH302*AH236+AI302*AI236+AJ302*AJ236+AK302*AK236+AL302*AL236+AM302*AM236+AN302*AN236+AO302*AO236+AP302*AP236+AQ302*AQ236+AR302*AR236+AS302*AS236+AT302*AT236+AU302*AU236+AV302*AV236+AW302*AW236+AX302*AX236+AY302*AY236+AZ302*AZ236+BA302*BA236+BB302*BB236+BC302*BC236+BD302*BD236+BE302*BE236+BF302*BF236+BG302*BG236+BH302*BH236+BI302*BI236+BJ302*BJ236+BK302*BK236+BL302*BL236+BM302*BM236+BN302*BN236+BO302*BO236+BP302*BP236+BQ302*BQ236+BR302*BR236+BS302*BS236+BT302*BT236+BU302*BU236+BV302*BV236+BW302*BW236+BX302*BX236+BY302*BY236+BZ302*BZ236+CA302*CA236+CB302*CB236+CC302*CC236+CD302*CD236+CE302*CE236+CF302*CF236+CG302*CG236+CH302*CH236+CI302*CI236+CJ302*CJ236+CK302*CK236+CL302*CL236+CM302*CM236+CN302*CN236+CO302*CO236+CP302*CP236+CQ302*CQ236+CR302*CR236+CS302*CS236+CT302*CT236+CU302*CU236</f>
        <v>2.7755575615628914E-17</v>
      </c>
      <c r="DB236" s="2882">
        <f>E303*E236+F303*F236+G303*G236+H303*H236+I303*I236+J303*J236+K303*K236+L303*L236+M303*M236+N303*N236+O303*O236+P303*P236+Q303*Q236+R303*R236+S303*S236+T303*T236+U303*U236+V303*V236+W303*W236+X303*X236+Y303*Y236+Z303*Z236+AA303*AA236+AB303*AB236+AC303*AC236+AD303*AD236+AE303*AE236+AF303*AF236+AG303*AG236+AH303*AH236+AI303*AI236+AJ303*AJ236+AK303*AK236+AL303*AL236+AM303*AM236+AN303*AN236+AO303*AO236+AP303*AP236+AQ303*AQ236+AR303*AR236+AS303*AS236+AT303*AT236+AU303*AU236+AV303*AV236+AW303*AW236+AX303*AX236+AY303*AY236+AZ303*AZ236+BA303*BA236+BB303*BB236+BC303*BC236+BD303*BD236+BE303*BE236+BF303*BF236+BG303*BG236+BH303*BH236+BI303*BI236+BJ303*BJ236+BK303*BK236+BL303*BL236+BM303*BM236+BN303*BN236+BO303*BO236+BP303*BP236+BQ303*BQ236+BR303*BR236+BS303*BS236+BT303*BT236+BU303*BU236+BV303*BV236+BW303*BW236+BX303*BX236+BY303*BY236+BZ303*BZ236+CA303*CA236+CB303*CB236+CC303*CC236+CD303*CD236+CE303*CE236+CF303*CF236+CG303*CG236+CH303*CH236+CI303*CI236+CJ303*CJ236+CK303*CK236+CL303*CL236+CM303*CM236+CN303*CN236+CO303*CO236+CP303*CP236+CQ303*CQ236+CR303*CR236+CS303*CS236+CT303*CT236+CU303*CU236</f>
        <v>0</v>
      </c>
      <c r="DC236" s="2882">
        <f>E304*E236+F304*F236+G304*G236+H304*H236+I304*I236+J304*J236+K304*K236+L304*L236+M304*M236+N304*N236+O304*O236+P304*P236+Q304*Q236+R304*R236+S304*S236+T304*T236+U304*U236+V304*V236+W304*W236+X304*X236+Y304*Y236+Z304*Z236+AA304*AA236+AB304*AB236+AC304*AC236+AD304*AD236+AE304*AE236+AF304*AF236+AG304*AG236+AH304*AH236+AI304*AI236+AJ304*AJ236+AK304*AK236+AL304*AL236+AM304*AM236+AN304*AN236+AO304*AO236+AP304*AP236+AQ304*AQ236+AR304*AR236+AS304*AS236+AT304*AT236+AU304*AU236+AV304*AV236+AW304*AW236+AX304*AX236+AY304*AY236+AZ304*AZ236+BA304*BA236+BB304*BB236+BC304*BC236+BD304*BD236+BE304*BE236+BF304*BF236+BG304*BG236+BH304*BH236+BI304*BI236+BJ304*BJ236+BK304*BK236+BL304*BL236+BM304*BM236+BN304*BN236+BO304*BO236+BP304*BP236+BQ304*BQ236+BR304*BR236+BS304*BS236+BT304*BT236+BU304*BU236+BV304*BV236+BW304*BW236+BX304*BX236+BY304*BY236+BZ304*BZ236+CA304*CA236+CB304*CB236+CC304*CC236+CD304*CD236+CE304*CE236+CF304*CF236+CG304*CG236+CH304*CH236+CI304*CI236+CJ304*CJ236+CK304*CK236+CL304*CL236+CM304*CM236+CN304*CN236+CO304*CO236+CP304*CP236+CQ304*CQ236+CR304*CR236+CS304*CS236+CT304*CT236+CU304*CU236</f>
        <v>0</v>
      </c>
      <c r="DD236" s="2882">
        <f>E305*E236+F305*F236+G305*G236+H305*H236+I305*I236+J305*J236+K305*K236+L305*L236+M305*M236+N305*N236+O305*O236+P305*P236+Q305*Q236+R305*R236+S305*S236+T305*T236+U305*U236+V305*V236+W305*W236+X305*X236+Y305*Y236+Z305*Z236+AA305*AA236+AB305*AB236+AC305*AC236+AD305*AD236+AE305*AE236+AF305*AF236+AG305*AG236+AH305*AH236+AI305*AI236+AJ305*AJ236+AK305*AK236+AL305*AL236+AM305*AM236+AN305*AN236+AO305*AO236+AP305*AP236+AQ305*AQ236+AR305*AR236+AS305*AS236+AT305*AT236+AU305*AU236+AV305*AV236+AW305*AW236+AX305*AX236+AY305*AY236+AZ305*AZ236+BA305*BA236+BB305*BB236+BC305*BC236+BD305*BD236+BE305*BE236+BF305*BF236+BG305*BG236+BH305*BH236+BI305*BI236+BJ305*BJ236+BK305*BK236+BL305*BL236+BM305*BM236+BN305*BN236+BO305*BO236+BP305*BP236+BQ305*BQ236+BR305*BR236+BS305*BS236+BT305*BT236+BU305*BU236+BV305*BV236+BW305*BW236+BX305*BX236+BY305*BY236+BZ305*BZ236+CA305*CA236+CB305*CB236+CC305*CC236+CD305*CD236+CE305*CE236+CF305*CF236+CG305*CG236+CH305*CH236+CI305*CI236+CJ305*CJ236+CK305*CK236+CL305*CL236+CM305*CM236+CN305*CN236+CO305*CO236+CP305*CP236+CQ305*CQ236+CR305*CR236+CS305*CS236+CT305*CT236+CU305*CU236</f>
        <v>0</v>
      </c>
      <c r="DE236" s="2882">
        <f>E306*E236+F306*F236+G306*G236+H306*H236+I306*I236+J306*J236+K306*K236+L306*L236+M306*M236+N306*N236+O306*O236+P306*P236+Q306*Q236+R306*R236+S306*S236+T306*T236+U306*U236+V306*V236+W306*W236+X306*X236+Y306*Y236+Z306*Z236+AA306*AA236+AB306*AB236+AC306*AC236+AD306*AD236+AE306*AE236+AF306*AF236+AG306*AG236+AH306*AH236+AI306*AI236+AJ306*AJ236+AK306*AK236+AL306*AL236+AM306*AM236+AN306*AN236+AO306*AO236+AP306*AP236+AQ306*AQ236+AR306*AR236+AS306*AS236+AT306*AT236+AU306*AU236+AV306*AV236+AW306*AW236+AX306*AX236+AY306*AY236+AZ306*AZ236+BA306*BA236+BB306*BB236+BC306*BC236+BD306*BD236+BE306*BE236+BF306*BF236+BG306*BG236+BH306*BH236+BI306*BI236+BJ306*BJ236+BK306*BK236+BL306*BL236+BM306*BM236+BN306*BN236+BO306*BO236+BP306*BP236+BQ306*BQ236+BR306*BR236+BS306*BS236+BT306*BT236+BU306*BU236+BV306*BV236+BW306*BW236+BX306*BX236+BY306*BY236+BZ306*BZ236+CA306*CA236+CB306*CB236+CC306*CC236+CD306*CD236+CE306*CE236+CF306*CF236+CG306*CG236+CH306*CH236+CI306*CI236+CJ306*CJ236+CK306*CK236+CL306*CL236+CM306*CM236+CN306*CN236+CO306*CO236+CP306*CP236+CQ306*CQ236+CR306*CR236+CS306*CS236+CT306*CT236+CU306*CU236</f>
        <v>0</v>
      </c>
      <c r="DF236" s="2882">
        <f>E307*E236+F307*F236+G307*G236+H307*H236+I307*I236+J307*J236+K307*K236+L307*L236+M307*M236+N307*N236+O307*O236+P307*P236+Q307*Q236+R307*R236+S307*S236+T307*T236+U307*U236+V307*V236+W307*W236+X307*X236+Y307*Y236+Z307*Z236+AA307*AA236+AB307*AB236+AC307*AC236+AD307*AD236+AE307*AE236+AF307*AF236+AG307*AG236+AH307*AH236+AI307*AI236+AJ307*AJ236+AK307*AK236+AL307*AL236+AM307*AM236+AN307*AN236+AO307*AO236+AP307*AP236+AQ307*AQ236+AR307*AR236+AS307*AS236+AT307*AT236+AU307*AU236+AV307*AV236+AW307*AW236+AX307*AX236+AY307*AY236+AZ307*AZ236+BA307*BA236+BB307*BB236+BC307*BC236+BD307*BD236+BE307*BE236+BF307*BF236+BG307*BG236+BH307*BH236+BI307*BI236+BJ307*BJ236+BK307*BK236+BL307*BL236+BM307*BM236+BN307*BN236+BO307*BO236+BP307*BP236+BQ307*BQ236+BR307*BR236+BS307*BS236+BT307*BT236+BU307*BU236+BV307*BV236+BW307*BW236+BX307*BX236+BY307*BY236+BZ307*BZ236+CA307*CA236+CB307*CB236+CC307*CC236+CD307*CD236+CE307*CE236+CF307*CF236+CG307*CG236+CH307*CH236+CI307*CI236+CJ307*CJ236+CK307*CK236+CL307*CL236+CM307*CM236+CN307*CN236+CO307*CO236+CP307*CP236+CQ307*CQ236+CR307*CR236+CS307*CS236+CT307*CT236+CU307*CU236</f>
        <v>0</v>
      </c>
      <c r="DG236" s="2882">
        <f>E308*E236+F308*F236+G308*G236+H308*H236+I308*I236+J308*J236+K308*K236+L308*L236+M308*M236+N308*N236+O308*O236+P308*P236+Q308*Q236+R308*R236+S308*S236+T308*T236+U308*U236+V308*V236+W308*W236+X308*X236+Y308*Y236+Z308*Z236+AA308*AA236+AB308*AB236+AC308*AC236+AD308*AD236+AE308*AE236+AF308*AF236+AG308*AG236+AH308*AH236+AI308*AI236+AJ308*AJ236+AK308*AK236+AL308*AL236+AM308*AM236+AN308*AN236+AO308*AO236+AP308*AP236+AQ308*AQ236+AR308*AR236+AS308*AS236+AT308*AT236+AU308*AU236+AV308*AV236+AW308*AW236+AX308*AX236+AY308*AY236+AZ308*AZ236+BA308*BA236+BB308*BB236+BC308*BC236+BD308*BD236+BE308*BE236+BF308*BF236+BG308*BG236+BH308*BH236+BI308*BI236+BJ308*BJ236+BK308*BK236+BL308*BL236+BM308*BM236+BN308*BN236+BO308*BO236+BP308*BP236+BQ308*BQ236+BR308*BR236+BS308*BS236+BT308*BT236+BU308*BU236+BV308*BV236+BW308*BW236+BX308*BX236+BY308*BY236+BZ308*BZ236+CA308*CA236+CB308*CB236+CC308*CC236+CD308*CD236+CE308*CE236+CF308*CF236+CG308*CG236+CH308*CH236+CI308*CI236+CJ308*CJ236+CK308*CK236+CL308*CL236+CM308*CM236+CN308*CN236+CO308*CO236+CP308*CP236+CQ308*CQ236+CR308*CR236+CS308*CS236+CT308*CT236+CU308*CU236</f>
        <v>0</v>
      </c>
      <c r="DH236" s="2882">
        <f>E309*E236+F309*F236+G309*G236+H309*H236+I309*I236+J309*J236+K309*K236+L309*L236+M309*M236+N309*N236+O309*O236+P309*P236+Q309*Q236+R309*R236+S309*S236+T309*T236+U309*U236+V309*V236+W309*W236+X309*X236+Y309*Y236+Z309*Z236+AA309*AA236+AB309*AB236+AC309*AC236+AD309*AD236+AE309*AE236+AF309*AF236+AG309*AG236+AH309*AH236+AI309*AI236+AJ309*AJ236+AK309*AK236+AL309*AL236+AM309*AM236+AN309*AN236+AO309*AO236+AP309*AP236+AQ309*AQ236+AR309*AR236+AS309*AS236+AT309*AT236+AU309*AU236+AV309*AV236+AW309*AW236+AX309*AX236+AY309*AY236+AZ309*AZ236+BA309*BA236+BB309*BB236+BC309*BC236+BD309*BD236+BE309*BE236+BF309*BF236+BG309*BG236+BH309*BH236+BI309*BI236+BJ309*BJ236+BK309*BK236+BL309*BL236+BM309*BM236+BN309*BN236+BO309*BO236+BP309*BP236+BQ309*BQ236+BR309*BR236+BS309*BS236+BT309*BT236+BU309*BU236+BV309*BV236+BW309*BW236+BX309*BX236+BY309*BY236+BZ309*BZ236+CA309*CA236+CB309*CB236+CC309*CC236+CD309*CD236+CE309*CE236+CF309*CF236+CG309*CG236+CH309*CH236+CI309*CI236+CJ309*CJ236+CK309*CK236+CL309*CL236+CM309*CM236+CN309*CN236+CO309*CO236+CP309*CP236+CQ309*CQ236+CR309*CR236+CS309*CS236+CT309*CT236+CU309*CU236</f>
        <v>0</v>
      </c>
      <c r="DI236" s="2882">
        <f>E310*E236+F310*F236+G310*G236+H310*H236+I310*I236+J310*J236+K310*K236+L310*L236+M310*M236+N310*N236+O310*O236+P310*P236+Q310*Q236+R310*R236+S310*S236+T310*T236+U310*U236+V310*V236+W310*W236+X310*X236+Y310*Y236+Z310*Z236+AA310*AA236+AB310*AB236+AC310*AC236+AD310*AD236+AE310*AE236+AF310*AF236+AG310*AG236+AH310*AH236+AI310*AI236+AJ310*AJ236+AK310*AK236+AL310*AL236+AM310*AM236+AN310*AN236+AO310*AO236+AP310*AP236+AQ310*AQ236+AR310*AR236+AS310*AS236+AT310*AT236+AU310*AU236+AV310*AV236+AW310*AW236+AX310*AX236+AY310*AY236+AZ310*AZ236+BA310*BA236+BB310*BB236+BC310*BC236+BD310*BD236+BE310*BE236+BF310*BF236+BG310*BG236+BH310*BH236+BI310*BI236+BJ310*BJ236+BK310*BK236+BL310*BL236+BM310*BM236+BN310*BN236+BO310*BO236+BP310*BP236+BQ310*BQ236+BR310*BR236+BS310*BS236+BT310*BT236+BU310*BU236+BV310*BV236+BW310*BW236+BX310*BX236+BY310*BY236+BZ310*BZ236+CA310*CA236+CB310*CB236+CC310*CC236+CD310*CD236+CE310*CE236+CF310*CF236+CG310*CG236+CH310*CH236+CI310*CI236+CJ310*CJ236+CK310*CK236+CL310*CL236+CM310*CM236+CN310*CN236+CO310*CO236+CP310*CP236+CQ310*CQ236+CR310*CR236+CS310*CS236+CT310*CT236+CU310*CU236</f>
        <v>0</v>
      </c>
    </row>
    <row r="237" spans="2:113" ht="15.75" x14ac:dyDescent="0.45">
      <c r="B237" s="804">
        <v>78</v>
      </c>
      <c r="C237" s="804" t="s">
        <v>3067</v>
      </c>
      <c r="D237" s="805" t="s">
        <v>1702</v>
      </c>
      <c r="E237" s="806">
        <f>-E_EQFe2*S_VFA/(S_B+S_VFA)</f>
        <v>-1.4183529553600002E-3</v>
      </c>
      <c r="F237" s="806">
        <f>-E_EQFe2*S_B/(S_B+S_VFA)</f>
        <v>-0.14183529553600002</v>
      </c>
      <c r="G237" s="736">
        <f>0</f>
        <v>0</v>
      </c>
      <c r="H237" s="736">
        <f>0</f>
        <v>0</v>
      </c>
      <c r="I237" s="736">
        <f>0</f>
        <v>0</v>
      </c>
      <c r="J237" s="736">
        <f>0</f>
        <v>0</v>
      </c>
      <c r="K237" s="736">
        <f>0</f>
        <v>0</v>
      </c>
      <c r="L237" s="736">
        <f>0</f>
        <v>0</v>
      </c>
      <c r="M237" s="736">
        <f>0</f>
        <v>0</v>
      </c>
      <c r="N237" s="736">
        <f>0</f>
        <v>0</v>
      </c>
      <c r="O237" s="736">
        <f>0</f>
        <v>0</v>
      </c>
      <c r="P237" s="736">
        <f>0</f>
        <v>0</v>
      </c>
      <c r="Q237" s="806">
        <f>0</f>
        <v>0</v>
      </c>
      <c r="R237" s="736">
        <f>0</f>
        <v>0</v>
      </c>
      <c r="S237" s="736">
        <f>0</f>
        <v>0</v>
      </c>
      <c r="T237" s="736">
        <f>0</f>
        <v>0</v>
      </c>
      <c r="U237" s="736">
        <f>0</f>
        <v>0</v>
      </c>
      <c r="V237" s="736">
        <f>0</f>
        <v>0</v>
      </c>
      <c r="W237" s="736">
        <f>0</f>
        <v>0</v>
      </c>
      <c r="X237" s="736">
        <f>0</f>
        <v>0</v>
      </c>
      <c r="Y237" s="736">
        <f>0</f>
        <v>0</v>
      </c>
      <c r="Z237" s="736">
        <f>0</f>
        <v>0</v>
      </c>
      <c r="AA237" s="736">
        <f>0</f>
        <v>0</v>
      </c>
      <c r="AB237" s="736">
        <f>0</f>
        <v>0</v>
      </c>
      <c r="AC237" s="736">
        <f>0</f>
        <v>0</v>
      </c>
      <c r="AD237" s="736">
        <f>0</f>
        <v>0</v>
      </c>
      <c r="AE237" s="736">
        <f>0</f>
        <v>0</v>
      </c>
      <c r="AF237" s="736">
        <f>0</f>
        <v>0</v>
      </c>
      <c r="AG237" s="736">
        <f>0</f>
        <v>0</v>
      </c>
      <c r="AH237" s="736">
        <f>0</f>
        <v>0</v>
      </c>
      <c r="AI237" s="736">
        <f>0</f>
        <v>0</v>
      </c>
      <c r="AJ237" s="736">
        <f>0</f>
        <v>0</v>
      </c>
      <c r="AK237" s="736">
        <f>0</f>
        <v>0</v>
      </c>
      <c r="AL237" s="736">
        <f>0</f>
        <v>0</v>
      </c>
      <c r="AM237" s="807">
        <f>X_HFO_P/X_HFO</f>
        <v>1.5529865549288207E-48</v>
      </c>
      <c r="AN237" s="736">
        <f>0</f>
        <v>0</v>
      </c>
      <c r="AO237" s="736">
        <f>0</f>
        <v>0</v>
      </c>
      <c r="AP237" s="736">
        <f>0</f>
        <v>0</v>
      </c>
      <c r="AQ237" s="736">
        <f>0</f>
        <v>0</v>
      </c>
      <c r="AR237" s="736">
        <f>0</f>
        <v>0</v>
      </c>
      <c r="AS237" s="736">
        <f>0</f>
        <v>0</v>
      </c>
      <c r="AT237" s="736">
        <f>0</f>
        <v>0</v>
      </c>
      <c r="AU237" s="806">
        <f>i_CIT_SB*E_EQFe2*S_B/(S_B+S_VFA)+i_CIT_VFA*E_EQFe2*S_VFA/(S_B+S_VFA)</f>
        <v>4.1096776881556003E-2</v>
      </c>
      <c r="AV237" s="736">
        <f>0</f>
        <v>0</v>
      </c>
      <c r="AW237" s="736">
        <f>0</f>
        <v>0</v>
      </c>
      <c r="AX237" s="736">
        <f>0</f>
        <v>0</v>
      </c>
      <c r="AY237" s="736">
        <f>0</f>
        <v>0</v>
      </c>
      <c r="AZ237" s="736">
        <f>0</f>
        <v>0</v>
      </c>
      <c r="BA237" s="736">
        <f>0</f>
        <v>0</v>
      </c>
      <c r="BB237" s="736">
        <f>0</f>
        <v>0</v>
      </c>
      <c r="BC237" s="806">
        <f>E_EQFe2*S_B/(S_B+S_VFA)*i_S_SB</f>
        <v>2.1275294330400004E-4</v>
      </c>
      <c r="BD237" s="736">
        <f>0</f>
        <v>0</v>
      </c>
      <c r="BE237" s="806">
        <f>1</f>
        <v>1</v>
      </c>
      <c r="BF237" s="807">
        <f>-X_HFO_H/X_HFO</f>
        <v>-9.9999999999999997E-49</v>
      </c>
      <c r="BG237" s="807">
        <f>-X_HFO_L/X_HFO</f>
        <v>-9.9999999999999997E-49</v>
      </c>
      <c r="BH237" s="807">
        <f>-X_HFO_old/X_HFO</f>
        <v>-1</v>
      </c>
      <c r="BI237" s="807">
        <f>-X_HFO_H_P/X_HFO</f>
        <v>-9.9999999999999997E-49</v>
      </c>
      <c r="BJ237" s="807">
        <f>-X_HFO_L_P/X_HFO</f>
        <v>-9.9999999999999997E-49</v>
      </c>
      <c r="BK237" s="807">
        <f>-X_HFO_H_P_old/X_HFO</f>
        <v>-9.9999999999999997E-49</v>
      </c>
      <c r="BL237" s="807">
        <f>-X_HFO_L_P_old/X_HFO</f>
        <v>-9.9999999999999997E-49</v>
      </c>
      <c r="BM237" s="807">
        <f>0</f>
        <v>0</v>
      </c>
      <c r="BN237" s="807">
        <f>0</f>
        <v>0</v>
      </c>
      <c r="BO237" s="807">
        <f>0</f>
        <v>0</v>
      </c>
      <c r="BP237" s="807">
        <f>0</f>
        <v>0</v>
      </c>
      <c r="BQ237" s="807">
        <f>0</f>
        <v>0</v>
      </c>
      <c r="BR237" s="807">
        <f>0</f>
        <v>0</v>
      </c>
      <c r="BS237" s="807">
        <f>0</f>
        <v>0</v>
      </c>
      <c r="BT237" s="806">
        <f>0</f>
        <v>0</v>
      </c>
      <c r="BU237" s="806">
        <f>0</f>
        <v>0</v>
      </c>
      <c r="BV237" s="905">
        <f>0</f>
        <v>0</v>
      </c>
      <c r="BW237" s="806">
        <f>0</f>
        <v>0</v>
      </c>
      <c r="BX237" s="806">
        <f>0</f>
        <v>0</v>
      </c>
      <c r="BY237" s="806">
        <f>0</f>
        <v>0</v>
      </c>
      <c r="BZ237" s="806">
        <f>0</f>
        <v>0</v>
      </c>
      <c r="CA237" s="905">
        <f>0</f>
        <v>0</v>
      </c>
      <c r="CB237" s="806">
        <f>0</f>
        <v>0</v>
      </c>
      <c r="CC237" s="806">
        <f>0</f>
        <v>0</v>
      </c>
      <c r="CD237" s="806">
        <f>0</f>
        <v>0</v>
      </c>
      <c r="CE237" s="806">
        <f>0</f>
        <v>0</v>
      </c>
      <c r="CF237" s="806">
        <f>0</f>
        <v>0</v>
      </c>
      <c r="CG237" s="806">
        <f>0</f>
        <v>0</v>
      </c>
      <c r="CH237" s="806">
        <f>0</f>
        <v>0</v>
      </c>
      <c r="CI237" s="806">
        <f>0</f>
        <v>0</v>
      </c>
      <c r="CJ237" s="806">
        <f>0</f>
        <v>0</v>
      </c>
      <c r="CK237" s="806">
        <f>0</f>
        <v>0</v>
      </c>
      <c r="CL237" s="806">
        <f>0</f>
        <v>0</v>
      </c>
      <c r="CM237" s="806">
        <f>0</f>
        <v>0</v>
      </c>
      <c r="CN237" s="806">
        <f>0</f>
        <v>0</v>
      </c>
      <c r="CO237" s="806">
        <f>0</f>
        <v>0</v>
      </c>
      <c r="CP237" s="806">
        <f>0</f>
        <v>0</v>
      </c>
      <c r="CQ237" s="806">
        <f>0</f>
        <v>0</v>
      </c>
      <c r="CR237" s="806">
        <f>0</f>
        <v>0</v>
      </c>
      <c r="CS237" s="806">
        <f>0</f>
        <v>0</v>
      </c>
      <c r="CT237" s="806">
        <f>0</f>
        <v>0</v>
      </c>
      <c r="CU237" s="806">
        <f>0</f>
        <v>0</v>
      </c>
      <c r="CV237" s="2865">
        <f>q_HFO_RED_T*X_HFO*L_oginhORP_HFO*(M_satSB_KSB+M_satSVFA_KVFA)</f>
        <v>6.8384401301643267E-20</v>
      </c>
      <c r="CX237" s="2880">
        <f>E299*E237+F299*F237+G299*G237+H299*H237+I299*I237+J299*J237+K299*K237+L299*L237+M299*M237+N299*N237+O299*O237+P299*P237+Q299*Q237+R299*R237+S299*S237+T299*T237+U299*U237+V299*V237+W299*W237+X299*X237+Y299*Y237+Z299*Z237+AA299*AA237+AB299*AB237+AC299*AC237+AD299*AD237+AE299*AE237+AF299*AF237+AG299*AG237+AH299*AH237+AI299*AI237+AJ299*AJ237+AK299*AK237+AL299*AL237+AM299*AM237+AN299*AN237+AO299*AO237+AP299*AP237+AQ299*AQ237+AR299*AR237+AS299*AS237+AT299*AT237+AU299*AU237+AV299*AV237+AW299*AW237+AX299*AX237+AY299*AY237+AZ299*AZ237+BA299*BA237+BB299*BB237+BC299*BC237+BD299*BD237+BE299*BE237+BF299*BF237+BG299*BG237+BH299*BH237+BI299*BI237+BJ299*BJ237+BK299*BK237+BL299*BL237+BM299*BM237+BN299*BN237+BO299*BO237+BP299*BP237+BQ299*BQ237+BR299*BR237+BS299*BS237+BT299*BT237+BU299*BU237+BV299*BV237+BW299*BW237+BX299*BX237+BY299*BY237+BZ299*BZ237+CA299*CA237+CB299*CB237+CC299*CC237+CD299*CD237+CE299*CE237+CF299*CF237+CG299*CG237+CH299*CH237+CI299*CI237+CJ299*CJ237+CK299*CK237+CL299*CL237+CM299*CM237+CN299*CN237+CO299*CO237+CP299*CP237+CQ299*CQ237+CR299*CR237+CS299*CS237+CT299*CT237+CU299*CU237</f>
        <v>0</v>
      </c>
      <c r="CY237" s="2880">
        <f>E300*E237+F300*F237+G300*G237+H300*H237+I300*I237+J300*J237+K300*K237+L300*L237+M300*M237+N300*N237+O300*O237+P300*P237+Q300*Q237+R300*R237+S300*S237+T300*T237+U300*U237+V300*V237+W300*W237+X300*X237+Y300*Y237+Z300*Z237+AA300*AA237+AB300*AB237+AC300*AC237+AD300*AD237+AE300*AE237+AF300*AF237+AG300*AG237+AH300*AH237+AI300*AI237+AJ300*AJ237+AK300*AK237+AL300*AL237+AM300*AM237+AN300*AN237+AO300*AO237+AP300*AP237+AQ300*AQ237+AR300*AR237+AS300*AS237+AT300*AT237+AU300*AU237+AV300*AV237+AW300*AW237+AX300*AX237+AY300*AY237+AZ300*AZ237+BA300*BA237+BB300*BB237+BC300*BC237+BD300*BD237+BE300*BE237+BF300*BF237+BG300*BG237+BH300*BH237+BI300*BI237+BJ300*BJ237+BK300*BK237+BL300*BL237+BM300*BM237+BN300*BN237+BO300*BO237+BP300*BP237+BQ300*BQ237+BR300*BR237+BS300*BS237+BT300*BT237+BU300*BU237+BV300*BV237+BW300*BW237+BX300*BX237+BY300*BY237+BZ300*BZ237+CA300*CA237+CB300*CB237+CC300*CC237+CD300*CD237+CE300*CE237+CF300*CF237+CG300*CG237+CH300*CH237+CI300*CI237+CJ300*CJ237+CK300*CK237+CL300*CL237+CM300*CM237+CN300*CN237+CO300*CO237+CP300*CP237+CQ300*CQ237+CR300*CR237+CS300*CS237+CT300*CT237+CU300*CU237</f>
        <v>0</v>
      </c>
      <c r="CZ237" s="2881">
        <f>E301*E237+F301*F237+G301*G237+H301*H237+I301*I237+J301*J237+K301*K237+L301*L237+M301*M237+N301*N237+O301*O237+P301*P237+Q301*Q237+R301*R237+S301*S237+T301*T237+U301*U237+V301*V237+W301*W237+X301*X237+Y301*Y237+Z301*Z237+AA301*AA237+AB301*AB237+AC301*AC237+AD301*AD237+AE301*AE237+AF301*AF237+AG301*AG237+AH301*AH237+AI301*AI237+AJ301*AJ237+AK301*AK237+AL301*AL237+AM301*AM237+AN301*AN237+AO301*AO237+AP301*AP237+AQ301*AQ237+AR301*AR237+AS301*AS237+AT301*AT237+AU301*AU237+AV301*AV237+AW301*AW237+AX301*AX237+AY301*AY237+AZ301*AZ237+BA301*BA237+BB301*BB237+BC301*BC237+BD301*BD237+BE301*BE237+BF301*BF237+BG301*BG237+BH301*BH237+BI301*BI237+BJ301*BJ237+BK301*BK237+BL301*BL237+BM301*BM237+BN301*BN237+BO301*BO237+BP301*BP237+BQ301*BQ237+BR301*BR237+BS301*BS237+BT301*BT237+BU301*BU237+BV301*BV237+BW301*BW237+BX301*BX237+BY301*BY237+BZ301*BZ237+CA301*CA237+CB301*CB237+CC301*CC237+CD301*CD237+CE301*CE237+CF301*CF237+CG301*CG237+CH301*CH237+CI301*CI237+CJ301*CJ237+CK301*CK237+CL301*CL237+CM301*CM237+CN301*CN237+CO301*CO237+CP301*CP237+CQ301*CQ237+CR301*CR237+CS301*CS237+CT301*CT237+CU301*CU237</f>
        <v>0</v>
      </c>
      <c r="DA237" s="2882">
        <f>E302*E237+F302*F237+G302*G237+H302*H237+I302*I237+J302*J237+K302*K237+L302*L237+M302*M237+N302*N237+O302*O237+P302*P237+Q302*Q237+R302*R237+S302*S237+T302*T237+U302*U237+V302*V237+W302*W237+X302*X237+Y302*Y237+Z302*Z237+AA302*AA237+AB302*AB237+AC302*AC237+AD302*AD237+AE302*AE237+AF302*AF237+AG302*AG237+AH302*AH237+AI302*AI237+AJ302*AJ237+AK302*AK237+AL302*AL237+AM302*AM237+AN302*AN237+AO302*AO237+AP302*AP237+AQ302*AQ237+AR302*AR237+AS302*AS237+AT302*AT237+AU302*AU237+AV302*AV237+AW302*AW237+AX302*AX237+AY302*AY237+AZ302*AZ237+BA302*BA237+BB302*BB237+BC302*BC237+BD302*BD237+BE302*BE237+BF302*BF237+BG302*BG237+BH302*BH237+BI302*BI237+BJ302*BJ237+BK302*BK237+BL302*BL237+BM302*BM237+BN302*BN237+BO302*BO237+BP302*BP237+BQ302*BQ237+BR302*BR237+BS302*BS237+BT302*BT237+BU302*BU237+BV302*BV237+BW302*BW237+BX302*BX237+BY302*BY237+BZ302*BZ237+CA302*CA237+CB302*CB237+CC302*CC237+CD302*CD237+CE302*CE237+CF302*CF237+CG302*CG237+CH302*CH237+CI302*CI237+CJ302*CJ237+CK302*CK237+CL302*CL237+CM302*CM237+CN302*CN237+CO302*CO237+CP302*CP237+CQ302*CQ237+CR302*CR237+CS302*CS237+CT302*CT237+CU302*CU237</f>
        <v>0</v>
      </c>
      <c r="DB237" s="2882">
        <f>E303*E237+F303*F237+G303*G237+H303*H237+I303*I237+J303*J237+K303*K237+L303*L237+M303*M237+N303*N237+O303*O237+P303*P237+Q303*Q237+R303*R237+S303*S237+T303*T237+U303*U237+V303*V237+W303*W237+X303*X237+Y303*Y237+Z303*Z237+AA303*AA237+AB303*AB237+AC303*AC237+AD303*AD237+AE303*AE237+AF303*AF237+AG303*AG237+AH303*AH237+AI303*AI237+AJ303*AJ237+AK303*AK237+AL303*AL237+AM303*AM237+AN303*AN237+AO303*AO237+AP303*AP237+AQ303*AQ237+AR303*AR237+AS303*AS237+AT303*AT237+AU303*AU237+AV303*AV237+AW303*AW237+AX303*AX237+AY303*AY237+AZ303*AZ237+BA303*BA237+BB303*BB237+BC303*BC237+BD303*BD237+BE303*BE237+BF303*BF237+BG303*BG237+BH303*BH237+BI303*BI237+BJ303*BJ237+BK303*BK237+BL303*BL237+BM303*BM237+BN303*BN237+BO303*BO237+BP303*BP237+BQ303*BQ237+BR303*BR237+BS303*BS237+BT303*BT237+BU303*BU237+BV303*BV237+BW303*BW237+BX303*BX237+BY303*BY237+BZ303*BZ237+CA303*CA237+CB303*CB237+CC303*CC237+CD303*CD237+CE303*CE237+CF303*CF237+CG303*CG237+CH303*CH237+CI303*CI237+CJ303*CJ237+CK303*CK237+CL303*CL237+CM303*CM237+CN303*CN237+CO303*CO237+CP303*CP237+CQ303*CQ237+CR303*CR237+CS303*CS237+CT303*CT237+CU303*CU237</f>
        <v>0</v>
      </c>
      <c r="DC237" s="2882">
        <f>E304*E237+F304*F237+G304*G237+H304*H237+I304*I237+J304*J237+K304*K237+L304*L237+M304*M237+N304*N237+O304*O237+P304*P237+Q304*Q237+R304*R237+S304*S237+T304*T237+U304*U237+V304*V237+W304*W237+X304*X237+Y304*Y237+Z304*Z237+AA304*AA237+AB304*AB237+AC304*AC237+AD304*AD237+AE304*AE237+AF304*AF237+AG304*AG237+AH304*AH237+AI304*AI237+AJ304*AJ237+AK304*AK237+AL304*AL237+AM304*AM237+AN304*AN237+AO304*AO237+AP304*AP237+AQ304*AQ237+AR304*AR237+AS304*AS237+AT304*AT237+AU304*AU237+AV304*AV237+AW304*AW237+AX304*AX237+AY304*AY237+AZ304*AZ237+BA304*BA237+BB304*BB237+BC304*BC237+BD304*BD237+BE304*BE237+BF304*BF237+BG304*BG237+BH304*BH237+BI304*BI237+BJ304*BJ237+BK304*BK237+BL304*BL237+BM304*BM237+BN304*BN237+BO304*BO237+BP304*BP237+BQ304*BQ237+BR304*BR237+BS304*BS237+BT304*BT237+BU304*BU237+BV304*BV237+BW304*BW237+BX304*BX237+BY304*BY237+BZ304*BZ237+CA304*CA237+CB304*CB237+CC304*CC237+CD304*CD237+CE304*CE237+CF304*CF237+CG304*CG237+CH304*CH237+CI304*CI237+CJ304*CJ237+CK304*CK237+CL304*CL237+CM304*CM237+CN304*CN237+CO304*CO237+CP304*CP237+CQ304*CQ237+CR304*CR237+CS304*CS237+CT304*CT237+CU304*CU237</f>
        <v>0</v>
      </c>
      <c r="DD237" s="2882">
        <f>E305*E237+F305*F237+G305*G237+H305*H237+I305*I237+J305*J237+K305*K237+L305*L237+M305*M237+N305*N237+O305*O237+P305*P237+Q305*Q237+R305*R237+S305*S237+T305*T237+U305*U237+V305*V237+W305*W237+X305*X237+Y305*Y237+Z305*Z237+AA305*AA237+AB305*AB237+AC305*AC237+AD305*AD237+AE305*AE237+AF305*AF237+AG305*AG237+AH305*AH237+AI305*AI237+AJ305*AJ237+AK305*AK237+AL305*AL237+AM305*AM237+AN305*AN237+AO305*AO237+AP305*AP237+AQ305*AQ237+AR305*AR237+AS305*AS237+AT305*AT237+AU305*AU237+AV305*AV237+AW305*AW237+AX305*AX237+AY305*AY237+AZ305*AZ237+BA305*BA237+BB305*BB237+BC305*BC237+BD305*BD237+BE305*BE237+BF305*BF237+BG305*BG237+BH305*BH237+BI305*BI237+BJ305*BJ237+BK305*BK237+BL305*BL237+BM305*BM237+BN305*BN237+BO305*BO237+BP305*BP237+BQ305*BQ237+BR305*BR237+BS305*BS237+BT305*BT237+BU305*BU237+BV305*BV237+BW305*BW237+BX305*BX237+BY305*BY237+BZ305*BZ237+CA305*CA237+CB305*CB237+CC305*CC237+CD305*CD237+CE305*CE237+CF305*CF237+CG305*CG237+CH305*CH237+CI305*CI237+CJ305*CJ237+CK305*CK237+CL305*CL237+CM305*CM237+CN305*CN237+CO305*CO237+CP305*CP237+CQ305*CQ237+CR305*CR237+CS305*CS237+CT305*CT237+CU305*CU237</f>
        <v>0</v>
      </c>
      <c r="DE237" s="2882">
        <f>E306*E237+F306*F237+G306*G237+H306*H237+I306*I237+J306*J237+K306*K237+L306*L237+M306*M237+N306*N237+O306*O237+P306*P237+Q306*Q237+R306*R237+S306*S237+T306*T237+U306*U237+V306*V237+W306*W237+X306*X237+Y306*Y237+Z306*Z237+AA306*AA237+AB306*AB237+AC306*AC237+AD306*AD237+AE306*AE237+AF306*AF237+AG306*AG237+AH306*AH237+AI306*AI237+AJ306*AJ237+AK306*AK237+AL306*AL237+AM306*AM237+AN306*AN237+AO306*AO237+AP306*AP237+AQ306*AQ237+AR306*AR237+AS306*AS237+AT306*AT237+AU306*AU237+AV306*AV237+AW306*AW237+AX306*AX237+AY306*AY237+AZ306*AZ237+BA306*BA237+BB306*BB237+BC306*BC237+BD306*BD237+BE306*BE237+BF306*BF237+BG306*BG237+BH306*BH237+BI306*BI237+BJ306*BJ237+BK306*BK237+BL306*BL237+BM306*BM237+BN306*BN237+BO306*BO237+BP306*BP237+BQ306*BQ237+BR306*BR237+BS306*BS237+BT306*BT237+BU306*BU237+BV306*BV237+BW306*BW237+BX306*BX237+BY306*BY237+BZ306*BZ237+CA306*CA237+CB306*CB237+CC306*CC237+CD306*CD237+CE306*CE237+CF306*CF237+CG306*CG237+CH306*CH237+CI306*CI237+CJ306*CJ237+CK306*CK237+CL306*CL237+CM306*CM237+CN306*CN237+CO306*CO237+CP306*CP237+CQ306*CQ237+CR306*CR237+CS306*CS237+CT306*CT237+CU306*CU237</f>
        <v>0</v>
      </c>
      <c r="DF237" s="2882">
        <f>E307*E237+F307*F237+G307*G237+H307*H237+I307*I237+J307*J237+K307*K237+L307*L237+M307*M237+N307*N237+O307*O237+P307*P237+Q307*Q237+R307*R237+S307*S237+T307*T237+U307*U237+V307*V237+W307*W237+X307*X237+Y307*Y237+Z307*Z237+AA307*AA237+AB307*AB237+AC307*AC237+AD307*AD237+AE307*AE237+AF307*AF237+AG307*AG237+AH307*AH237+AI307*AI237+AJ307*AJ237+AK307*AK237+AL307*AL237+AM307*AM237+AN307*AN237+AO307*AO237+AP307*AP237+AQ307*AQ237+AR307*AR237+AS307*AS237+AT307*AT237+AU307*AU237+AV307*AV237+AW307*AW237+AX307*AX237+AY307*AY237+AZ307*AZ237+BA307*BA237+BB307*BB237+BC307*BC237+BD307*BD237+BE307*BE237+BF307*BF237+BG307*BG237+BH307*BH237+BI307*BI237+BJ307*BJ237+BK307*BK237+BL307*BL237+BM307*BM237+BN307*BN237+BO307*BO237+BP307*BP237+BQ307*BQ237+BR307*BR237+BS307*BS237+BT307*BT237+BU307*BU237+BV307*BV237+BW307*BW237+BX307*BX237+BY307*BY237+BZ307*BZ237+CA307*CA237+CB307*CB237+CC307*CC237+CD307*CD237+CE307*CE237+CF307*CF237+CG307*CG237+CH307*CH237+CI307*CI237+CJ307*CJ237+CK307*CK237+CL307*CL237+CM307*CM237+CN307*CN237+CO307*CO237+CP307*CP237+CQ307*CQ237+CR307*CR237+CS307*CS237+CT307*CT237+CU307*CU237</f>
        <v>0</v>
      </c>
      <c r="DG237" s="2882">
        <f>E308*E237+F308*F237+G308*G237+H308*H237+I308*I237+J308*J237+K308*K237+L308*L237+M308*M237+N308*N237+O308*O237+P308*P237+Q308*Q237+R308*R237+S308*S237+T308*T237+U308*U237+V308*V237+W308*W237+X308*X237+Y308*Y237+Z308*Z237+AA308*AA237+AB308*AB237+AC308*AC237+AD308*AD237+AE308*AE237+AF308*AF237+AG308*AG237+AH308*AH237+AI308*AI237+AJ308*AJ237+AK308*AK237+AL308*AL237+AM308*AM237+AN308*AN237+AO308*AO237+AP308*AP237+AQ308*AQ237+AR308*AR237+AS308*AS237+AT308*AT237+AU308*AU237+AV308*AV237+AW308*AW237+AX308*AX237+AY308*AY237+AZ308*AZ237+BA308*BA237+BB308*BB237+BC308*BC237+BD308*BD237+BE308*BE237+BF308*BF237+BG308*BG237+BH308*BH237+BI308*BI237+BJ308*BJ237+BK308*BK237+BL308*BL237+BM308*BM237+BN308*BN237+BO308*BO237+BP308*BP237+BQ308*BQ237+BR308*BR237+BS308*BS237+BT308*BT237+BU308*BU237+BV308*BV237+BW308*BW237+BX308*BX237+BY308*BY237+BZ308*BZ237+CA308*CA237+CB308*CB237+CC308*CC237+CD308*CD237+CE308*CE237+CF308*CF237+CG308*CG237+CH308*CH237+CI308*CI237+CJ308*CJ237+CK308*CK237+CL308*CL237+CM308*CM237+CN308*CN237+CO308*CO237+CP308*CP237+CQ308*CQ237+CR308*CR237+CS308*CS237+CT308*CT237+CU308*CU237</f>
        <v>0</v>
      </c>
      <c r="DH237" s="2882">
        <f>E309*E237+F309*F237+G309*G237+H309*H237+I309*I237+J309*J237+K309*K237+L309*L237+M309*M237+N309*N237+O309*O237+P309*P237+Q309*Q237+R309*R237+S309*S237+T309*T237+U309*U237+V309*V237+W309*W237+X309*X237+Y309*Y237+Z309*Z237+AA309*AA237+AB309*AB237+AC309*AC237+AD309*AD237+AE309*AE237+AF309*AF237+AG309*AG237+AH309*AH237+AI309*AI237+AJ309*AJ237+AK309*AK237+AL309*AL237+AM309*AM237+AN309*AN237+AO309*AO237+AP309*AP237+AQ309*AQ237+AR309*AR237+AS309*AS237+AT309*AT237+AU309*AU237+AV309*AV237+AW309*AW237+AX309*AX237+AY309*AY237+AZ309*AZ237+BA309*BA237+BB309*BB237+BC309*BC237+BD309*BD237+BE309*BE237+BF309*BF237+BG309*BG237+BH309*BH237+BI309*BI237+BJ309*BJ237+BK309*BK237+BL309*BL237+BM309*BM237+BN309*BN237+BO309*BO237+BP309*BP237+BQ309*BQ237+BR309*BR237+BS309*BS237+BT309*BT237+BU309*BU237+BV309*BV237+BW309*BW237+BX309*BX237+BY309*BY237+BZ309*BZ237+CA309*CA237+CB309*CB237+CC309*CC237+CD309*CD237+CE309*CE237+CF309*CF237+CG309*CG237+CH309*CH237+CI309*CI237+CJ309*CJ237+CK309*CK237+CL309*CL237+CM309*CM237+CN309*CN237+CO309*CO237+CP309*CP237+CQ309*CQ237+CR309*CR237+CS309*CS237+CT309*CT237+CU309*CU237</f>
        <v>-3.9999999999999999E-48</v>
      </c>
      <c r="DI237" s="2882">
        <f>E310*E237+F310*F237+G310*G237+H310*H237+I310*I237+J310*J237+K310*K237+L310*L237+M310*M237+N310*N237+O310*O237+P310*P237+Q310*Q237+R310*R237+S310*S237+T310*T237+U310*U237+V310*V237+W310*W237+X310*X237+Y310*Y237+Z310*Z237+AA310*AA237+AB310*AB237+AC310*AC237+AD310*AD237+AE310*AE237+AF310*AF237+AG310*AG237+AH310*AH237+AI310*AI237+AJ310*AJ237+AK310*AK237+AL310*AL237+AM310*AM237+AN310*AN237+AO310*AO237+AP310*AP237+AQ310*AQ237+AR310*AR237+AS310*AS237+AT310*AT237+AU310*AU237+AV310*AV237+AW310*AW237+AX310*AX237+AY310*AY237+AZ310*AZ237+BA310*BA237+BB310*BB237+BC310*BC237+BD310*BD237+BE310*BE237+BF310*BF237+BG310*BG237+BH310*BH237+BI310*BI237+BJ310*BJ237+BK310*BK237+BL310*BL237+BM310*BM237+BN310*BN237+BO310*BO237+BP310*BP237+BQ310*BQ237+BR310*BR237+BS310*BS237+BT310*BT237+BU310*BU237+BV310*BV237+BW310*BW237+BX310*BX237+BY310*BY237+BZ310*BZ237+CA310*CA237+CB310*CB237+CC310*CC237+CD310*CD237+CE310*CE237+CF310*CF237+CG310*CG237+CH310*CH237+CI310*CI237+CJ310*CJ237+CK310*CK237+CL310*CL237+CM310*CM237+CN310*CN237+CO310*CO237+CP310*CP237+CQ310*CQ237+CR310*CR237+CS310*CS237+CT310*CT237+CU310*CU237</f>
        <v>0</v>
      </c>
    </row>
    <row r="238" spans="2:113" ht="15.75" x14ac:dyDescent="0.45">
      <c r="B238" s="809">
        <v>79</v>
      </c>
      <c r="C238" s="809" t="s">
        <v>3068</v>
      </c>
      <c r="D238" s="810" t="s">
        <v>1703</v>
      </c>
      <c r="E238" s="736">
        <f>0</f>
        <v>0</v>
      </c>
      <c r="F238" s="736">
        <f>0</f>
        <v>0</v>
      </c>
      <c r="G238" s="736">
        <f>0</f>
        <v>0</v>
      </c>
      <c r="H238" s="736">
        <f>0</f>
        <v>0</v>
      </c>
      <c r="I238" s="736">
        <f>0</f>
        <v>0</v>
      </c>
      <c r="J238" s="736">
        <f>0</f>
        <v>0</v>
      </c>
      <c r="K238" s="736">
        <f>0</f>
        <v>0</v>
      </c>
      <c r="L238" s="736">
        <f>0</f>
        <v>0</v>
      </c>
      <c r="M238" s="736">
        <f>0</f>
        <v>0</v>
      </c>
      <c r="N238" s="736">
        <f>0</f>
        <v>0</v>
      </c>
      <c r="O238" s="736">
        <f>0</f>
        <v>0</v>
      </c>
      <c r="P238" s="736">
        <f>0</f>
        <v>0</v>
      </c>
      <c r="Q238" s="806">
        <f>0</f>
        <v>0</v>
      </c>
      <c r="R238" s="736">
        <f>0</f>
        <v>0</v>
      </c>
      <c r="S238" s="736">
        <f>0</f>
        <v>0</v>
      </c>
      <c r="T238" s="736">
        <f>0</f>
        <v>0</v>
      </c>
      <c r="U238" s="736">
        <f>0</f>
        <v>0</v>
      </c>
      <c r="V238" s="736">
        <f>0</f>
        <v>0</v>
      </c>
      <c r="W238" s="736">
        <f>0</f>
        <v>0</v>
      </c>
      <c r="X238" s="736">
        <f>0</f>
        <v>0</v>
      </c>
      <c r="Y238" s="736">
        <f>0</f>
        <v>0</v>
      </c>
      <c r="Z238" s="736">
        <f>0</f>
        <v>0</v>
      </c>
      <c r="AA238" s="736">
        <f>0</f>
        <v>0</v>
      </c>
      <c r="AB238" s="736">
        <f>0</f>
        <v>0</v>
      </c>
      <c r="AC238" s="736">
        <f>0</f>
        <v>0</v>
      </c>
      <c r="AD238" s="736">
        <f>0</f>
        <v>0</v>
      </c>
      <c r="AE238" s="736">
        <f>0</f>
        <v>0</v>
      </c>
      <c r="AF238" s="736">
        <f>0</f>
        <v>0</v>
      </c>
      <c r="AG238" s="736">
        <f>0</f>
        <v>0</v>
      </c>
      <c r="AH238" s="736">
        <f>0</f>
        <v>0</v>
      </c>
      <c r="AI238" s="736">
        <f>0</f>
        <v>0</v>
      </c>
      <c r="AJ238" s="736">
        <f>0</f>
        <v>0</v>
      </c>
      <c r="AK238" s="736">
        <f>0</f>
        <v>0</v>
      </c>
      <c r="AL238" s="736">
        <f>0</f>
        <v>0</v>
      </c>
      <c r="AM238" s="806">
        <f>0</f>
        <v>0</v>
      </c>
      <c r="AN238" s="736">
        <f>0</f>
        <v>0</v>
      </c>
      <c r="AO238" s="736">
        <f>0</f>
        <v>0</v>
      </c>
      <c r="AP238" s="736">
        <f>0</f>
        <v>0</v>
      </c>
      <c r="AQ238" s="736">
        <f>0</f>
        <v>0</v>
      </c>
      <c r="AR238" s="806">
        <f>-E_EQFe2</f>
        <v>-0.14325364849136002</v>
      </c>
      <c r="AS238" s="736">
        <f>0</f>
        <v>0</v>
      </c>
      <c r="AT238" s="736">
        <f>0</f>
        <v>0</v>
      </c>
      <c r="AU238" s="806">
        <f>0</f>
        <v>0</v>
      </c>
      <c r="AV238" s="736">
        <f>0</f>
        <v>0</v>
      </c>
      <c r="AW238" s="736">
        <f>0</f>
        <v>0</v>
      </c>
      <c r="AX238" s="736">
        <f>0</f>
        <v>0</v>
      </c>
      <c r="AY238" s="736">
        <f>0</f>
        <v>0</v>
      </c>
      <c r="AZ238" s="736">
        <f>0</f>
        <v>0</v>
      </c>
      <c r="BA238" s="736">
        <f>0</f>
        <v>0</v>
      </c>
      <c r="BB238" s="736">
        <f>0</f>
        <v>0</v>
      </c>
      <c r="BC238" s="736">
        <f>0</f>
        <v>0</v>
      </c>
      <c r="BD238" s="806">
        <f>0</f>
        <v>0</v>
      </c>
      <c r="BE238" s="806">
        <f>-1</f>
        <v>-1</v>
      </c>
      <c r="BF238" s="736">
        <f>1</f>
        <v>1</v>
      </c>
      <c r="BG238" s="736">
        <f>0</f>
        <v>0</v>
      </c>
      <c r="BH238" s="736">
        <f>0</f>
        <v>0</v>
      </c>
      <c r="BI238" s="806">
        <f>0</f>
        <v>0</v>
      </c>
      <c r="BJ238" s="736">
        <f>0</f>
        <v>0</v>
      </c>
      <c r="BK238" s="806">
        <f>0</f>
        <v>0</v>
      </c>
      <c r="BL238" s="806">
        <f>0</f>
        <v>0</v>
      </c>
      <c r="BM238" s="736">
        <f>0</f>
        <v>0</v>
      </c>
      <c r="BN238" s="736">
        <f>0</f>
        <v>0</v>
      </c>
      <c r="BO238" s="736">
        <f>0</f>
        <v>0</v>
      </c>
      <c r="BP238" s="806">
        <f>0</f>
        <v>0</v>
      </c>
      <c r="BQ238" s="736">
        <f>0</f>
        <v>0</v>
      </c>
      <c r="BR238" s="806">
        <f>0</f>
        <v>0</v>
      </c>
      <c r="BS238" s="806">
        <f>0</f>
        <v>0</v>
      </c>
      <c r="BT238" s="806">
        <f>0</f>
        <v>0</v>
      </c>
      <c r="BU238" s="806">
        <f>0</f>
        <v>0</v>
      </c>
      <c r="BV238" s="905">
        <f>0</f>
        <v>0</v>
      </c>
      <c r="BW238" s="806">
        <f>0</f>
        <v>0</v>
      </c>
      <c r="BX238" s="806">
        <f>0</f>
        <v>0</v>
      </c>
      <c r="BY238" s="806">
        <f>0</f>
        <v>0</v>
      </c>
      <c r="BZ238" s="806">
        <f>0</f>
        <v>0</v>
      </c>
      <c r="CA238" s="905">
        <f>0</f>
        <v>0</v>
      </c>
      <c r="CB238" s="806">
        <f>0</f>
        <v>0</v>
      </c>
      <c r="CC238" s="806">
        <f>0</f>
        <v>0</v>
      </c>
      <c r="CD238" s="806">
        <f>0</f>
        <v>0</v>
      </c>
      <c r="CE238" s="806">
        <f>0</f>
        <v>0</v>
      </c>
      <c r="CF238" s="806">
        <f>0</f>
        <v>0</v>
      </c>
      <c r="CG238" s="806">
        <f>0</f>
        <v>0</v>
      </c>
      <c r="CH238" s="806">
        <f>0</f>
        <v>0</v>
      </c>
      <c r="CI238" s="806">
        <f>0</f>
        <v>0</v>
      </c>
      <c r="CJ238" s="806">
        <f>0</f>
        <v>0</v>
      </c>
      <c r="CK238" s="806">
        <f>0</f>
        <v>0</v>
      </c>
      <c r="CL238" s="806">
        <f>0</f>
        <v>0</v>
      </c>
      <c r="CM238" s="806">
        <f>0</f>
        <v>0</v>
      </c>
      <c r="CN238" s="806">
        <f>0</f>
        <v>0</v>
      </c>
      <c r="CO238" s="806">
        <f>0</f>
        <v>0</v>
      </c>
      <c r="CP238" s="806">
        <f>0</f>
        <v>0</v>
      </c>
      <c r="CQ238" s="806">
        <f>0</f>
        <v>0</v>
      </c>
      <c r="CR238" s="806">
        <f>0</f>
        <v>0</v>
      </c>
      <c r="CS238" s="806">
        <f>0</f>
        <v>0</v>
      </c>
      <c r="CT238" s="806">
        <f>0</f>
        <v>0</v>
      </c>
      <c r="CU238" s="806">
        <f>0</f>
        <v>0</v>
      </c>
      <c r="CV238" s="2865">
        <f>q_Fe2_OX_T*S_Fe2*M_satSO2_KO2_OHO</f>
        <v>9.3023255813953485E-51</v>
      </c>
      <c r="CX238" s="2880">
        <f>E299*E238+F299*F238+G299*G238+H299*H238+I299*I238+J299*J238+K299*K238+L299*L238+M299*M238+N299*N238+O299*O238+P299*P238+Q299*Q238+R299*R238+S299*S238+T299*T238+U299*U238+V299*V238+W299*W238+X299*X238+Y299*Y238+Z299*Z238+AA299*AA238+AB299*AB238+AC299*AC238+AD299*AD238+AE299*AE238+AF299*AF238+AG299*AG238+AH299*AH238+AI299*AI238+AJ299*AJ238+AK299*AK238+AL299*AL238+AM299*AM238+AN299*AN238+AO299*AO238+AP299*AP238+AQ299*AQ238+AR299*AR238+AS299*AS238+AT299*AT238+AU299*AU238+AV299*AV238+AW299*AW238+AX299*AX238+AY299*AY238+AZ299*AZ238+BA299*BA238+BB299*BB238+BC299*BC238+BD299*BD238+BE299*BE238+BF299*BF238+BG299*BG238+BH299*BH238+BI299*BI238+BJ299*BJ238+BK299*BK238+BL299*BL238+BM299*BM238+BN299*BN238+BO299*BO238+BP299*BP238+BQ299*BQ238+BR299*BR238+BS299*BS238+BT299*BT238+BU299*BU238+BV299*BV238+BW299*BW238+BX299*BX238+BY299*BY238+BZ299*BZ238+CA299*CA238+CB299*CB238+CC299*CC238+CD299*CD238+CE299*CE238+CF299*CF238+CG299*CG238+CH299*CH238+CI299*CI238+CJ299*CJ238+CK299*CK238+CL299*CL238+CM299*CM238+CN299*CN238+CO299*CO238+CP299*CP238+CQ299*CQ238+CR299*CR238+CS299*CS238+CT299*CT238+CU299*CU238</f>
        <v>0</v>
      </c>
      <c r="CY238" s="2880">
        <f>E300*E238+F300*F238+G300*G238+H300*H238+I300*I238+J300*J238+K300*K238+L300*L238+M300*M238+N300*N238+O300*O238+P300*P238+Q300*Q238+R300*R238+S300*S238+T300*T238+U300*U238+V300*V238+W300*W238+X300*X238+Y300*Y238+Z300*Z238+AA300*AA238+AB300*AB238+AC300*AC238+AD300*AD238+AE300*AE238+AF300*AF238+AG300*AG238+AH300*AH238+AI300*AI238+AJ300*AJ238+AK300*AK238+AL300*AL238+AM300*AM238+AN300*AN238+AO300*AO238+AP300*AP238+AQ300*AQ238+AR300*AR238+AS300*AS238+AT300*AT238+AU300*AU238+AV300*AV238+AW300*AW238+AX300*AX238+AY300*AY238+AZ300*AZ238+BA300*BA238+BB300*BB238+BC300*BC238+BD300*BD238+BE300*BE238+BF300*BF238+BG300*BG238+BH300*BH238+BI300*BI238+BJ300*BJ238+BK300*BK238+BL300*BL238+BM300*BM238+BN300*BN238+BO300*BO238+BP300*BP238+BQ300*BQ238+BR300*BR238+BS300*BS238+BT300*BT238+BU300*BU238+BV300*BV238+BW300*BW238+BX300*BX238+BY300*BY238+BZ300*BZ238+CA300*CA238+CB300*CB238+CC300*CC238+CD300*CD238+CE300*CE238+CF300*CF238+CG300*CG238+CH300*CH238+CI300*CI238+CJ300*CJ238+CK300*CK238+CL300*CL238+CM300*CM238+CN300*CN238+CO300*CO238+CP300*CP238+CQ300*CQ238+CR300*CR238+CS300*CS238+CT300*CT238+CU300*CU238</f>
        <v>0</v>
      </c>
      <c r="CZ238" s="2881">
        <f>E301*E238+F301*F238+G301*G238+H301*H238+I301*I238+J301*J238+K301*K238+L301*L238+M301*M238+N301*N238+O301*O238+P301*P238+Q301*Q238+R301*R238+S301*S238+T301*T238+U301*U238+V301*V238+W301*W238+X301*X238+Y301*Y238+Z301*Z238+AA301*AA238+AB301*AB238+AC301*AC238+AD301*AD238+AE301*AE238+AF301*AF238+AG301*AG238+AH301*AH238+AI301*AI238+AJ301*AJ238+AK301*AK238+AL301*AL238+AM301*AM238+AN301*AN238+AO301*AO238+AP301*AP238+AQ301*AQ238+AR301*AR238+AS301*AS238+AT301*AT238+AU301*AU238+AV301*AV238+AW301*AW238+AX301*AX238+AY301*AY238+AZ301*AZ238+BA301*BA238+BB301*BB238+BC301*BC238+BD301*BD238+BE301*BE238+BF301*BF238+BG301*BG238+BH301*BH238+BI301*BI238+BJ301*BJ238+BK301*BK238+BL301*BL238+BM301*BM238+BN301*BN238+BO301*BO238+BP301*BP238+BQ301*BQ238+BR301*BR238+BS301*BS238+BT301*BT238+BU301*BU238+BV301*BV238+BW301*BW238+BX301*BX238+BY301*BY238+BZ301*BZ238+CA301*CA238+CB301*CB238+CC301*CC238+CD301*CD238+CE301*CE238+CF301*CF238+CG301*CG238+CH301*CH238+CI301*CI238+CJ301*CJ238+CK301*CK238+CL301*CL238+CM301*CM238+CN301*CN238+CO301*CO238+CP301*CP238+CQ301*CQ238+CR301*CR238+CS301*CS238+CT301*CT238+CU301*CU238</f>
        <v>0</v>
      </c>
      <c r="DA238" s="2882">
        <f>E302*E238+F302*F238+G302*G238+H302*H238+I302*I238+J302*J238+K302*K238+L302*L238+M302*M238+N302*N238+O302*O238+P302*P238+Q302*Q238+R302*R238+S302*S238+T302*T238+U302*U238+V302*V238+W302*W238+X302*X238+Y302*Y238+Z302*Z238+AA302*AA238+AB302*AB238+AC302*AC238+AD302*AD238+AE302*AE238+AF302*AF238+AG302*AG238+AH302*AH238+AI302*AI238+AJ302*AJ238+AK302*AK238+AL302*AL238+AM302*AM238+AN302*AN238+AO302*AO238+AP302*AP238+AQ302*AQ238+AR302*AR238+AS302*AS238+AT302*AT238+AU302*AU238+AV302*AV238+AW302*AW238+AX302*AX238+AY302*AY238+AZ302*AZ238+BA302*BA238+BB302*BB238+BC302*BC238+BD302*BD238+BE302*BE238+BF302*BF238+BG302*BG238+BH302*BH238+BI302*BI238+BJ302*BJ238+BK302*BK238+BL302*BL238+BM302*BM238+BN302*BN238+BO302*BO238+BP302*BP238+BQ302*BQ238+BR302*BR238+BS302*BS238+BT302*BT238+BU302*BU238+BV302*BV238+BW302*BW238+BX302*BX238+BY302*BY238+BZ302*BZ238+CA302*CA238+CB302*CB238+CC302*CC238+CD302*CD238+CE302*CE238+CF302*CF238+CG302*CG238+CH302*CH238+CI302*CI238+CJ302*CJ238+CK302*CK238+CL302*CL238+CM302*CM238+CN302*CN238+CO302*CO238+CP302*CP238+CQ302*CQ238+CR302*CR238+CS302*CS238+CT302*CT238+CU302*CU238</f>
        <v>0</v>
      </c>
      <c r="DB238" s="2882">
        <f>E303*E238+F303*F238+G303*G238+H303*H238+I303*I238+J303*J238+K303*K238+L303*L238+M303*M238+N303*N238+O303*O238+P303*P238+Q303*Q238+R303*R238+S303*S238+T303*T238+U303*U238+V303*V238+W303*W238+X303*X238+Y303*Y238+Z303*Z238+AA303*AA238+AB303*AB238+AC303*AC238+AD303*AD238+AE303*AE238+AF303*AF238+AG303*AG238+AH303*AH238+AI303*AI238+AJ303*AJ238+AK303*AK238+AL303*AL238+AM303*AM238+AN303*AN238+AO303*AO238+AP303*AP238+AQ303*AQ238+AR303*AR238+AS303*AS238+AT303*AT238+AU303*AU238+AV303*AV238+AW303*AW238+AX303*AX238+AY303*AY238+AZ303*AZ238+BA303*BA238+BB303*BB238+BC303*BC238+BD303*BD238+BE303*BE238+BF303*BF238+BG303*BG238+BH303*BH238+BI303*BI238+BJ303*BJ238+BK303*BK238+BL303*BL238+BM303*BM238+BN303*BN238+BO303*BO238+BP303*BP238+BQ303*BQ238+BR303*BR238+BS303*BS238+BT303*BT238+BU303*BU238+BV303*BV238+BW303*BW238+BX303*BX238+BY303*BY238+BZ303*BZ238+CA303*CA238+CB303*CB238+CC303*CC238+CD303*CD238+CE303*CE238+CF303*CF238+CG303*CG238+CH303*CH238+CI303*CI238+CJ303*CJ238+CK303*CK238+CL303*CL238+CM303*CM238+CN303*CN238+CO303*CO238+CP303*CP238+CQ303*CQ238+CR303*CR238+CS303*CS238+CT303*CT238+CU303*CU238</f>
        <v>0</v>
      </c>
      <c r="DC238" s="2882">
        <f>E304*E238+F304*F238+G304*G238+H304*H238+I304*I238+J304*J238+K304*K238+L304*L238+M304*M238+N304*N238+O304*O238+P304*P238+Q304*Q238+R304*R238+S304*S238+T304*T238+U304*U238+V304*V238+W304*W238+X304*X238+Y304*Y238+Z304*Z238+AA304*AA238+AB304*AB238+AC304*AC238+AD304*AD238+AE304*AE238+AF304*AF238+AG304*AG238+AH304*AH238+AI304*AI238+AJ304*AJ238+AK304*AK238+AL304*AL238+AM304*AM238+AN304*AN238+AO304*AO238+AP304*AP238+AQ304*AQ238+AR304*AR238+AS304*AS238+AT304*AT238+AU304*AU238+AV304*AV238+AW304*AW238+AX304*AX238+AY304*AY238+AZ304*AZ238+BA304*BA238+BB304*BB238+BC304*BC238+BD304*BD238+BE304*BE238+BF304*BF238+BG304*BG238+BH304*BH238+BI304*BI238+BJ304*BJ238+BK304*BK238+BL304*BL238+BM304*BM238+BN304*BN238+BO304*BO238+BP304*BP238+BQ304*BQ238+BR304*BR238+BS304*BS238+BT304*BT238+BU304*BU238+BV304*BV238+BW304*BW238+BX304*BX238+BY304*BY238+BZ304*BZ238+CA304*CA238+CB304*CB238+CC304*CC238+CD304*CD238+CE304*CE238+CF304*CF238+CG304*CG238+CH304*CH238+CI304*CI238+CJ304*CJ238+CK304*CK238+CL304*CL238+CM304*CM238+CN304*CN238+CO304*CO238+CP304*CP238+CQ304*CQ238+CR304*CR238+CS304*CS238+CT304*CT238+CU304*CU238</f>
        <v>0</v>
      </c>
      <c r="DD238" s="2882">
        <f>E305*E238+F305*F238+G305*G238+H305*H238+I305*I238+J305*J238+K305*K238+L305*L238+M305*M238+N305*N238+O305*O238+P305*P238+Q305*Q238+R305*R238+S305*S238+T305*T238+U305*U238+V305*V238+W305*W238+X305*X238+Y305*Y238+Z305*Z238+AA305*AA238+AB305*AB238+AC305*AC238+AD305*AD238+AE305*AE238+AF305*AF238+AG305*AG238+AH305*AH238+AI305*AI238+AJ305*AJ238+AK305*AK238+AL305*AL238+AM305*AM238+AN305*AN238+AO305*AO238+AP305*AP238+AQ305*AQ238+AR305*AR238+AS305*AS238+AT305*AT238+AU305*AU238+AV305*AV238+AW305*AW238+AX305*AX238+AY305*AY238+AZ305*AZ238+BA305*BA238+BB305*BB238+BC305*BC238+BD305*BD238+BE305*BE238+BF305*BF238+BG305*BG238+BH305*BH238+BI305*BI238+BJ305*BJ238+BK305*BK238+BL305*BL238+BM305*BM238+BN305*BN238+BO305*BO238+BP305*BP238+BQ305*BQ238+BR305*BR238+BS305*BS238+BT305*BT238+BU305*BU238+BV305*BV238+BW305*BW238+BX305*BX238+BY305*BY238+BZ305*BZ238+CA305*CA238+CB305*CB238+CC305*CC238+CD305*CD238+CE305*CE238+CF305*CF238+CG305*CG238+CH305*CH238+CI305*CI238+CJ305*CJ238+CK305*CK238+CL305*CL238+CM305*CM238+CN305*CN238+CO305*CO238+CP305*CP238+CQ305*CQ238+CR305*CR238+CS305*CS238+CT305*CT238+CU305*CU238</f>
        <v>0</v>
      </c>
      <c r="DE238" s="2882">
        <f>E306*E238+F306*F238+G306*G238+H306*H238+I306*I238+J306*J238+K306*K238+L306*L238+M306*M238+N306*N238+O306*O238+P306*P238+Q306*Q238+R306*R238+S306*S238+T306*T238+U306*U238+V306*V238+W306*W238+X306*X238+Y306*Y238+Z306*Z238+AA306*AA238+AB306*AB238+AC306*AC238+AD306*AD238+AE306*AE238+AF306*AF238+AG306*AG238+AH306*AH238+AI306*AI238+AJ306*AJ238+AK306*AK238+AL306*AL238+AM306*AM238+AN306*AN238+AO306*AO238+AP306*AP238+AQ306*AQ238+AR306*AR238+AS306*AS238+AT306*AT238+AU306*AU238+AV306*AV238+AW306*AW238+AX306*AX238+AY306*AY238+AZ306*AZ238+BA306*BA238+BB306*BB238+BC306*BC238+BD306*BD238+BE306*BE238+BF306*BF238+BG306*BG238+BH306*BH238+BI306*BI238+BJ306*BJ238+BK306*BK238+BL306*BL238+BM306*BM238+BN306*BN238+BO306*BO238+BP306*BP238+BQ306*BQ238+BR306*BR238+BS306*BS238+BT306*BT238+BU306*BU238+BV306*BV238+BW306*BW238+BX306*BX238+BY306*BY238+BZ306*BZ238+CA306*CA238+CB306*CB238+CC306*CC238+CD306*CD238+CE306*CE238+CF306*CF238+CG306*CG238+CH306*CH238+CI306*CI238+CJ306*CJ238+CK306*CK238+CL306*CL238+CM306*CM238+CN306*CN238+CO306*CO238+CP306*CP238+CQ306*CQ238+CR306*CR238+CS306*CS238+CT306*CT238+CU306*CU238</f>
        <v>0</v>
      </c>
      <c r="DF238" s="2882">
        <f>E307*E238+F307*F238+G307*G238+H307*H238+I307*I238+J307*J238+K307*K238+L307*L238+M307*M238+N307*N238+O307*O238+P307*P238+Q307*Q238+R307*R238+S307*S238+T307*T238+U307*U238+V307*V238+W307*W238+X307*X238+Y307*Y238+Z307*Z238+AA307*AA238+AB307*AB238+AC307*AC238+AD307*AD238+AE307*AE238+AF307*AF238+AG307*AG238+AH307*AH238+AI307*AI238+AJ307*AJ238+AK307*AK238+AL307*AL238+AM307*AM238+AN307*AN238+AO307*AO238+AP307*AP238+AQ307*AQ238+AR307*AR238+AS307*AS238+AT307*AT238+AU307*AU238+AV307*AV238+AW307*AW238+AX307*AX238+AY307*AY238+AZ307*AZ238+BA307*BA238+BB307*BB238+BC307*BC238+BD307*BD238+BE307*BE238+BF307*BF238+BG307*BG238+BH307*BH238+BI307*BI238+BJ307*BJ238+BK307*BK238+BL307*BL238+BM307*BM238+BN307*BN238+BO307*BO238+BP307*BP238+BQ307*BQ238+BR307*BR238+BS307*BS238+BT307*BT238+BU307*BU238+BV307*BV238+BW307*BW238+BX307*BX238+BY307*BY238+BZ307*BZ238+CA307*CA238+CB307*CB238+CC307*CC238+CD307*CD238+CE307*CE238+CF307*CF238+CG307*CG238+CH307*CH238+CI307*CI238+CJ307*CJ238+CK307*CK238+CL307*CL238+CM307*CM238+CN307*CN238+CO307*CO238+CP307*CP238+CQ307*CQ238+CR307*CR238+CS307*CS238+CT307*CT238+CU307*CU238</f>
        <v>0</v>
      </c>
      <c r="DG238" s="2882">
        <f>E308*E238+F308*F238+G308*G238+H308*H238+I308*I238+J308*J238+K308*K238+L308*L238+M308*M238+N308*N238+O308*O238+P308*P238+Q308*Q238+R308*R238+S308*S238+T308*T238+U308*U238+V308*V238+W308*W238+X308*X238+Y308*Y238+Z308*Z238+AA308*AA238+AB308*AB238+AC308*AC238+AD308*AD238+AE308*AE238+AF308*AF238+AG308*AG238+AH308*AH238+AI308*AI238+AJ308*AJ238+AK308*AK238+AL308*AL238+AM308*AM238+AN308*AN238+AO308*AO238+AP308*AP238+AQ308*AQ238+AR308*AR238+AS308*AS238+AT308*AT238+AU308*AU238+AV308*AV238+AW308*AW238+AX308*AX238+AY308*AY238+AZ308*AZ238+BA308*BA238+BB308*BB238+BC308*BC238+BD308*BD238+BE308*BE238+BF308*BF238+BG308*BG238+BH308*BH238+BI308*BI238+BJ308*BJ238+BK308*BK238+BL308*BL238+BM308*BM238+BN308*BN238+BO308*BO238+BP308*BP238+BQ308*BQ238+BR308*BR238+BS308*BS238+BT308*BT238+BU308*BU238+BV308*BV238+BW308*BW238+BX308*BX238+BY308*BY238+BZ308*BZ238+CA308*CA238+CB308*CB238+CC308*CC238+CD308*CD238+CE308*CE238+CF308*CF238+CG308*CG238+CH308*CH238+CI308*CI238+CJ308*CJ238+CK308*CK238+CL308*CL238+CM308*CM238+CN308*CN238+CO308*CO238+CP308*CP238+CQ308*CQ238+CR308*CR238+CS308*CS238+CT308*CT238+CU308*CU238</f>
        <v>0</v>
      </c>
      <c r="DH238" s="2882">
        <f>E309*E238+F309*F238+G309*G238+H309*H238+I309*I238+J309*J238+K309*K238+L309*L238+M309*M238+N309*N238+O309*O238+P309*P238+Q309*Q238+R309*R238+S309*S238+T309*T238+U309*U238+V309*V238+W309*W238+X309*X238+Y309*Y238+Z309*Z238+AA309*AA238+AB309*AB238+AC309*AC238+AD309*AD238+AE309*AE238+AF309*AF238+AG309*AG238+AH309*AH238+AI309*AI238+AJ309*AJ238+AK309*AK238+AL309*AL238+AM309*AM238+AN309*AN238+AO309*AO238+AP309*AP238+AQ309*AQ238+AR309*AR238+AS309*AS238+AT309*AT238+AU309*AU238+AV309*AV238+AW309*AW238+AX309*AX238+AY309*AY238+AZ309*AZ238+BA309*BA238+BB309*BB238+BC309*BC238+BD309*BD238+BE309*BE238+BF309*BF238+BG309*BG238+BH309*BH238+BI309*BI238+BJ309*BJ238+BK309*BK238+BL309*BL238+BM309*BM238+BN309*BN238+BO309*BO238+BP309*BP238+BQ309*BQ238+BR309*BR238+BS309*BS238+BT309*BT238+BU309*BU238+BV309*BV238+BW309*BW238+BX309*BX238+BY309*BY238+BZ309*BZ238+CA309*CA238+CB309*CB238+CC309*CC238+CD309*CD238+CE309*CE238+CF309*CF238+CG309*CG238+CH309*CH238+CI309*CI238+CJ309*CJ238+CK309*CK238+CL309*CL238+CM309*CM238+CN309*CN238+CO309*CO238+CP309*CP238+CQ309*CQ238+CR309*CR238+CS309*CS238+CT309*CT238+CU309*CU238</f>
        <v>0</v>
      </c>
      <c r="DI238" s="2882">
        <f>E310*E238+F310*F238+G310*G238+H310*H238+I310*I238+J310*J238+K310*K238+L310*L238+M310*M238+N310*N238+O310*O238+P310*P238+Q310*Q238+R310*R238+S310*S238+T310*T238+U310*U238+V310*V238+W310*W238+X310*X238+Y310*Y238+Z310*Z238+AA310*AA238+AB310*AB238+AC310*AC238+AD310*AD238+AE310*AE238+AF310*AF238+AG310*AG238+AH310*AH238+AI310*AI238+AJ310*AJ238+AK310*AK238+AL310*AL238+AM310*AM238+AN310*AN238+AO310*AO238+AP310*AP238+AQ310*AQ238+AR310*AR238+AS310*AS238+AT310*AT238+AU310*AU238+AV310*AV238+AW310*AW238+AX310*AX238+AY310*AY238+AZ310*AZ238+BA310*BA238+BB310*BB238+BC310*BC238+BD310*BD238+BE310*BE238+BF310*BF238+BG310*BG238+BH310*BH238+BI310*BI238+BJ310*BJ238+BK310*BK238+BL310*BL238+BM310*BM238+BN310*BN238+BO310*BO238+BP310*BP238+BQ310*BQ238+BR310*BR238+BS310*BS238+BT310*BT238+BU310*BU238+BV310*BV238+BW310*BW238+BX310*BX238+BY310*BY238+BZ310*BZ238+CA310*CA238+CB310*CB238+CC310*CC238+CD310*CD238+CE310*CE238+CF310*CF238+CG310*CG238+CH310*CH238+CI310*CI238+CJ310*CJ238+CK310*CK238+CL310*CL238+CM310*CM238+CN310*CN238+CO310*CO238+CP310*CP238+CQ310*CQ238+CR310*CR238+CS310*CS238+CT310*CT238+CU310*CU238</f>
        <v>0</v>
      </c>
    </row>
    <row r="239" spans="2:113" x14ac:dyDescent="0.45">
      <c r="B239" s="2209">
        <v>80</v>
      </c>
      <c r="C239" s="2209" t="s">
        <v>3069</v>
      </c>
      <c r="D239" s="2210" t="s">
        <v>4447</v>
      </c>
      <c r="E239" s="901">
        <f>0</f>
        <v>0</v>
      </c>
      <c r="F239" s="901">
        <f>0</f>
        <v>0</v>
      </c>
      <c r="G239" s="901">
        <f>0</f>
        <v>0</v>
      </c>
      <c r="H239" s="901">
        <f>0</f>
        <v>0</v>
      </c>
      <c r="I239" s="901">
        <f>0</f>
        <v>0</v>
      </c>
      <c r="J239" s="901">
        <f>0</f>
        <v>0</v>
      </c>
      <c r="K239" s="901">
        <f>0</f>
        <v>0</v>
      </c>
      <c r="L239" s="901">
        <f>0</f>
        <v>0</v>
      </c>
      <c r="M239" s="901">
        <f>0</f>
        <v>0</v>
      </c>
      <c r="N239" s="901">
        <f>0</f>
        <v>0</v>
      </c>
      <c r="O239" s="901">
        <f>0</f>
        <v>0</v>
      </c>
      <c r="P239" s="901">
        <f>0</f>
        <v>0</v>
      </c>
      <c r="Q239" s="920">
        <f>0</f>
        <v>0</v>
      </c>
      <c r="R239" s="901">
        <f>0</f>
        <v>0</v>
      </c>
      <c r="S239" s="901">
        <f>0</f>
        <v>0</v>
      </c>
      <c r="T239" s="901">
        <f>0</f>
        <v>0</v>
      </c>
      <c r="U239" s="901">
        <f>0</f>
        <v>0</v>
      </c>
      <c r="V239" s="901">
        <f>0</f>
        <v>0</v>
      </c>
      <c r="W239" s="901">
        <f>0</f>
        <v>0</v>
      </c>
      <c r="X239" s="901">
        <f>0</f>
        <v>0</v>
      </c>
      <c r="Y239" s="734">
        <f>0</f>
        <v>0</v>
      </c>
      <c r="Z239" s="734">
        <f>0</f>
        <v>0</v>
      </c>
      <c r="AA239" s="734">
        <f>0</f>
        <v>0</v>
      </c>
      <c r="AB239" s="901">
        <f>0</f>
        <v>0</v>
      </c>
      <c r="AC239" s="901">
        <f>0</f>
        <v>0</v>
      </c>
      <c r="AD239" s="901">
        <f>0</f>
        <v>0</v>
      </c>
      <c r="AE239" s="901">
        <f>0</f>
        <v>0</v>
      </c>
      <c r="AF239" s="921">
        <f>0</f>
        <v>0</v>
      </c>
      <c r="AG239" s="921">
        <f>0</f>
        <v>0</v>
      </c>
      <c r="AH239" s="901">
        <f>0</f>
        <v>0</v>
      </c>
      <c r="AI239" s="901">
        <f>0</f>
        <v>0</v>
      </c>
      <c r="AJ239" s="901">
        <f>0</f>
        <v>0</v>
      </c>
      <c r="AK239" s="901">
        <f>0</f>
        <v>0</v>
      </c>
      <c r="AL239" s="901">
        <f>0</f>
        <v>0</v>
      </c>
      <c r="AM239" s="921">
        <f>0</f>
        <v>0</v>
      </c>
      <c r="AN239" s="901">
        <f>0</f>
        <v>0</v>
      </c>
      <c r="AO239" s="920">
        <f>0</f>
        <v>0</v>
      </c>
      <c r="AP239" s="901">
        <f>0</f>
        <v>0</v>
      </c>
      <c r="AQ239" s="901">
        <f>0</f>
        <v>0</v>
      </c>
      <c r="AR239" s="920">
        <f>0</f>
        <v>0</v>
      </c>
      <c r="AS239" s="901">
        <f>0</f>
        <v>0</v>
      </c>
      <c r="AT239" s="901">
        <f>0</f>
        <v>0</v>
      </c>
      <c r="AU239" s="901">
        <f>0</f>
        <v>0</v>
      </c>
      <c r="AV239" s="901">
        <f>0</f>
        <v>0</v>
      </c>
      <c r="AW239" s="901">
        <f>0</f>
        <v>0</v>
      </c>
      <c r="AX239" s="901">
        <f>0</f>
        <v>0</v>
      </c>
      <c r="AY239" s="920">
        <f>0</f>
        <v>0</v>
      </c>
      <c r="AZ239" s="901">
        <f>0</f>
        <v>0</v>
      </c>
      <c r="BA239" s="901">
        <f>0</f>
        <v>0</v>
      </c>
      <c r="BB239" s="734">
        <f>0</f>
        <v>0</v>
      </c>
      <c r="BC239" s="734">
        <f>0</f>
        <v>0</v>
      </c>
      <c r="BD239" s="734">
        <f>0</f>
        <v>0</v>
      </c>
      <c r="BE239" s="901">
        <f>0</f>
        <v>0</v>
      </c>
      <c r="BF239" s="920">
        <f>0</f>
        <v>0</v>
      </c>
      <c r="BG239" s="901">
        <f>0</f>
        <v>0</v>
      </c>
      <c r="BH239" s="920">
        <f>0</f>
        <v>0</v>
      </c>
      <c r="BI239" s="920">
        <f>0</f>
        <v>0</v>
      </c>
      <c r="BJ239" s="922">
        <f>0</f>
        <v>0</v>
      </c>
      <c r="BK239" s="922">
        <f>0</f>
        <v>0</v>
      </c>
      <c r="BL239" s="901">
        <f>0</f>
        <v>0</v>
      </c>
      <c r="BM239" s="922">
        <f>-X_HAO_H/(X_HAO_H+X_HAO_H_P)</f>
        <v>-0.5</v>
      </c>
      <c r="BN239" s="922">
        <f>X_HAO_H/(X_HAO_H+X_HAO_H_P)</f>
        <v>0.5</v>
      </c>
      <c r="BO239" s="901">
        <f>0</f>
        <v>0</v>
      </c>
      <c r="BP239" s="922">
        <f>-X_HAO_H_P/(X_HAO_H+X_HAO_H_P)</f>
        <v>-0.5</v>
      </c>
      <c r="BQ239" s="901">
        <f>0</f>
        <v>0</v>
      </c>
      <c r="BR239" s="922">
        <f>X_HAO_H_P/(X_HAO_H+X_HAO_H_P)</f>
        <v>0.5</v>
      </c>
      <c r="BS239" s="901">
        <f>0</f>
        <v>0</v>
      </c>
      <c r="BT239" s="920">
        <f>0</f>
        <v>0</v>
      </c>
      <c r="BU239" s="920">
        <f>0</f>
        <v>0</v>
      </c>
      <c r="BV239" s="920">
        <f>0</f>
        <v>0</v>
      </c>
      <c r="BW239" s="920">
        <f>0</f>
        <v>0</v>
      </c>
      <c r="BX239" s="920">
        <f>0</f>
        <v>0</v>
      </c>
      <c r="BY239" s="793">
        <f>0</f>
        <v>0</v>
      </c>
      <c r="BZ239" s="920">
        <f>0</f>
        <v>0</v>
      </c>
      <c r="CA239" s="920">
        <f>0</f>
        <v>0</v>
      </c>
      <c r="CB239" s="920">
        <f>0</f>
        <v>0</v>
      </c>
      <c r="CC239" s="920">
        <f>0</f>
        <v>0</v>
      </c>
      <c r="CD239" s="920">
        <f>0</f>
        <v>0</v>
      </c>
      <c r="CE239" s="920">
        <f>0</f>
        <v>0</v>
      </c>
      <c r="CF239" s="920">
        <f>0</f>
        <v>0</v>
      </c>
      <c r="CG239" s="920">
        <f>0</f>
        <v>0</v>
      </c>
      <c r="CH239" s="920">
        <f>0</f>
        <v>0</v>
      </c>
      <c r="CI239" s="920">
        <f>0</f>
        <v>0</v>
      </c>
      <c r="CJ239" s="793">
        <f>0</f>
        <v>0</v>
      </c>
      <c r="CK239" s="920">
        <f>0</f>
        <v>0</v>
      </c>
      <c r="CL239" s="920">
        <f>0</f>
        <v>0</v>
      </c>
      <c r="CM239" s="920">
        <f>0</f>
        <v>0</v>
      </c>
      <c r="CN239" s="920">
        <f>0</f>
        <v>0</v>
      </c>
      <c r="CO239" s="920">
        <f>0</f>
        <v>0</v>
      </c>
      <c r="CP239" s="920">
        <f>0</f>
        <v>0</v>
      </c>
      <c r="CQ239" s="920">
        <f>0</f>
        <v>0</v>
      </c>
      <c r="CR239" s="920">
        <f>0</f>
        <v>0</v>
      </c>
      <c r="CS239" s="793">
        <f>0</f>
        <v>0</v>
      </c>
      <c r="CT239" s="793">
        <f>0</f>
        <v>0</v>
      </c>
      <c r="CU239" s="793">
        <f>0</f>
        <v>0</v>
      </c>
      <c r="CV239" s="2866">
        <f>q_HAOH_AGING*(X_HAO_H+X_HAO_H_P)</f>
        <v>1.5E-48</v>
      </c>
      <c r="CX239" s="2880">
        <f>E299*E239+F299*F239+G299*G239+H299*H239+I299*I239+J299*J239+K299*K239+L299*L239+M299*M239+N299*N239+O299*O239+P299*P239+Q299*Q239+R299*R239+S299*S239+T299*T239+U299*U239+V299*V239+W299*W239+X299*X239+Y299*Y239+Z299*Z239+AA299*AA239+AB299*AB239+AC299*AC239+AD299*AD239+AE299*AE239+AF299*AF239+AG299*AG239+AH299*AH239+AI299*AI239+AJ299*AJ239+AK299*AK239+AL299*AL239+AM299*AM239+AN299*AN239+AO299*AO239+AP299*AP239+AQ299*AQ239+AR299*AR239+AS299*AS239+AT299*AT239+AU299*AU239+AV299*AV239+AW299*AW239+AX299*AX239+AY299*AY239+AZ299*AZ239+BA299*BA239+BB299*BB239+BC299*BC239+BD299*BD239+BE299*BE239+BF299*BF239+BG299*BG239+BH299*BH239+BI299*BI239+BJ299*BJ239+BK299*BK239+BL299*BL239+BM299*BM239+BN299*BN239+BO299*BO239+BP299*BP239+BQ299*BQ239+BR299*BR239+BS299*BS239+BT299*BT239+BU299*BU239+BV299*BV239+BW299*BW239+BX299*BX239+BY299*BY239+BZ299*BZ239+CA299*CA239+CB299*CB239+CC299*CC239+CD299*CD239+CE299*CE239+CF299*CF239+CG299*CG239+CH299*CH239+CI299*CI239+CJ299*CJ239+CK299*CK239+CL299*CL239+CM299*CM239+CN299*CN239+CO299*CO239+CP299*CP239+CQ299*CQ239+CR299*CR239+CS299*CS239+CT299*CT239+CU299*CU239</f>
        <v>0</v>
      </c>
      <c r="CY239" s="2880">
        <f>E300*E239+F300*F239+G300*G239+H300*H239+I300*I239+J300*J239+K300*K239+L300*L239+M300*M239+N300*N239+O300*O239+P300*P239+Q300*Q239+R300*R239+S300*S239+T300*T239+U300*U239+V300*V239+W300*W239+X300*X239+Y300*Y239+Z300*Z239+AA300*AA239+AB300*AB239+AC300*AC239+AD300*AD239+AE300*AE239+AF300*AF239+AG300*AG239+AH300*AH239+AI300*AI239+AJ300*AJ239+AK300*AK239+AL300*AL239+AM300*AM239+AN300*AN239+AO300*AO239+AP300*AP239+AQ300*AQ239+AR300*AR239+AS300*AS239+AT300*AT239+AU300*AU239+AV300*AV239+AW300*AW239+AX300*AX239+AY300*AY239+AZ300*AZ239+BA300*BA239+BB300*BB239+BC300*BC239+BD300*BD239+BE300*BE239+BF300*BF239+BG300*BG239+BH300*BH239+BI300*BI239+BJ300*BJ239+BK300*BK239+BL300*BL239+BM300*BM239+BN300*BN239+BO300*BO239+BP300*BP239+BQ300*BQ239+BR300*BR239+BS300*BS239+BT300*BT239+BU300*BU239+BV300*BV239+BW300*BW239+BX300*BX239+BY300*BY239+BZ300*BZ239+CA300*CA239+CB300*CB239+CC300*CC239+CD300*CD239+CE300*CE239+CF300*CF239+CG300*CG239+CH300*CH239+CI300*CI239+CJ300*CJ239+CK300*CK239+CL300*CL239+CM300*CM239+CN300*CN239+CO300*CO239+CP300*CP239+CQ300*CQ239+CR300*CR239+CS300*CS239+CT300*CT239+CU300*CU239</f>
        <v>0</v>
      </c>
      <c r="CZ239" s="2881">
        <f>E301*E239+F301*F239+G301*G239+H301*H239+I301*I239+J301*J239+K301*K239+L301*L239+M301*M239+N301*N239+O301*O239+P301*P239+Q301*Q239+R301*R239+S301*S239+T301*T239+U301*U239+V301*V239+W301*W239+X301*X239+Y301*Y239+Z301*Z239+AA301*AA239+AB301*AB239+AC301*AC239+AD301*AD239+AE301*AE239+AF301*AF239+AG301*AG239+AH301*AH239+AI301*AI239+AJ301*AJ239+AK301*AK239+AL301*AL239+AM301*AM239+AN301*AN239+AO301*AO239+AP301*AP239+AQ301*AQ239+AR301*AR239+AS301*AS239+AT301*AT239+AU301*AU239+AV301*AV239+AW301*AW239+AX301*AX239+AY301*AY239+AZ301*AZ239+BA301*BA239+BB301*BB239+BC301*BC239+BD301*BD239+BE301*BE239+BF301*BF239+BG301*BG239+BH301*BH239+BI301*BI239+BJ301*BJ239+BK301*BK239+BL301*BL239+BM301*BM239+BN301*BN239+BO301*BO239+BP301*BP239+BQ301*BQ239+BR301*BR239+BS301*BS239+BT301*BT239+BU301*BU239+BV301*BV239+BW301*BW239+BX301*BX239+BY301*BY239+BZ301*BZ239+CA301*CA239+CB301*CB239+CC301*CC239+CD301*CD239+CE301*CE239+CF301*CF239+CG301*CG239+CH301*CH239+CI301*CI239+CJ301*CJ239+CK301*CK239+CL301*CL239+CM301*CM239+CN301*CN239+CO301*CO239+CP301*CP239+CQ301*CQ239+CR301*CR239+CS301*CS239+CT301*CT239+CU301*CU239</f>
        <v>0</v>
      </c>
      <c r="DA239" s="2882">
        <f>E302*E239+F302*F239+G302*G239+H302*H239+I302*I239+J302*J239+K302*K239+L302*L239+M302*M239+N302*N239+O302*O239+P302*P239+Q302*Q239+R302*R239+S302*S239+T302*T239+U302*U239+V302*V239+W302*W239+X302*X239+Y302*Y239+Z302*Z239+AA302*AA239+AB302*AB239+AC302*AC239+AD302*AD239+AE302*AE239+AF302*AF239+AG302*AG239+AH302*AH239+AI302*AI239+AJ302*AJ239+AK302*AK239+AL302*AL239+AM302*AM239+AN302*AN239+AO302*AO239+AP302*AP239+AQ302*AQ239+AR302*AR239+AS302*AS239+AT302*AT239+AU302*AU239+AV302*AV239+AW302*AW239+AX302*AX239+AY302*AY239+AZ302*AZ239+BA302*BA239+BB302*BB239+BC302*BC239+BD302*BD239+BE302*BE239+BF302*BF239+BG302*BG239+BH302*BH239+BI302*BI239+BJ302*BJ239+BK302*BK239+BL302*BL239+BM302*BM239+BN302*BN239+BO302*BO239+BP302*BP239+BQ302*BQ239+BR302*BR239+BS302*BS239+BT302*BT239+BU302*BU239+BV302*BV239+BW302*BW239+BX302*BX239+BY302*BY239+BZ302*BZ239+CA302*CA239+CB302*CB239+CC302*CC239+CD302*CD239+CE302*CE239+CF302*CF239+CG302*CG239+CH302*CH239+CI302*CI239+CJ302*CJ239+CK302*CK239+CL302*CL239+CM302*CM239+CN302*CN239+CO302*CO239+CP302*CP239+CQ302*CQ239+CR302*CR239+CS302*CS239+CT302*CT239+CU302*CU239</f>
        <v>0</v>
      </c>
      <c r="DB239" s="2882">
        <f>E303*E239+F303*F239+G303*G239+H303*H239+I303*I239+J303*J239+K303*K239+L303*L239+M303*M239+N303*N239+O303*O239+P303*P239+Q303*Q239+R303*R239+S303*S239+T303*T239+U303*U239+V303*V239+W303*W239+X303*X239+Y303*Y239+Z303*Z239+AA303*AA239+AB303*AB239+AC303*AC239+AD303*AD239+AE303*AE239+AF303*AF239+AG303*AG239+AH303*AH239+AI303*AI239+AJ303*AJ239+AK303*AK239+AL303*AL239+AM303*AM239+AN303*AN239+AO303*AO239+AP303*AP239+AQ303*AQ239+AR303*AR239+AS303*AS239+AT303*AT239+AU303*AU239+AV303*AV239+AW303*AW239+AX303*AX239+AY303*AY239+AZ303*AZ239+BA303*BA239+BB303*BB239+BC303*BC239+BD303*BD239+BE303*BE239+BF303*BF239+BG303*BG239+BH303*BH239+BI303*BI239+BJ303*BJ239+BK303*BK239+BL303*BL239+BM303*BM239+BN303*BN239+BO303*BO239+BP303*BP239+BQ303*BQ239+BR303*BR239+BS303*BS239+BT303*BT239+BU303*BU239+BV303*BV239+BW303*BW239+BX303*BX239+BY303*BY239+BZ303*BZ239+CA303*CA239+CB303*CB239+CC303*CC239+CD303*CD239+CE303*CE239+CF303*CF239+CG303*CG239+CH303*CH239+CI303*CI239+CJ303*CJ239+CK303*CK239+CL303*CL239+CM303*CM239+CN303*CN239+CO303*CO239+CP303*CP239+CQ303*CQ239+CR303*CR239+CS303*CS239+CT303*CT239+CU303*CU239</f>
        <v>0</v>
      </c>
      <c r="DC239" s="2882">
        <f>E304*E239+F304*F239+G304*G239+H304*H239+I304*I239+J304*J239+K304*K239+L304*L239+M304*M239+N304*N239+O304*O239+P304*P239+Q304*Q239+R304*R239+S304*S239+T304*T239+U304*U239+V304*V239+W304*W239+X304*X239+Y304*Y239+Z304*Z239+AA304*AA239+AB304*AB239+AC304*AC239+AD304*AD239+AE304*AE239+AF304*AF239+AG304*AG239+AH304*AH239+AI304*AI239+AJ304*AJ239+AK304*AK239+AL304*AL239+AM304*AM239+AN304*AN239+AO304*AO239+AP304*AP239+AQ304*AQ239+AR304*AR239+AS304*AS239+AT304*AT239+AU304*AU239+AV304*AV239+AW304*AW239+AX304*AX239+AY304*AY239+AZ304*AZ239+BA304*BA239+BB304*BB239+BC304*BC239+BD304*BD239+BE304*BE239+BF304*BF239+BG304*BG239+BH304*BH239+BI304*BI239+BJ304*BJ239+BK304*BK239+BL304*BL239+BM304*BM239+BN304*BN239+BO304*BO239+BP304*BP239+BQ304*BQ239+BR304*BR239+BS304*BS239+BT304*BT239+BU304*BU239+BV304*BV239+BW304*BW239+BX304*BX239+BY304*BY239+BZ304*BZ239+CA304*CA239+CB304*CB239+CC304*CC239+CD304*CD239+CE304*CE239+CF304*CF239+CG304*CG239+CH304*CH239+CI304*CI239+CJ304*CJ239+CK304*CK239+CL304*CL239+CM304*CM239+CN304*CN239+CO304*CO239+CP304*CP239+CQ304*CQ239+CR304*CR239+CS304*CS239+CT304*CT239+CU304*CU239</f>
        <v>0</v>
      </c>
      <c r="DD239" s="2882">
        <f>E305*E239+F305*F239+G305*G239+H305*H239+I305*I239+J305*J239+K305*K239+L305*L239+M305*M239+N305*N239+O305*O239+P305*P239+Q305*Q239+R305*R239+S305*S239+T305*T239+U305*U239+V305*V239+W305*W239+X305*X239+Y305*Y239+Z305*Z239+AA305*AA239+AB305*AB239+AC305*AC239+AD305*AD239+AE305*AE239+AF305*AF239+AG305*AG239+AH305*AH239+AI305*AI239+AJ305*AJ239+AK305*AK239+AL305*AL239+AM305*AM239+AN305*AN239+AO305*AO239+AP305*AP239+AQ305*AQ239+AR305*AR239+AS305*AS239+AT305*AT239+AU305*AU239+AV305*AV239+AW305*AW239+AX305*AX239+AY305*AY239+AZ305*AZ239+BA305*BA239+BB305*BB239+BC305*BC239+BD305*BD239+BE305*BE239+BF305*BF239+BG305*BG239+BH305*BH239+BI305*BI239+BJ305*BJ239+BK305*BK239+BL305*BL239+BM305*BM239+BN305*BN239+BO305*BO239+BP305*BP239+BQ305*BQ239+BR305*BR239+BS305*BS239+BT305*BT239+BU305*BU239+BV305*BV239+BW305*BW239+BX305*BX239+BY305*BY239+BZ305*BZ239+CA305*CA239+CB305*CB239+CC305*CC239+CD305*CD239+CE305*CE239+CF305*CF239+CG305*CG239+CH305*CH239+CI305*CI239+CJ305*CJ239+CK305*CK239+CL305*CL239+CM305*CM239+CN305*CN239+CO305*CO239+CP305*CP239+CQ305*CQ239+CR305*CR239+CS305*CS239+CT305*CT239+CU305*CU239</f>
        <v>0</v>
      </c>
      <c r="DE239" s="2882">
        <f>E306*E239+F306*F239+G306*G239+H306*H239+I306*I239+J306*J239+K306*K239+L306*L239+M306*M239+N306*N239+O306*O239+P306*P239+Q306*Q239+R306*R239+S306*S239+T306*T239+U306*U239+V306*V239+W306*W239+X306*X239+Y306*Y239+Z306*Z239+AA306*AA239+AB306*AB239+AC306*AC239+AD306*AD239+AE306*AE239+AF306*AF239+AG306*AG239+AH306*AH239+AI306*AI239+AJ306*AJ239+AK306*AK239+AL306*AL239+AM306*AM239+AN306*AN239+AO306*AO239+AP306*AP239+AQ306*AQ239+AR306*AR239+AS306*AS239+AT306*AT239+AU306*AU239+AV306*AV239+AW306*AW239+AX306*AX239+AY306*AY239+AZ306*AZ239+BA306*BA239+BB306*BB239+BC306*BC239+BD306*BD239+BE306*BE239+BF306*BF239+BG306*BG239+BH306*BH239+BI306*BI239+BJ306*BJ239+BK306*BK239+BL306*BL239+BM306*BM239+BN306*BN239+BO306*BO239+BP306*BP239+BQ306*BQ239+BR306*BR239+BS306*BS239+BT306*BT239+BU306*BU239+BV306*BV239+BW306*BW239+BX306*BX239+BY306*BY239+BZ306*BZ239+CA306*CA239+CB306*CB239+CC306*CC239+CD306*CD239+CE306*CE239+CF306*CF239+CG306*CG239+CH306*CH239+CI306*CI239+CJ306*CJ239+CK306*CK239+CL306*CL239+CM306*CM239+CN306*CN239+CO306*CO239+CP306*CP239+CQ306*CQ239+CR306*CR239+CS306*CS239+CT306*CT239+CU306*CU239</f>
        <v>0</v>
      </c>
      <c r="DF239" s="2882">
        <f>E307*E239+F307*F239+G307*G239+H307*H239+I307*I239+J307*J239+K307*K239+L307*L239+M307*M239+N307*N239+O307*O239+P307*P239+Q307*Q239+R307*R239+S307*S239+T307*T239+U307*U239+V307*V239+W307*W239+X307*X239+Y307*Y239+Z307*Z239+AA307*AA239+AB307*AB239+AC307*AC239+AD307*AD239+AE307*AE239+AF307*AF239+AG307*AG239+AH307*AH239+AI307*AI239+AJ307*AJ239+AK307*AK239+AL307*AL239+AM307*AM239+AN307*AN239+AO307*AO239+AP307*AP239+AQ307*AQ239+AR307*AR239+AS307*AS239+AT307*AT239+AU307*AU239+AV307*AV239+AW307*AW239+AX307*AX239+AY307*AY239+AZ307*AZ239+BA307*BA239+BB307*BB239+BC307*BC239+BD307*BD239+BE307*BE239+BF307*BF239+BG307*BG239+BH307*BH239+BI307*BI239+BJ307*BJ239+BK307*BK239+BL307*BL239+BM307*BM239+BN307*BN239+BO307*BO239+BP307*BP239+BQ307*BQ239+BR307*BR239+BS307*BS239+BT307*BT239+BU307*BU239+BV307*BV239+BW307*BW239+BX307*BX239+BY307*BY239+BZ307*BZ239+CA307*CA239+CB307*CB239+CC307*CC239+CD307*CD239+CE307*CE239+CF307*CF239+CG307*CG239+CH307*CH239+CI307*CI239+CJ307*CJ239+CK307*CK239+CL307*CL239+CM307*CM239+CN307*CN239+CO307*CO239+CP307*CP239+CQ307*CQ239+CR307*CR239+CS307*CS239+CT307*CT239+CU307*CU239</f>
        <v>0</v>
      </c>
      <c r="DG239" s="2882">
        <f>E308*E239+F308*F239+G308*G239+H308*H239+I308*I239+J308*J239+K308*K239+L308*L239+M308*M239+N308*N239+O308*O239+P308*P239+Q308*Q239+R308*R239+S308*S239+T308*T239+U308*U239+V308*V239+W308*W239+X308*X239+Y308*Y239+Z308*Z239+AA308*AA239+AB308*AB239+AC308*AC239+AD308*AD239+AE308*AE239+AF308*AF239+AG308*AG239+AH308*AH239+AI308*AI239+AJ308*AJ239+AK308*AK239+AL308*AL239+AM308*AM239+AN308*AN239+AO308*AO239+AP308*AP239+AQ308*AQ239+AR308*AR239+AS308*AS239+AT308*AT239+AU308*AU239+AV308*AV239+AW308*AW239+AX308*AX239+AY308*AY239+AZ308*AZ239+BA308*BA239+BB308*BB239+BC308*BC239+BD308*BD239+BE308*BE239+BF308*BF239+BG308*BG239+BH308*BH239+BI308*BI239+BJ308*BJ239+BK308*BK239+BL308*BL239+BM308*BM239+BN308*BN239+BO308*BO239+BP308*BP239+BQ308*BQ239+BR308*BR239+BS308*BS239+BT308*BT239+BU308*BU239+BV308*BV239+BW308*BW239+BX308*BX239+BY308*BY239+BZ308*BZ239+CA308*CA239+CB308*CB239+CC308*CC239+CD308*CD239+CE308*CE239+CF308*CF239+CG308*CG239+CH308*CH239+CI308*CI239+CJ308*CJ239+CK308*CK239+CL308*CL239+CM308*CM239+CN308*CN239+CO308*CO239+CP308*CP239+CQ308*CQ239+CR308*CR239+CS308*CS239+CT308*CT239+CU308*CU239</f>
        <v>0</v>
      </c>
      <c r="DH239" s="2882">
        <f>E309*E239+F309*F239+G309*G239+H309*H239+I309*I239+J309*J239+K309*K239+L309*L239+M309*M239+N309*N239+O309*O239+P309*P239+Q309*Q239+R309*R239+S309*S239+T309*T239+U309*U239+V309*V239+W309*W239+X309*X239+Y309*Y239+Z309*Z239+AA309*AA239+AB309*AB239+AC309*AC239+AD309*AD239+AE309*AE239+AF309*AF239+AG309*AG239+AH309*AH239+AI309*AI239+AJ309*AJ239+AK309*AK239+AL309*AL239+AM309*AM239+AN309*AN239+AO309*AO239+AP309*AP239+AQ309*AQ239+AR309*AR239+AS309*AS239+AT309*AT239+AU309*AU239+AV309*AV239+AW309*AW239+AX309*AX239+AY309*AY239+AZ309*AZ239+BA309*BA239+BB309*BB239+BC309*BC239+BD309*BD239+BE309*BE239+BF309*BF239+BG309*BG239+BH309*BH239+BI309*BI239+BJ309*BJ239+BK309*BK239+BL309*BL239+BM309*BM239+BN309*BN239+BO309*BO239+BP309*BP239+BQ309*BQ239+BR309*BR239+BS309*BS239+BT309*BT239+BU309*BU239+BV309*BV239+BW309*BW239+BX309*BX239+BY309*BY239+BZ309*BZ239+CA309*CA239+CB309*CB239+CC309*CC239+CD309*CD239+CE309*CE239+CF309*CF239+CG309*CG239+CH309*CH239+CI309*CI239+CJ309*CJ239+CK309*CK239+CL309*CL239+CM309*CM239+CN309*CN239+CO309*CO239+CP309*CP239+CQ309*CQ239+CR309*CR239+CS309*CS239+CT309*CT239+CU309*CU239</f>
        <v>0</v>
      </c>
      <c r="DI239" s="2882">
        <f>E310*E239+F310*F239+G310*G239+H310*H239+I310*I239+J310*J239+K310*K239+L310*L239+M310*M239+N310*N239+O310*O239+P310*P239+Q310*Q239+R310*R239+S310*S239+T310*T239+U310*U239+V310*V239+W310*W239+X310*X239+Y310*Y239+Z310*Z239+AA310*AA239+AB310*AB239+AC310*AC239+AD310*AD239+AE310*AE239+AF310*AF239+AG310*AG239+AH310*AH239+AI310*AI239+AJ310*AJ239+AK310*AK239+AL310*AL239+AM310*AM239+AN310*AN239+AO310*AO239+AP310*AP239+AQ310*AQ239+AR310*AR239+AS310*AS239+AT310*AT239+AU310*AU239+AV310*AV239+AW310*AW239+AX310*AX239+AY310*AY239+AZ310*AZ239+BA310*BA239+BB310*BB239+BC310*BC239+BD310*BD239+BE310*BE239+BF310*BF239+BG310*BG239+BH310*BH239+BI310*BI239+BJ310*BJ239+BK310*BK239+BL310*BL239+BM310*BM239+BN310*BN239+BO310*BO239+BP310*BP239+BQ310*BQ239+BR310*BR239+BS310*BS239+BT310*BT239+BU310*BU239+BV310*BV239+BW310*BW239+BX310*BX239+BY310*BY239+BZ310*BZ239+CA310*CA239+CB310*CB239+CC310*CC239+CD310*CD239+CE310*CE239+CF310*CF239+CG310*CG239+CH310*CH239+CI310*CI239+CJ310*CJ239+CK310*CK239+CL310*CL239+CM310*CM239+CN310*CN239+CO310*CO239+CP310*CP239+CQ310*CQ239+CR310*CR239+CS310*CS239+CT310*CT239+CU310*CU239</f>
        <v>0</v>
      </c>
    </row>
    <row r="240" spans="2:113" x14ac:dyDescent="0.45">
      <c r="B240" s="2209">
        <v>81</v>
      </c>
      <c r="C240" s="2209" t="s">
        <v>3070</v>
      </c>
      <c r="D240" s="2210" t="s">
        <v>4453</v>
      </c>
      <c r="E240" s="901">
        <f>0</f>
        <v>0</v>
      </c>
      <c r="F240" s="901">
        <f>0</f>
        <v>0</v>
      </c>
      <c r="G240" s="901">
        <f>0</f>
        <v>0</v>
      </c>
      <c r="H240" s="901">
        <f>0</f>
        <v>0</v>
      </c>
      <c r="I240" s="901">
        <f>0</f>
        <v>0</v>
      </c>
      <c r="J240" s="901">
        <f>0</f>
        <v>0</v>
      </c>
      <c r="K240" s="901">
        <f>0</f>
        <v>0</v>
      </c>
      <c r="L240" s="901">
        <f>0</f>
        <v>0</v>
      </c>
      <c r="M240" s="901">
        <f>0</f>
        <v>0</v>
      </c>
      <c r="N240" s="901">
        <f>0</f>
        <v>0</v>
      </c>
      <c r="O240" s="901">
        <f>0</f>
        <v>0</v>
      </c>
      <c r="P240" s="901">
        <f>0</f>
        <v>0</v>
      </c>
      <c r="Q240" s="920">
        <f>0</f>
        <v>0</v>
      </c>
      <c r="R240" s="901">
        <f>0</f>
        <v>0</v>
      </c>
      <c r="S240" s="901">
        <f>0</f>
        <v>0</v>
      </c>
      <c r="T240" s="901">
        <f>0</f>
        <v>0</v>
      </c>
      <c r="U240" s="901">
        <f>0</f>
        <v>0</v>
      </c>
      <c r="V240" s="901">
        <f>0</f>
        <v>0</v>
      </c>
      <c r="W240" s="901">
        <f>0</f>
        <v>0</v>
      </c>
      <c r="X240" s="901">
        <f>0</f>
        <v>0</v>
      </c>
      <c r="Y240" s="734">
        <f>0</f>
        <v>0</v>
      </c>
      <c r="Z240" s="734">
        <f>0</f>
        <v>0</v>
      </c>
      <c r="AA240" s="734">
        <f>0</f>
        <v>0</v>
      </c>
      <c r="AB240" s="901">
        <f>0</f>
        <v>0</v>
      </c>
      <c r="AC240" s="901">
        <f>0</f>
        <v>0</v>
      </c>
      <c r="AD240" s="901">
        <f>0</f>
        <v>0</v>
      </c>
      <c r="AE240" s="901">
        <f>0</f>
        <v>0</v>
      </c>
      <c r="AF240" s="921">
        <f>0</f>
        <v>0</v>
      </c>
      <c r="AG240" s="921">
        <f>0</f>
        <v>0</v>
      </c>
      <c r="AH240" s="901">
        <f>0</f>
        <v>0</v>
      </c>
      <c r="AI240" s="901">
        <f>0</f>
        <v>0</v>
      </c>
      <c r="AJ240" s="901">
        <f>0</f>
        <v>0</v>
      </c>
      <c r="AK240" s="901">
        <f>0</f>
        <v>0</v>
      </c>
      <c r="AL240" s="901">
        <f>0</f>
        <v>0</v>
      </c>
      <c r="AM240" s="921">
        <f>0</f>
        <v>0</v>
      </c>
      <c r="AN240" s="901">
        <f>0</f>
        <v>0</v>
      </c>
      <c r="AO240" s="920">
        <f>0</f>
        <v>0</v>
      </c>
      <c r="AP240" s="901">
        <f>0</f>
        <v>0</v>
      </c>
      <c r="AQ240" s="901">
        <f>0</f>
        <v>0</v>
      </c>
      <c r="AR240" s="920">
        <f>0</f>
        <v>0</v>
      </c>
      <c r="AS240" s="901">
        <f>0</f>
        <v>0</v>
      </c>
      <c r="AT240" s="901">
        <f>0</f>
        <v>0</v>
      </c>
      <c r="AU240" s="901">
        <f>0</f>
        <v>0</v>
      </c>
      <c r="AV240" s="901">
        <f>0</f>
        <v>0</v>
      </c>
      <c r="AW240" s="901">
        <f>0</f>
        <v>0</v>
      </c>
      <c r="AX240" s="901">
        <f>0</f>
        <v>0</v>
      </c>
      <c r="AY240" s="920">
        <f>0</f>
        <v>0</v>
      </c>
      <c r="AZ240" s="901">
        <f>0</f>
        <v>0</v>
      </c>
      <c r="BA240" s="901">
        <f>0</f>
        <v>0</v>
      </c>
      <c r="BB240" s="734">
        <f>0</f>
        <v>0</v>
      </c>
      <c r="BC240" s="734">
        <f>0</f>
        <v>0</v>
      </c>
      <c r="BD240" s="734">
        <f>0</f>
        <v>0</v>
      </c>
      <c r="BE240" s="901">
        <f>0</f>
        <v>0</v>
      </c>
      <c r="BF240" s="920">
        <f>0</f>
        <v>0</v>
      </c>
      <c r="BG240" s="901">
        <f>0</f>
        <v>0</v>
      </c>
      <c r="BH240" s="920">
        <f>0</f>
        <v>0</v>
      </c>
      <c r="BI240" s="920">
        <f>0</f>
        <v>0</v>
      </c>
      <c r="BJ240" s="901">
        <f>0</f>
        <v>0</v>
      </c>
      <c r="BK240" s="922">
        <f>0</f>
        <v>0</v>
      </c>
      <c r="BL240" s="922">
        <f>0</f>
        <v>0</v>
      </c>
      <c r="BM240" s="901">
        <f>0</f>
        <v>0</v>
      </c>
      <c r="BN240" s="922">
        <f>-X_HAO_L/(X_HAO_L+X_HAO_L_P)</f>
        <v>-0.5</v>
      </c>
      <c r="BO240" s="922">
        <f>X_HAO_L/(X_HAO_L+X_HAO_L_P)</f>
        <v>0.5</v>
      </c>
      <c r="BP240" s="922">
        <f>0</f>
        <v>0</v>
      </c>
      <c r="BQ240" s="922">
        <f>-X_HAO_L_P/(X_HAO_L+X_HAO_L_P)</f>
        <v>-0.5</v>
      </c>
      <c r="BR240" s="922">
        <f>0</f>
        <v>0</v>
      </c>
      <c r="BS240" s="922">
        <f>X_HAO_L_P/(X_HAO_L+X_HAO_L_P)</f>
        <v>0.5</v>
      </c>
      <c r="BT240" s="920">
        <f>0</f>
        <v>0</v>
      </c>
      <c r="BU240" s="920">
        <f>0</f>
        <v>0</v>
      </c>
      <c r="BV240" s="920">
        <f>0</f>
        <v>0</v>
      </c>
      <c r="BW240" s="920">
        <f>0</f>
        <v>0</v>
      </c>
      <c r="BX240" s="920">
        <f>0</f>
        <v>0</v>
      </c>
      <c r="BY240" s="793">
        <f>0</f>
        <v>0</v>
      </c>
      <c r="BZ240" s="920">
        <f>0</f>
        <v>0</v>
      </c>
      <c r="CA240" s="920">
        <f>0</f>
        <v>0</v>
      </c>
      <c r="CB240" s="920">
        <f>0</f>
        <v>0</v>
      </c>
      <c r="CC240" s="920">
        <f>0</f>
        <v>0</v>
      </c>
      <c r="CD240" s="920">
        <f>0</f>
        <v>0</v>
      </c>
      <c r="CE240" s="920">
        <f>0</f>
        <v>0</v>
      </c>
      <c r="CF240" s="920">
        <f>0</f>
        <v>0</v>
      </c>
      <c r="CG240" s="920">
        <f>0</f>
        <v>0</v>
      </c>
      <c r="CH240" s="920">
        <f>0</f>
        <v>0</v>
      </c>
      <c r="CI240" s="920">
        <f>0</f>
        <v>0</v>
      </c>
      <c r="CJ240" s="793">
        <f>0</f>
        <v>0</v>
      </c>
      <c r="CK240" s="920">
        <f>0</f>
        <v>0</v>
      </c>
      <c r="CL240" s="920">
        <f>0</f>
        <v>0</v>
      </c>
      <c r="CM240" s="920">
        <f>0</f>
        <v>0</v>
      </c>
      <c r="CN240" s="920">
        <f>0</f>
        <v>0</v>
      </c>
      <c r="CO240" s="920">
        <f>0</f>
        <v>0</v>
      </c>
      <c r="CP240" s="920">
        <f>0</f>
        <v>0</v>
      </c>
      <c r="CQ240" s="920">
        <f>0</f>
        <v>0</v>
      </c>
      <c r="CR240" s="920">
        <f>0</f>
        <v>0</v>
      </c>
      <c r="CS240" s="793">
        <f>0</f>
        <v>0</v>
      </c>
      <c r="CT240" s="793">
        <f>0</f>
        <v>0</v>
      </c>
      <c r="CU240" s="793">
        <f>0</f>
        <v>0</v>
      </c>
      <c r="CV240" s="2866">
        <f>q_HAOL_AGING*(X_HAO_L+X_HAO_L_P)</f>
        <v>2E-50</v>
      </c>
      <c r="CX240" s="2880">
        <f>E299*E240+F299*F240+G299*G240+H299*H240+I299*I240+J299*J240+K299*K240+L299*L240+M299*M240+N299*N240+O299*O240+P299*P240+Q299*Q240+R299*R240+S299*S240+T299*T240+U299*U240+V299*V240+W299*W240+X299*X240+Y299*Y240+Z299*Z240+AA299*AA240+AB299*AB240+AC299*AC240+AD299*AD240+AE299*AE240+AF299*AF240+AG299*AG240+AH299*AH240+AI299*AI240+AJ299*AJ240+AK299*AK240+AL299*AL240+AM299*AM240+AN299*AN240+AO299*AO240+AP299*AP240+AQ299*AQ240+AR299*AR240+AS299*AS240+AT299*AT240+AU299*AU240+AV299*AV240+AW299*AW240+AX299*AX240+AY299*AY240+AZ299*AZ240+BA299*BA240+BB299*BB240+BC299*BC240+BD299*BD240+BE299*BE240+BF299*BF240+BG299*BG240+BH299*BH240+BI299*BI240+BJ299*BJ240+BK299*BK240+BL299*BL240+BM299*BM240+BN299*BN240+BO299*BO240+BP299*BP240+BQ299*BQ240+BR299*BR240+BS299*BS240+BT299*BT240+BU299*BU240+BV299*BV240+BW299*BW240+BX299*BX240+BY299*BY240+BZ299*BZ240+CA299*CA240+CB299*CB240+CC299*CC240+CD299*CD240+CE299*CE240+CF299*CF240+CG299*CG240+CH299*CH240+CI299*CI240+CJ299*CJ240+CK299*CK240+CL299*CL240+CM299*CM240+CN299*CN240+CO299*CO240+CP299*CP240+CQ299*CQ240+CR299*CR240+CS299*CS240+CT299*CT240+CU299*CU240</f>
        <v>0</v>
      </c>
      <c r="CY240" s="2880">
        <f>E300*E240+F300*F240+G300*G240+H300*H240+I300*I240+J300*J240+K300*K240+L300*L240+M300*M240+N300*N240+O300*O240+P300*P240+Q300*Q240+R300*R240+S300*S240+T300*T240+U300*U240+V300*V240+W300*W240+X300*X240+Y300*Y240+Z300*Z240+AA300*AA240+AB300*AB240+AC300*AC240+AD300*AD240+AE300*AE240+AF300*AF240+AG300*AG240+AH300*AH240+AI300*AI240+AJ300*AJ240+AK300*AK240+AL300*AL240+AM300*AM240+AN300*AN240+AO300*AO240+AP300*AP240+AQ300*AQ240+AR300*AR240+AS300*AS240+AT300*AT240+AU300*AU240+AV300*AV240+AW300*AW240+AX300*AX240+AY300*AY240+AZ300*AZ240+BA300*BA240+BB300*BB240+BC300*BC240+BD300*BD240+BE300*BE240+BF300*BF240+BG300*BG240+BH300*BH240+BI300*BI240+BJ300*BJ240+BK300*BK240+BL300*BL240+BM300*BM240+BN300*BN240+BO300*BO240+BP300*BP240+BQ300*BQ240+BR300*BR240+BS300*BS240+BT300*BT240+BU300*BU240+BV300*BV240+BW300*BW240+BX300*BX240+BY300*BY240+BZ300*BZ240+CA300*CA240+CB300*CB240+CC300*CC240+CD300*CD240+CE300*CE240+CF300*CF240+CG300*CG240+CH300*CH240+CI300*CI240+CJ300*CJ240+CK300*CK240+CL300*CL240+CM300*CM240+CN300*CN240+CO300*CO240+CP300*CP240+CQ300*CQ240+CR300*CR240+CS300*CS240+CT300*CT240+CU300*CU240</f>
        <v>0</v>
      </c>
      <c r="CZ240" s="2881">
        <f>E301*E240+F301*F240+G301*G240+H301*H240+I301*I240+J301*J240+K301*K240+L301*L240+M301*M240+N301*N240+O301*O240+P301*P240+Q301*Q240+R301*R240+S301*S240+T301*T240+U301*U240+V301*V240+W301*W240+X301*X240+Y301*Y240+Z301*Z240+AA301*AA240+AB301*AB240+AC301*AC240+AD301*AD240+AE301*AE240+AF301*AF240+AG301*AG240+AH301*AH240+AI301*AI240+AJ301*AJ240+AK301*AK240+AL301*AL240+AM301*AM240+AN301*AN240+AO301*AO240+AP301*AP240+AQ301*AQ240+AR301*AR240+AS301*AS240+AT301*AT240+AU301*AU240+AV301*AV240+AW301*AW240+AX301*AX240+AY301*AY240+AZ301*AZ240+BA301*BA240+BB301*BB240+BC301*BC240+BD301*BD240+BE301*BE240+BF301*BF240+BG301*BG240+BH301*BH240+BI301*BI240+BJ301*BJ240+BK301*BK240+BL301*BL240+BM301*BM240+BN301*BN240+BO301*BO240+BP301*BP240+BQ301*BQ240+BR301*BR240+BS301*BS240+BT301*BT240+BU301*BU240+BV301*BV240+BW301*BW240+BX301*BX240+BY301*BY240+BZ301*BZ240+CA301*CA240+CB301*CB240+CC301*CC240+CD301*CD240+CE301*CE240+CF301*CF240+CG301*CG240+CH301*CH240+CI301*CI240+CJ301*CJ240+CK301*CK240+CL301*CL240+CM301*CM240+CN301*CN240+CO301*CO240+CP301*CP240+CQ301*CQ240+CR301*CR240+CS301*CS240+CT301*CT240+CU301*CU240</f>
        <v>0</v>
      </c>
      <c r="DA240" s="2882">
        <f>E302*E240+F302*F240+G302*G240+H302*H240+I302*I240+J302*J240+K302*K240+L302*L240+M302*M240+N302*N240+O302*O240+P302*P240+Q302*Q240+R302*R240+S302*S240+T302*T240+U302*U240+V302*V240+W302*W240+X302*X240+Y302*Y240+Z302*Z240+AA302*AA240+AB302*AB240+AC302*AC240+AD302*AD240+AE302*AE240+AF302*AF240+AG302*AG240+AH302*AH240+AI302*AI240+AJ302*AJ240+AK302*AK240+AL302*AL240+AM302*AM240+AN302*AN240+AO302*AO240+AP302*AP240+AQ302*AQ240+AR302*AR240+AS302*AS240+AT302*AT240+AU302*AU240+AV302*AV240+AW302*AW240+AX302*AX240+AY302*AY240+AZ302*AZ240+BA302*BA240+BB302*BB240+BC302*BC240+BD302*BD240+BE302*BE240+BF302*BF240+BG302*BG240+BH302*BH240+BI302*BI240+BJ302*BJ240+BK302*BK240+BL302*BL240+BM302*BM240+BN302*BN240+BO302*BO240+BP302*BP240+BQ302*BQ240+BR302*BR240+BS302*BS240+BT302*BT240+BU302*BU240+BV302*BV240+BW302*BW240+BX302*BX240+BY302*BY240+BZ302*BZ240+CA302*CA240+CB302*CB240+CC302*CC240+CD302*CD240+CE302*CE240+CF302*CF240+CG302*CG240+CH302*CH240+CI302*CI240+CJ302*CJ240+CK302*CK240+CL302*CL240+CM302*CM240+CN302*CN240+CO302*CO240+CP302*CP240+CQ302*CQ240+CR302*CR240+CS302*CS240+CT302*CT240+CU302*CU240</f>
        <v>0</v>
      </c>
      <c r="DB240" s="2882">
        <f>E303*E240+F303*F240+G303*G240+H303*H240+I303*I240+J303*J240+K303*K240+L303*L240+M303*M240+N303*N240+O303*O240+P303*P240+Q303*Q240+R303*R240+S303*S240+T303*T240+U303*U240+V303*V240+W303*W240+X303*X240+Y303*Y240+Z303*Z240+AA303*AA240+AB303*AB240+AC303*AC240+AD303*AD240+AE303*AE240+AF303*AF240+AG303*AG240+AH303*AH240+AI303*AI240+AJ303*AJ240+AK303*AK240+AL303*AL240+AM303*AM240+AN303*AN240+AO303*AO240+AP303*AP240+AQ303*AQ240+AR303*AR240+AS303*AS240+AT303*AT240+AU303*AU240+AV303*AV240+AW303*AW240+AX303*AX240+AY303*AY240+AZ303*AZ240+BA303*BA240+BB303*BB240+BC303*BC240+BD303*BD240+BE303*BE240+BF303*BF240+BG303*BG240+BH303*BH240+BI303*BI240+BJ303*BJ240+BK303*BK240+BL303*BL240+BM303*BM240+BN303*BN240+BO303*BO240+BP303*BP240+BQ303*BQ240+BR303*BR240+BS303*BS240+BT303*BT240+BU303*BU240+BV303*BV240+BW303*BW240+BX303*BX240+BY303*BY240+BZ303*BZ240+CA303*CA240+CB303*CB240+CC303*CC240+CD303*CD240+CE303*CE240+CF303*CF240+CG303*CG240+CH303*CH240+CI303*CI240+CJ303*CJ240+CK303*CK240+CL303*CL240+CM303*CM240+CN303*CN240+CO303*CO240+CP303*CP240+CQ303*CQ240+CR303*CR240+CS303*CS240+CT303*CT240+CU303*CU240</f>
        <v>0</v>
      </c>
      <c r="DC240" s="2882">
        <f>E304*E240+F304*F240+G304*G240+H304*H240+I304*I240+J304*J240+K304*K240+L304*L240+M304*M240+N304*N240+O304*O240+P304*P240+Q304*Q240+R304*R240+S304*S240+T304*T240+U304*U240+V304*V240+W304*W240+X304*X240+Y304*Y240+Z304*Z240+AA304*AA240+AB304*AB240+AC304*AC240+AD304*AD240+AE304*AE240+AF304*AF240+AG304*AG240+AH304*AH240+AI304*AI240+AJ304*AJ240+AK304*AK240+AL304*AL240+AM304*AM240+AN304*AN240+AO304*AO240+AP304*AP240+AQ304*AQ240+AR304*AR240+AS304*AS240+AT304*AT240+AU304*AU240+AV304*AV240+AW304*AW240+AX304*AX240+AY304*AY240+AZ304*AZ240+BA304*BA240+BB304*BB240+BC304*BC240+BD304*BD240+BE304*BE240+BF304*BF240+BG304*BG240+BH304*BH240+BI304*BI240+BJ304*BJ240+BK304*BK240+BL304*BL240+BM304*BM240+BN304*BN240+BO304*BO240+BP304*BP240+BQ304*BQ240+BR304*BR240+BS304*BS240+BT304*BT240+BU304*BU240+BV304*BV240+BW304*BW240+BX304*BX240+BY304*BY240+BZ304*BZ240+CA304*CA240+CB304*CB240+CC304*CC240+CD304*CD240+CE304*CE240+CF304*CF240+CG304*CG240+CH304*CH240+CI304*CI240+CJ304*CJ240+CK304*CK240+CL304*CL240+CM304*CM240+CN304*CN240+CO304*CO240+CP304*CP240+CQ304*CQ240+CR304*CR240+CS304*CS240+CT304*CT240+CU304*CU240</f>
        <v>0</v>
      </c>
      <c r="DD240" s="2882">
        <f>E305*E240+F305*F240+G305*G240+H305*H240+I305*I240+J305*J240+K305*K240+L305*L240+M305*M240+N305*N240+O305*O240+P305*P240+Q305*Q240+R305*R240+S305*S240+T305*T240+U305*U240+V305*V240+W305*W240+X305*X240+Y305*Y240+Z305*Z240+AA305*AA240+AB305*AB240+AC305*AC240+AD305*AD240+AE305*AE240+AF305*AF240+AG305*AG240+AH305*AH240+AI305*AI240+AJ305*AJ240+AK305*AK240+AL305*AL240+AM305*AM240+AN305*AN240+AO305*AO240+AP305*AP240+AQ305*AQ240+AR305*AR240+AS305*AS240+AT305*AT240+AU305*AU240+AV305*AV240+AW305*AW240+AX305*AX240+AY305*AY240+AZ305*AZ240+BA305*BA240+BB305*BB240+BC305*BC240+BD305*BD240+BE305*BE240+BF305*BF240+BG305*BG240+BH305*BH240+BI305*BI240+BJ305*BJ240+BK305*BK240+BL305*BL240+BM305*BM240+BN305*BN240+BO305*BO240+BP305*BP240+BQ305*BQ240+BR305*BR240+BS305*BS240+BT305*BT240+BU305*BU240+BV305*BV240+BW305*BW240+BX305*BX240+BY305*BY240+BZ305*BZ240+CA305*CA240+CB305*CB240+CC305*CC240+CD305*CD240+CE305*CE240+CF305*CF240+CG305*CG240+CH305*CH240+CI305*CI240+CJ305*CJ240+CK305*CK240+CL305*CL240+CM305*CM240+CN305*CN240+CO305*CO240+CP305*CP240+CQ305*CQ240+CR305*CR240+CS305*CS240+CT305*CT240+CU305*CU240</f>
        <v>0</v>
      </c>
      <c r="DE240" s="2882">
        <f>E306*E240+F306*F240+G306*G240+H306*H240+I306*I240+J306*J240+K306*K240+L306*L240+M306*M240+N306*N240+O306*O240+P306*P240+Q306*Q240+R306*R240+S306*S240+T306*T240+U306*U240+V306*V240+W306*W240+X306*X240+Y306*Y240+Z306*Z240+AA306*AA240+AB306*AB240+AC306*AC240+AD306*AD240+AE306*AE240+AF306*AF240+AG306*AG240+AH306*AH240+AI306*AI240+AJ306*AJ240+AK306*AK240+AL306*AL240+AM306*AM240+AN306*AN240+AO306*AO240+AP306*AP240+AQ306*AQ240+AR306*AR240+AS306*AS240+AT306*AT240+AU306*AU240+AV306*AV240+AW306*AW240+AX306*AX240+AY306*AY240+AZ306*AZ240+BA306*BA240+BB306*BB240+BC306*BC240+BD306*BD240+BE306*BE240+BF306*BF240+BG306*BG240+BH306*BH240+BI306*BI240+BJ306*BJ240+BK306*BK240+BL306*BL240+BM306*BM240+BN306*BN240+BO306*BO240+BP306*BP240+BQ306*BQ240+BR306*BR240+BS306*BS240+BT306*BT240+BU306*BU240+BV306*BV240+BW306*BW240+BX306*BX240+BY306*BY240+BZ306*BZ240+CA306*CA240+CB306*CB240+CC306*CC240+CD306*CD240+CE306*CE240+CF306*CF240+CG306*CG240+CH306*CH240+CI306*CI240+CJ306*CJ240+CK306*CK240+CL306*CL240+CM306*CM240+CN306*CN240+CO306*CO240+CP306*CP240+CQ306*CQ240+CR306*CR240+CS306*CS240+CT306*CT240+CU306*CU240</f>
        <v>0</v>
      </c>
      <c r="DF240" s="2882">
        <f>E307*E240+F307*F240+G307*G240+H307*H240+I307*I240+J307*J240+K307*K240+L307*L240+M307*M240+N307*N240+O307*O240+P307*P240+Q307*Q240+R307*R240+S307*S240+T307*T240+U307*U240+V307*V240+W307*W240+X307*X240+Y307*Y240+Z307*Z240+AA307*AA240+AB307*AB240+AC307*AC240+AD307*AD240+AE307*AE240+AF307*AF240+AG307*AG240+AH307*AH240+AI307*AI240+AJ307*AJ240+AK307*AK240+AL307*AL240+AM307*AM240+AN307*AN240+AO307*AO240+AP307*AP240+AQ307*AQ240+AR307*AR240+AS307*AS240+AT307*AT240+AU307*AU240+AV307*AV240+AW307*AW240+AX307*AX240+AY307*AY240+AZ307*AZ240+BA307*BA240+BB307*BB240+BC307*BC240+BD307*BD240+BE307*BE240+BF307*BF240+BG307*BG240+BH307*BH240+BI307*BI240+BJ307*BJ240+BK307*BK240+BL307*BL240+BM307*BM240+BN307*BN240+BO307*BO240+BP307*BP240+BQ307*BQ240+BR307*BR240+BS307*BS240+BT307*BT240+BU307*BU240+BV307*BV240+BW307*BW240+BX307*BX240+BY307*BY240+BZ307*BZ240+CA307*CA240+CB307*CB240+CC307*CC240+CD307*CD240+CE307*CE240+CF307*CF240+CG307*CG240+CH307*CH240+CI307*CI240+CJ307*CJ240+CK307*CK240+CL307*CL240+CM307*CM240+CN307*CN240+CO307*CO240+CP307*CP240+CQ307*CQ240+CR307*CR240+CS307*CS240+CT307*CT240+CU307*CU240</f>
        <v>0</v>
      </c>
      <c r="DG240" s="2882">
        <f>E308*E240+F308*F240+G308*G240+H308*H240+I308*I240+J308*J240+K308*K240+L308*L240+M308*M240+N308*N240+O308*O240+P308*P240+Q308*Q240+R308*R240+S308*S240+T308*T240+U308*U240+V308*V240+W308*W240+X308*X240+Y308*Y240+Z308*Z240+AA308*AA240+AB308*AB240+AC308*AC240+AD308*AD240+AE308*AE240+AF308*AF240+AG308*AG240+AH308*AH240+AI308*AI240+AJ308*AJ240+AK308*AK240+AL308*AL240+AM308*AM240+AN308*AN240+AO308*AO240+AP308*AP240+AQ308*AQ240+AR308*AR240+AS308*AS240+AT308*AT240+AU308*AU240+AV308*AV240+AW308*AW240+AX308*AX240+AY308*AY240+AZ308*AZ240+BA308*BA240+BB308*BB240+BC308*BC240+BD308*BD240+BE308*BE240+BF308*BF240+BG308*BG240+BH308*BH240+BI308*BI240+BJ308*BJ240+BK308*BK240+BL308*BL240+BM308*BM240+BN308*BN240+BO308*BO240+BP308*BP240+BQ308*BQ240+BR308*BR240+BS308*BS240+BT308*BT240+BU308*BU240+BV308*BV240+BW308*BW240+BX308*BX240+BY308*BY240+BZ308*BZ240+CA308*CA240+CB308*CB240+CC308*CC240+CD308*CD240+CE308*CE240+CF308*CF240+CG308*CG240+CH308*CH240+CI308*CI240+CJ308*CJ240+CK308*CK240+CL308*CL240+CM308*CM240+CN308*CN240+CO308*CO240+CP308*CP240+CQ308*CQ240+CR308*CR240+CS308*CS240+CT308*CT240+CU308*CU240</f>
        <v>0</v>
      </c>
      <c r="DH240" s="2882">
        <f>E309*E240+F309*F240+G309*G240+H309*H240+I309*I240+J309*J240+K309*K240+L309*L240+M309*M240+N309*N240+O309*O240+P309*P240+Q309*Q240+R309*R240+S309*S240+T309*T240+U309*U240+V309*V240+W309*W240+X309*X240+Y309*Y240+Z309*Z240+AA309*AA240+AB309*AB240+AC309*AC240+AD309*AD240+AE309*AE240+AF309*AF240+AG309*AG240+AH309*AH240+AI309*AI240+AJ309*AJ240+AK309*AK240+AL309*AL240+AM309*AM240+AN309*AN240+AO309*AO240+AP309*AP240+AQ309*AQ240+AR309*AR240+AS309*AS240+AT309*AT240+AU309*AU240+AV309*AV240+AW309*AW240+AX309*AX240+AY309*AY240+AZ309*AZ240+BA309*BA240+BB309*BB240+BC309*BC240+BD309*BD240+BE309*BE240+BF309*BF240+BG309*BG240+BH309*BH240+BI309*BI240+BJ309*BJ240+BK309*BK240+BL309*BL240+BM309*BM240+BN309*BN240+BO309*BO240+BP309*BP240+BQ309*BQ240+BR309*BR240+BS309*BS240+BT309*BT240+BU309*BU240+BV309*BV240+BW309*BW240+BX309*BX240+BY309*BY240+BZ309*BZ240+CA309*CA240+CB309*CB240+CC309*CC240+CD309*CD240+CE309*CE240+CF309*CF240+CG309*CG240+CH309*CH240+CI309*CI240+CJ309*CJ240+CK309*CK240+CL309*CL240+CM309*CM240+CN309*CN240+CO309*CO240+CP309*CP240+CQ309*CQ240+CR309*CR240+CS309*CS240+CT309*CT240+CU309*CU240</f>
        <v>0</v>
      </c>
      <c r="DI240" s="2882">
        <f>E310*E240+F310*F240+G310*G240+H310*H240+I310*I240+J310*J240+K310*K240+L310*L240+M310*M240+N310*N240+O310*O240+P310*P240+Q310*Q240+R310*R240+S310*S240+T310*T240+U310*U240+V310*V240+W310*W240+X310*X240+Y310*Y240+Z310*Z240+AA310*AA240+AB310*AB240+AC310*AC240+AD310*AD240+AE310*AE240+AF310*AF240+AG310*AG240+AH310*AH240+AI310*AI240+AJ310*AJ240+AK310*AK240+AL310*AL240+AM310*AM240+AN310*AN240+AO310*AO240+AP310*AP240+AQ310*AQ240+AR310*AR240+AS310*AS240+AT310*AT240+AU310*AU240+AV310*AV240+AW310*AW240+AX310*AX240+AY310*AY240+AZ310*AZ240+BA310*BA240+BB310*BB240+BC310*BC240+BD310*BD240+BE310*BE240+BF310*BF240+BG310*BG240+BH310*BH240+BI310*BI240+BJ310*BJ240+BK310*BK240+BL310*BL240+BM310*BM240+BN310*BN240+BO310*BO240+BP310*BP240+BQ310*BQ240+BR310*BR240+BS310*BS240+BT310*BT240+BU310*BU240+BV310*BV240+BW310*BW240+BX310*BX240+BY310*BY240+BZ310*BZ240+CA310*CA240+CB310*CB240+CC310*CC240+CD310*CD240+CE310*CE240+CF310*CF240+CG310*CG240+CH310*CH240+CI310*CI240+CJ310*CJ240+CK310*CK240+CL310*CL240+CM310*CM240+CN310*CN240+CO310*CO240+CP310*CP240+CQ310*CQ240+CR310*CR240+CS310*CS240+CT310*CT240+CU310*CU240</f>
        <v>0</v>
      </c>
    </row>
    <row r="241" spans="2:113" x14ac:dyDescent="0.45">
      <c r="B241" s="2209">
        <v>82</v>
      </c>
      <c r="C241" s="2209" t="s">
        <v>3071</v>
      </c>
      <c r="D241" s="2210" t="s">
        <v>4459</v>
      </c>
      <c r="E241" s="901">
        <f>0</f>
        <v>0</v>
      </c>
      <c r="F241" s="901">
        <f>0</f>
        <v>0</v>
      </c>
      <c r="G241" s="901">
        <f>0</f>
        <v>0</v>
      </c>
      <c r="H241" s="901">
        <f>0</f>
        <v>0</v>
      </c>
      <c r="I241" s="901">
        <f>0</f>
        <v>0</v>
      </c>
      <c r="J241" s="901">
        <f>0</f>
        <v>0</v>
      </c>
      <c r="K241" s="901">
        <f>0</f>
        <v>0</v>
      </c>
      <c r="L241" s="901">
        <f>0</f>
        <v>0</v>
      </c>
      <c r="M241" s="901">
        <f>0</f>
        <v>0</v>
      </c>
      <c r="N241" s="901">
        <f>0</f>
        <v>0</v>
      </c>
      <c r="O241" s="901">
        <f>0</f>
        <v>0</v>
      </c>
      <c r="P241" s="901">
        <f>0</f>
        <v>0</v>
      </c>
      <c r="Q241" s="920">
        <f>0</f>
        <v>0</v>
      </c>
      <c r="R241" s="901">
        <f>0</f>
        <v>0</v>
      </c>
      <c r="S241" s="901">
        <f>0</f>
        <v>0</v>
      </c>
      <c r="T241" s="901">
        <f>0</f>
        <v>0</v>
      </c>
      <c r="U241" s="901">
        <f>0</f>
        <v>0</v>
      </c>
      <c r="V241" s="901">
        <f>0</f>
        <v>0</v>
      </c>
      <c r="W241" s="901">
        <f>0</f>
        <v>0</v>
      </c>
      <c r="X241" s="901">
        <f>0</f>
        <v>0</v>
      </c>
      <c r="Y241" s="734">
        <f>0</f>
        <v>0</v>
      </c>
      <c r="Z241" s="734">
        <f>0</f>
        <v>0</v>
      </c>
      <c r="AA241" s="734">
        <f>0</f>
        <v>0</v>
      </c>
      <c r="AB241" s="901">
        <f>0</f>
        <v>0</v>
      </c>
      <c r="AC241" s="901">
        <f>0</f>
        <v>0</v>
      </c>
      <c r="AD241" s="901">
        <f>0</f>
        <v>0</v>
      </c>
      <c r="AE241" s="901">
        <f>0</f>
        <v>0</v>
      </c>
      <c r="AF241" s="921">
        <f>0</f>
        <v>0</v>
      </c>
      <c r="AG241" s="921">
        <f>0</f>
        <v>0</v>
      </c>
      <c r="AH241" s="901">
        <f>0</f>
        <v>0</v>
      </c>
      <c r="AI241" s="901">
        <f>0</f>
        <v>0</v>
      </c>
      <c r="AJ241" s="901">
        <f>0</f>
        <v>0</v>
      </c>
      <c r="AK241" s="901">
        <f>0</f>
        <v>0</v>
      </c>
      <c r="AL241" s="901">
        <f>0</f>
        <v>0</v>
      </c>
      <c r="AM241" s="921">
        <f>-1</f>
        <v>-1</v>
      </c>
      <c r="AN241" s="901">
        <f>0</f>
        <v>0</v>
      </c>
      <c r="AO241" s="920">
        <f>0</f>
        <v>0</v>
      </c>
      <c r="AP241" s="901">
        <f>0</f>
        <v>0</v>
      </c>
      <c r="AQ241" s="901">
        <f>0</f>
        <v>0</v>
      </c>
      <c r="AR241" s="920">
        <f>0</f>
        <v>0</v>
      </c>
      <c r="AS241" s="901">
        <f>0</f>
        <v>0</v>
      </c>
      <c r="AT241" s="901">
        <f>0</f>
        <v>0</v>
      </c>
      <c r="AU241" s="901">
        <f>0</f>
        <v>0</v>
      </c>
      <c r="AV241" s="901">
        <f>0</f>
        <v>0</v>
      </c>
      <c r="AW241" s="901">
        <f>0</f>
        <v>0</v>
      </c>
      <c r="AX241" s="901">
        <f>0</f>
        <v>0</v>
      </c>
      <c r="AY241" s="920">
        <f>0</f>
        <v>0</v>
      </c>
      <c r="AZ241" s="901">
        <f>0</f>
        <v>0</v>
      </c>
      <c r="BA241" s="901">
        <f>0</f>
        <v>0</v>
      </c>
      <c r="BB241" s="734">
        <f>0</f>
        <v>0</v>
      </c>
      <c r="BC241" s="734">
        <f>0</f>
        <v>0</v>
      </c>
      <c r="BD241" s="734">
        <f>0</f>
        <v>0</v>
      </c>
      <c r="BE241" s="901">
        <f>0</f>
        <v>0</v>
      </c>
      <c r="BF241" s="920">
        <f>0</f>
        <v>0</v>
      </c>
      <c r="BG241" s="901">
        <f>0</f>
        <v>0</v>
      </c>
      <c r="BH241" s="920">
        <f>0</f>
        <v>0</v>
      </c>
      <c r="BI241" s="920">
        <f>0</f>
        <v>0</v>
      </c>
      <c r="BJ241" s="920">
        <f>0</f>
        <v>0</v>
      </c>
      <c r="BK241" s="901">
        <f>0</f>
        <v>0</v>
      </c>
      <c r="BL241" s="901">
        <f>0</f>
        <v>0</v>
      </c>
      <c r="BM241" s="920">
        <f>-1/(A_SFHAO_H*(A_MP/A_MAl))</f>
        <v>-0.87110825691042471</v>
      </c>
      <c r="BN241" s="901">
        <f>0</f>
        <v>0</v>
      </c>
      <c r="BO241" s="901">
        <f>0</f>
        <v>0</v>
      </c>
      <c r="BP241" s="920">
        <f>1/(A_SFHAO_H*(A_MP/A_MAl))</f>
        <v>0.87110825691042471</v>
      </c>
      <c r="BQ241" s="901">
        <f>0</f>
        <v>0</v>
      </c>
      <c r="BR241" s="920">
        <f>0</f>
        <v>0</v>
      </c>
      <c r="BS241" s="920">
        <f>0</f>
        <v>0</v>
      </c>
      <c r="BT241" s="920">
        <f>0</f>
        <v>0</v>
      </c>
      <c r="BU241" s="920">
        <f>0</f>
        <v>0</v>
      </c>
      <c r="BV241" s="920">
        <f>0</f>
        <v>0</v>
      </c>
      <c r="BW241" s="920">
        <f>0</f>
        <v>0</v>
      </c>
      <c r="BX241" s="920">
        <f>0</f>
        <v>0</v>
      </c>
      <c r="BY241" s="793">
        <f>0</f>
        <v>0</v>
      </c>
      <c r="BZ241" s="920">
        <f>0</f>
        <v>0</v>
      </c>
      <c r="CA241" s="920">
        <f>0</f>
        <v>0</v>
      </c>
      <c r="CB241" s="920">
        <f>0</f>
        <v>0</v>
      </c>
      <c r="CC241" s="920">
        <f>0</f>
        <v>0</v>
      </c>
      <c r="CD241" s="920">
        <f>0</f>
        <v>0</v>
      </c>
      <c r="CE241" s="920">
        <f>0</f>
        <v>0</v>
      </c>
      <c r="CF241" s="920">
        <f>0</f>
        <v>0</v>
      </c>
      <c r="CG241" s="920">
        <f>0</f>
        <v>0</v>
      </c>
      <c r="CH241" s="920">
        <f>0</f>
        <v>0</v>
      </c>
      <c r="CI241" s="920">
        <f>0</f>
        <v>0</v>
      </c>
      <c r="CJ241" s="793">
        <f>0</f>
        <v>0</v>
      </c>
      <c r="CK241" s="920">
        <f>0</f>
        <v>0</v>
      </c>
      <c r="CL241" s="920">
        <f>0</f>
        <v>0</v>
      </c>
      <c r="CM241" s="920">
        <f>0</f>
        <v>0</v>
      </c>
      <c r="CN241" s="920">
        <f>0</f>
        <v>0</v>
      </c>
      <c r="CO241" s="920">
        <f>0</f>
        <v>0</v>
      </c>
      <c r="CP241" s="920">
        <f>0</f>
        <v>0</v>
      </c>
      <c r="CQ241" s="920">
        <f>0</f>
        <v>0</v>
      </c>
      <c r="CR241" s="920">
        <f>0</f>
        <v>0</v>
      </c>
      <c r="CS241" s="793">
        <f>0</f>
        <v>0</v>
      </c>
      <c r="CT241" s="793">
        <f>0</f>
        <v>0</v>
      </c>
      <c r="CU241" s="793">
        <f>0</f>
        <v>0</v>
      </c>
      <c r="CV241" s="2866">
        <f>q_P_HAO_COPREC*X_HAO_H*M_satSPO4_KP_HAO_BIND</f>
        <v>1.4583333333333333E-48</v>
      </c>
      <c r="CX241" s="2880">
        <f>E299*E241+F299*F241+G299*G241+H299*H241+I299*I241+J299*J241+K299*K241+L299*L241+M299*M241+N299*N241+O299*O241+P299*P241+Q299*Q241+R299*R241+S299*S241+T299*T241+U299*U241+V299*V241+W299*W241+X299*X241+Y299*Y241+Z299*Z241+AA299*AA241+AB299*AB241+AC299*AC241+AD299*AD241+AE299*AE241+AF299*AF241+AG299*AG241+AH299*AH241+AI299*AI241+AJ299*AJ241+AK299*AK241+AL299*AL241+AM299*AM241+AN299*AN241+AO299*AO241+AP299*AP241+AQ299*AQ241+AR299*AR241+AS299*AS241+AT299*AT241+AU299*AU241+AV299*AV241+AW299*AW241+AX299*AX241+AY299*AY241+AZ299*AZ241+BA299*BA241+BB299*BB241+BC299*BC241+BD299*BD241+BE299*BE241+BF299*BF241+BG299*BG241+BH299*BH241+BI299*BI241+BJ299*BJ241+BK299*BK241+BL299*BL241+BM299*BM241+BN299*BN241+BO299*BO241+BP299*BP241+BQ299*BQ241+BR299*BR241+BS299*BS241+BT299*BT241+BU299*BU241+BV299*BV241+BW299*BW241+BX299*BX241+BY299*BY241+BZ299*BZ241+CA299*CA241+CB299*CB241+CC299*CC241+CD299*CD241+CE299*CE241+CF299*CF241+CG299*CG241+CH299*CH241+CI299*CI241+CJ299*CJ241+CK299*CK241+CL299*CL241+CM299*CM241+CN299*CN241+CO299*CO241+CP299*CP241+CQ299*CQ241+CR299*CR241+CS299*CS241+CT299*CT241+CU299*CU241</f>
        <v>0</v>
      </c>
      <c r="CY241" s="2880">
        <f>E300*E241+F300*F241+G300*G241+H300*H241+I300*I241+J300*J241+K300*K241+L300*L241+M300*M241+N300*N241+O300*O241+P300*P241+Q300*Q241+R300*R241+S300*S241+T300*T241+U300*U241+V300*V241+W300*W241+X300*X241+Y300*Y241+Z300*Z241+AA300*AA241+AB300*AB241+AC300*AC241+AD300*AD241+AE300*AE241+AF300*AF241+AG300*AG241+AH300*AH241+AI300*AI241+AJ300*AJ241+AK300*AK241+AL300*AL241+AM300*AM241+AN300*AN241+AO300*AO241+AP300*AP241+AQ300*AQ241+AR300*AR241+AS300*AS241+AT300*AT241+AU300*AU241+AV300*AV241+AW300*AW241+AX300*AX241+AY300*AY241+AZ300*AZ241+BA300*BA241+BB300*BB241+BC300*BC241+BD300*BD241+BE300*BE241+BF300*BF241+BG300*BG241+BH300*BH241+BI300*BI241+BJ300*BJ241+BK300*BK241+BL300*BL241+BM300*BM241+BN300*BN241+BO300*BO241+BP300*BP241+BQ300*BQ241+BR300*BR241+BS300*BS241+BT300*BT241+BU300*BU241+BV300*BV241+BW300*BW241+BX300*BX241+BY300*BY241+BZ300*BZ241+CA300*CA241+CB300*CB241+CC300*CC241+CD300*CD241+CE300*CE241+CF300*CF241+CG300*CG241+CH300*CH241+CI300*CI241+CJ300*CJ241+CK300*CK241+CL300*CL241+CM300*CM241+CN300*CN241+CO300*CO241+CP300*CP241+CQ300*CQ241+CR300*CR241+CS300*CS241+CT300*CT241+CU300*CU241</f>
        <v>0</v>
      </c>
      <c r="CZ241" s="2881">
        <f>E301*E241+F301*F241+G301*G241+H301*H241+I301*I241+J301*J241+K301*K241+L301*L241+M301*M241+N301*N241+O301*O241+P301*P241+Q301*Q241+R301*R241+S301*S241+T301*T241+U301*U241+V301*V241+W301*W241+X301*X241+Y301*Y241+Z301*Z241+AA301*AA241+AB301*AB241+AC301*AC241+AD301*AD241+AE301*AE241+AF301*AF241+AG301*AG241+AH301*AH241+AI301*AI241+AJ301*AJ241+AK301*AK241+AL301*AL241+AM301*AM241+AN301*AN241+AO301*AO241+AP301*AP241+AQ301*AQ241+AR301*AR241+AS301*AS241+AT301*AT241+AU301*AU241+AV301*AV241+AW301*AW241+AX301*AX241+AY301*AY241+AZ301*AZ241+BA301*BA241+BB301*BB241+BC301*BC241+BD301*BD241+BE301*BE241+BF301*BF241+BG301*BG241+BH301*BH241+BI301*BI241+BJ301*BJ241+BK301*BK241+BL301*BL241+BM301*BM241+BN301*BN241+BO301*BO241+BP301*BP241+BQ301*BQ241+BR301*BR241+BS301*BS241+BT301*BT241+BU301*BU241+BV301*BV241+BW301*BW241+BX301*BX241+BY301*BY241+BZ301*BZ241+CA301*CA241+CB301*CB241+CC301*CC241+CD301*CD241+CE301*CE241+CF301*CF241+CG301*CG241+CH301*CH241+CI301*CI241+CJ301*CJ241+CK301*CK241+CL301*CL241+CM301*CM241+CN301*CN241+CO301*CO241+CP301*CP241+CQ301*CQ241+CR301*CR241+CS301*CS241+CT301*CT241+CU301*CU241</f>
        <v>0</v>
      </c>
      <c r="DA241" s="2882">
        <f>E302*E241+F302*F241+G302*G241+H302*H241+I302*I241+J302*J241+K302*K241+L302*L241+M302*M241+N302*N241+O302*O241+P302*P241+Q302*Q241+R302*R241+S302*S241+T302*T241+U302*U241+V302*V241+W302*W241+X302*X241+Y302*Y241+Z302*Z241+AA302*AA241+AB302*AB241+AC302*AC241+AD302*AD241+AE302*AE241+AF302*AF241+AG302*AG241+AH302*AH241+AI302*AI241+AJ302*AJ241+AK302*AK241+AL302*AL241+AM302*AM241+AN302*AN241+AO302*AO241+AP302*AP241+AQ302*AQ241+AR302*AR241+AS302*AS241+AT302*AT241+AU302*AU241+AV302*AV241+AW302*AW241+AX302*AX241+AY302*AY241+AZ302*AZ241+BA302*BA241+BB302*BB241+BC302*BC241+BD302*BD241+BE302*BE241+BF302*BF241+BG302*BG241+BH302*BH241+BI302*BI241+BJ302*BJ241+BK302*BK241+BL302*BL241+BM302*BM241+BN302*BN241+BO302*BO241+BP302*BP241+BQ302*BQ241+BR302*BR241+BS302*BS241+BT302*BT241+BU302*BU241+BV302*BV241+BW302*BW241+BX302*BX241+BY302*BY241+BZ302*BZ241+CA302*CA241+CB302*CB241+CC302*CC241+CD302*CD241+CE302*CE241+CF302*CF241+CG302*CG241+CH302*CH241+CI302*CI241+CJ302*CJ241+CK302*CK241+CL302*CL241+CM302*CM241+CN302*CN241+CO302*CO241+CP302*CP241+CQ302*CQ241+CR302*CR241+CS302*CS241+CT302*CT241+CU302*CU241</f>
        <v>0</v>
      </c>
      <c r="DB241" s="2882">
        <f>E303*E241+F303*F241+G303*G241+H303*H241+I303*I241+J303*J241+K303*K241+L303*L241+M303*M241+N303*N241+O303*O241+P303*P241+Q303*Q241+R303*R241+S303*S241+T303*T241+U303*U241+V303*V241+W303*W241+X303*X241+Y303*Y241+Z303*Z241+AA303*AA241+AB303*AB241+AC303*AC241+AD303*AD241+AE303*AE241+AF303*AF241+AG303*AG241+AH303*AH241+AI303*AI241+AJ303*AJ241+AK303*AK241+AL303*AL241+AM303*AM241+AN303*AN241+AO303*AO241+AP303*AP241+AQ303*AQ241+AR303*AR241+AS303*AS241+AT303*AT241+AU303*AU241+AV303*AV241+AW303*AW241+AX303*AX241+AY303*AY241+AZ303*AZ241+BA303*BA241+BB303*BB241+BC303*BC241+BD303*BD241+BE303*BE241+BF303*BF241+BG303*BG241+BH303*BH241+BI303*BI241+BJ303*BJ241+BK303*BK241+BL303*BL241+BM303*BM241+BN303*BN241+BO303*BO241+BP303*BP241+BQ303*BQ241+BR303*BR241+BS303*BS241+BT303*BT241+BU303*BU241+BV303*BV241+BW303*BW241+BX303*BX241+BY303*BY241+BZ303*BZ241+CA303*CA241+CB303*CB241+CC303*CC241+CD303*CD241+CE303*CE241+CF303*CF241+CG303*CG241+CH303*CH241+CI303*CI241+CJ303*CJ241+CK303*CK241+CL303*CL241+CM303*CM241+CN303*CN241+CO303*CO241+CP303*CP241+CQ303*CQ241+CR303*CR241+CS303*CS241+CT303*CT241+CU303*CU241</f>
        <v>0</v>
      </c>
      <c r="DC241" s="2882">
        <f>E304*E241+F304*F241+G304*G241+H304*H241+I304*I241+J304*J241+K304*K241+L304*L241+M304*M241+N304*N241+O304*O241+P304*P241+Q304*Q241+R304*R241+S304*S241+T304*T241+U304*U241+V304*V241+W304*W241+X304*X241+Y304*Y241+Z304*Z241+AA304*AA241+AB304*AB241+AC304*AC241+AD304*AD241+AE304*AE241+AF304*AF241+AG304*AG241+AH304*AH241+AI304*AI241+AJ304*AJ241+AK304*AK241+AL304*AL241+AM304*AM241+AN304*AN241+AO304*AO241+AP304*AP241+AQ304*AQ241+AR304*AR241+AS304*AS241+AT304*AT241+AU304*AU241+AV304*AV241+AW304*AW241+AX304*AX241+AY304*AY241+AZ304*AZ241+BA304*BA241+BB304*BB241+BC304*BC241+BD304*BD241+BE304*BE241+BF304*BF241+BG304*BG241+BH304*BH241+BI304*BI241+BJ304*BJ241+BK304*BK241+BL304*BL241+BM304*BM241+BN304*BN241+BO304*BO241+BP304*BP241+BQ304*BQ241+BR304*BR241+BS304*BS241+BT304*BT241+BU304*BU241+BV304*BV241+BW304*BW241+BX304*BX241+BY304*BY241+BZ304*BZ241+CA304*CA241+CB304*CB241+CC304*CC241+CD304*CD241+CE304*CE241+CF304*CF241+CG304*CG241+CH304*CH241+CI304*CI241+CJ304*CJ241+CK304*CK241+CL304*CL241+CM304*CM241+CN304*CN241+CO304*CO241+CP304*CP241+CQ304*CQ241+CR304*CR241+CS304*CS241+CT304*CT241+CU304*CU241</f>
        <v>0</v>
      </c>
      <c r="DD241" s="2882">
        <f>E305*E241+F305*F241+G305*G241+H305*H241+I305*I241+J305*J241+K305*K241+L305*L241+M305*M241+N305*N241+O305*O241+P305*P241+Q305*Q241+R305*R241+S305*S241+T305*T241+U305*U241+V305*V241+W305*W241+X305*X241+Y305*Y241+Z305*Z241+AA305*AA241+AB305*AB241+AC305*AC241+AD305*AD241+AE305*AE241+AF305*AF241+AG305*AG241+AH305*AH241+AI305*AI241+AJ305*AJ241+AK305*AK241+AL305*AL241+AM305*AM241+AN305*AN241+AO305*AO241+AP305*AP241+AQ305*AQ241+AR305*AR241+AS305*AS241+AT305*AT241+AU305*AU241+AV305*AV241+AW305*AW241+AX305*AX241+AY305*AY241+AZ305*AZ241+BA305*BA241+BB305*BB241+BC305*BC241+BD305*BD241+BE305*BE241+BF305*BF241+BG305*BG241+BH305*BH241+BI305*BI241+BJ305*BJ241+BK305*BK241+BL305*BL241+BM305*BM241+BN305*BN241+BO305*BO241+BP305*BP241+BQ305*BQ241+BR305*BR241+BS305*BS241+BT305*BT241+BU305*BU241+BV305*BV241+BW305*BW241+BX305*BX241+BY305*BY241+BZ305*BZ241+CA305*CA241+CB305*CB241+CC305*CC241+CD305*CD241+CE305*CE241+CF305*CF241+CG305*CG241+CH305*CH241+CI305*CI241+CJ305*CJ241+CK305*CK241+CL305*CL241+CM305*CM241+CN305*CN241+CO305*CO241+CP305*CP241+CQ305*CQ241+CR305*CR241+CS305*CS241+CT305*CT241+CU305*CU241</f>
        <v>0</v>
      </c>
      <c r="DE241" s="2882">
        <f>E306*E241+F306*F241+G306*G241+H306*H241+I306*I241+J306*J241+K306*K241+L306*L241+M306*M241+N306*N241+O306*O241+P306*P241+Q306*Q241+R306*R241+S306*S241+T306*T241+U306*U241+V306*V241+W306*W241+X306*X241+Y306*Y241+Z306*Z241+AA306*AA241+AB306*AB241+AC306*AC241+AD306*AD241+AE306*AE241+AF306*AF241+AG306*AG241+AH306*AH241+AI306*AI241+AJ306*AJ241+AK306*AK241+AL306*AL241+AM306*AM241+AN306*AN241+AO306*AO241+AP306*AP241+AQ306*AQ241+AR306*AR241+AS306*AS241+AT306*AT241+AU306*AU241+AV306*AV241+AW306*AW241+AX306*AX241+AY306*AY241+AZ306*AZ241+BA306*BA241+BB306*BB241+BC306*BC241+BD306*BD241+BE306*BE241+BF306*BF241+BG306*BG241+BH306*BH241+BI306*BI241+BJ306*BJ241+BK306*BK241+BL306*BL241+BM306*BM241+BN306*BN241+BO306*BO241+BP306*BP241+BQ306*BQ241+BR306*BR241+BS306*BS241+BT306*BT241+BU306*BU241+BV306*BV241+BW306*BW241+BX306*BX241+BY306*BY241+BZ306*BZ241+CA306*CA241+CB306*CB241+CC306*CC241+CD306*CD241+CE306*CE241+CF306*CF241+CG306*CG241+CH306*CH241+CI306*CI241+CJ306*CJ241+CK306*CK241+CL306*CL241+CM306*CM241+CN306*CN241+CO306*CO241+CP306*CP241+CQ306*CQ241+CR306*CR241+CS306*CS241+CT306*CT241+CU306*CU241</f>
        <v>0</v>
      </c>
      <c r="DF241" s="2882">
        <f>E307*E241+F307*F241+G307*G241+H307*H241+I307*I241+J307*J241+K307*K241+L307*L241+M307*M241+N307*N241+O307*O241+P307*P241+Q307*Q241+R307*R241+S307*S241+T307*T241+U307*U241+V307*V241+W307*W241+X307*X241+Y307*Y241+Z307*Z241+AA307*AA241+AB307*AB241+AC307*AC241+AD307*AD241+AE307*AE241+AF307*AF241+AG307*AG241+AH307*AH241+AI307*AI241+AJ307*AJ241+AK307*AK241+AL307*AL241+AM307*AM241+AN307*AN241+AO307*AO241+AP307*AP241+AQ307*AQ241+AR307*AR241+AS307*AS241+AT307*AT241+AU307*AU241+AV307*AV241+AW307*AW241+AX307*AX241+AY307*AY241+AZ307*AZ241+BA307*BA241+BB307*BB241+BC307*BC241+BD307*BD241+BE307*BE241+BF307*BF241+BG307*BG241+BH307*BH241+BI307*BI241+BJ307*BJ241+BK307*BK241+BL307*BL241+BM307*BM241+BN307*BN241+BO307*BO241+BP307*BP241+BQ307*BQ241+BR307*BR241+BS307*BS241+BT307*BT241+BU307*BU241+BV307*BV241+BW307*BW241+BX307*BX241+BY307*BY241+BZ307*BZ241+CA307*CA241+CB307*CB241+CC307*CC241+CD307*CD241+CE307*CE241+CF307*CF241+CG307*CG241+CH307*CH241+CI307*CI241+CJ307*CJ241+CK307*CK241+CL307*CL241+CM307*CM241+CN307*CN241+CO307*CO241+CP307*CP241+CQ307*CQ241+CR307*CR241+CS307*CS241+CT307*CT241+CU307*CU241</f>
        <v>0</v>
      </c>
      <c r="DG241" s="2882">
        <f>E308*E241+F308*F241+G308*G241+H308*H241+I308*I241+J308*J241+K308*K241+L308*L241+M308*M241+N308*N241+O308*O241+P308*P241+Q308*Q241+R308*R241+S308*S241+T308*T241+U308*U241+V308*V241+W308*W241+X308*X241+Y308*Y241+Z308*Z241+AA308*AA241+AB308*AB241+AC308*AC241+AD308*AD241+AE308*AE241+AF308*AF241+AG308*AG241+AH308*AH241+AI308*AI241+AJ308*AJ241+AK308*AK241+AL308*AL241+AM308*AM241+AN308*AN241+AO308*AO241+AP308*AP241+AQ308*AQ241+AR308*AR241+AS308*AS241+AT308*AT241+AU308*AU241+AV308*AV241+AW308*AW241+AX308*AX241+AY308*AY241+AZ308*AZ241+BA308*BA241+BB308*BB241+BC308*BC241+BD308*BD241+BE308*BE241+BF308*BF241+BG308*BG241+BH308*BH241+BI308*BI241+BJ308*BJ241+BK308*BK241+BL308*BL241+BM308*BM241+BN308*BN241+BO308*BO241+BP308*BP241+BQ308*BQ241+BR308*BR241+BS308*BS241+BT308*BT241+BU308*BU241+BV308*BV241+BW308*BW241+BX308*BX241+BY308*BY241+BZ308*BZ241+CA308*CA241+CB308*CB241+CC308*CC241+CD308*CD241+CE308*CE241+CF308*CF241+CG308*CG241+CH308*CH241+CI308*CI241+CJ308*CJ241+CK308*CK241+CL308*CL241+CM308*CM241+CN308*CN241+CO308*CO241+CP308*CP241+CQ308*CQ241+CR308*CR241+CS308*CS241+CT308*CT241+CU308*CU241</f>
        <v>0</v>
      </c>
      <c r="DH241" s="2882">
        <f>E309*E241+F309*F241+G309*G241+H309*H241+I309*I241+J309*J241+K309*K241+L309*L241+M309*M241+N309*N241+O309*O241+P309*P241+Q309*Q241+R309*R241+S309*S241+T309*T241+U309*U241+V309*V241+W309*W241+X309*X241+Y309*Y241+Z309*Z241+AA309*AA241+AB309*AB241+AC309*AC241+AD309*AD241+AE309*AE241+AF309*AF241+AG309*AG241+AH309*AH241+AI309*AI241+AJ309*AJ241+AK309*AK241+AL309*AL241+AM309*AM241+AN309*AN241+AO309*AO241+AP309*AP241+AQ309*AQ241+AR309*AR241+AS309*AS241+AT309*AT241+AU309*AU241+AV309*AV241+AW309*AW241+AX309*AX241+AY309*AY241+AZ309*AZ241+BA309*BA241+BB309*BB241+BC309*BC241+BD309*BD241+BE309*BE241+BF309*BF241+BG309*BG241+BH309*BH241+BI309*BI241+BJ309*BJ241+BK309*BK241+BL309*BL241+BM309*BM241+BN309*BN241+BO309*BO241+BP309*BP241+BQ309*BQ241+BR309*BR241+BS309*BS241+BT309*BT241+BU309*BU241+BV309*BV241+BW309*BW241+BX309*BX241+BY309*BY241+BZ309*BZ241+CA309*CA241+CB309*CB241+CC309*CC241+CD309*CD241+CE309*CE241+CF309*CF241+CG309*CG241+CH309*CH241+CI309*CI241+CJ309*CJ241+CK309*CK241+CL309*CL241+CM309*CM241+CN309*CN241+CO309*CO241+CP309*CP241+CQ309*CQ241+CR309*CR241+CS309*CS241+CT309*CT241+CU309*CU241</f>
        <v>0</v>
      </c>
      <c r="DI241" s="2882">
        <f>E310*E241+F310*F241+G310*G241+H310*H241+I310*I241+J310*J241+K310*K241+L310*L241+M310*M241+N310*N241+O310*O241+P310*P241+Q310*Q241+R310*R241+S310*S241+T310*T241+U310*U241+V310*V241+W310*W241+X310*X241+Y310*Y241+Z310*Z241+AA310*AA241+AB310*AB241+AC310*AC241+AD310*AD241+AE310*AE241+AF310*AF241+AG310*AG241+AH310*AH241+AI310*AI241+AJ310*AJ241+AK310*AK241+AL310*AL241+AM310*AM241+AN310*AN241+AO310*AO241+AP310*AP241+AQ310*AQ241+AR310*AR241+AS310*AS241+AT310*AT241+AU310*AU241+AV310*AV241+AW310*AW241+AX310*AX241+AY310*AY241+AZ310*AZ241+BA310*BA241+BB310*BB241+BC310*BC241+BD310*BD241+BE310*BE241+BF310*BF241+BG310*BG241+BH310*BH241+BI310*BI241+BJ310*BJ241+BK310*BK241+BL310*BL241+BM310*BM241+BN310*BN241+BO310*BO241+BP310*BP241+BQ310*BQ241+BR310*BR241+BS310*BS241+BT310*BT241+BU310*BU241+BV310*BV241+BW310*BW241+BX310*BX241+BY310*BY241+BZ310*BZ241+CA310*CA241+CB310*CB241+CC310*CC241+CD310*CD241+CE310*CE241+CF310*CF241+CG310*CG241+CH310*CH241+CI310*CI241+CJ310*CJ241+CK310*CK241+CL310*CL241+CM310*CM241+CN310*CN241+CO310*CO241+CP310*CP241+CQ310*CQ241+CR310*CR241+CS310*CS241+CT310*CT241+CU310*CU241</f>
        <v>0</v>
      </c>
    </row>
    <row r="242" spans="2:113" x14ac:dyDescent="0.45">
      <c r="B242" s="2209">
        <v>83</v>
      </c>
      <c r="C242" s="2209" t="s">
        <v>4902</v>
      </c>
      <c r="D242" s="2210" t="s">
        <v>4463</v>
      </c>
      <c r="E242" s="901">
        <f>0</f>
        <v>0</v>
      </c>
      <c r="F242" s="901">
        <f>0</f>
        <v>0</v>
      </c>
      <c r="G242" s="901">
        <f>0</f>
        <v>0</v>
      </c>
      <c r="H242" s="901">
        <f>0</f>
        <v>0</v>
      </c>
      <c r="I242" s="901">
        <f>0</f>
        <v>0</v>
      </c>
      <c r="J242" s="901">
        <f>0</f>
        <v>0</v>
      </c>
      <c r="K242" s="901">
        <f>0</f>
        <v>0</v>
      </c>
      <c r="L242" s="901">
        <f>0</f>
        <v>0</v>
      </c>
      <c r="M242" s="901">
        <f>0</f>
        <v>0</v>
      </c>
      <c r="N242" s="901">
        <f>0</f>
        <v>0</v>
      </c>
      <c r="O242" s="901">
        <f>0</f>
        <v>0</v>
      </c>
      <c r="P242" s="901">
        <f>0</f>
        <v>0</v>
      </c>
      <c r="Q242" s="920">
        <f>0</f>
        <v>0</v>
      </c>
      <c r="R242" s="901">
        <f>0</f>
        <v>0</v>
      </c>
      <c r="S242" s="901">
        <f>0</f>
        <v>0</v>
      </c>
      <c r="T242" s="901">
        <f>0</f>
        <v>0</v>
      </c>
      <c r="U242" s="901">
        <f>0</f>
        <v>0</v>
      </c>
      <c r="V242" s="901">
        <f>0</f>
        <v>0</v>
      </c>
      <c r="W242" s="901">
        <f>0</f>
        <v>0</v>
      </c>
      <c r="X242" s="901">
        <f>0</f>
        <v>0</v>
      </c>
      <c r="Y242" s="734">
        <f>0</f>
        <v>0</v>
      </c>
      <c r="Z242" s="734">
        <f>0</f>
        <v>0</v>
      </c>
      <c r="AA242" s="734">
        <f>0</f>
        <v>0</v>
      </c>
      <c r="AB242" s="901">
        <f>0</f>
        <v>0</v>
      </c>
      <c r="AC242" s="901">
        <f>0</f>
        <v>0</v>
      </c>
      <c r="AD242" s="901">
        <f>0</f>
        <v>0</v>
      </c>
      <c r="AE242" s="901">
        <f>0</f>
        <v>0</v>
      </c>
      <c r="AF242" s="921">
        <f>0</f>
        <v>0</v>
      </c>
      <c r="AG242" s="921">
        <f>0</f>
        <v>0</v>
      </c>
      <c r="AH242" s="901">
        <f>0</f>
        <v>0</v>
      </c>
      <c r="AI242" s="901">
        <f>0</f>
        <v>0</v>
      </c>
      <c r="AJ242" s="901">
        <f>0</f>
        <v>0</v>
      </c>
      <c r="AK242" s="901">
        <f>0</f>
        <v>0</v>
      </c>
      <c r="AL242" s="901">
        <f>0</f>
        <v>0</v>
      </c>
      <c r="AM242" s="921">
        <f>-1</f>
        <v>-1</v>
      </c>
      <c r="AN242" s="901">
        <f>0</f>
        <v>0</v>
      </c>
      <c r="AO242" s="920">
        <f>0</f>
        <v>0</v>
      </c>
      <c r="AP242" s="901">
        <f>0</f>
        <v>0</v>
      </c>
      <c r="AQ242" s="901">
        <f>0</f>
        <v>0</v>
      </c>
      <c r="AR242" s="920">
        <f>0</f>
        <v>0</v>
      </c>
      <c r="AS242" s="901">
        <f>0</f>
        <v>0</v>
      </c>
      <c r="AT242" s="901">
        <f>0</f>
        <v>0</v>
      </c>
      <c r="AU242" s="901">
        <f>0</f>
        <v>0</v>
      </c>
      <c r="AV242" s="901">
        <f>0</f>
        <v>0</v>
      </c>
      <c r="AW242" s="901">
        <f>0</f>
        <v>0</v>
      </c>
      <c r="AX242" s="901">
        <f>0</f>
        <v>0</v>
      </c>
      <c r="AY242" s="920">
        <f>0</f>
        <v>0</v>
      </c>
      <c r="AZ242" s="901">
        <f>0</f>
        <v>0</v>
      </c>
      <c r="BA242" s="901">
        <f>0</f>
        <v>0</v>
      </c>
      <c r="BB242" s="734">
        <f>0</f>
        <v>0</v>
      </c>
      <c r="BC242" s="734">
        <f>0</f>
        <v>0</v>
      </c>
      <c r="BD242" s="734">
        <f>0</f>
        <v>0</v>
      </c>
      <c r="BE242" s="901">
        <f>0</f>
        <v>0</v>
      </c>
      <c r="BF242" s="920">
        <f>0</f>
        <v>0</v>
      </c>
      <c r="BG242" s="901">
        <f>0</f>
        <v>0</v>
      </c>
      <c r="BH242" s="920">
        <f>0</f>
        <v>0</v>
      </c>
      <c r="BI242" s="920">
        <f>0</f>
        <v>0</v>
      </c>
      <c r="BJ242" s="901">
        <f>0</f>
        <v>0</v>
      </c>
      <c r="BK242" s="920">
        <f>0</f>
        <v>0</v>
      </c>
      <c r="BL242" s="901">
        <f>0</f>
        <v>0</v>
      </c>
      <c r="BM242" s="901">
        <f>0</f>
        <v>0</v>
      </c>
      <c r="BN242" s="920">
        <f>-1/(A_SFHAO_L*(A_MP/A_MAl))</f>
        <v>-8.7110825691042457</v>
      </c>
      <c r="BO242" s="901">
        <f>0</f>
        <v>0</v>
      </c>
      <c r="BP242" s="901">
        <f>0</f>
        <v>0</v>
      </c>
      <c r="BQ242" s="920">
        <f>1/(A_SFHAO_L*(A_MP/A_MAl))</f>
        <v>8.7110825691042457</v>
      </c>
      <c r="BR242" s="901">
        <f>0</f>
        <v>0</v>
      </c>
      <c r="BS242" s="901">
        <f>0</f>
        <v>0</v>
      </c>
      <c r="BT242" s="920">
        <f>0</f>
        <v>0</v>
      </c>
      <c r="BU242" s="920">
        <f>0</f>
        <v>0</v>
      </c>
      <c r="BV242" s="920">
        <f>0</f>
        <v>0</v>
      </c>
      <c r="BW242" s="920">
        <f>0</f>
        <v>0</v>
      </c>
      <c r="BX242" s="920">
        <f>0</f>
        <v>0</v>
      </c>
      <c r="BY242" s="793">
        <f>0</f>
        <v>0</v>
      </c>
      <c r="BZ242" s="920">
        <f>0</f>
        <v>0</v>
      </c>
      <c r="CA242" s="920">
        <f>0</f>
        <v>0</v>
      </c>
      <c r="CB242" s="920">
        <f>0</f>
        <v>0</v>
      </c>
      <c r="CC242" s="920">
        <f>0</f>
        <v>0</v>
      </c>
      <c r="CD242" s="920">
        <f>0</f>
        <v>0</v>
      </c>
      <c r="CE242" s="920">
        <f>0</f>
        <v>0</v>
      </c>
      <c r="CF242" s="920">
        <f>0</f>
        <v>0</v>
      </c>
      <c r="CG242" s="920">
        <f>0</f>
        <v>0</v>
      </c>
      <c r="CH242" s="920">
        <f>0</f>
        <v>0</v>
      </c>
      <c r="CI242" s="920">
        <f>0</f>
        <v>0</v>
      </c>
      <c r="CJ242" s="793">
        <f>0</f>
        <v>0</v>
      </c>
      <c r="CK242" s="920">
        <f>0</f>
        <v>0</v>
      </c>
      <c r="CL242" s="920">
        <f>0</f>
        <v>0</v>
      </c>
      <c r="CM242" s="920">
        <f>0</f>
        <v>0</v>
      </c>
      <c r="CN242" s="920">
        <f>0</f>
        <v>0</v>
      </c>
      <c r="CO242" s="920">
        <f>0</f>
        <v>0</v>
      </c>
      <c r="CP242" s="920">
        <f>0</f>
        <v>0</v>
      </c>
      <c r="CQ242" s="920">
        <f>0</f>
        <v>0</v>
      </c>
      <c r="CR242" s="920">
        <f>0</f>
        <v>0</v>
      </c>
      <c r="CS242" s="793">
        <f>0</f>
        <v>0</v>
      </c>
      <c r="CT242" s="793">
        <f>0</f>
        <v>0</v>
      </c>
      <c r="CU242" s="793">
        <f>0</f>
        <v>0</v>
      </c>
      <c r="CV242" s="2866">
        <f>q_P_HAO_BIND*X_HAO_L*M_satSPO4_KP_HAO_BIND</f>
        <v>8.3333333333333332E-51</v>
      </c>
      <c r="CX242" s="2880">
        <f>E299*E242+F299*F242+G299*G242+H299*H242+I299*I242+J299*J242+K299*K242+L299*L242+M299*M242+N299*N242+O299*O242+P299*P242+Q299*Q242+R299*R242+S299*S242+T299*T242+U299*U242+V299*V242+W299*W242+X299*X242+Y299*Y242+Z299*Z242+AA299*AA242+AB299*AB242+AC299*AC242+AD299*AD242+AE299*AE242+AF299*AF242+AG299*AG242+AH299*AH242+AI299*AI242+AJ299*AJ242+AK299*AK242+AL299*AL242+AM299*AM242+AN299*AN242+AO299*AO242+AP299*AP242+AQ299*AQ242+AR299*AR242+AS299*AS242+AT299*AT242+AU299*AU242+AV299*AV242+AW299*AW242+AX299*AX242+AY299*AY242+AZ299*AZ242+BA299*BA242+BB299*BB242+BC299*BC242+BD299*BD242+BE299*BE242+BF299*BF242+BG299*BG242+BH299*BH242+BI299*BI242+BJ299*BJ242+BK299*BK242+BL299*BL242+BM299*BM242+BN299*BN242+BO299*BO242+BP299*BP242+BQ299*BQ242+BR299*BR242+BS299*BS242+BT299*BT242+BU299*BU242+BV299*BV242+BW299*BW242+BX299*BX242+BY299*BY242+BZ299*BZ242+CA299*CA242+CB299*CB242+CC299*CC242+CD299*CD242+CE299*CE242+CF299*CF242+CG299*CG242+CH299*CH242+CI299*CI242+CJ299*CJ242+CK299*CK242+CL299*CL242+CM299*CM242+CN299*CN242+CO299*CO242+CP299*CP242+CQ299*CQ242+CR299*CR242+CS299*CS242+CT299*CT242+CU299*CU242</f>
        <v>0</v>
      </c>
      <c r="CY242" s="2880">
        <f>E300*E242+F300*F242+G300*G242+H300*H242+I300*I242+J300*J242+K300*K242+L300*L242+M300*M242+N300*N242+O300*O242+P300*P242+Q300*Q242+R300*R242+S300*S242+T300*T242+U300*U242+V300*V242+W300*W242+X300*X242+Y300*Y242+Z300*Z242+AA300*AA242+AB300*AB242+AC300*AC242+AD300*AD242+AE300*AE242+AF300*AF242+AG300*AG242+AH300*AH242+AI300*AI242+AJ300*AJ242+AK300*AK242+AL300*AL242+AM300*AM242+AN300*AN242+AO300*AO242+AP300*AP242+AQ300*AQ242+AR300*AR242+AS300*AS242+AT300*AT242+AU300*AU242+AV300*AV242+AW300*AW242+AX300*AX242+AY300*AY242+AZ300*AZ242+BA300*BA242+BB300*BB242+BC300*BC242+BD300*BD242+BE300*BE242+BF300*BF242+BG300*BG242+BH300*BH242+BI300*BI242+BJ300*BJ242+BK300*BK242+BL300*BL242+BM300*BM242+BN300*BN242+BO300*BO242+BP300*BP242+BQ300*BQ242+BR300*BR242+BS300*BS242+BT300*BT242+BU300*BU242+BV300*BV242+BW300*BW242+BX300*BX242+BY300*BY242+BZ300*BZ242+CA300*CA242+CB300*CB242+CC300*CC242+CD300*CD242+CE300*CE242+CF300*CF242+CG300*CG242+CH300*CH242+CI300*CI242+CJ300*CJ242+CK300*CK242+CL300*CL242+CM300*CM242+CN300*CN242+CO300*CO242+CP300*CP242+CQ300*CQ242+CR300*CR242+CS300*CS242+CT300*CT242+CU300*CU242</f>
        <v>0</v>
      </c>
      <c r="CZ242" s="2881">
        <f>E301*E242+F301*F242+G301*G242+H301*H242+I301*I242+J301*J242+K301*K242+L301*L242+M301*M242+N301*N242+O301*O242+P301*P242+Q301*Q242+R301*R242+S301*S242+T301*T242+U301*U242+V301*V242+W301*W242+X301*X242+Y301*Y242+Z301*Z242+AA301*AA242+AB301*AB242+AC301*AC242+AD301*AD242+AE301*AE242+AF301*AF242+AG301*AG242+AH301*AH242+AI301*AI242+AJ301*AJ242+AK301*AK242+AL301*AL242+AM301*AM242+AN301*AN242+AO301*AO242+AP301*AP242+AQ301*AQ242+AR301*AR242+AS301*AS242+AT301*AT242+AU301*AU242+AV301*AV242+AW301*AW242+AX301*AX242+AY301*AY242+AZ301*AZ242+BA301*BA242+BB301*BB242+BC301*BC242+BD301*BD242+BE301*BE242+BF301*BF242+BG301*BG242+BH301*BH242+BI301*BI242+BJ301*BJ242+BK301*BK242+BL301*BL242+BM301*BM242+BN301*BN242+BO301*BO242+BP301*BP242+BQ301*BQ242+BR301*BR242+BS301*BS242+BT301*BT242+BU301*BU242+BV301*BV242+BW301*BW242+BX301*BX242+BY301*BY242+BZ301*BZ242+CA301*CA242+CB301*CB242+CC301*CC242+CD301*CD242+CE301*CE242+CF301*CF242+CG301*CG242+CH301*CH242+CI301*CI242+CJ301*CJ242+CK301*CK242+CL301*CL242+CM301*CM242+CN301*CN242+CO301*CO242+CP301*CP242+CQ301*CQ242+CR301*CR242+CS301*CS242+CT301*CT242+CU301*CU242</f>
        <v>0</v>
      </c>
      <c r="DA242" s="2882">
        <f>E302*E242+F302*F242+G302*G242+H302*H242+I302*I242+J302*J242+K302*K242+L302*L242+M302*M242+N302*N242+O302*O242+P302*P242+Q302*Q242+R302*R242+S302*S242+T302*T242+U302*U242+V302*V242+W302*W242+X302*X242+Y302*Y242+Z302*Z242+AA302*AA242+AB302*AB242+AC302*AC242+AD302*AD242+AE302*AE242+AF302*AF242+AG302*AG242+AH302*AH242+AI302*AI242+AJ302*AJ242+AK302*AK242+AL302*AL242+AM302*AM242+AN302*AN242+AO302*AO242+AP302*AP242+AQ302*AQ242+AR302*AR242+AS302*AS242+AT302*AT242+AU302*AU242+AV302*AV242+AW302*AW242+AX302*AX242+AY302*AY242+AZ302*AZ242+BA302*BA242+BB302*BB242+BC302*BC242+BD302*BD242+BE302*BE242+BF302*BF242+BG302*BG242+BH302*BH242+BI302*BI242+BJ302*BJ242+BK302*BK242+BL302*BL242+BM302*BM242+BN302*BN242+BO302*BO242+BP302*BP242+BQ302*BQ242+BR302*BR242+BS302*BS242+BT302*BT242+BU302*BU242+BV302*BV242+BW302*BW242+BX302*BX242+BY302*BY242+BZ302*BZ242+CA302*CA242+CB302*CB242+CC302*CC242+CD302*CD242+CE302*CE242+CF302*CF242+CG302*CG242+CH302*CH242+CI302*CI242+CJ302*CJ242+CK302*CK242+CL302*CL242+CM302*CM242+CN302*CN242+CO302*CO242+CP302*CP242+CQ302*CQ242+CR302*CR242+CS302*CS242+CT302*CT242+CU302*CU242</f>
        <v>0</v>
      </c>
      <c r="DB242" s="2882">
        <f>E303*E242+F303*F242+G303*G242+H303*H242+I303*I242+J303*J242+K303*K242+L303*L242+M303*M242+N303*N242+O303*O242+P303*P242+Q303*Q242+R303*R242+S303*S242+T303*T242+U303*U242+V303*V242+W303*W242+X303*X242+Y303*Y242+Z303*Z242+AA303*AA242+AB303*AB242+AC303*AC242+AD303*AD242+AE303*AE242+AF303*AF242+AG303*AG242+AH303*AH242+AI303*AI242+AJ303*AJ242+AK303*AK242+AL303*AL242+AM303*AM242+AN303*AN242+AO303*AO242+AP303*AP242+AQ303*AQ242+AR303*AR242+AS303*AS242+AT303*AT242+AU303*AU242+AV303*AV242+AW303*AW242+AX303*AX242+AY303*AY242+AZ303*AZ242+BA303*BA242+BB303*BB242+BC303*BC242+BD303*BD242+BE303*BE242+BF303*BF242+BG303*BG242+BH303*BH242+BI303*BI242+BJ303*BJ242+BK303*BK242+BL303*BL242+BM303*BM242+BN303*BN242+BO303*BO242+BP303*BP242+BQ303*BQ242+BR303*BR242+BS303*BS242+BT303*BT242+BU303*BU242+BV303*BV242+BW303*BW242+BX303*BX242+BY303*BY242+BZ303*BZ242+CA303*CA242+CB303*CB242+CC303*CC242+CD303*CD242+CE303*CE242+CF303*CF242+CG303*CG242+CH303*CH242+CI303*CI242+CJ303*CJ242+CK303*CK242+CL303*CL242+CM303*CM242+CN303*CN242+CO303*CO242+CP303*CP242+CQ303*CQ242+CR303*CR242+CS303*CS242+CT303*CT242+CU303*CU242</f>
        <v>0</v>
      </c>
      <c r="DC242" s="2882">
        <f>E304*E242+F304*F242+G304*G242+H304*H242+I304*I242+J304*J242+K304*K242+L304*L242+M304*M242+N304*N242+O304*O242+P304*P242+Q304*Q242+R304*R242+S304*S242+T304*T242+U304*U242+V304*V242+W304*W242+X304*X242+Y304*Y242+Z304*Z242+AA304*AA242+AB304*AB242+AC304*AC242+AD304*AD242+AE304*AE242+AF304*AF242+AG304*AG242+AH304*AH242+AI304*AI242+AJ304*AJ242+AK304*AK242+AL304*AL242+AM304*AM242+AN304*AN242+AO304*AO242+AP304*AP242+AQ304*AQ242+AR304*AR242+AS304*AS242+AT304*AT242+AU304*AU242+AV304*AV242+AW304*AW242+AX304*AX242+AY304*AY242+AZ304*AZ242+BA304*BA242+BB304*BB242+BC304*BC242+BD304*BD242+BE304*BE242+BF304*BF242+BG304*BG242+BH304*BH242+BI304*BI242+BJ304*BJ242+BK304*BK242+BL304*BL242+BM304*BM242+BN304*BN242+BO304*BO242+BP304*BP242+BQ304*BQ242+BR304*BR242+BS304*BS242+BT304*BT242+BU304*BU242+BV304*BV242+BW304*BW242+BX304*BX242+BY304*BY242+BZ304*BZ242+CA304*CA242+CB304*CB242+CC304*CC242+CD304*CD242+CE304*CE242+CF304*CF242+CG304*CG242+CH304*CH242+CI304*CI242+CJ304*CJ242+CK304*CK242+CL304*CL242+CM304*CM242+CN304*CN242+CO304*CO242+CP304*CP242+CQ304*CQ242+CR304*CR242+CS304*CS242+CT304*CT242+CU304*CU242</f>
        <v>0</v>
      </c>
      <c r="DD242" s="2882">
        <f>E305*E242+F305*F242+G305*G242+H305*H242+I305*I242+J305*J242+K305*K242+L305*L242+M305*M242+N305*N242+O305*O242+P305*P242+Q305*Q242+R305*R242+S305*S242+T305*T242+U305*U242+V305*V242+W305*W242+X305*X242+Y305*Y242+Z305*Z242+AA305*AA242+AB305*AB242+AC305*AC242+AD305*AD242+AE305*AE242+AF305*AF242+AG305*AG242+AH305*AH242+AI305*AI242+AJ305*AJ242+AK305*AK242+AL305*AL242+AM305*AM242+AN305*AN242+AO305*AO242+AP305*AP242+AQ305*AQ242+AR305*AR242+AS305*AS242+AT305*AT242+AU305*AU242+AV305*AV242+AW305*AW242+AX305*AX242+AY305*AY242+AZ305*AZ242+BA305*BA242+BB305*BB242+BC305*BC242+BD305*BD242+BE305*BE242+BF305*BF242+BG305*BG242+BH305*BH242+BI305*BI242+BJ305*BJ242+BK305*BK242+BL305*BL242+BM305*BM242+BN305*BN242+BO305*BO242+BP305*BP242+BQ305*BQ242+BR305*BR242+BS305*BS242+BT305*BT242+BU305*BU242+BV305*BV242+BW305*BW242+BX305*BX242+BY305*BY242+BZ305*BZ242+CA305*CA242+CB305*CB242+CC305*CC242+CD305*CD242+CE305*CE242+CF305*CF242+CG305*CG242+CH305*CH242+CI305*CI242+CJ305*CJ242+CK305*CK242+CL305*CL242+CM305*CM242+CN305*CN242+CO305*CO242+CP305*CP242+CQ305*CQ242+CR305*CR242+CS305*CS242+CT305*CT242+CU305*CU242</f>
        <v>0</v>
      </c>
      <c r="DE242" s="2882">
        <f>E306*E242+F306*F242+G306*G242+H306*H242+I306*I242+J306*J242+K306*K242+L306*L242+M306*M242+N306*N242+O306*O242+P306*P242+Q306*Q242+R306*R242+S306*S242+T306*T242+U306*U242+V306*V242+W306*W242+X306*X242+Y306*Y242+Z306*Z242+AA306*AA242+AB306*AB242+AC306*AC242+AD306*AD242+AE306*AE242+AF306*AF242+AG306*AG242+AH306*AH242+AI306*AI242+AJ306*AJ242+AK306*AK242+AL306*AL242+AM306*AM242+AN306*AN242+AO306*AO242+AP306*AP242+AQ306*AQ242+AR306*AR242+AS306*AS242+AT306*AT242+AU306*AU242+AV306*AV242+AW306*AW242+AX306*AX242+AY306*AY242+AZ306*AZ242+BA306*BA242+BB306*BB242+BC306*BC242+BD306*BD242+BE306*BE242+BF306*BF242+BG306*BG242+BH306*BH242+BI306*BI242+BJ306*BJ242+BK306*BK242+BL306*BL242+BM306*BM242+BN306*BN242+BO306*BO242+BP306*BP242+BQ306*BQ242+BR306*BR242+BS306*BS242+BT306*BT242+BU306*BU242+BV306*BV242+BW306*BW242+BX306*BX242+BY306*BY242+BZ306*BZ242+CA306*CA242+CB306*CB242+CC306*CC242+CD306*CD242+CE306*CE242+CF306*CF242+CG306*CG242+CH306*CH242+CI306*CI242+CJ306*CJ242+CK306*CK242+CL306*CL242+CM306*CM242+CN306*CN242+CO306*CO242+CP306*CP242+CQ306*CQ242+CR306*CR242+CS306*CS242+CT306*CT242+CU306*CU242</f>
        <v>0</v>
      </c>
      <c r="DF242" s="2882">
        <f>E307*E242+F307*F242+G307*G242+H307*H242+I307*I242+J307*J242+K307*K242+L307*L242+M307*M242+N307*N242+O307*O242+P307*P242+Q307*Q242+R307*R242+S307*S242+T307*T242+U307*U242+V307*V242+W307*W242+X307*X242+Y307*Y242+Z307*Z242+AA307*AA242+AB307*AB242+AC307*AC242+AD307*AD242+AE307*AE242+AF307*AF242+AG307*AG242+AH307*AH242+AI307*AI242+AJ307*AJ242+AK307*AK242+AL307*AL242+AM307*AM242+AN307*AN242+AO307*AO242+AP307*AP242+AQ307*AQ242+AR307*AR242+AS307*AS242+AT307*AT242+AU307*AU242+AV307*AV242+AW307*AW242+AX307*AX242+AY307*AY242+AZ307*AZ242+BA307*BA242+BB307*BB242+BC307*BC242+BD307*BD242+BE307*BE242+BF307*BF242+BG307*BG242+BH307*BH242+BI307*BI242+BJ307*BJ242+BK307*BK242+BL307*BL242+BM307*BM242+BN307*BN242+BO307*BO242+BP307*BP242+BQ307*BQ242+BR307*BR242+BS307*BS242+BT307*BT242+BU307*BU242+BV307*BV242+BW307*BW242+BX307*BX242+BY307*BY242+BZ307*BZ242+CA307*CA242+CB307*CB242+CC307*CC242+CD307*CD242+CE307*CE242+CF307*CF242+CG307*CG242+CH307*CH242+CI307*CI242+CJ307*CJ242+CK307*CK242+CL307*CL242+CM307*CM242+CN307*CN242+CO307*CO242+CP307*CP242+CQ307*CQ242+CR307*CR242+CS307*CS242+CT307*CT242+CU307*CU242</f>
        <v>0</v>
      </c>
      <c r="DG242" s="2882">
        <f>E308*E242+F308*F242+G308*G242+H308*H242+I308*I242+J308*J242+K308*K242+L308*L242+M308*M242+N308*N242+O308*O242+P308*P242+Q308*Q242+R308*R242+S308*S242+T308*T242+U308*U242+V308*V242+W308*W242+X308*X242+Y308*Y242+Z308*Z242+AA308*AA242+AB308*AB242+AC308*AC242+AD308*AD242+AE308*AE242+AF308*AF242+AG308*AG242+AH308*AH242+AI308*AI242+AJ308*AJ242+AK308*AK242+AL308*AL242+AM308*AM242+AN308*AN242+AO308*AO242+AP308*AP242+AQ308*AQ242+AR308*AR242+AS308*AS242+AT308*AT242+AU308*AU242+AV308*AV242+AW308*AW242+AX308*AX242+AY308*AY242+AZ308*AZ242+BA308*BA242+BB308*BB242+BC308*BC242+BD308*BD242+BE308*BE242+BF308*BF242+BG308*BG242+BH308*BH242+BI308*BI242+BJ308*BJ242+BK308*BK242+BL308*BL242+BM308*BM242+BN308*BN242+BO308*BO242+BP308*BP242+BQ308*BQ242+BR308*BR242+BS308*BS242+BT308*BT242+BU308*BU242+BV308*BV242+BW308*BW242+BX308*BX242+BY308*BY242+BZ308*BZ242+CA308*CA242+CB308*CB242+CC308*CC242+CD308*CD242+CE308*CE242+CF308*CF242+CG308*CG242+CH308*CH242+CI308*CI242+CJ308*CJ242+CK308*CK242+CL308*CL242+CM308*CM242+CN308*CN242+CO308*CO242+CP308*CP242+CQ308*CQ242+CR308*CR242+CS308*CS242+CT308*CT242+CU308*CU242</f>
        <v>0</v>
      </c>
      <c r="DH242" s="2882">
        <f>E309*E242+F309*F242+G309*G242+H309*H242+I309*I242+J309*J242+K309*K242+L309*L242+M309*M242+N309*N242+O309*O242+P309*P242+Q309*Q242+R309*R242+S309*S242+T309*T242+U309*U242+V309*V242+W309*W242+X309*X242+Y309*Y242+Z309*Z242+AA309*AA242+AB309*AB242+AC309*AC242+AD309*AD242+AE309*AE242+AF309*AF242+AG309*AG242+AH309*AH242+AI309*AI242+AJ309*AJ242+AK309*AK242+AL309*AL242+AM309*AM242+AN309*AN242+AO309*AO242+AP309*AP242+AQ309*AQ242+AR309*AR242+AS309*AS242+AT309*AT242+AU309*AU242+AV309*AV242+AW309*AW242+AX309*AX242+AY309*AY242+AZ309*AZ242+BA309*BA242+BB309*BB242+BC309*BC242+BD309*BD242+BE309*BE242+BF309*BF242+BG309*BG242+BH309*BH242+BI309*BI242+BJ309*BJ242+BK309*BK242+BL309*BL242+BM309*BM242+BN309*BN242+BO309*BO242+BP309*BP242+BQ309*BQ242+BR309*BR242+BS309*BS242+BT309*BT242+BU309*BU242+BV309*BV242+BW309*BW242+BX309*BX242+BY309*BY242+BZ309*BZ242+CA309*CA242+CB309*CB242+CC309*CC242+CD309*CD242+CE309*CE242+CF309*CF242+CG309*CG242+CH309*CH242+CI309*CI242+CJ309*CJ242+CK309*CK242+CL309*CL242+CM309*CM242+CN309*CN242+CO309*CO242+CP309*CP242+CQ309*CQ242+CR309*CR242+CS309*CS242+CT309*CT242+CU309*CU242</f>
        <v>0</v>
      </c>
      <c r="DI242" s="2882">
        <f>E310*E242+F310*F242+G310*G242+H310*H242+I310*I242+J310*J242+K310*K242+L310*L242+M310*M242+N310*N242+O310*O242+P310*P242+Q310*Q242+R310*R242+S310*S242+T310*T242+U310*U242+V310*V242+W310*W242+X310*X242+Y310*Y242+Z310*Z242+AA310*AA242+AB310*AB242+AC310*AC242+AD310*AD242+AE310*AE242+AF310*AF242+AG310*AG242+AH310*AH242+AI310*AI242+AJ310*AJ242+AK310*AK242+AL310*AL242+AM310*AM242+AN310*AN242+AO310*AO242+AP310*AP242+AQ310*AQ242+AR310*AR242+AS310*AS242+AT310*AT242+AU310*AU242+AV310*AV242+AW310*AW242+AX310*AX242+AY310*AY242+AZ310*AZ242+BA310*BA242+BB310*BB242+BC310*BC242+BD310*BD242+BE310*BE242+BF310*BF242+BG310*BG242+BH310*BH242+BI310*BI242+BJ310*BJ242+BK310*BK242+BL310*BL242+BM310*BM242+BN310*BN242+BO310*BO242+BP310*BP242+BQ310*BQ242+BR310*BR242+BS310*BS242+BT310*BT242+BU310*BU242+BV310*BV242+BW310*BW242+BX310*BX242+BY310*BY242+BZ310*BZ242+CA310*CA242+CB310*CB242+CC310*CC242+CD310*CD242+CE310*CE242+CF310*CF242+CG310*CG242+CH310*CH242+CI310*CI242+CJ310*CJ242+CK310*CK242+CL310*CL242+CM310*CM242+CN310*CN242+CO310*CO242+CP310*CP242+CQ310*CQ242+CR310*CR242+CS310*CS242+CT310*CT242+CU310*CU242</f>
        <v>0</v>
      </c>
    </row>
    <row r="243" spans="2:113" ht="15.75" x14ac:dyDescent="0.45">
      <c r="B243" s="2209">
        <v>84</v>
      </c>
      <c r="C243" s="2209" t="s">
        <v>3072</v>
      </c>
      <c r="D243" s="2210" t="s">
        <v>4467</v>
      </c>
      <c r="E243" s="901">
        <f>0</f>
        <v>0</v>
      </c>
      <c r="F243" s="901">
        <f>0</f>
        <v>0</v>
      </c>
      <c r="G243" s="901">
        <f>0</f>
        <v>0</v>
      </c>
      <c r="H243" s="901">
        <f>0</f>
        <v>0</v>
      </c>
      <c r="I243" s="901">
        <f>0</f>
        <v>0</v>
      </c>
      <c r="J243" s="901">
        <f>0</f>
        <v>0</v>
      </c>
      <c r="K243" s="901">
        <f>0</f>
        <v>0</v>
      </c>
      <c r="L243" s="901">
        <f>0</f>
        <v>0</v>
      </c>
      <c r="M243" s="901">
        <f>0</f>
        <v>0</v>
      </c>
      <c r="N243" s="901">
        <f>0</f>
        <v>0</v>
      </c>
      <c r="O243" s="901">
        <f>0</f>
        <v>0</v>
      </c>
      <c r="P243" s="901">
        <f>0</f>
        <v>0</v>
      </c>
      <c r="Q243" s="920">
        <f>0</f>
        <v>0</v>
      </c>
      <c r="R243" s="901">
        <f>0</f>
        <v>0</v>
      </c>
      <c r="S243" s="901">
        <f>0</f>
        <v>0</v>
      </c>
      <c r="T243" s="901">
        <f>0</f>
        <v>0</v>
      </c>
      <c r="U243" s="901">
        <f>0</f>
        <v>0</v>
      </c>
      <c r="V243" s="901">
        <f>0</f>
        <v>0</v>
      </c>
      <c r="W243" s="901">
        <f>0</f>
        <v>0</v>
      </c>
      <c r="X243" s="901">
        <f>0</f>
        <v>0</v>
      </c>
      <c r="Y243" s="734">
        <f>0</f>
        <v>0</v>
      </c>
      <c r="Z243" s="734">
        <f>0</f>
        <v>0</v>
      </c>
      <c r="AA243" s="734">
        <f>0</f>
        <v>0</v>
      </c>
      <c r="AB243" s="901">
        <f>0</f>
        <v>0</v>
      </c>
      <c r="AC243" s="901">
        <f>0</f>
        <v>0</v>
      </c>
      <c r="AD243" s="901">
        <f>0</f>
        <v>0</v>
      </c>
      <c r="AE243" s="901">
        <f>0</f>
        <v>0</v>
      </c>
      <c r="AF243" s="920">
        <f>0</f>
        <v>0</v>
      </c>
      <c r="AG243" s="920">
        <f>0</f>
        <v>0</v>
      </c>
      <c r="AH243" s="901">
        <f>0</f>
        <v>0</v>
      </c>
      <c r="AI243" s="901">
        <f>0</f>
        <v>0</v>
      </c>
      <c r="AJ243" s="901">
        <f>0</f>
        <v>0</v>
      </c>
      <c r="AK243" s="901">
        <f>0</f>
        <v>0</v>
      </c>
      <c r="AL243" s="901">
        <f>0</f>
        <v>0</v>
      </c>
      <c r="AM243" s="920">
        <f>(A_SFHAO_H*(A_MP/A_MAl))</f>
        <v>1.1479629449808202</v>
      </c>
      <c r="AN243" s="901">
        <f>0</f>
        <v>0</v>
      </c>
      <c r="AO243" s="920">
        <f>0</f>
        <v>0</v>
      </c>
      <c r="AP243" s="901">
        <f>0</f>
        <v>0</v>
      </c>
      <c r="AQ243" s="901">
        <f>0</f>
        <v>0</v>
      </c>
      <c r="AR243" s="920">
        <f>0</f>
        <v>0</v>
      </c>
      <c r="AS243" s="901">
        <f>0</f>
        <v>0</v>
      </c>
      <c r="AT243" s="901">
        <f>0</f>
        <v>0</v>
      </c>
      <c r="AU243" s="901">
        <f>0</f>
        <v>0</v>
      </c>
      <c r="AV243" s="901">
        <f>0</f>
        <v>0</v>
      </c>
      <c r="AW243" s="901">
        <f>0</f>
        <v>0</v>
      </c>
      <c r="AX243" s="901">
        <f>0</f>
        <v>0</v>
      </c>
      <c r="AY243" s="920">
        <f>0</f>
        <v>0</v>
      </c>
      <c r="AZ243" s="901">
        <f>0</f>
        <v>0</v>
      </c>
      <c r="BA243" s="901">
        <f>0</f>
        <v>0</v>
      </c>
      <c r="BB243" s="734">
        <f>0</f>
        <v>0</v>
      </c>
      <c r="BC243" s="734">
        <f>0</f>
        <v>0</v>
      </c>
      <c r="BD243" s="734">
        <f>0</f>
        <v>0</v>
      </c>
      <c r="BE243" s="901">
        <f>0</f>
        <v>0</v>
      </c>
      <c r="BF243" s="920">
        <f>0</f>
        <v>0</v>
      </c>
      <c r="BG243" s="901">
        <f>0</f>
        <v>0</v>
      </c>
      <c r="BH243" s="920">
        <f>0</f>
        <v>0</v>
      </c>
      <c r="BI243" s="920">
        <f>0</f>
        <v>0</v>
      </c>
      <c r="BJ243" s="924">
        <f>0</f>
        <v>0</v>
      </c>
      <c r="BK243" s="924">
        <f>0</f>
        <v>0</v>
      </c>
      <c r="BL243" s="924">
        <f>0</f>
        <v>0</v>
      </c>
      <c r="BM243" s="924">
        <f>1</f>
        <v>1</v>
      </c>
      <c r="BN243" s="924">
        <f>0</f>
        <v>0</v>
      </c>
      <c r="BO243" s="924">
        <f>0</f>
        <v>0</v>
      </c>
      <c r="BP243" s="924">
        <f>-1</f>
        <v>-1</v>
      </c>
      <c r="BQ243" s="924">
        <f>0</f>
        <v>0</v>
      </c>
      <c r="BR243" s="924">
        <f>0</f>
        <v>0</v>
      </c>
      <c r="BS243" s="924">
        <f>0</f>
        <v>0</v>
      </c>
      <c r="BT243" s="920">
        <f>0</f>
        <v>0</v>
      </c>
      <c r="BU243" s="920">
        <f>0</f>
        <v>0</v>
      </c>
      <c r="BV243" s="920">
        <f>0</f>
        <v>0</v>
      </c>
      <c r="BW243" s="920">
        <f>0</f>
        <v>0</v>
      </c>
      <c r="BX243" s="920">
        <f>0</f>
        <v>0</v>
      </c>
      <c r="BY243" s="793">
        <f>0</f>
        <v>0</v>
      </c>
      <c r="BZ243" s="920">
        <f>0</f>
        <v>0</v>
      </c>
      <c r="CA243" s="920">
        <f>0</f>
        <v>0</v>
      </c>
      <c r="CB243" s="920">
        <f>0</f>
        <v>0</v>
      </c>
      <c r="CC243" s="920">
        <f>0</f>
        <v>0</v>
      </c>
      <c r="CD243" s="920">
        <f>0</f>
        <v>0</v>
      </c>
      <c r="CE243" s="920">
        <f>0</f>
        <v>0</v>
      </c>
      <c r="CF243" s="920">
        <f>0</f>
        <v>0</v>
      </c>
      <c r="CG243" s="920">
        <f>0</f>
        <v>0</v>
      </c>
      <c r="CH243" s="920">
        <f>0</f>
        <v>0</v>
      </c>
      <c r="CI243" s="920">
        <f>0</f>
        <v>0</v>
      </c>
      <c r="CJ243" s="793">
        <f>0</f>
        <v>0</v>
      </c>
      <c r="CK243" s="920">
        <f>0</f>
        <v>0</v>
      </c>
      <c r="CL243" s="920">
        <f>0</f>
        <v>0</v>
      </c>
      <c r="CM243" s="920">
        <f>0</f>
        <v>0</v>
      </c>
      <c r="CN243" s="920">
        <f>0</f>
        <v>0</v>
      </c>
      <c r="CO243" s="920">
        <f>0</f>
        <v>0</v>
      </c>
      <c r="CP243" s="920">
        <f>0</f>
        <v>0</v>
      </c>
      <c r="CQ243" s="920">
        <f>0</f>
        <v>0</v>
      </c>
      <c r="CR243" s="920">
        <f>0</f>
        <v>0</v>
      </c>
      <c r="CS243" s="793">
        <f>0</f>
        <v>0</v>
      </c>
      <c r="CT243" s="793">
        <f>0</f>
        <v>0</v>
      </c>
      <c r="CU243" s="793">
        <f>0</f>
        <v>0</v>
      </c>
      <c r="CV243" s="2866">
        <f>q_HAOH_DESORP*X_HAO_H_P*M_inhSPO4_KiP_HAO_DESORP</f>
        <v>1.6666666666666669E-49</v>
      </c>
      <c r="CX243" s="2880">
        <f>E299*E243+F299*F243+G299*G243+H299*H243+I299*I243+J299*J243+K299*K243+L299*L243+M299*M243+N299*N243+O299*O243+P299*P243+Q299*Q243+R299*R243+S299*S243+T299*T243+U299*U243+V299*V243+W299*W243+X299*X243+Y299*Y243+Z299*Z243+AA299*AA243+AB299*AB243+AC299*AC243+AD299*AD243+AE299*AE243+AF299*AF243+AG299*AG243+AH299*AH243+AI299*AI243+AJ299*AJ243+AK299*AK243+AL299*AL243+AM299*AM243+AN299*AN243+AO299*AO243+AP299*AP243+AQ299*AQ243+AR299*AR243+AS299*AS243+AT299*AT243+AU299*AU243+AV299*AV243+AW299*AW243+AX299*AX243+AY299*AY243+AZ299*AZ243+BA299*BA243+BB299*BB243+BC299*BC243+BD299*BD243+BE299*BE243+BF299*BF243+BG299*BG243+BH299*BH243+BI299*BI243+BJ299*BJ243+BK299*BK243+BL299*BL243+BM299*BM243+BN299*BN243+BO299*BO243+BP299*BP243+BQ299*BQ243+BR299*BR243+BS299*BS243+BT299*BT243+BU299*BU243+BV299*BV243+BW299*BW243+BX299*BX243+BY299*BY243+BZ299*BZ243+CA299*CA243+CB299*CB243+CC299*CC243+CD299*CD243+CE299*CE243+CF299*CF243+CG299*CG243+CH299*CH243+CI299*CI243+CJ299*CJ243+CK299*CK243+CL299*CL243+CM299*CM243+CN299*CN243+CO299*CO243+CP299*CP243+CQ299*CQ243+CR299*CR243+CS299*CS243+CT299*CT243+CU299*CU243</f>
        <v>0</v>
      </c>
      <c r="CY243" s="2880">
        <f>E300*E243+F300*F243+G300*G243+H300*H243+I300*I243+J300*J243+K300*K243+L300*L243+M300*M243+N300*N243+O300*O243+P300*P243+Q300*Q243+R300*R243+S300*S243+T300*T243+U300*U243+V300*V243+W300*W243+X300*X243+Y300*Y243+Z300*Z243+AA300*AA243+AB300*AB243+AC300*AC243+AD300*AD243+AE300*AE243+AF300*AF243+AG300*AG243+AH300*AH243+AI300*AI243+AJ300*AJ243+AK300*AK243+AL300*AL243+AM300*AM243+AN300*AN243+AO300*AO243+AP300*AP243+AQ300*AQ243+AR300*AR243+AS300*AS243+AT300*AT243+AU300*AU243+AV300*AV243+AW300*AW243+AX300*AX243+AY300*AY243+AZ300*AZ243+BA300*BA243+BB300*BB243+BC300*BC243+BD300*BD243+BE300*BE243+BF300*BF243+BG300*BG243+BH300*BH243+BI300*BI243+BJ300*BJ243+BK300*BK243+BL300*BL243+BM300*BM243+BN300*BN243+BO300*BO243+BP300*BP243+BQ300*BQ243+BR300*BR243+BS300*BS243+BT300*BT243+BU300*BU243+BV300*BV243+BW300*BW243+BX300*BX243+BY300*BY243+BZ300*BZ243+CA300*CA243+CB300*CB243+CC300*CC243+CD300*CD243+CE300*CE243+CF300*CF243+CG300*CG243+CH300*CH243+CI300*CI243+CJ300*CJ243+CK300*CK243+CL300*CL243+CM300*CM243+CN300*CN243+CO300*CO243+CP300*CP243+CQ300*CQ243+CR300*CR243+CS300*CS243+CT300*CT243+CU300*CU243</f>
        <v>0</v>
      </c>
      <c r="CZ243" s="2881">
        <f>E301*E243+F301*F243+G301*G243+H301*H243+I301*I243+J301*J243+K301*K243+L301*L243+M301*M243+N301*N243+O301*O243+P301*P243+Q301*Q243+R301*R243+S301*S243+T301*T243+U301*U243+V301*V243+W301*W243+X301*X243+Y301*Y243+Z301*Z243+AA301*AA243+AB301*AB243+AC301*AC243+AD301*AD243+AE301*AE243+AF301*AF243+AG301*AG243+AH301*AH243+AI301*AI243+AJ301*AJ243+AK301*AK243+AL301*AL243+AM301*AM243+AN301*AN243+AO301*AO243+AP301*AP243+AQ301*AQ243+AR301*AR243+AS301*AS243+AT301*AT243+AU301*AU243+AV301*AV243+AW301*AW243+AX301*AX243+AY301*AY243+AZ301*AZ243+BA301*BA243+BB301*BB243+BC301*BC243+BD301*BD243+BE301*BE243+BF301*BF243+BG301*BG243+BH301*BH243+BI301*BI243+BJ301*BJ243+BK301*BK243+BL301*BL243+BM301*BM243+BN301*BN243+BO301*BO243+BP301*BP243+BQ301*BQ243+BR301*BR243+BS301*BS243+BT301*BT243+BU301*BU243+BV301*BV243+BW301*BW243+BX301*BX243+BY301*BY243+BZ301*BZ243+CA301*CA243+CB301*CB243+CC301*CC243+CD301*CD243+CE301*CE243+CF301*CF243+CG301*CG243+CH301*CH243+CI301*CI243+CJ301*CJ243+CK301*CK243+CL301*CL243+CM301*CM243+CN301*CN243+CO301*CO243+CP301*CP243+CQ301*CQ243+CR301*CR243+CS301*CS243+CT301*CT243+CU301*CU243</f>
        <v>0</v>
      </c>
      <c r="DA243" s="2882">
        <f>E302*E243+F302*F243+G302*G243+H302*H243+I302*I243+J302*J243+K302*K243+L302*L243+M302*M243+N302*N243+O302*O243+P302*P243+Q302*Q243+R302*R243+S302*S243+T302*T243+U302*U243+V302*V243+W302*W243+X302*X243+Y302*Y243+Z302*Z243+AA302*AA243+AB302*AB243+AC302*AC243+AD302*AD243+AE302*AE243+AF302*AF243+AG302*AG243+AH302*AH243+AI302*AI243+AJ302*AJ243+AK302*AK243+AL302*AL243+AM302*AM243+AN302*AN243+AO302*AO243+AP302*AP243+AQ302*AQ243+AR302*AR243+AS302*AS243+AT302*AT243+AU302*AU243+AV302*AV243+AW302*AW243+AX302*AX243+AY302*AY243+AZ302*AZ243+BA302*BA243+BB302*BB243+BC302*BC243+BD302*BD243+BE302*BE243+BF302*BF243+BG302*BG243+BH302*BH243+BI302*BI243+BJ302*BJ243+BK302*BK243+BL302*BL243+BM302*BM243+BN302*BN243+BO302*BO243+BP302*BP243+BQ302*BQ243+BR302*BR243+BS302*BS243+BT302*BT243+BU302*BU243+BV302*BV243+BW302*BW243+BX302*BX243+BY302*BY243+BZ302*BZ243+CA302*CA243+CB302*CB243+CC302*CC243+CD302*CD243+CE302*CE243+CF302*CF243+CG302*CG243+CH302*CH243+CI302*CI243+CJ302*CJ243+CK302*CK243+CL302*CL243+CM302*CM243+CN302*CN243+CO302*CO243+CP302*CP243+CQ302*CQ243+CR302*CR243+CS302*CS243+CT302*CT243+CU302*CU243</f>
        <v>0</v>
      </c>
      <c r="DB243" s="2882">
        <f>E303*E243+F303*F243+G303*G243+H303*H243+I303*I243+J303*J243+K303*K243+L303*L243+M303*M243+N303*N243+O303*O243+P303*P243+Q303*Q243+R303*R243+S303*S243+T303*T243+U303*U243+V303*V243+W303*W243+X303*X243+Y303*Y243+Z303*Z243+AA303*AA243+AB303*AB243+AC303*AC243+AD303*AD243+AE303*AE243+AF303*AF243+AG303*AG243+AH303*AH243+AI303*AI243+AJ303*AJ243+AK303*AK243+AL303*AL243+AM303*AM243+AN303*AN243+AO303*AO243+AP303*AP243+AQ303*AQ243+AR303*AR243+AS303*AS243+AT303*AT243+AU303*AU243+AV303*AV243+AW303*AW243+AX303*AX243+AY303*AY243+AZ303*AZ243+BA303*BA243+BB303*BB243+BC303*BC243+BD303*BD243+BE303*BE243+BF303*BF243+BG303*BG243+BH303*BH243+BI303*BI243+BJ303*BJ243+BK303*BK243+BL303*BL243+BM303*BM243+BN303*BN243+BO303*BO243+BP303*BP243+BQ303*BQ243+BR303*BR243+BS303*BS243+BT303*BT243+BU303*BU243+BV303*BV243+BW303*BW243+BX303*BX243+BY303*BY243+BZ303*BZ243+CA303*CA243+CB303*CB243+CC303*CC243+CD303*CD243+CE303*CE243+CF303*CF243+CG303*CG243+CH303*CH243+CI303*CI243+CJ303*CJ243+CK303*CK243+CL303*CL243+CM303*CM243+CN303*CN243+CO303*CO243+CP303*CP243+CQ303*CQ243+CR303*CR243+CS303*CS243+CT303*CT243+CU303*CU243</f>
        <v>0</v>
      </c>
      <c r="DC243" s="2882">
        <f>E304*E243+F304*F243+G304*G243+H304*H243+I304*I243+J304*J243+K304*K243+L304*L243+M304*M243+N304*N243+O304*O243+P304*P243+Q304*Q243+R304*R243+S304*S243+T304*T243+U304*U243+V304*V243+W304*W243+X304*X243+Y304*Y243+Z304*Z243+AA304*AA243+AB304*AB243+AC304*AC243+AD304*AD243+AE304*AE243+AF304*AF243+AG304*AG243+AH304*AH243+AI304*AI243+AJ304*AJ243+AK304*AK243+AL304*AL243+AM304*AM243+AN304*AN243+AO304*AO243+AP304*AP243+AQ304*AQ243+AR304*AR243+AS304*AS243+AT304*AT243+AU304*AU243+AV304*AV243+AW304*AW243+AX304*AX243+AY304*AY243+AZ304*AZ243+BA304*BA243+BB304*BB243+BC304*BC243+BD304*BD243+BE304*BE243+BF304*BF243+BG304*BG243+BH304*BH243+BI304*BI243+BJ304*BJ243+BK304*BK243+BL304*BL243+BM304*BM243+BN304*BN243+BO304*BO243+BP304*BP243+BQ304*BQ243+BR304*BR243+BS304*BS243+BT304*BT243+BU304*BU243+BV304*BV243+BW304*BW243+BX304*BX243+BY304*BY243+BZ304*BZ243+CA304*CA243+CB304*CB243+CC304*CC243+CD304*CD243+CE304*CE243+CF304*CF243+CG304*CG243+CH304*CH243+CI304*CI243+CJ304*CJ243+CK304*CK243+CL304*CL243+CM304*CM243+CN304*CN243+CO304*CO243+CP304*CP243+CQ304*CQ243+CR304*CR243+CS304*CS243+CT304*CT243+CU304*CU243</f>
        <v>0</v>
      </c>
      <c r="DD243" s="2882">
        <f>E305*E243+F305*F243+G305*G243+H305*H243+I305*I243+J305*J243+K305*K243+L305*L243+M305*M243+N305*N243+O305*O243+P305*P243+Q305*Q243+R305*R243+S305*S243+T305*T243+U305*U243+V305*V243+W305*W243+X305*X243+Y305*Y243+Z305*Z243+AA305*AA243+AB305*AB243+AC305*AC243+AD305*AD243+AE305*AE243+AF305*AF243+AG305*AG243+AH305*AH243+AI305*AI243+AJ305*AJ243+AK305*AK243+AL305*AL243+AM305*AM243+AN305*AN243+AO305*AO243+AP305*AP243+AQ305*AQ243+AR305*AR243+AS305*AS243+AT305*AT243+AU305*AU243+AV305*AV243+AW305*AW243+AX305*AX243+AY305*AY243+AZ305*AZ243+BA305*BA243+BB305*BB243+BC305*BC243+BD305*BD243+BE305*BE243+BF305*BF243+BG305*BG243+BH305*BH243+BI305*BI243+BJ305*BJ243+BK305*BK243+BL305*BL243+BM305*BM243+BN305*BN243+BO305*BO243+BP305*BP243+BQ305*BQ243+BR305*BR243+BS305*BS243+BT305*BT243+BU305*BU243+BV305*BV243+BW305*BW243+BX305*BX243+BY305*BY243+BZ305*BZ243+CA305*CA243+CB305*CB243+CC305*CC243+CD305*CD243+CE305*CE243+CF305*CF243+CG305*CG243+CH305*CH243+CI305*CI243+CJ305*CJ243+CK305*CK243+CL305*CL243+CM305*CM243+CN305*CN243+CO305*CO243+CP305*CP243+CQ305*CQ243+CR305*CR243+CS305*CS243+CT305*CT243+CU305*CU243</f>
        <v>0</v>
      </c>
      <c r="DE243" s="2882">
        <f>E306*E243+F306*F243+G306*G243+H306*H243+I306*I243+J306*J243+K306*K243+L306*L243+M306*M243+N306*N243+O306*O243+P306*P243+Q306*Q243+R306*R243+S306*S243+T306*T243+U306*U243+V306*V243+W306*W243+X306*X243+Y306*Y243+Z306*Z243+AA306*AA243+AB306*AB243+AC306*AC243+AD306*AD243+AE306*AE243+AF306*AF243+AG306*AG243+AH306*AH243+AI306*AI243+AJ306*AJ243+AK306*AK243+AL306*AL243+AM306*AM243+AN306*AN243+AO306*AO243+AP306*AP243+AQ306*AQ243+AR306*AR243+AS306*AS243+AT306*AT243+AU306*AU243+AV306*AV243+AW306*AW243+AX306*AX243+AY306*AY243+AZ306*AZ243+BA306*BA243+BB306*BB243+BC306*BC243+BD306*BD243+BE306*BE243+BF306*BF243+BG306*BG243+BH306*BH243+BI306*BI243+BJ306*BJ243+BK306*BK243+BL306*BL243+BM306*BM243+BN306*BN243+BO306*BO243+BP306*BP243+BQ306*BQ243+BR306*BR243+BS306*BS243+BT306*BT243+BU306*BU243+BV306*BV243+BW306*BW243+BX306*BX243+BY306*BY243+BZ306*BZ243+CA306*CA243+CB306*CB243+CC306*CC243+CD306*CD243+CE306*CE243+CF306*CF243+CG306*CG243+CH306*CH243+CI306*CI243+CJ306*CJ243+CK306*CK243+CL306*CL243+CM306*CM243+CN306*CN243+CO306*CO243+CP306*CP243+CQ306*CQ243+CR306*CR243+CS306*CS243+CT306*CT243+CU306*CU243</f>
        <v>0</v>
      </c>
      <c r="DF243" s="2882">
        <f>E307*E243+F307*F243+G307*G243+H307*H243+I307*I243+J307*J243+K307*K243+L307*L243+M307*M243+N307*N243+O307*O243+P307*P243+Q307*Q243+R307*R243+S307*S243+T307*T243+U307*U243+V307*V243+W307*W243+X307*X243+Y307*Y243+Z307*Z243+AA307*AA243+AB307*AB243+AC307*AC243+AD307*AD243+AE307*AE243+AF307*AF243+AG307*AG243+AH307*AH243+AI307*AI243+AJ307*AJ243+AK307*AK243+AL307*AL243+AM307*AM243+AN307*AN243+AO307*AO243+AP307*AP243+AQ307*AQ243+AR307*AR243+AS307*AS243+AT307*AT243+AU307*AU243+AV307*AV243+AW307*AW243+AX307*AX243+AY307*AY243+AZ307*AZ243+BA307*BA243+BB307*BB243+BC307*BC243+BD307*BD243+BE307*BE243+BF307*BF243+BG307*BG243+BH307*BH243+BI307*BI243+BJ307*BJ243+BK307*BK243+BL307*BL243+BM307*BM243+BN307*BN243+BO307*BO243+BP307*BP243+BQ307*BQ243+BR307*BR243+BS307*BS243+BT307*BT243+BU307*BU243+BV307*BV243+BW307*BW243+BX307*BX243+BY307*BY243+BZ307*BZ243+CA307*CA243+CB307*CB243+CC307*CC243+CD307*CD243+CE307*CE243+CF307*CF243+CG307*CG243+CH307*CH243+CI307*CI243+CJ307*CJ243+CK307*CK243+CL307*CL243+CM307*CM243+CN307*CN243+CO307*CO243+CP307*CP243+CQ307*CQ243+CR307*CR243+CS307*CS243+CT307*CT243+CU307*CU243</f>
        <v>0</v>
      </c>
      <c r="DG243" s="2882">
        <f>E308*E243+F308*F243+G308*G243+H308*H243+I308*I243+J308*J243+K308*K243+L308*L243+M308*M243+N308*N243+O308*O243+P308*P243+Q308*Q243+R308*R243+S308*S243+T308*T243+U308*U243+V308*V243+W308*W243+X308*X243+Y308*Y243+Z308*Z243+AA308*AA243+AB308*AB243+AC308*AC243+AD308*AD243+AE308*AE243+AF308*AF243+AG308*AG243+AH308*AH243+AI308*AI243+AJ308*AJ243+AK308*AK243+AL308*AL243+AM308*AM243+AN308*AN243+AO308*AO243+AP308*AP243+AQ308*AQ243+AR308*AR243+AS308*AS243+AT308*AT243+AU308*AU243+AV308*AV243+AW308*AW243+AX308*AX243+AY308*AY243+AZ308*AZ243+BA308*BA243+BB308*BB243+BC308*BC243+BD308*BD243+BE308*BE243+BF308*BF243+BG308*BG243+BH308*BH243+BI308*BI243+BJ308*BJ243+BK308*BK243+BL308*BL243+BM308*BM243+BN308*BN243+BO308*BO243+BP308*BP243+BQ308*BQ243+BR308*BR243+BS308*BS243+BT308*BT243+BU308*BU243+BV308*BV243+BW308*BW243+BX308*BX243+BY308*BY243+BZ308*BZ243+CA308*CA243+CB308*CB243+CC308*CC243+CD308*CD243+CE308*CE243+CF308*CF243+CG308*CG243+CH308*CH243+CI308*CI243+CJ308*CJ243+CK308*CK243+CL308*CL243+CM308*CM243+CN308*CN243+CO308*CO243+CP308*CP243+CQ308*CQ243+CR308*CR243+CS308*CS243+CT308*CT243+CU308*CU243</f>
        <v>0</v>
      </c>
      <c r="DH243" s="2882">
        <f>E309*E243+F309*F243+G309*G243+H309*H243+I309*I243+J309*J243+K309*K243+L309*L243+M309*M243+N309*N243+O309*O243+P309*P243+Q309*Q243+R309*R243+S309*S243+T309*T243+U309*U243+V309*V243+W309*W243+X309*X243+Y309*Y243+Z309*Z243+AA309*AA243+AB309*AB243+AC309*AC243+AD309*AD243+AE309*AE243+AF309*AF243+AG309*AG243+AH309*AH243+AI309*AI243+AJ309*AJ243+AK309*AK243+AL309*AL243+AM309*AM243+AN309*AN243+AO309*AO243+AP309*AP243+AQ309*AQ243+AR309*AR243+AS309*AS243+AT309*AT243+AU309*AU243+AV309*AV243+AW309*AW243+AX309*AX243+AY309*AY243+AZ309*AZ243+BA309*BA243+BB309*BB243+BC309*BC243+BD309*BD243+BE309*BE243+BF309*BF243+BG309*BG243+BH309*BH243+BI309*BI243+BJ309*BJ243+BK309*BK243+BL309*BL243+BM309*BM243+BN309*BN243+BO309*BO243+BP309*BP243+BQ309*BQ243+BR309*BR243+BS309*BS243+BT309*BT243+BU309*BU243+BV309*BV243+BW309*BW243+BX309*BX243+BY309*BY243+BZ309*BZ243+CA309*CA243+CB309*CB243+CC309*CC243+CD309*CD243+CE309*CE243+CF309*CF243+CG309*CG243+CH309*CH243+CI309*CI243+CJ309*CJ243+CK309*CK243+CL309*CL243+CM309*CM243+CN309*CN243+CO309*CO243+CP309*CP243+CQ309*CQ243+CR309*CR243+CS309*CS243+CT309*CT243+CU309*CU243</f>
        <v>0</v>
      </c>
      <c r="DI243" s="2882">
        <f>E310*E243+F310*F243+G310*G243+H310*H243+I310*I243+J310*J243+K310*K243+L310*L243+M310*M243+N310*N243+O310*O243+P310*P243+Q310*Q243+R310*R243+S310*S243+T310*T243+U310*U243+V310*V243+W310*W243+X310*X243+Y310*Y243+Z310*Z243+AA310*AA243+AB310*AB243+AC310*AC243+AD310*AD243+AE310*AE243+AF310*AF243+AG310*AG243+AH310*AH243+AI310*AI243+AJ310*AJ243+AK310*AK243+AL310*AL243+AM310*AM243+AN310*AN243+AO310*AO243+AP310*AP243+AQ310*AQ243+AR310*AR243+AS310*AS243+AT310*AT243+AU310*AU243+AV310*AV243+AW310*AW243+AX310*AX243+AY310*AY243+AZ310*AZ243+BA310*BA243+BB310*BB243+BC310*BC243+BD310*BD243+BE310*BE243+BF310*BF243+BG310*BG243+BH310*BH243+BI310*BI243+BJ310*BJ243+BK310*BK243+BL310*BL243+BM310*BM243+BN310*BN243+BO310*BO243+BP310*BP243+BQ310*BQ243+BR310*BR243+BS310*BS243+BT310*BT243+BU310*BU243+BV310*BV243+BW310*BW243+BX310*BX243+BY310*BY243+BZ310*BZ243+CA310*CA243+CB310*CB243+CC310*CC243+CD310*CD243+CE310*CE243+CF310*CF243+CG310*CG243+CH310*CH243+CI310*CI243+CJ310*CJ243+CK310*CK243+CL310*CL243+CM310*CM243+CN310*CN243+CO310*CO243+CP310*CP243+CQ310*CQ243+CR310*CR243+CS310*CS243+CT310*CT243+CU310*CU243</f>
        <v>0</v>
      </c>
    </row>
    <row r="244" spans="2:113" ht="15.75" x14ac:dyDescent="0.45">
      <c r="B244" s="2209">
        <v>85</v>
      </c>
      <c r="C244" s="2209" t="s">
        <v>3073</v>
      </c>
      <c r="D244" s="2210" t="s">
        <v>4470</v>
      </c>
      <c r="E244" s="901">
        <f>0</f>
        <v>0</v>
      </c>
      <c r="F244" s="901">
        <f>0</f>
        <v>0</v>
      </c>
      <c r="G244" s="901">
        <f>0</f>
        <v>0</v>
      </c>
      <c r="H244" s="901">
        <f>0</f>
        <v>0</v>
      </c>
      <c r="I244" s="901">
        <f>0</f>
        <v>0</v>
      </c>
      <c r="J244" s="901">
        <f>0</f>
        <v>0</v>
      </c>
      <c r="K244" s="901">
        <f>0</f>
        <v>0</v>
      </c>
      <c r="L244" s="901">
        <f>0</f>
        <v>0</v>
      </c>
      <c r="M244" s="901">
        <f>0</f>
        <v>0</v>
      </c>
      <c r="N244" s="901">
        <f>0</f>
        <v>0</v>
      </c>
      <c r="O244" s="901">
        <f>0</f>
        <v>0</v>
      </c>
      <c r="P244" s="901">
        <f>0</f>
        <v>0</v>
      </c>
      <c r="Q244" s="920">
        <f>0</f>
        <v>0</v>
      </c>
      <c r="R244" s="901">
        <f>0</f>
        <v>0</v>
      </c>
      <c r="S244" s="901">
        <f>0</f>
        <v>0</v>
      </c>
      <c r="T244" s="901">
        <f>0</f>
        <v>0</v>
      </c>
      <c r="U244" s="901">
        <f>0</f>
        <v>0</v>
      </c>
      <c r="V244" s="901">
        <f>0</f>
        <v>0</v>
      </c>
      <c r="W244" s="901">
        <f>0</f>
        <v>0</v>
      </c>
      <c r="X244" s="901">
        <f>0</f>
        <v>0</v>
      </c>
      <c r="Y244" s="734">
        <f>0</f>
        <v>0</v>
      </c>
      <c r="Z244" s="734">
        <f>0</f>
        <v>0</v>
      </c>
      <c r="AA244" s="734">
        <f>0</f>
        <v>0</v>
      </c>
      <c r="AB244" s="901">
        <f>0</f>
        <v>0</v>
      </c>
      <c r="AC244" s="901">
        <f>0</f>
        <v>0</v>
      </c>
      <c r="AD244" s="901">
        <f>0</f>
        <v>0</v>
      </c>
      <c r="AE244" s="901">
        <f>0</f>
        <v>0</v>
      </c>
      <c r="AF244" s="920">
        <f>0</f>
        <v>0</v>
      </c>
      <c r="AG244" s="920">
        <f>0</f>
        <v>0</v>
      </c>
      <c r="AH244" s="901">
        <f>0</f>
        <v>0</v>
      </c>
      <c r="AI244" s="901">
        <f>0</f>
        <v>0</v>
      </c>
      <c r="AJ244" s="901">
        <f>0</f>
        <v>0</v>
      </c>
      <c r="AK244" s="901">
        <f>0</f>
        <v>0</v>
      </c>
      <c r="AL244" s="901">
        <f>0</f>
        <v>0</v>
      </c>
      <c r="AM244" s="920">
        <f>(A_SFHAO_L*(A_MP/A_MAl))</f>
        <v>0.11479629449808203</v>
      </c>
      <c r="AN244" s="901">
        <f>0</f>
        <v>0</v>
      </c>
      <c r="AO244" s="920">
        <f>0</f>
        <v>0</v>
      </c>
      <c r="AP244" s="901">
        <f>0</f>
        <v>0</v>
      </c>
      <c r="AQ244" s="901">
        <f>0</f>
        <v>0</v>
      </c>
      <c r="AR244" s="920">
        <f>0</f>
        <v>0</v>
      </c>
      <c r="AS244" s="901">
        <f>0</f>
        <v>0</v>
      </c>
      <c r="AT244" s="901">
        <f>0</f>
        <v>0</v>
      </c>
      <c r="AU244" s="901">
        <f>0</f>
        <v>0</v>
      </c>
      <c r="AV244" s="901">
        <f>0</f>
        <v>0</v>
      </c>
      <c r="AW244" s="901">
        <f>0</f>
        <v>0</v>
      </c>
      <c r="AX244" s="901">
        <f>0</f>
        <v>0</v>
      </c>
      <c r="AY244" s="920">
        <f>0</f>
        <v>0</v>
      </c>
      <c r="AZ244" s="901">
        <f>0</f>
        <v>0</v>
      </c>
      <c r="BA244" s="901">
        <f>0</f>
        <v>0</v>
      </c>
      <c r="BB244" s="734">
        <f>0</f>
        <v>0</v>
      </c>
      <c r="BC244" s="734">
        <f>0</f>
        <v>0</v>
      </c>
      <c r="BD244" s="734">
        <f>0</f>
        <v>0</v>
      </c>
      <c r="BE244" s="901">
        <f>0</f>
        <v>0</v>
      </c>
      <c r="BF244" s="920">
        <f>0</f>
        <v>0</v>
      </c>
      <c r="BG244" s="901">
        <f>0</f>
        <v>0</v>
      </c>
      <c r="BH244" s="920">
        <f>0</f>
        <v>0</v>
      </c>
      <c r="BI244" s="920">
        <f>0</f>
        <v>0</v>
      </c>
      <c r="BJ244" s="924">
        <f>0</f>
        <v>0</v>
      </c>
      <c r="BK244" s="924">
        <f>0</f>
        <v>0</v>
      </c>
      <c r="BL244" s="924">
        <f>0</f>
        <v>0</v>
      </c>
      <c r="BM244" s="924">
        <f>0</f>
        <v>0</v>
      </c>
      <c r="BN244" s="924">
        <f>1</f>
        <v>1</v>
      </c>
      <c r="BO244" s="924">
        <f>0</f>
        <v>0</v>
      </c>
      <c r="BP244" s="924">
        <f>0</f>
        <v>0</v>
      </c>
      <c r="BQ244" s="924">
        <f>-1</f>
        <v>-1</v>
      </c>
      <c r="BR244" s="924">
        <f>0</f>
        <v>0</v>
      </c>
      <c r="BS244" s="924">
        <f>0</f>
        <v>0</v>
      </c>
      <c r="BT244" s="920">
        <f>0</f>
        <v>0</v>
      </c>
      <c r="BU244" s="920">
        <f>0</f>
        <v>0</v>
      </c>
      <c r="BV244" s="920">
        <f>0</f>
        <v>0</v>
      </c>
      <c r="BW244" s="920">
        <f>0</f>
        <v>0</v>
      </c>
      <c r="BX244" s="920">
        <f>0</f>
        <v>0</v>
      </c>
      <c r="BY244" s="793">
        <f>0</f>
        <v>0</v>
      </c>
      <c r="BZ244" s="920">
        <f>0</f>
        <v>0</v>
      </c>
      <c r="CA244" s="920">
        <f>0</f>
        <v>0</v>
      </c>
      <c r="CB244" s="920">
        <f>0</f>
        <v>0</v>
      </c>
      <c r="CC244" s="920">
        <f>0</f>
        <v>0</v>
      </c>
      <c r="CD244" s="920">
        <f>0</f>
        <v>0</v>
      </c>
      <c r="CE244" s="920">
        <f>0</f>
        <v>0</v>
      </c>
      <c r="CF244" s="920">
        <f>0</f>
        <v>0</v>
      </c>
      <c r="CG244" s="920">
        <f>0</f>
        <v>0</v>
      </c>
      <c r="CH244" s="920">
        <f>0</f>
        <v>0</v>
      </c>
      <c r="CI244" s="920">
        <f>0</f>
        <v>0</v>
      </c>
      <c r="CJ244" s="793">
        <f>0</f>
        <v>0</v>
      </c>
      <c r="CK244" s="920">
        <f>0</f>
        <v>0</v>
      </c>
      <c r="CL244" s="920">
        <f>0</f>
        <v>0</v>
      </c>
      <c r="CM244" s="920">
        <f>0</f>
        <v>0</v>
      </c>
      <c r="CN244" s="920">
        <f>0</f>
        <v>0</v>
      </c>
      <c r="CO244" s="920">
        <f>0</f>
        <v>0</v>
      </c>
      <c r="CP244" s="920">
        <f>0</f>
        <v>0</v>
      </c>
      <c r="CQ244" s="920">
        <f>0</f>
        <v>0</v>
      </c>
      <c r="CR244" s="920">
        <f>0</f>
        <v>0</v>
      </c>
      <c r="CS244" s="793">
        <f>0</f>
        <v>0</v>
      </c>
      <c r="CT244" s="793">
        <f>0</f>
        <v>0</v>
      </c>
      <c r="CU244" s="793">
        <f>0</f>
        <v>0</v>
      </c>
      <c r="CV244" s="2866">
        <f>q_HAOL_DESORP*X_HAO_L_P*M_inhSPO4_KiP_HAO_DESORP</f>
        <v>1.6666666666666666E-50</v>
      </c>
      <c r="CX244" s="2880">
        <f>E299*E244+F299*F244+G299*G244+H299*H244+I299*I244+J299*J244+K299*K244+L299*L244+M299*M244+N299*N244+O299*O244+P299*P244+Q299*Q244+R299*R244+S299*S244+T299*T244+U299*U244+V299*V244+W299*W244+X299*X244+Y299*Y244+Z299*Z244+AA299*AA244+AB299*AB244+AC299*AC244+AD299*AD244+AE299*AE244+AF299*AF244+AG299*AG244+AH299*AH244+AI299*AI244+AJ299*AJ244+AK299*AK244+AL299*AL244+AM299*AM244+AN299*AN244+AO299*AO244+AP299*AP244+AQ299*AQ244+AR299*AR244+AS299*AS244+AT299*AT244+AU299*AU244+AV299*AV244+AW299*AW244+AX299*AX244+AY299*AY244+AZ299*AZ244+BA299*BA244+BB299*BB244+BC299*BC244+BD299*BD244+BE299*BE244+BF299*BF244+BG299*BG244+BH299*BH244+BI299*BI244+BJ299*BJ244+BK299*BK244+BL299*BL244+BM299*BM244+BN299*BN244+BO299*BO244+BP299*BP244+BQ299*BQ244+BR299*BR244+BS299*BS244+BT299*BT244+BU299*BU244+BV299*BV244+BW299*BW244+BX299*BX244+BY299*BY244+BZ299*BZ244+CA299*CA244+CB299*CB244+CC299*CC244+CD299*CD244+CE299*CE244+CF299*CF244+CG299*CG244+CH299*CH244+CI299*CI244+CJ299*CJ244+CK299*CK244+CL299*CL244+CM299*CM244+CN299*CN244+CO299*CO244+CP299*CP244+CQ299*CQ244+CR299*CR244+CS299*CS244+CT299*CT244+CU299*CU244</f>
        <v>0</v>
      </c>
      <c r="CY244" s="2880">
        <f>E300*E244+F300*F244+G300*G244+H300*H244+I300*I244+J300*J244+K300*K244+L300*L244+M300*M244+N300*N244+O300*O244+P300*P244+Q300*Q244+R300*R244+S300*S244+T300*T244+U300*U244+V300*V244+W300*W244+X300*X244+Y300*Y244+Z300*Z244+AA300*AA244+AB300*AB244+AC300*AC244+AD300*AD244+AE300*AE244+AF300*AF244+AG300*AG244+AH300*AH244+AI300*AI244+AJ300*AJ244+AK300*AK244+AL300*AL244+AM300*AM244+AN300*AN244+AO300*AO244+AP300*AP244+AQ300*AQ244+AR300*AR244+AS300*AS244+AT300*AT244+AU300*AU244+AV300*AV244+AW300*AW244+AX300*AX244+AY300*AY244+AZ300*AZ244+BA300*BA244+BB300*BB244+BC300*BC244+BD300*BD244+BE300*BE244+BF300*BF244+BG300*BG244+BH300*BH244+BI300*BI244+BJ300*BJ244+BK300*BK244+BL300*BL244+BM300*BM244+BN300*BN244+BO300*BO244+BP300*BP244+BQ300*BQ244+BR300*BR244+BS300*BS244+BT300*BT244+BU300*BU244+BV300*BV244+BW300*BW244+BX300*BX244+BY300*BY244+BZ300*BZ244+CA300*CA244+CB300*CB244+CC300*CC244+CD300*CD244+CE300*CE244+CF300*CF244+CG300*CG244+CH300*CH244+CI300*CI244+CJ300*CJ244+CK300*CK244+CL300*CL244+CM300*CM244+CN300*CN244+CO300*CO244+CP300*CP244+CQ300*CQ244+CR300*CR244+CS300*CS244+CT300*CT244+CU300*CU244</f>
        <v>0</v>
      </c>
      <c r="CZ244" s="2881">
        <f>E301*E244+F301*F244+G301*G244+H301*H244+I301*I244+J301*J244+K301*K244+L301*L244+M301*M244+N301*N244+O301*O244+P301*P244+Q301*Q244+R301*R244+S301*S244+T301*T244+U301*U244+V301*V244+W301*W244+X301*X244+Y301*Y244+Z301*Z244+AA301*AA244+AB301*AB244+AC301*AC244+AD301*AD244+AE301*AE244+AF301*AF244+AG301*AG244+AH301*AH244+AI301*AI244+AJ301*AJ244+AK301*AK244+AL301*AL244+AM301*AM244+AN301*AN244+AO301*AO244+AP301*AP244+AQ301*AQ244+AR301*AR244+AS301*AS244+AT301*AT244+AU301*AU244+AV301*AV244+AW301*AW244+AX301*AX244+AY301*AY244+AZ301*AZ244+BA301*BA244+BB301*BB244+BC301*BC244+BD301*BD244+BE301*BE244+BF301*BF244+BG301*BG244+BH301*BH244+BI301*BI244+BJ301*BJ244+BK301*BK244+BL301*BL244+BM301*BM244+BN301*BN244+BO301*BO244+BP301*BP244+BQ301*BQ244+BR301*BR244+BS301*BS244+BT301*BT244+BU301*BU244+BV301*BV244+BW301*BW244+BX301*BX244+BY301*BY244+BZ301*BZ244+CA301*CA244+CB301*CB244+CC301*CC244+CD301*CD244+CE301*CE244+CF301*CF244+CG301*CG244+CH301*CH244+CI301*CI244+CJ301*CJ244+CK301*CK244+CL301*CL244+CM301*CM244+CN301*CN244+CO301*CO244+CP301*CP244+CQ301*CQ244+CR301*CR244+CS301*CS244+CT301*CT244+CU301*CU244</f>
        <v>0</v>
      </c>
      <c r="DA244" s="2882">
        <f>E302*E244+F302*F244+G302*G244+H302*H244+I302*I244+J302*J244+K302*K244+L302*L244+M302*M244+N302*N244+O302*O244+P302*P244+Q302*Q244+R302*R244+S302*S244+T302*T244+U302*U244+V302*V244+W302*W244+X302*X244+Y302*Y244+Z302*Z244+AA302*AA244+AB302*AB244+AC302*AC244+AD302*AD244+AE302*AE244+AF302*AF244+AG302*AG244+AH302*AH244+AI302*AI244+AJ302*AJ244+AK302*AK244+AL302*AL244+AM302*AM244+AN302*AN244+AO302*AO244+AP302*AP244+AQ302*AQ244+AR302*AR244+AS302*AS244+AT302*AT244+AU302*AU244+AV302*AV244+AW302*AW244+AX302*AX244+AY302*AY244+AZ302*AZ244+BA302*BA244+BB302*BB244+BC302*BC244+BD302*BD244+BE302*BE244+BF302*BF244+BG302*BG244+BH302*BH244+BI302*BI244+BJ302*BJ244+BK302*BK244+BL302*BL244+BM302*BM244+BN302*BN244+BO302*BO244+BP302*BP244+BQ302*BQ244+BR302*BR244+BS302*BS244+BT302*BT244+BU302*BU244+BV302*BV244+BW302*BW244+BX302*BX244+BY302*BY244+BZ302*BZ244+CA302*CA244+CB302*CB244+CC302*CC244+CD302*CD244+CE302*CE244+CF302*CF244+CG302*CG244+CH302*CH244+CI302*CI244+CJ302*CJ244+CK302*CK244+CL302*CL244+CM302*CM244+CN302*CN244+CO302*CO244+CP302*CP244+CQ302*CQ244+CR302*CR244+CS302*CS244+CT302*CT244+CU302*CU244</f>
        <v>0</v>
      </c>
      <c r="DB244" s="2882">
        <f>E303*E244+F303*F244+G303*G244+H303*H244+I303*I244+J303*J244+K303*K244+L303*L244+M303*M244+N303*N244+O303*O244+P303*P244+Q303*Q244+R303*R244+S303*S244+T303*T244+U303*U244+V303*V244+W303*W244+X303*X244+Y303*Y244+Z303*Z244+AA303*AA244+AB303*AB244+AC303*AC244+AD303*AD244+AE303*AE244+AF303*AF244+AG303*AG244+AH303*AH244+AI303*AI244+AJ303*AJ244+AK303*AK244+AL303*AL244+AM303*AM244+AN303*AN244+AO303*AO244+AP303*AP244+AQ303*AQ244+AR303*AR244+AS303*AS244+AT303*AT244+AU303*AU244+AV303*AV244+AW303*AW244+AX303*AX244+AY303*AY244+AZ303*AZ244+BA303*BA244+BB303*BB244+BC303*BC244+BD303*BD244+BE303*BE244+BF303*BF244+BG303*BG244+BH303*BH244+BI303*BI244+BJ303*BJ244+BK303*BK244+BL303*BL244+BM303*BM244+BN303*BN244+BO303*BO244+BP303*BP244+BQ303*BQ244+BR303*BR244+BS303*BS244+BT303*BT244+BU303*BU244+BV303*BV244+BW303*BW244+BX303*BX244+BY303*BY244+BZ303*BZ244+CA303*CA244+CB303*CB244+CC303*CC244+CD303*CD244+CE303*CE244+CF303*CF244+CG303*CG244+CH303*CH244+CI303*CI244+CJ303*CJ244+CK303*CK244+CL303*CL244+CM303*CM244+CN303*CN244+CO303*CO244+CP303*CP244+CQ303*CQ244+CR303*CR244+CS303*CS244+CT303*CT244+CU303*CU244</f>
        <v>0</v>
      </c>
      <c r="DC244" s="2882">
        <f>E304*E244+F304*F244+G304*G244+H304*H244+I304*I244+J304*J244+K304*K244+L304*L244+M304*M244+N304*N244+O304*O244+P304*P244+Q304*Q244+R304*R244+S304*S244+T304*T244+U304*U244+V304*V244+W304*W244+X304*X244+Y304*Y244+Z304*Z244+AA304*AA244+AB304*AB244+AC304*AC244+AD304*AD244+AE304*AE244+AF304*AF244+AG304*AG244+AH304*AH244+AI304*AI244+AJ304*AJ244+AK304*AK244+AL304*AL244+AM304*AM244+AN304*AN244+AO304*AO244+AP304*AP244+AQ304*AQ244+AR304*AR244+AS304*AS244+AT304*AT244+AU304*AU244+AV304*AV244+AW304*AW244+AX304*AX244+AY304*AY244+AZ304*AZ244+BA304*BA244+BB304*BB244+BC304*BC244+BD304*BD244+BE304*BE244+BF304*BF244+BG304*BG244+BH304*BH244+BI304*BI244+BJ304*BJ244+BK304*BK244+BL304*BL244+BM304*BM244+BN304*BN244+BO304*BO244+BP304*BP244+BQ304*BQ244+BR304*BR244+BS304*BS244+BT304*BT244+BU304*BU244+BV304*BV244+BW304*BW244+BX304*BX244+BY304*BY244+BZ304*BZ244+CA304*CA244+CB304*CB244+CC304*CC244+CD304*CD244+CE304*CE244+CF304*CF244+CG304*CG244+CH304*CH244+CI304*CI244+CJ304*CJ244+CK304*CK244+CL304*CL244+CM304*CM244+CN304*CN244+CO304*CO244+CP304*CP244+CQ304*CQ244+CR304*CR244+CS304*CS244+CT304*CT244+CU304*CU244</f>
        <v>0</v>
      </c>
      <c r="DD244" s="2882">
        <f>E305*E244+F305*F244+G305*G244+H305*H244+I305*I244+J305*J244+K305*K244+L305*L244+M305*M244+N305*N244+O305*O244+P305*P244+Q305*Q244+R305*R244+S305*S244+T305*T244+U305*U244+V305*V244+W305*W244+X305*X244+Y305*Y244+Z305*Z244+AA305*AA244+AB305*AB244+AC305*AC244+AD305*AD244+AE305*AE244+AF305*AF244+AG305*AG244+AH305*AH244+AI305*AI244+AJ305*AJ244+AK305*AK244+AL305*AL244+AM305*AM244+AN305*AN244+AO305*AO244+AP305*AP244+AQ305*AQ244+AR305*AR244+AS305*AS244+AT305*AT244+AU305*AU244+AV305*AV244+AW305*AW244+AX305*AX244+AY305*AY244+AZ305*AZ244+BA305*BA244+BB305*BB244+BC305*BC244+BD305*BD244+BE305*BE244+BF305*BF244+BG305*BG244+BH305*BH244+BI305*BI244+BJ305*BJ244+BK305*BK244+BL305*BL244+BM305*BM244+BN305*BN244+BO305*BO244+BP305*BP244+BQ305*BQ244+BR305*BR244+BS305*BS244+BT305*BT244+BU305*BU244+BV305*BV244+BW305*BW244+BX305*BX244+BY305*BY244+BZ305*BZ244+CA305*CA244+CB305*CB244+CC305*CC244+CD305*CD244+CE305*CE244+CF305*CF244+CG305*CG244+CH305*CH244+CI305*CI244+CJ305*CJ244+CK305*CK244+CL305*CL244+CM305*CM244+CN305*CN244+CO305*CO244+CP305*CP244+CQ305*CQ244+CR305*CR244+CS305*CS244+CT305*CT244+CU305*CU244</f>
        <v>0</v>
      </c>
      <c r="DE244" s="2882">
        <f>E306*E244+F306*F244+G306*G244+H306*H244+I306*I244+J306*J244+K306*K244+L306*L244+M306*M244+N306*N244+O306*O244+P306*P244+Q306*Q244+R306*R244+S306*S244+T306*T244+U306*U244+V306*V244+W306*W244+X306*X244+Y306*Y244+Z306*Z244+AA306*AA244+AB306*AB244+AC306*AC244+AD306*AD244+AE306*AE244+AF306*AF244+AG306*AG244+AH306*AH244+AI306*AI244+AJ306*AJ244+AK306*AK244+AL306*AL244+AM306*AM244+AN306*AN244+AO306*AO244+AP306*AP244+AQ306*AQ244+AR306*AR244+AS306*AS244+AT306*AT244+AU306*AU244+AV306*AV244+AW306*AW244+AX306*AX244+AY306*AY244+AZ306*AZ244+BA306*BA244+BB306*BB244+BC306*BC244+BD306*BD244+BE306*BE244+BF306*BF244+BG306*BG244+BH306*BH244+BI306*BI244+BJ306*BJ244+BK306*BK244+BL306*BL244+BM306*BM244+BN306*BN244+BO306*BO244+BP306*BP244+BQ306*BQ244+BR306*BR244+BS306*BS244+BT306*BT244+BU306*BU244+BV306*BV244+BW306*BW244+BX306*BX244+BY306*BY244+BZ306*BZ244+CA306*CA244+CB306*CB244+CC306*CC244+CD306*CD244+CE306*CE244+CF306*CF244+CG306*CG244+CH306*CH244+CI306*CI244+CJ306*CJ244+CK306*CK244+CL306*CL244+CM306*CM244+CN306*CN244+CO306*CO244+CP306*CP244+CQ306*CQ244+CR306*CR244+CS306*CS244+CT306*CT244+CU306*CU244</f>
        <v>0</v>
      </c>
      <c r="DF244" s="2882">
        <f>E307*E244+F307*F244+G307*G244+H307*H244+I307*I244+J307*J244+K307*K244+L307*L244+M307*M244+N307*N244+O307*O244+P307*P244+Q307*Q244+R307*R244+S307*S244+T307*T244+U307*U244+V307*V244+W307*W244+X307*X244+Y307*Y244+Z307*Z244+AA307*AA244+AB307*AB244+AC307*AC244+AD307*AD244+AE307*AE244+AF307*AF244+AG307*AG244+AH307*AH244+AI307*AI244+AJ307*AJ244+AK307*AK244+AL307*AL244+AM307*AM244+AN307*AN244+AO307*AO244+AP307*AP244+AQ307*AQ244+AR307*AR244+AS307*AS244+AT307*AT244+AU307*AU244+AV307*AV244+AW307*AW244+AX307*AX244+AY307*AY244+AZ307*AZ244+BA307*BA244+BB307*BB244+BC307*BC244+BD307*BD244+BE307*BE244+BF307*BF244+BG307*BG244+BH307*BH244+BI307*BI244+BJ307*BJ244+BK307*BK244+BL307*BL244+BM307*BM244+BN307*BN244+BO307*BO244+BP307*BP244+BQ307*BQ244+BR307*BR244+BS307*BS244+BT307*BT244+BU307*BU244+BV307*BV244+BW307*BW244+BX307*BX244+BY307*BY244+BZ307*BZ244+CA307*CA244+CB307*CB244+CC307*CC244+CD307*CD244+CE307*CE244+CF307*CF244+CG307*CG244+CH307*CH244+CI307*CI244+CJ307*CJ244+CK307*CK244+CL307*CL244+CM307*CM244+CN307*CN244+CO307*CO244+CP307*CP244+CQ307*CQ244+CR307*CR244+CS307*CS244+CT307*CT244+CU307*CU244</f>
        <v>0</v>
      </c>
      <c r="DG244" s="2882">
        <f>E308*E244+F308*F244+G308*G244+H308*H244+I308*I244+J308*J244+K308*K244+L308*L244+M308*M244+N308*N244+O308*O244+P308*P244+Q308*Q244+R308*R244+S308*S244+T308*T244+U308*U244+V308*V244+W308*W244+X308*X244+Y308*Y244+Z308*Z244+AA308*AA244+AB308*AB244+AC308*AC244+AD308*AD244+AE308*AE244+AF308*AF244+AG308*AG244+AH308*AH244+AI308*AI244+AJ308*AJ244+AK308*AK244+AL308*AL244+AM308*AM244+AN308*AN244+AO308*AO244+AP308*AP244+AQ308*AQ244+AR308*AR244+AS308*AS244+AT308*AT244+AU308*AU244+AV308*AV244+AW308*AW244+AX308*AX244+AY308*AY244+AZ308*AZ244+BA308*BA244+BB308*BB244+BC308*BC244+BD308*BD244+BE308*BE244+BF308*BF244+BG308*BG244+BH308*BH244+BI308*BI244+BJ308*BJ244+BK308*BK244+BL308*BL244+BM308*BM244+BN308*BN244+BO308*BO244+BP308*BP244+BQ308*BQ244+BR308*BR244+BS308*BS244+BT308*BT244+BU308*BU244+BV308*BV244+BW308*BW244+BX308*BX244+BY308*BY244+BZ308*BZ244+CA308*CA244+CB308*CB244+CC308*CC244+CD308*CD244+CE308*CE244+CF308*CF244+CG308*CG244+CH308*CH244+CI308*CI244+CJ308*CJ244+CK308*CK244+CL308*CL244+CM308*CM244+CN308*CN244+CO308*CO244+CP308*CP244+CQ308*CQ244+CR308*CR244+CS308*CS244+CT308*CT244+CU308*CU244</f>
        <v>0</v>
      </c>
      <c r="DH244" s="2882">
        <f>E309*E244+F309*F244+G309*G244+H309*H244+I309*I244+J309*J244+K309*K244+L309*L244+M309*M244+N309*N244+O309*O244+P309*P244+Q309*Q244+R309*R244+S309*S244+T309*T244+U309*U244+V309*V244+W309*W244+X309*X244+Y309*Y244+Z309*Z244+AA309*AA244+AB309*AB244+AC309*AC244+AD309*AD244+AE309*AE244+AF309*AF244+AG309*AG244+AH309*AH244+AI309*AI244+AJ309*AJ244+AK309*AK244+AL309*AL244+AM309*AM244+AN309*AN244+AO309*AO244+AP309*AP244+AQ309*AQ244+AR309*AR244+AS309*AS244+AT309*AT244+AU309*AU244+AV309*AV244+AW309*AW244+AX309*AX244+AY309*AY244+AZ309*AZ244+BA309*BA244+BB309*BB244+BC309*BC244+BD309*BD244+BE309*BE244+BF309*BF244+BG309*BG244+BH309*BH244+BI309*BI244+BJ309*BJ244+BK309*BK244+BL309*BL244+BM309*BM244+BN309*BN244+BO309*BO244+BP309*BP244+BQ309*BQ244+BR309*BR244+BS309*BS244+BT309*BT244+BU309*BU244+BV309*BV244+BW309*BW244+BX309*BX244+BY309*BY244+BZ309*BZ244+CA309*CA244+CB309*CB244+CC309*CC244+CD309*CD244+CE309*CE244+CF309*CF244+CG309*CG244+CH309*CH244+CI309*CI244+CJ309*CJ244+CK309*CK244+CL309*CL244+CM309*CM244+CN309*CN244+CO309*CO244+CP309*CP244+CQ309*CQ244+CR309*CR244+CS309*CS244+CT309*CT244+CU309*CU244</f>
        <v>0</v>
      </c>
      <c r="DI244" s="2882">
        <f>E310*E244+F310*F244+G310*G244+H310*H244+I310*I244+J310*J244+K310*K244+L310*L244+M310*M244+N310*N244+O310*O244+P310*P244+Q310*Q244+R310*R244+S310*S244+T310*T244+U310*U244+V310*V244+W310*W244+X310*X244+Y310*Y244+Z310*Z244+AA310*AA244+AB310*AB244+AC310*AC244+AD310*AD244+AE310*AE244+AF310*AF244+AG310*AG244+AH310*AH244+AI310*AI244+AJ310*AJ244+AK310*AK244+AL310*AL244+AM310*AM244+AN310*AN244+AO310*AO244+AP310*AP244+AQ310*AQ244+AR310*AR244+AS310*AS244+AT310*AT244+AU310*AU244+AV310*AV244+AW310*AW244+AX310*AX244+AY310*AY244+AZ310*AZ244+BA310*BA244+BB310*BB244+BC310*BC244+BD310*BD244+BE310*BE244+BF310*BF244+BG310*BG244+BH310*BH244+BI310*BI244+BJ310*BJ244+BK310*BK244+BL310*BL244+BM310*BM244+BN310*BN244+BO310*BO244+BP310*BP244+BQ310*BQ244+BR310*BR244+BS310*BS244+BT310*BT244+BU310*BU244+BV310*BV244+BW310*BW244+BX310*BX244+BY310*BY244+BZ310*BZ244+CA310*CA244+CB310*CB244+CC310*CC244+CD310*CD244+CE310*CE244+CF310*CF244+CG310*CG244+CH310*CH244+CI310*CI244+CJ310*CJ244+CK310*CK244+CL310*CL244+CM310*CM244+CN310*CN244+CO310*CO244+CP310*CP244+CQ310*CQ244+CR310*CR244+CS310*CS244+CT310*CT244+CU310*CU244</f>
        <v>0</v>
      </c>
    </row>
    <row r="245" spans="2:113" ht="15.75" x14ac:dyDescent="0.45">
      <c r="B245" s="2209">
        <v>86</v>
      </c>
      <c r="C245" s="2209" t="s">
        <v>3217</v>
      </c>
      <c r="D245" s="2210" t="s">
        <v>4473</v>
      </c>
      <c r="E245" s="901">
        <f>0</f>
        <v>0</v>
      </c>
      <c r="F245" s="901">
        <f>0</f>
        <v>0</v>
      </c>
      <c r="G245" s="901">
        <f>0</f>
        <v>0</v>
      </c>
      <c r="H245" s="901">
        <f>0</f>
        <v>0</v>
      </c>
      <c r="I245" s="901">
        <f>0</f>
        <v>0</v>
      </c>
      <c r="J245" s="901">
        <f>0</f>
        <v>0</v>
      </c>
      <c r="K245" s="901">
        <f>0</f>
        <v>0</v>
      </c>
      <c r="L245" s="901">
        <f>0</f>
        <v>0</v>
      </c>
      <c r="M245" s="901">
        <f>0</f>
        <v>0</v>
      </c>
      <c r="N245" s="901">
        <f>0</f>
        <v>0</v>
      </c>
      <c r="O245" s="901">
        <f>0</f>
        <v>0</v>
      </c>
      <c r="P245" s="901">
        <f>0</f>
        <v>0</v>
      </c>
      <c r="Q245" s="920">
        <f>0</f>
        <v>0</v>
      </c>
      <c r="R245" s="901">
        <f>0</f>
        <v>0</v>
      </c>
      <c r="S245" s="901">
        <f>0</f>
        <v>0</v>
      </c>
      <c r="T245" s="901">
        <f>0</f>
        <v>0</v>
      </c>
      <c r="U245" s="901">
        <f>0</f>
        <v>0</v>
      </c>
      <c r="V245" s="901">
        <f>0</f>
        <v>0</v>
      </c>
      <c r="W245" s="901">
        <f>0</f>
        <v>0</v>
      </c>
      <c r="X245" s="901">
        <f>0</f>
        <v>0</v>
      </c>
      <c r="Y245" s="734">
        <f>0</f>
        <v>0</v>
      </c>
      <c r="Z245" s="734">
        <f>0</f>
        <v>0</v>
      </c>
      <c r="AA245" s="734">
        <f>0</f>
        <v>0</v>
      </c>
      <c r="AB245" s="901">
        <f>0</f>
        <v>0</v>
      </c>
      <c r="AC245" s="901">
        <f>0</f>
        <v>0</v>
      </c>
      <c r="AD245" s="901">
        <f>0</f>
        <v>0</v>
      </c>
      <c r="AE245" s="901">
        <f>0</f>
        <v>0</v>
      </c>
      <c r="AF245" s="920">
        <f>0</f>
        <v>0</v>
      </c>
      <c r="AG245" s="920">
        <f>0</f>
        <v>0</v>
      </c>
      <c r="AH245" s="901">
        <f>0</f>
        <v>0</v>
      </c>
      <c r="AI245" s="901">
        <f>0</f>
        <v>0</v>
      </c>
      <c r="AJ245" s="901">
        <f>0</f>
        <v>0</v>
      </c>
      <c r="AK245" s="901">
        <f>0</f>
        <v>0</v>
      </c>
      <c r="AL245" s="901">
        <f>0</f>
        <v>0</v>
      </c>
      <c r="AM245" s="920">
        <f>(A_SFHAO_H*(A_MP/A_MAl))*X_HAO_H_P_old/(X_HAO_H_P_old+X_HAO_L_P_old)+(A_SFHAO_L*(A_MP/A_MAl))*X_HAO_L_P_old/(X_HAO_H_P_old+X_HAO_L_P_old)</f>
        <v>0.63137961973945111</v>
      </c>
      <c r="AN245" s="901">
        <f>0</f>
        <v>0</v>
      </c>
      <c r="AO245" s="920">
        <f>0</f>
        <v>0</v>
      </c>
      <c r="AP245" s="901">
        <f>0</f>
        <v>0</v>
      </c>
      <c r="AQ245" s="901">
        <f>0</f>
        <v>0</v>
      </c>
      <c r="AR245" s="920">
        <f>0</f>
        <v>0</v>
      </c>
      <c r="AS245" s="901">
        <f>0</f>
        <v>0</v>
      </c>
      <c r="AT245" s="901">
        <f>0</f>
        <v>0</v>
      </c>
      <c r="AU245" s="901">
        <f>0</f>
        <v>0</v>
      </c>
      <c r="AV245" s="901">
        <f>0</f>
        <v>0</v>
      </c>
      <c r="AW245" s="901">
        <f>0</f>
        <v>0</v>
      </c>
      <c r="AX245" s="901">
        <f>0</f>
        <v>0</v>
      </c>
      <c r="AY245" s="920">
        <f>0</f>
        <v>0</v>
      </c>
      <c r="AZ245" s="901">
        <f>0</f>
        <v>0</v>
      </c>
      <c r="BA245" s="901">
        <f>0</f>
        <v>0</v>
      </c>
      <c r="BB245" s="734">
        <f>0</f>
        <v>0</v>
      </c>
      <c r="BC245" s="734">
        <f>0</f>
        <v>0</v>
      </c>
      <c r="BD245" s="734">
        <f>0</f>
        <v>0</v>
      </c>
      <c r="BE245" s="901">
        <f>0</f>
        <v>0</v>
      </c>
      <c r="BF245" s="920">
        <f>0</f>
        <v>0</v>
      </c>
      <c r="BG245" s="901">
        <f>0</f>
        <v>0</v>
      </c>
      <c r="BH245" s="920">
        <f>0</f>
        <v>0</v>
      </c>
      <c r="BI245" s="920">
        <f>0</f>
        <v>0</v>
      </c>
      <c r="BJ245" s="924">
        <f>0</f>
        <v>0</v>
      </c>
      <c r="BK245" s="924">
        <f>0</f>
        <v>0</v>
      </c>
      <c r="BL245" s="924">
        <f>0</f>
        <v>0</v>
      </c>
      <c r="BM245" s="924">
        <f>0</f>
        <v>0</v>
      </c>
      <c r="BN245" s="924">
        <f>0</f>
        <v>0</v>
      </c>
      <c r="BO245" s="924">
        <f>1</f>
        <v>1</v>
      </c>
      <c r="BP245" s="924">
        <f>0</f>
        <v>0</v>
      </c>
      <c r="BQ245" s="924">
        <f>0</f>
        <v>0</v>
      </c>
      <c r="BR245" s="922">
        <f>-X_HAO_H_P_old/(X_HAO_H_P_old+X_HAO_L_P_old)</f>
        <v>-0.5</v>
      </c>
      <c r="BS245" s="922">
        <f>-X_HAO_L_P_old/(X_HAO_H_P_old+X_HAO_L_P_old)</f>
        <v>-0.5</v>
      </c>
      <c r="BT245" s="920">
        <f>0</f>
        <v>0</v>
      </c>
      <c r="BU245" s="920">
        <f>0</f>
        <v>0</v>
      </c>
      <c r="BV245" s="920">
        <f>0</f>
        <v>0</v>
      </c>
      <c r="BW245" s="920">
        <f>0</f>
        <v>0</v>
      </c>
      <c r="BX245" s="920">
        <f>0</f>
        <v>0</v>
      </c>
      <c r="BY245" s="793">
        <f>0</f>
        <v>0</v>
      </c>
      <c r="BZ245" s="920">
        <f>0</f>
        <v>0</v>
      </c>
      <c r="CA245" s="920">
        <f>0</f>
        <v>0</v>
      </c>
      <c r="CB245" s="920">
        <f>0</f>
        <v>0</v>
      </c>
      <c r="CC245" s="920">
        <f>0</f>
        <v>0</v>
      </c>
      <c r="CD245" s="920">
        <f>0</f>
        <v>0</v>
      </c>
      <c r="CE245" s="920">
        <f>0</f>
        <v>0</v>
      </c>
      <c r="CF245" s="920">
        <f>0</f>
        <v>0</v>
      </c>
      <c r="CG245" s="920">
        <f>0</f>
        <v>0</v>
      </c>
      <c r="CH245" s="920">
        <f>0</f>
        <v>0</v>
      </c>
      <c r="CI245" s="920">
        <f>0</f>
        <v>0</v>
      </c>
      <c r="CJ245" s="793">
        <f>0</f>
        <v>0</v>
      </c>
      <c r="CK245" s="920">
        <f>0</f>
        <v>0</v>
      </c>
      <c r="CL245" s="920">
        <f>0</f>
        <v>0</v>
      </c>
      <c r="CM245" s="920">
        <f>0</f>
        <v>0</v>
      </c>
      <c r="CN245" s="920">
        <f>0</f>
        <v>0</v>
      </c>
      <c r="CO245" s="920">
        <f>0</f>
        <v>0</v>
      </c>
      <c r="CP245" s="920">
        <f>0</f>
        <v>0</v>
      </c>
      <c r="CQ245" s="920">
        <f>0</f>
        <v>0</v>
      </c>
      <c r="CR245" s="920">
        <f>0</f>
        <v>0</v>
      </c>
      <c r="CS245" s="793">
        <f>0</f>
        <v>0</v>
      </c>
      <c r="CT245" s="793">
        <f>0</f>
        <v>0</v>
      </c>
      <c r="CU245" s="793">
        <f>0</f>
        <v>0</v>
      </c>
      <c r="CV245" s="2866">
        <f>q_HAO_DISS*(X_HAO_H_P_old+X_HAO_L_P_old)*L_oginhSPO4_KiP_HAO_DISS</f>
        <v>0</v>
      </c>
      <c r="CX245" s="2880">
        <f>E299*E245+F299*F245+G299*G245+H299*H245+I299*I245+J299*J245+K299*K245+L299*L245+M299*M245+N299*N245+O299*O245+P299*P245+Q299*Q245+R299*R245+S299*S245+T299*T245+U299*U245+V299*V245+W299*W245+X299*X245+Y299*Y245+Z299*Z245+AA299*AA245+AB299*AB245+AC299*AC245+AD299*AD245+AE299*AE245+AF299*AF245+AG299*AG245+AH299*AH245+AI299*AI245+AJ299*AJ245+AK299*AK245+AL299*AL245+AM299*AM245+AN299*AN245+AO299*AO245+AP299*AP245+AQ299*AQ245+AR299*AR245+AS299*AS245+AT299*AT245+AU299*AU245+AV299*AV245+AW299*AW245+AX299*AX245+AY299*AY245+AZ299*AZ245+BA299*BA245+BB299*BB245+BC299*BC245+BD299*BD245+BE299*BE245+BF299*BF245+BG299*BG245+BH299*BH245+BI299*BI245+BJ299*BJ245+BK299*BK245+BL299*BL245+BM299*BM245+BN299*BN245+BO299*BO245+BP299*BP245+BQ299*BQ245+BR299*BR245+BS299*BS245+BT299*BT245+BU299*BU245+BV299*BV245+BW299*BW245+BX299*BX245+BY299*BY245+BZ299*BZ245+CA299*CA245+CB299*CB245+CC299*CC245+CD299*CD245+CE299*CE245+CF299*CF245+CG299*CG245+CH299*CH245+CI299*CI245+CJ299*CJ245+CK299*CK245+CL299*CL245+CM299*CM245+CN299*CN245+CO299*CO245+CP299*CP245+CQ299*CQ245+CR299*CR245+CS299*CS245+CT299*CT245+CU299*CU245</f>
        <v>0</v>
      </c>
      <c r="CY245" s="2880">
        <f>E300*E245+F300*F245+G300*G245+H300*H245+I300*I245+J300*J245+K300*K245+L300*L245+M300*M245+N300*N245+O300*O245+P300*P245+Q300*Q245+R300*R245+S300*S245+T300*T245+U300*U245+V300*V245+W300*W245+X300*X245+Y300*Y245+Z300*Z245+AA300*AA245+AB300*AB245+AC300*AC245+AD300*AD245+AE300*AE245+AF300*AF245+AG300*AG245+AH300*AH245+AI300*AI245+AJ300*AJ245+AK300*AK245+AL300*AL245+AM300*AM245+AN300*AN245+AO300*AO245+AP300*AP245+AQ300*AQ245+AR300*AR245+AS300*AS245+AT300*AT245+AU300*AU245+AV300*AV245+AW300*AW245+AX300*AX245+AY300*AY245+AZ300*AZ245+BA300*BA245+BB300*BB245+BC300*BC245+BD300*BD245+BE300*BE245+BF300*BF245+BG300*BG245+BH300*BH245+BI300*BI245+BJ300*BJ245+BK300*BK245+BL300*BL245+BM300*BM245+BN300*BN245+BO300*BO245+BP300*BP245+BQ300*BQ245+BR300*BR245+BS300*BS245+BT300*BT245+BU300*BU245+BV300*BV245+BW300*BW245+BX300*BX245+BY300*BY245+BZ300*BZ245+CA300*CA245+CB300*CB245+CC300*CC245+CD300*CD245+CE300*CE245+CF300*CF245+CG300*CG245+CH300*CH245+CI300*CI245+CJ300*CJ245+CK300*CK245+CL300*CL245+CM300*CM245+CN300*CN245+CO300*CO245+CP300*CP245+CQ300*CQ245+CR300*CR245+CS300*CS245+CT300*CT245+CU300*CU245</f>
        <v>0</v>
      </c>
      <c r="CZ245" s="2881">
        <f>E301*E245+F301*F245+G301*G245+H301*H245+I301*I245+J301*J245+K301*K245+L301*L245+M301*M245+N301*N245+O301*O245+P301*P245+Q301*Q245+R301*R245+S301*S245+T301*T245+U301*U245+V301*V245+W301*W245+X301*X245+Y301*Y245+Z301*Z245+AA301*AA245+AB301*AB245+AC301*AC245+AD301*AD245+AE301*AE245+AF301*AF245+AG301*AG245+AH301*AH245+AI301*AI245+AJ301*AJ245+AK301*AK245+AL301*AL245+AM301*AM245+AN301*AN245+AO301*AO245+AP301*AP245+AQ301*AQ245+AR301*AR245+AS301*AS245+AT301*AT245+AU301*AU245+AV301*AV245+AW301*AW245+AX301*AX245+AY301*AY245+AZ301*AZ245+BA301*BA245+BB301*BB245+BC301*BC245+BD301*BD245+BE301*BE245+BF301*BF245+BG301*BG245+BH301*BH245+BI301*BI245+BJ301*BJ245+BK301*BK245+BL301*BL245+BM301*BM245+BN301*BN245+BO301*BO245+BP301*BP245+BQ301*BQ245+BR301*BR245+BS301*BS245+BT301*BT245+BU301*BU245+BV301*BV245+BW301*BW245+BX301*BX245+BY301*BY245+BZ301*BZ245+CA301*CA245+CB301*CB245+CC301*CC245+CD301*CD245+CE301*CE245+CF301*CF245+CG301*CG245+CH301*CH245+CI301*CI245+CJ301*CJ245+CK301*CK245+CL301*CL245+CM301*CM245+CN301*CN245+CO301*CO245+CP301*CP245+CQ301*CQ245+CR301*CR245+CS301*CS245+CT301*CT245+CU301*CU245</f>
        <v>0</v>
      </c>
      <c r="DA245" s="2882">
        <f>E302*E245+F302*F245+G302*G245+H302*H245+I302*I245+J302*J245+K302*K245+L302*L245+M302*M245+N302*N245+O302*O245+P302*P245+Q302*Q245+R302*R245+S302*S245+T302*T245+U302*U245+V302*V245+W302*W245+X302*X245+Y302*Y245+Z302*Z245+AA302*AA245+AB302*AB245+AC302*AC245+AD302*AD245+AE302*AE245+AF302*AF245+AG302*AG245+AH302*AH245+AI302*AI245+AJ302*AJ245+AK302*AK245+AL302*AL245+AM302*AM245+AN302*AN245+AO302*AO245+AP302*AP245+AQ302*AQ245+AR302*AR245+AS302*AS245+AT302*AT245+AU302*AU245+AV302*AV245+AW302*AW245+AX302*AX245+AY302*AY245+AZ302*AZ245+BA302*BA245+BB302*BB245+BC302*BC245+BD302*BD245+BE302*BE245+BF302*BF245+BG302*BG245+BH302*BH245+BI302*BI245+BJ302*BJ245+BK302*BK245+BL302*BL245+BM302*BM245+BN302*BN245+BO302*BO245+BP302*BP245+BQ302*BQ245+BR302*BR245+BS302*BS245+BT302*BT245+BU302*BU245+BV302*BV245+BW302*BW245+BX302*BX245+BY302*BY245+BZ302*BZ245+CA302*CA245+CB302*CB245+CC302*CC245+CD302*CD245+CE302*CE245+CF302*CF245+CG302*CG245+CH302*CH245+CI302*CI245+CJ302*CJ245+CK302*CK245+CL302*CL245+CM302*CM245+CN302*CN245+CO302*CO245+CP302*CP245+CQ302*CQ245+CR302*CR245+CS302*CS245+CT302*CT245+CU302*CU245</f>
        <v>6.9388939039072284E-18</v>
      </c>
      <c r="DB245" s="2882">
        <f>E303*E245+F303*F245+G303*G245+H303*H245+I303*I245+J303*J245+K303*K245+L303*L245+M303*M245+N303*N245+O303*O245+P303*P245+Q303*Q245+R303*R245+S303*S245+T303*T245+U303*U245+V303*V245+W303*W245+X303*X245+Y303*Y245+Z303*Z245+AA303*AA245+AB303*AB245+AC303*AC245+AD303*AD245+AE303*AE245+AF303*AF245+AG303*AG245+AH303*AH245+AI303*AI245+AJ303*AJ245+AK303*AK245+AL303*AL245+AM303*AM245+AN303*AN245+AO303*AO245+AP303*AP245+AQ303*AQ245+AR303*AR245+AS303*AS245+AT303*AT245+AU303*AU245+AV303*AV245+AW303*AW245+AX303*AX245+AY303*AY245+AZ303*AZ245+BA303*BA245+BB303*BB245+BC303*BC245+BD303*BD245+BE303*BE245+BF303*BF245+BG303*BG245+BH303*BH245+BI303*BI245+BJ303*BJ245+BK303*BK245+BL303*BL245+BM303*BM245+BN303*BN245+BO303*BO245+BP303*BP245+BQ303*BQ245+BR303*BR245+BS303*BS245+BT303*BT245+BU303*BU245+BV303*BV245+BW303*BW245+BX303*BX245+BY303*BY245+BZ303*BZ245+CA303*CA245+CB303*CB245+CC303*CC245+CD303*CD245+CE303*CE245+CF303*CF245+CG303*CG245+CH303*CH245+CI303*CI245+CJ303*CJ245+CK303*CK245+CL303*CL245+CM303*CM245+CN303*CN245+CO303*CO245+CP303*CP245+CQ303*CQ245+CR303*CR245+CS303*CS245+CT303*CT245+CU303*CU245</f>
        <v>0</v>
      </c>
      <c r="DC245" s="2882">
        <f>E304*E245+F304*F245+G304*G245+H304*H245+I304*I245+J304*J245+K304*K245+L304*L245+M304*M245+N304*N245+O304*O245+P304*P245+Q304*Q245+R304*R245+S304*S245+T304*T245+U304*U245+V304*V245+W304*W245+X304*X245+Y304*Y245+Z304*Z245+AA304*AA245+AB304*AB245+AC304*AC245+AD304*AD245+AE304*AE245+AF304*AF245+AG304*AG245+AH304*AH245+AI304*AI245+AJ304*AJ245+AK304*AK245+AL304*AL245+AM304*AM245+AN304*AN245+AO304*AO245+AP304*AP245+AQ304*AQ245+AR304*AR245+AS304*AS245+AT304*AT245+AU304*AU245+AV304*AV245+AW304*AW245+AX304*AX245+AY304*AY245+AZ304*AZ245+BA304*BA245+BB304*BB245+BC304*BC245+BD304*BD245+BE304*BE245+BF304*BF245+BG304*BG245+BH304*BH245+BI304*BI245+BJ304*BJ245+BK304*BK245+BL304*BL245+BM304*BM245+BN304*BN245+BO304*BO245+BP304*BP245+BQ304*BQ245+BR304*BR245+BS304*BS245+BT304*BT245+BU304*BU245+BV304*BV245+BW304*BW245+BX304*BX245+BY304*BY245+BZ304*BZ245+CA304*CA245+CB304*CB245+CC304*CC245+CD304*CD245+CE304*CE245+CF304*CF245+CG304*CG245+CH304*CH245+CI304*CI245+CJ304*CJ245+CK304*CK245+CL304*CL245+CM304*CM245+CN304*CN245+CO304*CO245+CP304*CP245+CQ304*CQ245+CR304*CR245+CS304*CS245+CT304*CT245+CU304*CU245</f>
        <v>0</v>
      </c>
      <c r="DD245" s="2882">
        <f>E305*E245+F305*F245+G305*G245+H305*H245+I305*I245+J305*J245+K305*K245+L305*L245+M305*M245+N305*N245+O305*O245+P305*P245+Q305*Q245+R305*R245+S305*S245+T305*T245+U305*U245+V305*V245+W305*W245+X305*X245+Y305*Y245+Z305*Z245+AA305*AA245+AB305*AB245+AC305*AC245+AD305*AD245+AE305*AE245+AF305*AF245+AG305*AG245+AH305*AH245+AI305*AI245+AJ305*AJ245+AK305*AK245+AL305*AL245+AM305*AM245+AN305*AN245+AO305*AO245+AP305*AP245+AQ305*AQ245+AR305*AR245+AS305*AS245+AT305*AT245+AU305*AU245+AV305*AV245+AW305*AW245+AX305*AX245+AY305*AY245+AZ305*AZ245+BA305*BA245+BB305*BB245+BC305*BC245+BD305*BD245+BE305*BE245+BF305*BF245+BG305*BG245+BH305*BH245+BI305*BI245+BJ305*BJ245+BK305*BK245+BL305*BL245+BM305*BM245+BN305*BN245+BO305*BO245+BP305*BP245+BQ305*BQ245+BR305*BR245+BS305*BS245+BT305*BT245+BU305*BU245+BV305*BV245+BW305*BW245+BX305*BX245+BY305*BY245+BZ305*BZ245+CA305*CA245+CB305*CB245+CC305*CC245+CD305*CD245+CE305*CE245+CF305*CF245+CG305*CG245+CH305*CH245+CI305*CI245+CJ305*CJ245+CK305*CK245+CL305*CL245+CM305*CM245+CN305*CN245+CO305*CO245+CP305*CP245+CQ305*CQ245+CR305*CR245+CS305*CS245+CT305*CT245+CU305*CU245</f>
        <v>0</v>
      </c>
      <c r="DE245" s="2882">
        <f>E306*E245+F306*F245+G306*G245+H306*H245+I306*I245+J306*J245+K306*K245+L306*L245+M306*M245+N306*N245+O306*O245+P306*P245+Q306*Q245+R306*R245+S306*S245+T306*T245+U306*U245+V306*V245+W306*W245+X306*X245+Y306*Y245+Z306*Z245+AA306*AA245+AB306*AB245+AC306*AC245+AD306*AD245+AE306*AE245+AF306*AF245+AG306*AG245+AH306*AH245+AI306*AI245+AJ306*AJ245+AK306*AK245+AL306*AL245+AM306*AM245+AN306*AN245+AO306*AO245+AP306*AP245+AQ306*AQ245+AR306*AR245+AS306*AS245+AT306*AT245+AU306*AU245+AV306*AV245+AW306*AW245+AX306*AX245+AY306*AY245+AZ306*AZ245+BA306*BA245+BB306*BB245+BC306*BC245+BD306*BD245+BE306*BE245+BF306*BF245+BG306*BG245+BH306*BH245+BI306*BI245+BJ306*BJ245+BK306*BK245+BL306*BL245+BM306*BM245+BN306*BN245+BO306*BO245+BP306*BP245+BQ306*BQ245+BR306*BR245+BS306*BS245+BT306*BT245+BU306*BU245+BV306*BV245+BW306*BW245+BX306*BX245+BY306*BY245+BZ306*BZ245+CA306*CA245+CB306*CB245+CC306*CC245+CD306*CD245+CE306*CE245+CF306*CF245+CG306*CG245+CH306*CH245+CI306*CI245+CJ306*CJ245+CK306*CK245+CL306*CL245+CM306*CM245+CN306*CN245+CO306*CO245+CP306*CP245+CQ306*CQ245+CR306*CR245+CS306*CS245+CT306*CT245+CU306*CU245</f>
        <v>0</v>
      </c>
      <c r="DF245" s="2882">
        <f>E307*E245+F307*F245+G307*G245+H307*H245+I307*I245+J307*J245+K307*K245+L307*L245+M307*M245+N307*N245+O307*O245+P307*P245+Q307*Q245+R307*R245+S307*S245+T307*T245+U307*U245+V307*V245+W307*W245+X307*X245+Y307*Y245+Z307*Z245+AA307*AA245+AB307*AB245+AC307*AC245+AD307*AD245+AE307*AE245+AF307*AF245+AG307*AG245+AH307*AH245+AI307*AI245+AJ307*AJ245+AK307*AK245+AL307*AL245+AM307*AM245+AN307*AN245+AO307*AO245+AP307*AP245+AQ307*AQ245+AR307*AR245+AS307*AS245+AT307*AT245+AU307*AU245+AV307*AV245+AW307*AW245+AX307*AX245+AY307*AY245+AZ307*AZ245+BA307*BA245+BB307*BB245+BC307*BC245+BD307*BD245+BE307*BE245+BF307*BF245+BG307*BG245+BH307*BH245+BI307*BI245+BJ307*BJ245+BK307*BK245+BL307*BL245+BM307*BM245+BN307*BN245+BO307*BO245+BP307*BP245+BQ307*BQ245+BR307*BR245+BS307*BS245+BT307*BT245+BU307*BU245+BV307*BV245+BW307*BW245+BX307*BX245+BY307*BY245+BZ307*BZ245+CA307*CA245+CB307*CB245+CC307*CC245+CD307*CD245+CE307*CE245+CF307*CF245+CG307*CG245+CH307*CH245+CI307*CI245+CJ307*CJ245+CK307*CK245+CL307*CL245+CM307*CM245+CN307*CN245+CO307*CO245+CP307*CP245+CQ307*CQ245+CR307*CR245+CS307*CS245+CT307*CT245+CU307*CU245</f>
        <v>0</v>
      </c>
      <c r="DG245" s="2882">
        <f>E308*E245+F308*F245+G308*G245+H308*H245+I308*I245+J308*J245+K308*K245+L308*L245+M308*M245+N308*N245+O308*O245+P308*P245+Q308*Q245+R308*R245+S308*S245+T308*T245+U308*U245+V308*V245+W308*W245+X308*X245+Y308*Y245+Z308*Z245+AA308*AA245+AB308*AB245+AC308*AC245+AD308*AD245+AE308*AE245+AF308*AF245+AG308*AG245+AH308*AH245+AI308*AI245+AJ308*AJ245+AK308*AK245+AL308*AL245+AM308*AM245+AN308*AN245+AO308*AO245+AP308*AP245+AQ308*AQ245+AR308*AR245+AS308*AS245+AT308*AT245+AU308*AU245+AV308*AV245+AW308*AW245+AX308*AX245+AY308*AY245+AZ308*AZ245+BA308*BA245+BB308*BB245+BC308*BC245+BD308*BD245+BE308*BE245+BF308*BF245+BG308*BG245+BH308*BH245+BI308*BI245+BJ308*BJ245+BK308*BK245+BL308*BL245+BM308*BM245+BN308*BN245+BO308*BO245+BP308*BP245+BQ308*BQ245+BR308*BR245+BS308*BS245+BT308*BT245+BU308*BU245+BV308*BV245+BW308*BW245+BX308*BX245+BY308*BY245+BZ308*BZ245+CA308*CA245+CB308*CB245+CC308*CC245+CD308*CD245+CE308*CE245+CF308*CF245+CG308*CG245+CH308*CH245+CI308*CI245+CJ308*CJ245+CK308*CK245+CL308*CL245+CM308*CM245+CN308*CN245+CO308*CO245+CP308*CP245+CQ308*CQ245+CR308*CR245+CS308*CS245+CT308*CT245+CU308*CU245</f>
        <v>0</v>
      </c>
      <c r="DH245" s="2882">
        <f>E309*E245+F309*F245+G309*G245+H309*H245+I309*I245+J309*J245+K309*K245+L309*L245+M309*M245+N309*N245+O309*O245+P309*P245+Q309*Q245+R309*R245+S309*S245+T309*T245+U309*U245+V309*V245+W309*W245+X309*X245+Y309*Y245+Z309*Z245+AA309*AA245+AB309*AB245+AC309*AC245+AD309*AD245+AE309*AE245+AF309*AF245+AG309*AG245+AH309*AH245+AI309*AI245+AJ309*AJ245+AK309*AK245+AL309*AL245+AM309*AM245+AN309*AN245+AO309*AO245+AP309*AP245+AQ309*AQ245+AR309*AR245+AS309*AS245+AT309*AT245+AU309*AU245+AV309*AV245+AW309*AW245+AX309*AX245+AY309*AY245+AZ309*AZ245+BA309*BA245+BB309*BB245+BC309*BC245+BD309*BD245+BE309*BE245+BF309*BF245+BG309*BG245+BH309*BH245+BI309*BI245+BJ309*BJ245+BK309*BK245+BL309*BL245+BM309*BM245+BN309*BN245+BO309*BO245+BP309*BP245+BQ309*BQ245+BR309*BR245+BS309*BS245+BT309*BT245+BU309*BU245+BV309*BV245+BW309*BW245+BX309*BX245+BY309*BY245+BZ309*BZ245+CA309*CA245+CB309*CB245+CC309*CC245+CD309*CD245+CE309*CE245+CF309*CF245+CG309*CG245+CH309*CH245+CI309*CI245+CJ309*CJ245+CK309*CK245+CL309*CL245+CM309*CM245+CN309*CN245+CO309*CO245+CP309*CP245+CQ309*CQ245+CR309*CR245+CS309*CS245+CT309*CT245+CU309*CU245</f>
        <v>0</v>
      </c>
      <c r="DI245" s="2882">
        <f>E310*E245+F310*F245+G310*G245+H310*H245+I310*I245+J310*J245+K310*K245+L310*L245+M310*M245+N310*N245+O310*O245+P310*P245+Q310*Q245+R310*R245+S310*S245+T310*T245+U310*U245+V310*V245+W310*W245+X310*X245+Y310*Y245+Z310*Z245+AA310*AA245+AB310*AB245+AC310*AC245+AD310*AD245+AE310*AE245+AF310*AF245+AG310*AG245+AH310*AH245+AI310*AI245+AJ310*AJ245+AK310*AK245+AL310*AL245+AM310*AM245+AN310*AN245+AO310*AO245+AP310*AP245+AQ310*AQ245+AR310*AR245+AS310*AS245+AT310*AT245+AU310*AU245+AV310*AV245+AW310*AW245+AX310*AX245+AY310*AY245+AZ310*AZ245+BA310*BA245+BB310*BB245+BC310*BC245+BD310*BD245+BE310*BE245+BF310*BF245+BG310*BG245+BH310*BH245+BI310*BI245+BJ310*BJ245+BK310*BK245+BL310*BL245+BM310*BM245+BN310*BN245+BO310*BO245+BP310*BP245+BQ310*BQ245+BR310*BR245+BS310*BS245+BT310*BT245+BU310*BU245+BV310*BV245+BW310*BW245+BX310*BX245+BY310*BY245+BZ310*BZ245+CA310*CA245+CB310*CB245+CC310*CC245+CD310*CD245+CE310*CE245+CF310*CF245+CG310*CG245+CH310*CH245+CI310*CI245+CJ310*CJ245+CK310*CK245+CL310*CL245+CM310*CM245+CN310*CN245+CO310*CO245+CP310*CP245+CQ310*CQ245+CR310*CR245+CS310*CS245+CT310*CT245+CU310*CU245</f>
        <v>0</v>
      </c>
    </row>
    <row r="246" spans="2:113" x14ac:dyDescent="0.45">
      <c r="B246" s="811">
        <v>87</v>
      </c>
      <c r="C246" s="811" t="s">
        <v>3218</v>
      </c>
      <c r="D246" s="812" t="s">
        <v>1128</v>
      </c>
      <c r="E246" s="737">
        <f>0</f>
        <v>0</v>
      </c>
      <c r="F246" s="737">
        <f>0</f>
        <v>0</v>
      </c>
      <c r="G246" s="737">
        <f>0</f>
        <v>0</v>
      </c>
      <c r="H246" s="737">
        <f>0</f>
        <v>0</v>
      </c>
      <c r="I246" s="737">
        <f>0</f>
        <v>0</v>
      </c>
      <c r="J246" s="737">
        <f>0</f>
        <v>0</v>
      </c>
      <c r="K246" s="737">
        <f>0</f>
        <v>0</v>
      </c>
      <c r="L246" s="737">
        <f>0</f>
        <v>0</v>
      </c>
      <c r="M246" s="737">
        <f>0</f>
        <v>0</v>
      </c>
      <c r="N246" s="737">
        <f>0</f>
        <v>0</v>
      </c>
      <c r="O246" s="737">
        <f>0</f>
        <v>0</v>
      </c>
      <c r="P246" s="737">
        <f>0</f>
        <v>0</v>
      </c>
      <c r="Q246" s="738">
        <f>0</f>
        <v>0</v>
      </c>
      <c r="R246" s="737">
        <f>0</f>
        <v>0</v>
      </c>
      <c r="S246" s="737">
        <f>0</f>
        <v>0</v>
      </c>
      <c r="T246" s="737">
        <f>0</f>
        <v>0</v>
      </c>
      <c r="U246" s="737">
        <f>0</f>
        <v>0</v>
      </c>
      <c r="V246" s="737">
        <f>0</f>
        <v>0</v>
      </c>
      <c r="W246" s="737">
        <f>0</f>
        <v>0</v>
      </c>
      <c r="X246" s="737">
        <f>0</f>
        <v>0</v>
      </c>
      <c r="Y246" s="737">
        <f>0</f>
        <v>0</v>
      </c>
      <c r="Z246" s="737">
        <f>0</f>
        <v>0</v>
      </c>
      <c r="AA246" s="737">
        <f>0</f>
        <v>0</v>
      </c>
      <c r="AB246" s="737">
        <f>0</f>
        <v>0</v>
      </c>
      <c r="AC246" s="737">
        <f>0</f>
        <v>0</v>
      </c>
      <c r="AD246" s="737">
        <f>0</f>
        <v>0</v>
      </c>
      <c r="AE246" s="737">
        <f>0</f>
        <v>0</v>
      </c>
      <c r="AF246" s="737">
        <f>0</f>
        <v>0</v>
      </c>
      <c r="AG246" s="737">
        <f>0</f>
        <v>0</v>
      </c>
      <c r="AH246" s="737">
        <f>0</f>
        <v>0</v>
      </c>
      <c r="AI246" s="737">
        <f>0</f>
        <v>0</v>
      </c>
      <c r="AJ246" s="737">
        <f>0</f>
        <v>0</v>
      </c>
      <c r="AK246" s="737">
        <f>0</f>
        <v>0</v>
      </c>
      <c r="AL246" s="737">
        <f>0</f>
        <v>0</v>
      </c>
      <c r="AM246" s="738">
        <f>0</f>
        <v>0</v>
      </c>
      <c r="AN246" s="737">
        <f>0</f>
        <v>0</v>
      </c>
      <c r="AO246" s="737">
        <f>0</f>
        <v>0</v>
      </c>
      <c r="AP246" s="737">
        <f>0</f>
        <v>0</v>
      </c>
      <c r="AQ246" s="737">
        <f>0</f>
        <v>0</v>
      </c>
      <c r="AR246" s="737">
        <f>0</f>
        <v>0</v>
      </c>
      <c r="AS246" s="737">
        <f>0</f>
        <v>0</v>
      </c>
      <c r="AT246" s="737">
        <f>0</f>
        <v>0</v>
      </c>
      <c r="AU246" s="738">
        <f>-A_MC/M_MCaCO3</f>
        <v>-0.12000271763837225</v>
      </c>
      <c r="AV246" s="737">
        <f>0</f>
        <v>0</v>
      </c>
      <c r="AW246" s="737">
        <f>0</f>
        <v>0</v>
      </c>
      <c r="AX246" s="737">
        <f>0</f>
        <v>0</v>
      </c>
      <c r="AY246" s="738">
        <f>-A_MCa/M_MCaCO3</f>
        <v>-0.40043202457064814</v>
      </c>
      <c r="AZ246" s="737">
        <f>0</f>
        <v>0</v>
      </c>
      <c r="BA246" s="737">
        <f>0</f>
        <v>0</v>
      </c>
      <c r="BB246" s="737">
        <f>0</f>
        <v>0</v>
      </c>
      <c r="BC246" s="737">
        <f>0</f>
        <v>0</v>
      </c>
      <c r="BD246" s="737">
        <f>0</f>
        <v>0</v>
      </c>
      <c r="BE246" s="738">
        <f>0</f>
        <v>0</v>
      </c>
      <c r="BF246" s="737">
        <f>0</f>
        <v>0</v>
      </c>
      <c r="BG246" s="737">
        <f>0</f>
        <v>0</v>
      </c>
      <c r="BH246" s="738">
        <f>0</f>
        <v>0</v>
      </c>
      <c r="BI246" s="738">
        <f>0</f>
        <v>0</v>
      </c>
      <c r="BJ246" s="737">
        <f>0</f>
        <v>0</v>
      </c>
      <c r="BK246" s="738">
        <f>0</f>
        <v>0</v>
      </c>
      <c r="BL246" s="738">
        <f>0</f>
        <v>0</v>
      </c>
      <c r="BM246" s="737">
        <f>0</f>
        <v>0</v>
      </c>
      <c r="BN246" s="737">
        <f>0</f>
        <v>0</v>
      </c>
      <c r="BO246" s="738">
        <f>0</f>
        <v>0</v>
      </c>
      <c r="BP246" s="738">
        <f>0</f>
        <v>0</v>
      </c>
      <c r="BQ246" s="737">
        <f>0</f>
        <v>0</v>
      </c>
      <c r="BR246" s="738">
        <f>0</f>
        <v>0</v>
      </c>
      <c r="BS246" s="738">
        <f>0</f>
        <v>0</v>
      </c>
      <c r="BT246" s="738">
        <f>1</f>
        <v>1</v>
      </c>
      <c r="BU246" s="738">
        <f>0</f>
        <v>0</v>
      </c>
      <c r="BV246" s="906">
        <f>0</f>
        <v>0</v>
      </c>
      <c r="BW246" s="738">
        <f>0</f>
        <v>0</v>
      </c>
      <c r="BX246" s="738">
        <f>0</f>
        <v>0</v>
      </c>
      <c r="BY246" s="738">
        <f>0</f>
        <v>0</v>
      </c>
      <c r="BZ246" s="738">
        <f>0</f>
        <v>0</v>
      </c>
      <c r="CA246" s="906">
        <f>0</f>
        <v>0</v>
      </c>
      <c r="CB246" s="738">
        <f>0</f>
        <v>0</v>
      </c>
      <c r="CC246" s="738">
        <f>0</f>
        <v>0</v>
      </c>
      <c r="CD246" s="738">
        <f>0</f>
        <v>0</v>
      </c>
      <c r="CE246" s="738">
        <f>0</f>
        <v>0</v>
      </c>
      <c r="CF246" s="738">
        <f>0</f>
        <v>0</v>
      </c>
      <c r="CG246" s="738">
        <f>0</f>
        <v>0</v>
      </c>
      <c r="CH246" s="738">
        <f>0</f>
        <v>0</v>
      </c>
      <c r="CI246" s="738">
        <f>0</f>
        <v>0</v>
      </c>
      <c r="CJ246" s="738">
        <f>0</f>
        <v>0</v>
      </c>
      <c r="CK246" s="738">
        <f>0</f>
        <v>0</v>
      </c>
      <c r="CL246" s="738">
        <f>0</f>
        <v>0</v>
      </c>
      <c r="CM246" s="738">
        <f>0</f>
        <v>0</v>
      </c>
      <c r="CN246" s="738">
        <f>0</f>
        <v>0</v>
      </c>
      <c r="CO246" s="738">
        <f>0</f>
        <v>0</v>
      </c>
      <c r="CP246" s="738">
        <f>0</f>
        <v>0</v>
      </c>
      <c r="CQ246" s="738">
        <f>0</f>
        <v>0</v>
      </c>
      <c r="CR246" s="738">
        <f>0</f>
        <v>0</v>
      </c>
      <c r="CS246" s="738">
        <f>0</f>
        <v>0</v>
      </c>
      <c r="CT246" s="738">
        <f>0</f>
        <v>0</v>
      </c>
      <c r="CU246" s="738">
        <f>0</f>
        <v>0</v>
      </c>
      <c r="CV246" s="2867">
        <f>q_CaCO3*P_recipDrivingForceCaCO3^2</f>
        <v>-4.9946780711780582E-50</v>
      </c>
      <c r="CX246" s="2880">
        <f>E299*E246+F299*F246+G299*G246+H299*H246+I299*I246+J299*J246+K299*K246+L299*L246+M299*M246+N299*N246+O299*O246+P299*P246+Q299*Q246+R299*R246+S299*S246+T299*T246+U299*U246+V299*V246+W299*W246+X299*X246+Y299*Y246+Z299*Z246+AA299*AA246+AB299*AB246+AC299*AC246+AD299*AD246+AE299*AE246+AF299*AF246+AG299*AG246+AH299*AH246+AI299*AI246+AJ299*AJ246+AK299*AK246+AL299*AL246+AM299*AM246+AN299*AN246+AO299*AO246+AP299*AP246+AQ299*AQ246+AR299*AR246+AS299*AS246+AT299*AT246+AU299*AU246+AV299*AV246+AW299*AW246+AX299*AX246+AY299*AY246+AZ299*AZ246+BA299*BA246+BB299*BB246+BC299*BC246+BD299*BD246+BE299*BE246+BF299*BF246+BG299*BG246+BH299*BH246+BI299*BI246+BJ299*BJ246+BK299*BK246+BL299*BL246+BM299*BM246+BN299*BN246+BO299*BO246+BP299*BP246+BQ299*BQ246+BR299*BR246+BS299*BS246+BT299*BT246+BU299*BU246+BV299*BV246+BW299*BW246+BX299*BX246+BY299*BY246+BZ299*BZ246+CA299*CA246+CB299*CB246+CC299*CC246+CD299*CD246+CE299*CE246+CF299*CF246+CG299*CG246+CH299*CH246+CI299*CI246+CJ299*CJ246+CK299*CK246+CL299*CL246+CM299*CM246+CN299*CN246+CO299*CO246+CP299*CP246+CQ299*CQ246+CR299*CR246+CS299*CS246+CT299*CT246+CU299*CU246</f>
        <v>0</v>
      </c>
      <c r="CY246" s="2880">
        <f>E300*E246+F300*F246+G300*G246+H300*H246+I300*I246+J300*J246+K300*K246+L300*L246+M300*M246+N300*N246+O300*O246+P300*P246+Q300*Q246+R300*R246+S300*S246+T300*T246+U300*U246+V300*V246+W300*W246+X300*X246+Y300*Y246+Z300*Z246+AA300*AA246+AB300*AB246+AC300*AC246+AD300*AD246+AE300*AE246+AF300*AF246+AG300*AG246+AH300*AH246+AI300*AI246+AJ300*AJ246+AK300*AK246+AL300*AL246+AM300*AM246+AN300*AN246+AO300*AO246+AP300*AP246+AQ300*AQ246+AR300*AR246+AS300*AS246+AT300*AT246+AU300*AU246+AV300*AV246+AW300*AW246+AX300*AX246+AY300*AY246+AZ300*AZ246+BA300*BA246+BB300*BB246+BC300*BC246+BD300*BD246+BE300*BE246+BF300*BF246+BG300*BG246+BH300*BH246+BI300*BI246+BJ300*BJ246+BK300*BK246+BL300*BL246+BM300*BM246+BN300*BN246+BO300*BO246+BP300*BP246+BQ300*BQ246+BR300*BR246+BS300*BS246+BT300*BT246+BU300*BU246+BV300*BV246+BW300*BW246+BX300*BX246+BY300*BY246+BZ300*BZ246+CA300*CA246+CB300*CB246+CC300*CC246+CD300*CD246+CE300*CE246+CF300*CF246+CG300*CG246+CH300*CH246+CI300*CI246+CJ300*CJ246+CK300*CK246+CL300*CL246+CM300*CM246+CN300*CN246+CO300*CO246+CP300*CP246+CQ300*CQ246+CR300*CR246+CS300*CS246+CT300*CT246+CU300*CU246</f>
        <v>0</v>
      </c>
      <c r="CZ246" s="2881">
        <f>E301*E246+F301*F246+G301*G246+H301*H246+I301*I246+J301*J246+K301*K246+L301*L246+M301*M246+N301*N246+O301*O246+P301*P246+Q301*Q246+R301*R246+S301*S246+T301*T246+U301*U246+V301*V246+W301*W246+X301*X246+Y301*Y246+Z301*Z246+AA301*AA246+AB301*AB246+AC301*AC246+AD301*AD246+AE301*AE246+AF301*AF246+AG301*AG246+AH301*AH246+AI301*AI246+AJ301*AJ246+AK301*AK246+AL301*AL246+AM301*AM246+AN301*AN246+AO301*AO246+AP301*AP246+AQ301*AQ246+AR301*AR246+AS301*AS246+AT301*AT246+AU301*AU246+AV301*AV246+AW301*AW246+AX301*AX246+AY301*AY246+AZ301*AZ246+BA301*BA246+BB301*BB246+BC301*BC246+BD301*BD246+BE301*BE246+BF301*BF246+BG301*BG246+BH301*BH246+BI301*BI246+BJ301*BJ246+BK301*BK246+BL301*BL246+BM301*BM246+BN301*BN246+BO301*BO246+BP301*BP246+BQ301*BQ246+BR301*BR246+BS301*BS246+BT301*BT246+BU301*BU246+BV301*BV246+BW301*BW246+BX301*BX246+BY301*BY246+BZ301*BZ246+CA301*CA246+CB301*CB246+CC301*CC246+CD301*CD246+CE301*CE246+CF301*CF246+CG301*CG246+CH301*CH246+CI301*CI246+CJ301*CJ246+CK301*CK246+CL301*CL246+CM301*CM246+CN301*CN246+CO301*CO246+CP301*CP246+CQ301*CQ246+CR301*CR246+CS301*CS246+CT301*CT246+CU301*CU246</f>
        <v>0</v>
      </c>
      <c r="DA246" s="2882">
        <f>E302*E246+F302*F246+G302*G246+H302*H246+I302*I246+J302*J246+K302*K246+L302*L246+M302*M246+N302*N246+O302*O246+P302*P246+Q302*Q246+R302*R246+S302*S246+T302*T246+U302*U246+V302*V246+W302*W246+X302*X246+Y302*Y246+Z302*Z246+AA302*AA246+AB302*AB246+AC302*AC246+AD302*AD246+AE302*AE246+AF302*AF246+AG302*AG246+AH302*AH246+AI302*AI246+AJ302*AJ246+AK302*AK246+AL302*AL246+AM302*AM246+AN302*AN246+AO302*AO246+AP302*AP246+AQ302*AQ246+AR302*AR246+AS302*AS246+AT302*AT246+AU302*AU246+AV302*AV246+AW302*AW246+AX302*AX246+AY302*AY246+AZ302*AZ246+BA302*BA246+BB302*BB246+BC302*BC246+BD302*BD246+BE302*BE246+BF302*BF246+BG302*BG246+BH302*BH246+BI302*BI246+BJ302*BJ246+BK302*BK246+BL302*BL246+BM302*BM246+BN302*BN246+BO302*BO246+BP302*BP246+BQ302*BQ246+BR302*BR246+BS302*BS246+BT302*BT246+BU302*BU246+BV302*BV246+BW302*BW246+BX302*BX246+BY302*BY246+BZ302*BZ246+CA302*CA246+CB302*CB246+CC302*CC246+CD302*CD246+CE302*CE246+CF302*CF246+CG302*CG246+CH302*CH246+CI302*CI246+CJ302*CJ246+CK302*CK246+CL302*CL246+CM302*CM246+CN302*CN246+CO302*CO246+CP302*CP246+CQ302*CQ246+CR302*CR246+CS302*CS246+CT302*CT246+CU302*CU246</f>
        <v>0</v>
      </c>
      <c r="DB246" s="2882">
        <f>E303*E246+F303*F246+G303*G246+H303*H246+I303*I246+J303*J246+K303*K246+L303*L246+M303*M246+N303*N246+O303*O246+P303*P246+Q303*Q246+R303*R246+S303*S246+T303*T246+U303*U246+V303*V246+W303*W246+X303*X246+Y303*Y246+Z303*Z246+AA303*AA246+AB303*AB246+AC303*AC246+AD303*AD246+AE303*AE246+AF303*AF246+AG303*AG246+AH303*AH246+AI303*AI246+AJ303*AJ246+AK303*AK246+AL303*AL246+AM303*AM246+AN303*AN246+AO303*AO246+AP303*AP246+AQ303*AQ246+AR303*AR246+AS303*AS246+AT303*AT246+AU303*AU246+AV303*AV246+AW303*AW246+AX303*AX246+AY303*AY246+AZ303*AZ246+BA303*BA246+BB303*BB246+BC303*BC246+BD303*BD246+BE303*BE246+BF303*BF246+BG303*BG246+BH303*BH246+BI303*BI246+BJ303*BJ246+BK303*BK246+BL303*BL246+BM303*BM246+BN303*BN246+BO303*BO246+BP303*BP246+BQ303*BQ246+BR303*BR246+BS303*BS246+BT303*BT246+BU303*BU246+BV303*BV246+BW303*BW246+BX303*BX246+BY303*BY246+BZ303*BZ246+CA303*CA246+CB303*CB246+CC303*CC246+CD303*CD246+CE303*CE246+CF303*CF246+CG303*CG246+CH303*CH246+CI303*CI246+CJ303*CJ246+CK303*CK246+CL303*CL246+CM303*CM246+CN303*CN246+CO303*CO246+CP303*CP246+CQ303*CQ246+CR303*CR246+CS303*CS246+CT303*CT246+CU303*CU246</f>
        <v>0</v>
      </c>
      <c r="DC246" s="2882">
        <f>E304*E246+F304*F246+G304*G246+H304*H246+I304*I246+J304*J246+K304*K246+L304*L246+M304*M246+N304*N246+O304*O246+P304*P246+Q304*Q246+R304*R246+S304*S246+T304*T246+U304*U246+V304*V246+W304*W246+X304*X246+Y304*Y246+Z304*Z246+AA304*AA246+AB304*AB246+AC304*AC246+AD304*AD246+AE304*AE246+AF304*AF246+AG304*AG246+AH304*AH246+AI304*AI246+AJ304*AJ246+AK304*AK246+AL304*AL246+AM304*AM246+AN304*AN246+AO304*AO246+AP304*AP246+AQ304*AQ246+AR304*AR246+AS304*AS246+AT304*AT246+AU304*AU246+AV304*AV246+AW304*AW246+AX304*AX246+AY304*AY246+AZ304*AZ246+BA304*BA246+BB304*BB246+BC304*BC246+BD304*BD246+BE304*BE246+BF304*BF246+BG304*BG246+BH304*BH246+BI304*BI246+BJ304*BJ246+BK304*BK246+BL304*BL246+BM304*BM246+BN304*BN246+BO304*BO246+BP304*BP246+BQ304*BQ246+BR304*BR246+BS304*BS246+BT304*BT246+BU304*BU246+BV304*BV246+BW304*BW246+BX304*BX246+BY304*BY246+BZ304*BZ246+CA304*CA246+CB304*CB246+CC304*CC246+CD304*CD246+CE304*CE246+CF304*CF246+CG304*CG246+CH304*CH246+CI304*CI246+CJ304*CJ246+CK304*CK246+CL304*CL246+CM304*CM246+CN304*CN246+CO304*CO246+CP304*CP246+CQ304*CQ246+CR304*CR246+CS304*CS246+CT304*CT246+CU304*CU246</f>
        <v>0</v>
      </c>
      <c r="DD246" s="2882">
        <f>E305*E246+F305*F246+G305*G246+H305*H246+I305*I246+J305*J246+K305*K246+L305*L246+M305*M246+N305*N246+O305*O246+P305*P246+Q305*Q246+R305*R246+S305*S246+T305*T246+U305*U246+V305*V246+W305*W246+X305*X246+Y305*Y246+Z305*Z246+AA305*AA246+AB305*AB246+AC305*AC246+AD305*AD246+AE305*AE246+AF305*AF246+AG305*AG246+AH305*AH246+AI305*AI246+AJ305*AJ246+AK305*AK246+AL305*AL246+AM305*AM246+AN305*AN246+AO305*AO246+AP305*AP246+AQ305*AQ246+AR305*AR246+AS305*AS246+AT305*AT246+AU305*AU246+AV305*AV246+AW305*AW246+AX305*AX246+AY305*AY246+AZ305*AZ246+BA305*BA246+BB305*BB246+BC305*BC246+BD305*BD246+BE305*BE246+BF305*BF246+BG305*BG246+BH305*BH246+BI305*BI246+BJ305*BJ246+BK305*BK246+BL305*BL246+BM305*BM246+BN305*BN246+BO305*BO246+BP305*BP246+BQ305*BQ246+BR305*BR246+BS305*BS246+BT305*BT246+BU305*BU246+BV305*BV246+BW305*BW246+BX305*BX246+BY305*BY246+BZ305*BZ246+CA305*CA246+CB305*CB246+CC305*CC246+CD305*CD246+CE305*CE246+CF305*CF246+CG305*CG246+CH305*CH246+CI305*CI246+CJ305*CJ246+CK305*CK246+CL305*CL246+CM305*CM246+CN305*CN246+CO305*CO246+CP305*CP246+CQ305*CQ246+CR305*CR246+CS305*CS246+CT305*CT246+CU305*CU246</f>
        <v>0</v>
      </c>
      <c r="DE246" s="2882">
        <f>E306*E246+F306*F246+G306*G246+H306*H246+I306*I246+J306*J246+K306*K246+L306*L246+M306*M246+N306*N246+O306*O246+P306*P246+Q306*Q246+R306*R246+S306*S246+T306*T246+U306*U246+V306*V246+W306*W246+X306*X246+Y306*Y246+Z306*Z246+AA306*AA246+AB306*AB246+AC306*AC246+AD306*AD246+AE306*AE246+AF306*AF246+AG306*AG246+AH306*AH246+AI306*AI246+AJ306*AJ246+AK306*AK246+AL306*AL246+AM306*AM246+AN306*AN246+AO306*AO246+AP306*AP246+AQ306*AQ246+AR306*AR246+AS306*AS246+AT306*AT246+AU306*AU246+AV306*AV246+AW306*AW246+AX306*AX246+AY306*AY246+AZ306*AZ246+BA306*BA246+BB306*BB246+BC306*BC246+BD306*BD246+BE306*BE246+BF306*BF246+BG306*BG246+BH306*BH246+BI306*BI246+BJ306*BJ246+BK306*BK246+BL306*BL246+BM306*BM246+BN306*BN246+BO306*BO246+BP306*BP246+BQ306*BQ246+BR306*BR246+BS306*BS246+BT306*BT246+BU306*BU246+BV306*BV246+BW306*BW246+BX306*BX246+BY306*BY246+BZ306*BZ246+CA306*CA246+CB306*CB246+CC306*CC246+CD306*CD246+CE306*CE246+CF306*CF246+CG306*CG246+CH306*CH246+CI306*CI246+CJ306*CJ246+CK306*CK246+CL306*CL246+CM306*CM246+CN306*CN246+CO306*CO246+CP306*CP246+CQ306*CQ246+CR306*CR246+CS306*CS246+CT306*CT246+CU306*CU246</f>
        <v>0</v>
      </c>
      <c r="DF246" s="2882">
        <f>E307*E246+F307*F246+G307*G246+H307*H246+I307*I246+J307*J246+K307*K246+L307*L246+M307*M246+N307*N246+O307*O246+P307*P246+Q307*Q246+R307*R246+S307*S246+T307*T246+U307*U246+V307*V246+W307*W246+X307*X246+Y307*Y246+Z307*Z246+AA307*AA246+AB307*AB246+AC307*AC246+AD307*AD246+AE307*AE246+AF307*AF246+AG307*AG246+AH307*AH246+AI307*AI246+AJ307*AJ246+AK307*AK246+AL307*AL246+AM307*AM246+AN307*AN246+AO307*AO246+AP307*AP246+AQ307*AQ246+AR307*AR246+AS307*AS246+AT307*AT246+AU307*AU246+AV307*AV246+AW307*AW246+AX307*AX246+AY307*AY246+AZ307*AZ246+BA307*BA246+BB307*BB246+BC307*BC246+BD307*BD246+BE307*BE246+BF307*BF246+BG307*BG246+BH307*BH246+BI307*BI246+BJ307*BJ246+BK307*BK246+BL307*BL246+BM307*BM246+BN307*BN246+BO307*BO246+BP307*BP246+BQ307*BQ246+BR307*BR246+BS307*BS246+BT307*BT246+BU307*BU246+BV307*BV246+BW307*BW246+BX307*BX246+BY307*BY246+BZ307*BZ246+CA307*CA246+CB307*CB246+CC307*CC246+CD307*CD246+CE307*CE246+CF307*CF246+CG307*CG246+CH307*CH246+CI307*CI246+CJ307*CJ246+CK307*CK246+CL307*CL246+CM307*CM246+CN307*CN246+CO307*CO246+CP307*CP246+CQ307*CQ246+CR307*CR246+CS307*CS246+CT307*CT246+CU307*CU246</f>
        <v>0</v>
      </c>
      <c r="DG246" s="2882">
        <f>E308*E246+F308*F246+G308*G246+H308*H246+I308*I246+J308*J246+K308*K246+L308*L246+M308*M246+N308*N246+O308*O246+P308*P246+Q308*Q246+R308*R246+S308*S246+T308*T246+U308*U246+V308*V246+W308*W246+X308*X246+Y308*Y246+Z308*Z246+AA308*AA246+AB308*AB246+AC308*AC246+AD308*AD246+AE308*AE246+AF308*AF246+AG308*AG246+AH308*AH246+AI308*AI246+AJ308*AJ246+AK308*AK246+AL308*AL246+AM308*AM246+AN308*AN246+AO308*AO246+AP308*AP246+AQ308*AQ246+AR308*AR246+AS308*AS246+AT308*AT246+AU308*AU246+AV308*AV246+AW308*AW246+AX308*AX246+AY308*AY246+AZ308*AZ246+BA308*BA246+BB308*BB246+BC308*BC246+BD308*BD246+BE308*BE246+BF308*BF246+BG308*BG246+BH308*BH246+BI308*BI246+BJ308*BJ246+BK308*BK246+BL308*BL246+BM308*BM246+BN308*BN246+BO308*BO246+BP308*BP246+BQ308*BQ246+BR308*BR246+BS308*BS246+BT308*BT246+BU308*BU246+BV308*BV246+BW308*BW246+BX308*BX246+BY308*BY246+BZ308*BZ246+CA308*CA246+CB308*CB246+CC308*CC246+CD308*CD246+CE308*CE246+CF308*CF246+CG308*CG246+CH308*CH246+CI308*CI246+CJ308*CJ246+CK308*CK246+CL308*CL246+CM308*CM246+CN308*CN246+CO308*CO246+CP308*CP246+CQ308*CQ246+CR308*CR246+CS308*CS246+CT308*CT246+CU308*CU246</f>
        <v>0</v>
      </c>
      <c r="DH246" s="2882">
        <f>E309*E246+F309*F246+G309*G246+H309*H246+I309*I246+J309*J246+K309*K246+L309*L246+M309*M246+N309*N246+O309*O246+P309*P246+Q309*Q246+R309*R246+S309*S246+T309*T246+U309*U246+V309*V246+W309*W246+X309*X246+Y309*Y246+Z309*Z246+AA309*AA246+AB309*AB246+AC309*AC246+AD309*AD246+AE309*AE246+AF309*AF246+AG309*AG246+AH309*AH246+AI309*AI246+AJ309*AJ246+AK309*AK246+AL309*AL246+AM309*AM246+AN309*AN246+AO309*AO246+AP309*AP246+AQ309*AQ246+AR309*AR246+AS309*AS246+AT309*AT246+AU309*AU246+AV309*AV246+AW309*AW246+AX309*AX246+AY309*AY246+AZ309*AZ246+BA309*BA246+BB309*BB246+BC309*BC246+BD309*BD246+BE309*BE246+BF309*BF246+BG309*BG246+BH309*BH246+BI309*BI246+BJ309*BJ246+BK309*BK246+BL309*BL246+BM309*BM246+BN309*BN246+BO309*BO246+BP309*BP246+BQ309*BQ246+BR309*BR246+BS309*BS246+BT309*BT246+BU309*BU246+BV309*BV246+BW309*BW246+BX309*BX246+BY309*BY246+BZ309*BZ246+CA309*CA246+CB309*CB246+CC309*CC246+CD309*CD246+CE309*CE246+CF309*CF246+CG309*CG246+CH309*CH246+CI309*CI246+CJ309*CJ246+CK309*CK246+CL309*CL246+CM309*CM246+CN309*CN246+CO309*CO246+CP309*CP246+CQ309*CQ246+CR309*CR246+CS309*CS246+CT309*CT246+CU309*CU246</f>
        <v>0</v>
      </c>
      <c r="DI246" s="2882">
        <f>E310*E246+F310*F246+G310*G246+H310*H246+I310*I246+J310*J246+K310*K246+L310*L246+M310*M246+N310*N246+O310*O246+P310*P246+Q310*Q246+R310*R246+S310*S246+T310*T246+U310*U246+V310*V246+W310*W246+X310*X246+Y310*Y246+Z310*Z246+AA310*AA246+AB310*AB246+AC310*AC246+AD310*AD246+AE310*AE246+AF310*AF246+AG310*AG246+AH310*AH246+AI310*AI246+AJ310*AJ246+AK310*AK246+AL310*AL246+AM310*AM246+AN310*AN246+AO310*AO246+AP310*AP246+AQ310*AQ246+AR310*AR246+AS310*AS246+AT310*AT246+AU310*AU246+AV310*AV246+AW310*AW246+AX310*AX246+AY310*AY246+AZ310*AZ246+BA310*BA246+BB310*BB246+BC310*BC246+BD310*BD246+BE310*BE246+BF310*BF246+BG310*BG246+BH310*BH246+BI310*BI246+BJ310*BJ246+BK310*BK246+BL310*BL246+BM310*BM246+BN310*BN246+BO310*BO246+BP310*BP246+BQ310*BQ246+BR310*BR246+BS310*BS246+BT310*BT246+BU310*BU246+BV310*BV246+BW310*BW246+BX310*BX246+BY310*BY246+BZ310*BZ246+CA310*CA246+CB310*CB246+CC310*CC246+CD310*CD246+CE310*CE246+CF310*CF246+CG310*CG246+CH310*CH246+CI310*CI246+CJ310*CJ246+CK310*CK246+CL310*CL246+CM310*CM246+CN310*CN246+CO310*CO246+CP310*CP246+CQ310*CQ246+CR310*CR246+CS310*CS246+CT310*CT246+CU310*CU246</f>
        <v>0</v>
      </c>
    </row>
    <row r="247" spans="2:113" x14ac:dyDescent="0.45">
      <c r="B247" s="811">
        <v>88</v>
      </c>
      <c r="C247" s="811" t="s">
        <v>3219</v>
      </c>
      <c r="D247" s="812" t="s">
        <v>1127</v>
      </c>
      <c r="E247" s="737">
        <f>0</f>
        <v>0</v>
      </c>
      <c r="F247" s="737">
        <f>0</f>
        <v>0</v>
      </c>
      <c r="G247" s="737">
        <f>0</f>
        <v>0</v>
      </c>
      <c r="H247" s="737">
        <f>0</f>
        <v>0</v>
      </c>
      <c r="I247" s="737">
        <f>0</f>
        <v>0</v>
      </c>
      <c r="J247" s="737">
        <f>0</f>
        <v>0</v>
      </c>
      <c r="K247" s="737">
        <f>0</f>
        <v>0</v>
      </c>
      <c r="L247" s="737">
        <f>0</f>
        <v>0</v>
      </c>
      <c r="M247" s="737">
        <f>0</f>
        <v>0</v>
      </c>
      <c r="N247" s="737">
        <f>0</f>
        <v>0</v>
      </c>
      <c r="O247" s="737">
        <f>0</f>
        <v>0</v>
      </c>
      <c r="P247" s="737">
        <f>0</f>
        <v>0</v>
      </c>
      <c r="Q247" s="738">
        <f>0</f>
        <v>0</v>
      </c>
      <c r="R247" s="737">
        <f>0</f>
        <v>0</v>
      </c>
      <c r="S247" s="737">
        <f>0</f>
        <v>0</v>
      </c>
      <c r="T247" s="737">
        <f>0</f>
        <v>0</v>
      </c>
      <c r="U247" s="737">
        <f>0</f>
        <v>0</v>
      </c>
      <c r="V247" s="737">
        <f>0</f>
        <v>0</v>
      </c>
      <c r="W247" s="737">
        <f>0</f>
        <v>0</v>
      </c>
      <c r="X247" s="737">
        <f>0</f>
        <v>0</v>
      </c>
      <c r="Y247" s="737">
        <f>0</f>
        <v>0</v>
      </c>
      <c r="Z247" s="737">
        <f>0</f>
        <v>0</v>
      </c>
      <c r="AA247" s="737">
        <f>0</f>
        <v>0</v>
      </c>
      <c r="AB247" s="737">
        <f>0</f>
        <v>0</v>
      </c>
      <c r="AC247" s="737">
        <f>0</f>
        <v>0</v>
      </c>
      <c r="AD247" s="737">
        <f>0</f>
        <v>0</v>
      </c>
      <c r="AE247" s="737">
        <f>0</f>
        <v>0</v>
      </c>
      <c r="AF247" s="737">
        <f>0</f>
        <v>0</v>
      </c>
      <c r="AG247" s="737">
        <f>0</f>
        <v>0</v>
      </c>
      <c r="AH247" s="737">
        <f>0</f>
        <v>0</v>
      </c>
      <c r="AI247" s="737">
        <f>0</f>
        <v>0</v>
      </c>
      <c r="AJ247" s="737">
        <f>0</f>
        <v>0</v>
      </c>
      <c r="AK247" s="737">
        <f>0</f>
        <v>0</v>
      </c>
      <c r="AL247" s="737">
        <f>0</f>
        <v>0</v>
      </c>
      <c r="AM247" s="738">
        <f>-2*A_MP/M_MACP</f>
        <v>-0.16206538757887573</v>
      </c>
      <c r="AN247" s="737">
        <f>0</f>
        <v>0</v>
      </c>
      <c r="AO247" s="737">
        <f>0</f>
        <v>0</v>
      </c>
      <c r="AP247" s="737">
        <f>0</f>
        <v>0</v>
      </c>
      <c r="AQ247" s="737">
        <f>0</f>
        <v>0</v>
      </c>
      <c r="AR247" s="737">
        <f>0</f>
        <v>0</v>
      </c>
      <c r="AS247" s="737">
        <f>0</f>
        <v>0</v>
      </c>
      <c r="AT247" s="737">
        <f>0</f>
        <v>0</v>
      </c>
      <c r="AU247" s="737">
        <f>0</f>
        <v>0</v>
      </c>
      <c r="AV247" s="737">
        <f>0</f>
        <v>0</v>
      </c>
      <c r="AW247" s="737">
        <f>0</f>
        <v>0</v>
      </c>
      <c r="AX247" s="737">
        <f>0</f>
        <v>0</v>
      </c>
      <c r="AY247" s="738">
        <f>-3*A_MCa/M_MACP</f>
        <v>-0.31455284127800509</v>
      </c>
      <c r="AZ247" s="737">
        <f>0</f>
        <v>0</v>
      </c>
      <c r="BA247" s="737">
        <f>0</f>
        <v>0</v>
      </c>
      <c r="BB247" s="737">
        <f>0</f>
        <v>0</v>
      </c>
      <c r="BC247" s="737">
        <f>0</f>
        <v>0</v>
      </c>
      <c r="BD247" s="737">
        <f>0</f>
        <v>0</v>
      </c>
      <c r="BE247" s="738">
        <f>0</f>
        <v>0</v>
      </c>
      <c r="BF247" s="737">
        <f>0</f>
        <v>0</v>
      </c>
      <c r="BG247" s="737">
        <f>0</f>
        <v>0</v>
      </c>
      <c r="BH247" s="738">
        <f>0</f>
        <v>0</v>
      </c>
      <c r="BI247" s="738">
        <f>0</f>
        <v>0</v>
      </c>
      <c r="BJ247" s="737">
        <f>0</f>
        <v>0</v>
      </c>
      <c r="BK247" s="738">
        <f>0</f>
        <v>0</v>
      </c>
      <c r="BL247" s="738">
        <f>0</f>
        <v>0</v>
      </c>
      <c r="BM247" s="737">
        <f>0</f>
        <v>0</v>
      </c>
      <c r="BN247" s="737">
        <f>0</f>
        <v>0</v>
      </c>
      <c r="BO247" s="738">
        <f>0</f>
        <v>0</v>
      </c>
      <c r="BP247" s="738">
        <f>0</f>
        <v>0</v>
      </c>
      <c r="BQ247" s="737">
        <f>0</f>
        <v>0</v>
      </c>
      <c r="BR247" s="738">
        <f>0</f>
        <v>0</v>
      </c>
      <c r="BS247" s="738">
        <f>0</f>
        <v>0</v>
      </c>
      <c r="BT247" s="738">
        <f>0</f>
        <v>0</v>
      </c>
      <c r="BU247" s="738">
        <f>1</f>
        <v>1</v>
      </c>
      <c r="BV247" s="906">
        <f>0</f>
        <v>0</v>
      </c>
      <c r="BW247" s="738">
        <f>0</f>
        <v>0</v>
      </c>
      <c r="BX247" s="738">
        <f>0</f>
        <v>0</v>
      </c>
      <c r="BY247" s="738">
        <f>0</f>
        <v>0</v>
      </c>
      <c r="BZ247" s="738">
        <f>0</f>
        <v>0</v>
      </c>
      <c r="CA247" s="906">
        <f>0</f>
        <v>0</v>
      </c>
      <c r="CB247" s="738">
        <f>0</f>
        <v>0</v>
      </c>
      <c r="CC247" s="738">
        <f>0</f>
        <v>0</v>
      </c>
      <c r="CD247" s="738">
        <f>0</f>
        <v>0</v>
      </c>
      <c r="CE247" s="738">
        <f>0</f>
        <v>0</v>
      </c>
      <c r="CF247" s="738">
        <f>0</f>
        <v>0</v>
      </c>
      <c r="CG247" s="738">
        <f>0</f>
        <v>0</v>
      </c>
      <c r="CH247" s="738">
        <f>0</f>
        <v>0</v>
      </c>
      <c r="CI247" s="738">
        <f>0</f>
        <v>0</v>
      </c>
      <c r="CJ247" s="738">
        <f>0</f>
        <v>0</v>
      </c>
      <c r="CK247" s="738">
        <f>0</f>
        <v>0</v>
      </c>
      <c r="CL247" s="738">
        <f>0</f>
        <v>0</v>
      </c>
      <c r="CM247" s="738">
        <f>0</f>
        <v>0</v>
      </c>
      <c r="CN247" s="738">
        <f>0</f>
        <v>0</v>
      </c>
      <c r="CO247" s="738">
        <f>0</f>
        <v>0</v>
      </c>
      <c r="CP247" s="738">
        <f>0</f>
        <v>0</v>
      </c>
      <c r="CQ247" s="738">
        <f>0</f>
        <v>0</v>
      </c>
      <c r="CR247" s="738">
        <f>0</f>
        <v>0</v>
      </c>
      <c r="CS247" s="738">
        <f>0</f>
        <v>0</v>
      </c>
      <c r="CT247" s="738">
        <f>0</f>
        <v>0</v>
      </c>
      <c r="CU247" s="738">
        <f>0</f>
        <v>0</v>
      </c>
      <c r="CV247" s="2867">
        <f>q_ACP*P_recipDrivingForceACP^2</f>
        <v>-9.6885088394901023E-49</v>
      </c>
      <c r="CX247" s="2880">
        <f>E299*E247+F299*F247+G299*G247+H299*H247+I299*I247+J299*J247+K299*K247+L299*L247+M299*M247+N299*N247+O299*O247+P299*P247+Q299*Q247+R299*R247+S299*S247+T299*T247+U299*U247+V299*V247+W299*W247+X299*X247+Y299*Y247+Z299*Z247+AA299*AA247+AB299*AB247+AC299*AC247+AD299*AD247+AE299*AE247+AF299*AF247+AG299*AG247+AH299*AH247+AI299*AI247+AJ299*AJ247+AK299*AK247+AL299*AL247+AM299*AM247+AN299*AN247+AO299*AO247+AP299*AP247+AQ299*AQ247+AR299*AR247+AS299*AS247+AT299*AT247+AU299*AU247+AV299*AV247+AW299*AW247+AX299*AX247+AY299*AY247+AZ299*AZ247+BA299*BA247+BB299*BB247+BC299*BC247+BD299*BD247+BE299*BE247+BF299*BF247+BG299*BG247+BH299*BH247+BI299*BI247+BJ299*BJ247+BK299*BK247+BL299*BL247+BM299*BM247+BN299*BN247+BO299*BO247+BP299*BP247+BQ299*BQ247+BR299*BR247+BS299*BS247+BT299*BT247+BU299*BU247+BV299*BV247+BW299*BW247+BX299*BX247+BY299*BY247+BZ299*BZ247+CA299*CA247+CB299*CB247+CC299*CC247+CD299*CD247+CE299*CE247+CF299*CF247+CG299*CG247+CH299*CH247+CI299*CI247+CJ299*CJ247+CK299*CK247+CL299*CL247+CM299*CM247+CN299*CN247+CO299*CO247+CP299*CP247+CQ299*CQ247+CR299*CR247+CS299*CS247+CT299*CT247+CU299*CU247</f>
        <v>0</v>
      </c>
      <c r="CY247" s="2880">
        <f>E300*E247+F300*F247+G300*G247+H300*H247+I300*I247+J300*J247+K300*K247+L300*L247+M300*M247+N300*N247+O300*O247+P300*P247+Q300*Q247+R300*R247+S300*S247+T300*T247+U300*U247+V300*V247+W300*W247+X300*X247+Y300*Y247+Z300*Z247+AA300*AA247+AB300*AB247+AC300*AC247+AD300*AD247+AE300*AE247+AF300*AF247+AG300*AG247+AH300*AH247+AI300*AI247+AJ300*AJ247+AK300*AK247+AL300*AL247+AM300*AM247+AN300*AN247+AO300*AO247+AP300*AP247+AQ300*AQ247+AR300*AR247+AS300*AS247+AT300*AT247+AU300*AU247+AV300*AV247+AW300*AW247+AX300*AX247+AY300*AY247+AZ300*AZ247+BA300*BA247+BB300*BB247+BC300*BC247+BD300*BD247+BE300*BE247+BF300*BF247+BG300*BG247+BH300*BH247+BI300*BI247+BJ300*BJ247+BK300*BK247+BL300*BL247+BM300*BM247+BN300*BN247+BO300*BO247+BP300*BP247+BQ300*BQ247+BR300*BR247+BS300*BS247+BT300*BT247+BU300*BU247+BV300*BV247+BW300*BW247+BX300*BX247+BY300*BY247+BZ300*BZ247+CA300*CA247+CB300*CB247+CC300*CC247+CD300*CD247+CE300*CE247+CF300*CF247+CG300*CG247+CH300*CH247+CI300*CI247+CJ300*CJ247+CK300*CK247+CL300*CL247+CM300*CM247+CN300*CN247+CO300*CO247+CP300*CP247+CQ300*CQ247+CR300*CR247+CS300*CS247+CT300*CT247+CU300*CU247</f>
        <v>0</v>
      </c>
      <c r="CZ247" s="2881">
        <f>E301*E247+F301*F247+G301*G247+H301*H247+I301*I247+J301*J247+K301*K247+L301*L247+M301*M247+N301*N247+O301*O247+P301*P247+Q301*Q247+R301*R247+S301*S247+T301*T247+U301*U247+V301*V247+W301*W247+X301*X247+Y301*Y247+Z301*Z247+AA301*AA247+AB301*AB247+AC301*AC247+AD301*AD247+AE301*AE247+AF301*AF247+AG301*AG247+AH301*AH247+AI301*AI247+AJ301*AJ247+AK301*AK247+AL301*AL247+AM301*AM247+AN301*AN247+AO301*AO247+AP301*AP247+AQ301*AQ247+AR301*AR247+AS301*AS247+AT301*AT247+AU301*AU247+AV301*AV247+AW301*AW247+AX301*AX247+AY301*AY247+AZ301*AZ247+BA301*BA247+BB301*BB247+BC301*BC247+BD301*BD247+BE301*BE247+BF301*BF247+BG301*BG247+BH301*BH247+BI301*BI247+BJ301*BJ247+BK301*BK247+BL301*BL247+BM301*BM247+BN301*BN247+BO301*BO247+BP301*BP247+BQ301*BQ247+BR301*BR247+BS301*BS247+BT301*BT247+BU301*BU247+BV301*BV247+BW301*BW247+BX301*BX247+BY301*BY247+BZ301*BZ247+CA301*CA247+CB301*CB247+CC301*CC247+CD301*CD247+CE301*CE247+CF301*CF247+CG301*CG247+CH301*CH247+CI301*CI247+CJ301*CJ247+CK301*CK247+CL301*CL247+CM301*CM247+CN301*CN247+CO301*CO247+CP301*CP247+CQ301*CQ247+CR301*CR247+CS301*CS247+CT301*CT247+CU301*CU247</f>
        <v>0</v>
      </c>
      <c r="DA247" s="2882">
        <f>E302*E247+F302*F247+G302*G247+H302*H247+I302*I247+J302*J247+K302*K247+L302*L247+M302*M247+N302*N247+O302*O247+P302*P247+Q302*Q247+R302*R247+S302*S247+T302*T247+U302*U247+V302*V247+W302*W247+X302*X247+Y302*Y247+Z302*Z247+AA302*AA247+AB302*AB247+AC302*AC247+AD302*AD247+AE302*AE247+AF302*AF247+AG302*AG247+AH302*AH247+AI302*AI247+AJ302*AJ247+AK302*AK247+AL302*AL247+AM302*AM247+AN302*AN247+AO302*AO247+AP302*AP247+AQ302*AQ247+AR302*AR247+AS302*AS247+AT302*AT247+AU302*AU247+AV302*AV247+AW302*AW247+AX302*AX247+AY302*AY247+AZ302*AZ247+BA302*BA247+BB302*BB247+BC302*BC247+BD302*BD247+BE302*BE247+BF302*BF247+BG302*BG247+BH302*BH247+BI302*BI247+BJ302*BJ247+BK302*BK247+BL302*BL247+BM302*BM247+BN302*BN247+BO302*BO247+BP302*BP247+BQ302*BQ247+BR302*BR247+BS302*BS247+BT302*BT247+BU302*BU247+BV302*BV247+BW302*BW247+BX302*BX247+BY302*BY247+BZ302*BZ247+CA302*CA247+CB302*CB247+CC302*CC247+CD302*CD247+CE302*CE247+CF302*CF247+CG302*CG247+CH302*CH247+CI302*CI247+CJ302*CJ247+CK302*CK247+CL302*CL247+CM302*CM247+CN302*CN247+CO302*CO247+CP302*CP247+CQ302*CQ247+CR302*CR247+CS302*CS247+CT302*CT247+CU302*CU247</f>
        <v>0</v>
      </c>
      <c r="DB247" s="2882">
        <f>E303*E247+F303*F247+G303*G247+H303*H247+I303*I247+J303*J247+K303*K247+L303*L247+M303*M247+N303*N247+O303*O247+P303*P247+Q303*Q247+R303*R247+S303*S247+T303*T247+U303*U247+V303*V247+W303*W247+X303*X247+Y303*Y247+Z303*Z247+AA303*AA247+AB303*AB247+AC303*AC247+AD303*AD247+AE303*AE247+AF303*AF247+AG303*AG247+AH303*AH247+AI303*AI247+AJ303*AJ247+AK303*AK247+AL303*AL247+AM303*AM247+AN303*AN247+AO303*AO247+AP303*AP247+AQ303*AQ247+AR303*AR247+AS303*AS247+AT303*AT247+AU303*AU247+AV303*AV247+AW303*AW247+AX303*AX247+AY303*AY247+AZ303*AZ247+BA303*BA247+BB303*BB247+BC303*BC247+BD303*BD247+BE303*BE247+BF303*BF247+BG303*BG247+BH303*BH247+BI303*BI247+BJ303*BJ247+BK303*BK247+BL303*BL247+BM303*BM247+BN303*BN247+BO303*BO247+BP303*BP247+BQ303*BQ247+BR303*BR247+BS303*BS247+BT303*BT247+BU303*BU247+BV303*BV247+BW303*BW247+BX303*BX247+BY303*BY247+BZ303*BZ247+CA303*CA247+CB303*CB247+CC303*CC247+CD303*CD247+CE303*CE247+CF303*CF247+CG303*CG247+CH303*CH247+CI303*CI247+CJ303*CJ247+CK303*CK247+CL303*CL247+CM303*CM247+CN303*CN247+CO303*CO247+CP303*CP247+CQ303*CQ247+CR303*CR247+CS303*CS247+CT303*CT247+CU303*CU247</f>
        <v>0</v>
      </c>
      <c r="DC247" s="2882">
        <f>E304*E247+F304*F247+G304*G247+H304*H247+I304*I247+J304*J247+K304*K247+L304*L247+M304*M247+N304*N247+O304*O247+P304*P247+Q304*Q247+R304*R247+S304*S247+T304*T247+U304*U247+V304*V247+W304*W247+X304*X247+Y304*Y247+Z304*Z247+AA304*AA247+AB304*AB247+AC304*AC247+AD304*AD247+AE304*AE247+AF304*AF247+AG304*AG247+AH304*AH247+AI304*AI247+AJ304*AJ247+AK304*AK247+AL304*AL247+AM304*AM247+AN304*AN247+AO304*AO247+AP304*AP247+AQ304*AQ247+AR304*AR247+AS304*AS247+AT304*AT247+AU304*AU247+AV304*AV247+AW304*AW247+AX304*AX247+AY304*AY247+AZ304*AZ247+BA304*BA247+BB304*BB247+BC304*BC247+BD304*BD247+BE304*BE247+BF304*BF247+BG304*BG247+BH304*BH247+BI304*BI247+BJ304*BJ247+BK304*BK247+BL304*BL247+BM304*BM247+BN304*BN247+BO304*BO247+BP304*BP247+BQ304*BQ247+BR304*BR247+BS304*BS247+BT304*BT247+BU304*BU247+BV304*BV247+BW304*BW247+BX304*BX247+BY304*BY247+BZ304*BZ247+CA304*CA247+CB304*CB247+CC304*CC247+CD304*CD247+CE304*CE247+CF304*CF247+CG304*CG247+CH304*CH247+CI304*CI247+CJ304*CJ247+CK304*CK247+CL304*CL247+CM304*CM247+CN304*CN247+CO304*CO247+CP304*CP247+CQ304*CQ247+CR304*CR247+CS304*CS247+CT304*CT247+CU304*CU247</f>
        <v>0</v>
      </c>
      <c r="DD247" s="2882">
        <f>E305*E247+F305*F247+G305*G247+H305*H247+I305*I247+J305*J247+K305*K247+L305*L247+M305*M247+N305*N247+O305*O247+P305*P247+Q305*Q247+R305*R247+S305*S247+T305*T247+U305*U247+V305*V247+W305*W247+X305*X247+Y305*Y247+Z305*Z247+AA305*AA247+AB305*AB247+AC305*AC247+AD305*AD247+AE305*AE247+AF305*AF247+AG305*AG247+AH305*AH247+AI305*AI247+AJ305*AJ247+AK305*AK247+AL305*AL247+AM305*AM247+AN305*AN247+AO305*AO247+AP305*AP247+AQ305*AQ247+AR305*AR247+AS305*AS247+AT305*AT247+AU305*AU247+AV305*AV247+AW305*AW247+AX305*AX247+AY305*AY247+AZ305*AZ247+BA305*BA247+BB305*BB247+BC305*BC247+BD305*BD247+BE305*BE247+BF305*BF247+BG305*BG247+BH305*BH247+BI305*BI247+BJ305*BJ247+BK305*BK247+BL305*BL247+BM305*BM247+BN305*BN247+BO305*BO247+BP305*BP247+BQ305*BQ247+BR305*BR247+BS305*BS247+BT305*BT247+BU305*BU247+BV305*BV247+BW305*BW247+BX305*BX247+BY305*BY247+BZ305*BZ247+CA305*CA247+CB305*CB247+CC305*CC247+CD305*CD247+CE305*CE247+CF305*CF247+CG305*CG247+CH305*CH247+CI305*CI247+CJ305*CJ247+CK305*CK247+CL305*CL247+CM305*CM247+CN305*CN247+CO305*CO247+CP305*CP247+CQ305*CQ247+CR305*CR247+CS305*CS247+CT305*CT247+CU305*CU247</f>
        <v>0</v>
      </c>
      <c r="DE247" s="2882">
        <f>E306*E247+F306*F247+G306*G247+H306*H247+I306*I247+J306*J247+K306*K247+L306*L247+M306*M247+N306*N247+O306*O247+P306*P247+Q306*Q247+R306*R247+S306*S247+T306*T247+U306*U247+V306*V247+W306*W247+X306*X247+Y306*Y247+Z306*Z247+AA306*AA247+AB306*AB247+AC306*AC247+AD306*AD247+AE306*AE247+AF306*AF247+AG306*AG247+AH306*AH247+AI306*AI247+AJ306*AJ247+AK306*AK247+AL306*AL247+AM306*AM247+AN306*AN247+AO306*AO247+AP306*AP247+AQ306*AQ247+AR306*AR247+AS306*AS247+AT306*AT247+AU306*AU247+AV306*AV247+AW306*AW247+AX306*AX247+AY306*AY247+AZ306*AZ247+BA306*BA247+BB306*BB247+BC306*BC247+BD306*BD247+BE306*BE247+BF306*BF247+BG306*BG247+BH306*BH247+BI306*BI247+BJ306*BJ247+BK306*BK247+BL306*BL247+BM306*BM247+BN306*BN247+BO306*BO247+BP306*BP247+BQ306*BQ247+BR306*BR247+BS306*BS247+BT306*BT247+BU306*BU247+BV306*BV247+BW306*BW247+BX306*BX247+BY306*BY247+BZ306*BZ247+CA306*CA247+CB306*CB247+CC306*CC247+CD306*CD247+CE306*CE247+CF306*CF247+CG306*CG247+CH306*CH247+CI306*CI247+CJ306*CJ247+CK306*CK247+CL306*CL247+CM306*CM247+CN306*CN247+CO306*CO247+CP306*CP247+CQ306*CQ247+CR306*CR247+CS306*CS247+CT306*CT247+CU306*CU247</f>
        <v>0</v>
      </c>
      <c r="DF247" s="2882">
        <f>E307*E247+F307*F247+G307*G247+H307*H247+I307*I247+J307*J247+K307*K247+L307*L247+M307*M247+N307*N247+O307*O247+P307*P247+Q307*Q247+R307*R247+S307*S247+T307*T247+U307*U247+V307*V247+W307*W247+X307*X247+Y307*Y247+Z307*Z247+AA307*AA247+AB307*AB247+AC307*AC247+AD307*AD247+AE307*AE247+AF307*AF247+AG307*AG247+AH307*AH247+AI307*AI247+AJ307*AJ247+AK307*AK247+AL307*AL247+AM307*AM247+AN307*AN247+AO307*AO247+AP307*AP247+AQ307*AQ247+AR307*AR247+AS307*AS247+AT307*AT247+AU307*AU247+AV307*AV247+AW307*AW247+AX307*AX247+AY307*AY247+AZ307*AZ247+BA307*BA247+BB307*BB247+BC307*BC247+BD307*BD247+BE307*BE247+BF307*BF247+BG307*BG247+BH307*BH247+BI307*BI247+BJ307*BJ247+BK307*BK247+BL307*BL247+BM307*BM247+BN307*BN247+BO307*BO247+BP307*BP247+BQ307*BQ247+BR307*BR247+BS307*BS247+BT307*BT247+BU307*BU247+BV307*BV247+BW307*BW247+BX307*BX247+BY307*BY247+BZ307*BZ247+CA307*CA247+CB307*CB247+CC307*CC247+CD307*CD247+CE307*CE247+CF307*CF247+CG307*CG247+CH307*CH247+CI307*CI247+CJ307*CJ247+CK307*CK247+CL307*CL247+CM307*CM247+CN307*CN247+CO307*CO247+CP307*CP247+CQ307*CQ247+CR307*CR247+CS307*CS247+CT307*CT247+CU307*CU247</f>
        <v>0</v>
      </c>
      <c r="DG247" s="2882">
        <f>E308*E247+F308*F247+G308*G247+H308*H247+I308*I247+J308*J247+K308*K247+L308*L247+M308*M247+N308*N247+O308*O247+P308*P247+Q308*Q247+R308*R247+S308*S247+T308*T247+U308*U247+V308*V247+W308*W247+X308*X247+Y308*Y247+Z308*Z247+AA308*AA247+AB308*AB247+AC308*AC247+AD308*AD247+AE308*AE247+AF308*AF247+AG308*AG247+AH308*AH247+AI308*AI247+AJ308*AJ247+AK308*AK247+AL308*AL247+AM308*AM247+AN308*AN247+AO308*AO247+AP308*AP247+AQ308*AQ247+AR308*AR247+AS308*AS247+AT308*AT247+AU308*AU247+AV308*AV247+AW308*AW247+AX308*AX247+AY308*AY247+AZ308*AZ247+BA308*BA247+BB308*BB247+BC308*BC247+BD308*BD247+BE308*BE247+BF308*BF247+BG308*BG247+BH308*BH247+BI308*BI247+BJ308*BJ247+BK308*BK247+BL308*BL247+BM308*BM247+BN308*BN247+BO308*BO247+BP308*BP247+BQ308*BQ247+BR308*BR247+BS308*BS247+BT308*BT247+BU308*BU247+BV308*BV247+BW308*BW247+BX308*BX247+BY308*BY247+BZ308*BZ247+CA308*CA247+CB308*CB247+CC308*CC247+CD308*CD247+CE308*CE247+CF308*CF247+CG308*CG247+CH308*CH247+CI308*CI247+CJ308*CJ247+CK308*CK247+CL308*CL247+CM308*CM247+CN308*CN247+CO308*CO247+CP308*CP247+CQ308*CQ247+CR308*CR247+CS308*CS247+CT308*CT247+CU308*CU247</f>
        <v>0</v>
      </c>
      <c r="DH247" s="2882">
        <f>E309*E247+F309*F247+G309*G247+H309*H247+I309*I247+J309*J247+K309*K247+L309*L247+M309*M247+N309*N247+O309*O247+P309*P247+Q309*Q247+R309*R247+S309*S247+T309*T247+U309*U247+V309*V247+W309*W247+X309*X247+Y309*Y247+Z309*Z247+AA309*AA247+AB309*AB247+AC309*AC247+AD309*AD247+AE309*AE247+AF309*AF247+AG309*AG247+AH309*AH247+AI309*AI247+AJ309*AJ247+AK309*AK247+AL309*AL247+AM309*AM247+AN309*AN247+AO309*AO247+AP309*AP247+AQ309*AQ247+AR309*AR247+AS309*AS247+AT309*AT247+AU309*AU247+AV309*AV247+AW309*AW247+AX309*AX247+AY309*AY247+AZ309*AZ247+BA309*BA247+BB309*BB247+BC309*BC247+BD309*BD247+BE309*BE247+BF309*BF247+BG309*BG247+BH309*BH247+BI309*BI247+BJ309*BJ247+BK309*BK247+BL309*BL247+BM309*BM247+BN309*BN247+BO309*BO247+BP309*BP247+BQ309*BQ247+BR309*BR247+BS309*BS247+BT309*BT247+BU309*BU247+BV309*BV247+BW309*BW247+BX309*BX247+BY309*BY247+BZ309*BZ247+CA309*CA247+CB309*CB247+CC309*CC247+CD309*CD247+CE309*CE247+CF309*CF247+CG309*CG247+CH309*CH247+CI309*CI247+CJ309*CJ247+CK309*CK247+CL309*CL247+CM309*CM247+CN309*CN247+CO309*CO247+CP309*CP247+CQ309*CQ247+CR309*CR247+CS309*CS247+CT309*CT247+CU309*CU247</f>
        <v>0</v>
      </c>
      <c r="DI247" s="2882">
        <f>E310*E247+F310*F247+G310*G247+H310*H247+I310*I247+J310*J247+K310*K247+L310*L247+M310*M247+N310*N247+O310*O247+P310*P247+Q310*Q247+R310*R247+S310*S247+T310*T247+U310*U247+V310*V247+W310*W247+X310*X247+Y310*Y247+Z310*Z247+AA310*AA247+AB310*AB247+AC310*AC247+AD310*AD247+AE310*AE247+AF310*AF247+AG310*AG247+AH310*AH247+AI310*AI247+AJ310*AJ247+AK310*AK247+AL310*AL247+AM310*AM247+AN310*AN247+AO310*AO247+AP310*AP247+AQ310*AQ247+AR310*AR247+AS310*AS247+AT310*AT247+AU310*AU247+AV310*AV247+AW310*AW247+AX310*AX247+AY310*AY247+AZ310*AZ247+BA310*BA247+BB310*BB247+BC310*BC247+BD310*BD247+BE310*BE247+BF310*BF247+BG310*BG247+BH310*BH247+BI310*BI247+BJ310*BJ247+BK310*BK247+BL310*BL247+BM310*BM247+BN310*BN247+BO310*BO247+BP310*BP247+BQ310*BQ247+BR310*BR247+BS310*BS247+BT310*BT247+BU310*BU247+BV310*BV247+BW310*BW247+BX310*BX247+BY310*BY247+BZ310*BZ247+CA310*CA247+CB310*CB247+CC310*CC247+CD310*CD247+CE310*CE247+CF310*CF247+CG310*CG247+CH310*CH247+CI310*CI247+CJ310*CJ247+CK310*CK247+CL310*CL247+CM310*CM247+CN310*CN247+CO310*CO247+CP310*CP247+CQ310*CQ247+CR310*CR247+CS310*CS247+CT310*CT247+CU310*CU247</f>
        <v>0</v>
      </c>
    </row>
    <row r="248" spans="2:113" x14ac:dyDescent="0.45">
      <c r="B248" s="2211">
        <v>89</v>
      </c>
      <c r="C248" s="2211" t="s">
        <v>3220</v>
      </c>
      <c r="D248" s="2212" t="s">
        <v>4478</v>
      </c>
      <c r="E248" s="925">
        <f>0</f>
        <v>0</v>
      </c>
      <c r="F248" s="925">
        <f>0</f>
        <v>0</v>
      </c>
      <c r="G248" s="925">
        <f>0</f>
        <v>0</v>
      </c>
      <c r="H248" s="925">
        <f>0</f>
        <v>0</v>
      </c>
      <c r="I248" s="925">
        <f>0</f>
        <v>0</v>
      </c>
      <c r="J248" s="925">
        <f>0</f>
        <v>0</v>
      </c>
      <c r="K248" s="925">
        <f>0</f>
        <v>0</v>
      </c>
      <c r="L248" s="925">
        <f>0</f>
        <v>0</v>
      </c>
      <c r="M248" s="925">
        <f>0</f>
        <v>0</v>
      </c>
      <c r="N248" s="925">
        <f>0</f>
        <v>0</v>
      </c>
      <c r="O248" s="925">
        <f>0</f>
        <v>0</v>
      </c>
      <c r="P248" s="925">
        <f>0</f>
        <v>0</v>
      </c>
      <c r="Q248" s="906">
        <f>0</f>
        <v>0</v>
      </c>
      <c r="R248" s="925">
        <f>0</f>
        <v>0</v>
      </c>
      <c r="S248" s="925">
        <f>0</f>
        <v>0</v>
      </c>
      <c r="T248" s="925">
        <f>0</f>
        <v>0</v>
      </c>
      <c r="U248" s="925">
        <f>0</f>
        <v>0</v>
      </c>
      <c r="V248" s="925">
        <f>0</f>
        <v>0</v>
      </c>
      <c r="W248" s="925">
        <f>0</f>
        <v>0</v>
      </c>
      <c r="X248" s="925">
        <f>0</f>
        <v>0</v>
      </c>
      <c r="Y248" s="737">
        <f>0</f>
        <v>0</v>
      </c>
      <c r="Z248" s="737">
        <f>0</f>
        <v>0</v>
      </c>
      <c r="AA248" s="737">
        <f>0</f>
        <v>0</v>
      </c>
      <c r="AB248" s="925">
        <f>0</f>
        <v>0</v>
      </c>
      <c r="AC248" s="925">
        <f>0</f>
        <v>0</v>
      </c>
      <c r="AD248" s="925">
        <f>0</f>
        <v>0</v>
      </c>
      <c r="AE248" s="925">
        <f>0</f>
        <v>0</v>
      </c>
      <c r="AF248" s="906">
        <f>0</f>
        <v>0</v>
      </c>
      <c r="AG248" s="906">
        <f>0</f>
        <v>0</v>
      </c>
      <c r="AH248" s="925">
        <f>0</f>
        <v>0</v>
      </c>
      <c r="AI248" s="925">
        <f>0</f>
        <v>0</v>
      </c>
      <c r="AJ248" s="906">
        <f>0</f>
        <v>0</v>
      </c>
      <c r="AK248" s="925">
        <f>0</f>
        <v>0</v>
      </c>
      <c r="AL248" s="925">
        <f>0</f>
        <v>0</v>
      </c>
      <c r="AM248" s="906">
        <f>-A_MP/M_MBSH</f>
        <v>-0.17998807007087103</v>
      </c>
      <c r="AN248" s="925">
        <f>0</f>
        <v>0</v>
      </c>
      <c r="AO248" s="925">
        <f>0</f>
        <v>0</v>
      </c>
      <c r="AP248" s="925">
        <f>0</f>
        <v>0</v>
      </c>
      <c r="AQ248" s="925">
        <f>0</f>
        <v>0</v>
      </c>
      <c r="AR248" s="925">
        <f>0</f>
        <v>0</v>
      </c>
      <c r="AS248" s="906">
        <f>0</f>
        <v>0</v>
      </c>
      <c r="AT248" s="925">
        <f>0</f>
        <v>0</v>
      </c>
      <c r="AU248" s="925">
        <f>0</f>
        <v>0</v>
      </c>
      <c r="AV248" s="906">
        <f>0</f>
        <v>0</v>
      </c>
      <c r="AW248" s="925">
        <f>0</f>
        <v>0</v>
      </c>
      <c r="AX248" s="925">
        <f>0</f>
        <v>0</v>
      </c>
      <c r="AY248" s="906">
        <f>-A_MCa/M_MBSH</f>
        <v>-0.2328926601076691</v>
      </c>
      <c r="AZ248" s="906">
        <f>0</f>
        <v>0</v>
      </c>
      <c r="BA248" s="925">
        <f>0</f>
        <v>0</v>
      </c>
      <c r="BB248" s="737">
        <f>0</f>
        <v>0</v>
      </c>
      <c r="BC248" s="737">
        <f>0</f>
        <v>0</v>
      </c>
      <c r="BD248" s="737">
        <f>0</f>
        <v>0</v>
      </c>
      <c r="BE248" s="906">
        <f>0</f>
        <v>0</v>
      </c>
      <c r="BF248" s="906">
        <f>0</f>
        <v>0</v>
      </c>
      <c r="BG248" s="925">
        <f>0</f>
        <v>0</v>
      </c>
      <c r="BH248" s="925">
        <f>0</f>
        <v>0</v>
      </c>
      <c r="BI248" s="906">
        <f>0</f>
        <v>0</v>
      </c>
      <c r="BJ248" s="906">
        <f>0</f>
        <v>0</v>
      </c>
      <c r="BK248" s="925">
        <f>0</f>
        <v>0</v>
      </c>
      <c r="BL248" s="906">
        <f>0</f>
        <v>0</v>
      </c>
      <c r="BM248" s="906">
        <f>0</f>
        <v>0</v>
      </c>
      <c r="BN248" s="906">
        <f>0</f>
        <v>0</v>
      </c>
      <c r="BO248" s="906">
        <f>0</f>
        <v>0</v>
      </c>
      <c r="BP248" s="906">
        <f>0</f>
        <v>0</v>
      </c>
      <c r="BQ248" s="906">
        <f>0</f>
        <v>0</v>
      </c>
      <c r="BR248" s="906">
        <f>0</f>
        <v>0</v>
      </c>
      <c r="BS248" s="906">
        <f>0</f>
        <v>0</v>
      </c>
      <c r="BT248" s="906">
        <f>0</f>
        <v>0</v>
      </c>
      <c r="BU248" s="906">
        <f>0</f>
        <v>0</v>
      </c>
      <c r="BV248" s="906">
        <f>1</f>
        <v>1</v>
      </c>
      <c r="BW248" s="906">
        <f>0</f>
        <v>0</v>
      </c>
      <c r="BX248" s="906">
        <f>0</f>
        <v>0</v>
      </c>
      <c r="BY248" s="738">
        <f>0</f>
        <v>0</v>
      </c>
      <c r="BZ248" s="906">
        <f>0</f>
        <v>0</v>
      </c>
      <c r="CA248" s="906">
        <f>0</f>
        <v>0</v>
      </c>
      <c r="CB248" s="906">
        <f>0</f>
        <v>0</v>
      </c>
      <c r="CC248" s="906">
        <f>0</f>
        <v>0</v>
      </c>
      <c r="CD248" s="906">
        <f>0</f>
        <v>0</v>
      </c>
      <c r="CE248" s="906">
        <f>0</f>
        <v>0</v>
      </c>
      <c r="CF248" s="906">
        <f>0</f>
        <v>0</v>
      </c>
      <c r="CG248" s="906">
        <f>0</f>
        <v>0</v>
      </c>
      <c r="CH248" s="906">
        <f>0</f>
        <v>0</v>
      </c>
      <c r="CI248" s="906">
        <f>0</f>
        <v>0</v>
      </c>
      <c r="CJ248" s="738">
        <f>0</f>
        <v>0</v>
      </c>
      <c r="CK248" s="906">
        <f>0</f>
        <v>0</v>
      </c>
      <c r="CL248" s="906">
        <f>0</f>
        <v>0</v>
      </c>
      <c r="CM248" s="906">
        <f>0</f>
        <v>0</v>
      </c>
      <c r="CN248" s="906">
        <f>0</f>
        <v>0</v>
      </c>
      <c r="CO248" s="906">
        <f>0</f>
        <v>0</v>
      </c>
      <c r="CP248" s="906">
        <f>0</f>
        <v>0</v>
      </c>
      <c r="CQ248" s="906">
        <f>0</f>
        <v>0</v>
      </c>
      <c r="CR248" s="906">
        <f>0</f>
        <v>0</v>
      </c>
      <c r="CS248" s="738">
        <f>0</f>
        <v>0</v>
      </c>
      <c r="CT248" s="738">
        <f>0</f>
        <v>0</v>
      </c>
      <c r="CU248" s="738">
        <f>0</f>
        <v>0</v>
      </c>
      <c r="CV248" s="2868">
        <f>q_BSH*P_recipDrivingForceBSH^2</f>
        <v>-2.4636481662170684E-46</v>
      </c>
      <c r="CX248" s="2880">
        <f>E299*E248+F299*F248+G299*G248+H299*H248+I299*I248+J299*J248+K299*K248+L299*L248+M299*M248+N299*N248+O299*O248+P299*P248+Q299*Q248+R299*R248+S299*S248+T299*T248+U299*U248+V299*V248+W299*W248+X299*X248+Y299*Y248+Z299*Z248+AA299*AA248+AB299*AB248+AC299*AC248+AD299*AD248+AE299*AE248+AF299*AF248+AG299*AG248+AH299*AH248+AI299*AI248+AJ299*AJ248+AK299*AK248+AL299*AL248+AM299*AM248+AN299*AN248+AO299*AO248+AP299*AP248+AQ299*AQ248+AR299*AR248+AS299*AS248+AT299*AT248+AU299*AU248+AV299*AV248+AW299*AW248+AX299*AX248+AY299*AY248+AZ299*AZ248+BA299*BA248+BB299*BB248+BC299*BC248+BD299*BD248+BE299*BE248+BF299*BF248+BG299*BG248+BH299*BH248+BI299*BI248+BJ299*BJ248+BK299*BK248+BL299*BL248+BM299*BM248+BN299*BN248+BO299*BO248+BP299*BP248+BQ299*BQ248+BR299*BR248+BS299*BS248+BT299*BT248+BU299*BU248+BV299*BV248+BW299*BW248+BX299*BX248+BY299*BY248+BZ299*BZ248+CA299*CA248+CB299*CB248+CC299*CC248+CD299*CD248+CE299*CE248+CF299*CF248+CG299*CG248+CH299*CH248+CI299*CI248+CJ299*CJ248+CK299*CK248+CL299*CL248+CM299*CM248+CN299*CN248+CO299*CO248+CP299*CP248+CQ299*CQ248+CR299*CR248+CS299*CS248+CT299*CT248+CU299*CU248</f>
        <v>0</v>
      </c>
      <c r="CY248" s="2880">
        <f>E300*E248+F300*F248+G300*G248+H300*H248+I300*I248+J300*J248+K300*K248+L300*L248+M300*M248+N300*N248+O300*O248+P300*P248+Q300*Q248+R300*R248+S300*S248+T300*T248+U300*U248+V300*V248+W300*W248+X300*X248+Y300*Y248+Z300*Z248+AA300*AA248+AB300*AB248+AC300*AC248+AD300*AD248+AE300*AE248+AF300*AF248+AG300*AG248+AH300*AH248+AI300*AI248+AJ300*AJ248+AK300*AK248+AL300*AL248+AM300*AM248+AN300*AN248+AO300*AO248+AP300*AP248+AQ300*AQ248+AR300*AR248+AS300*AS248+AT300*AT248+AU300*AU248+AV300*AV248+AW300*AW248+AX300*AX248+AY300*AY248+AZ300*AZ248+BA300*BA248+BB300*BB248+BC300*BC248+BD300*BD248+BE300*BE248+BF300*BF248+BG300*BG248+BH300*BH248+BI300*BI248+BJ300*BJ248+BK300*BK248+BL300*BL248+BM300*BM248+BN300*BN248+BO300*BO248+BP300*BP248+BQ300*BQ248+BR300*BR248+BS300*BS248+BT300*BT248+BU300*BU248+BV300*BV248+BW300*BW248+BX300*BX248+BY300*BY248+BZ300*BZ248+CA300*CA248+CB300*CB248+CC300*CC248+CD300*CD248+CE300*CE248+CF300*CF248+CG300*CG248+CH300*CH248+CI300*CI248+CJ300*CJ248+CK300*CK248+CL300*CL248+CM300*CM248+CN300*CN248+CO300*CO248+CP300*CP248+CQ300*CQ248+CR300*CR248+CS300*CS248+CT300*CT248+CU300*CU248</f>
        <v>0</v>
      </c>
      <c r="CZ248" s="2881">
        <f>E301*E248+F301*F248+G301*G248+H301*H248+I301*I248+J301*J248+K301*K248+L301*L248+M301*M248+N301*N248+O301*O248+P301*P248+Q301*Q248+R301*R248+S301*S248+T301*T248+U301*U248+V301*V248+W301*W248+X301*X248+Y301*Y248+Z301*Z248+AA301*AA248+AB301*AB248+AC301*AC248+AD301*AD248+AE301*AE248+AF301*AF248+AG301*AG248+AH301*AH248+AI301*AI248+AJ301*AJ248+AK301*AK248+AL301*AL248+AM301*AM248+AN301*AN248+AO301*AO248+AP301*AP248+AQ301*AQ248+AR301*AR248+AS301*AS248+AT301*AT248+AU301*AU248+AV301*AV248+AW301*AW248+AX301*AX248+AY301*AY248+AZ301*AZ248+BA301*BA248+BB301*BB248+BC301*BC248+BD301*BD248+BE301*BE248+BF301*BF248+BG301*BG248+BH301*BH248+BI301*BI248+BJ301*BJ248+BK301*BK248+BL301*BL248+BM301*BM248+BN301*BN248+BO301*BO248+BP301*BP248+BQ301*BQ248+BR301*BR248+BS301*BS248+BT301*BT248+BU301*BU248+BV301*BV248+BW301*BW248+BX301*BX248+BY301*BY248+BZ301*BZ248+CA301*CA248+CB301*CB248+CC301*CC248+CD301*CD248+CE301*CE248+CF301*CF248+CG301*CG248+CH301*CH248+CI301*CI248+CJ301*CJ248+CK301*CK248+CL301*CL248+CM301*CM248+CN301*CN248+CO301*CO248+CP301*CP248+CQ301*CQ248+CR301*CR248+CS301*CS248+CT301*CT248+CU301*CU248</f>
        <v>0</v>
      </c>
      <c r="DA248" s="2882">
        <f>E302*E248+F302*F248+G302*G248+H302*H248+I302*I248+J302*J248+K302*K248+L302*L248+M302*M248+N302*N248+O302*O248+P302*P248+Q302*Q248+R302*R248+S302*S248+T302*T248+U302*U248+V302*V248+W302*W248+X302*X248+Y302*Y248+Z302*Z248+AA302*AA248+AB302*AB248+AC302*AC248+AD302*AD248+AE302*AE248+AF302*AF248+AG302*AG248+AH302*AH248+AI302*AI248+AJ302*AJ248+AK302*AK248+AL302*AL248+AM302*AM248+AN302*AN248+AO302*AO248+AP302*AP248+AQ302*AQ248+AR302*AR248+AS302*AS248+AT302*AT248+AU302*AU248+AV302*AV248+AW302*AW248+AX302*AX248+AY302*AY248+AZ302*AZ248+BA302*BA248+BB302*BB248+BC302*BC248+BD302*BD248+BE302*BE248+BF302*BF248+BG302*BG248+BH302*BH248+BI302*BI248+BJ302*BJ248+BK302*BK248+BL302*BL248+BM302*BM248+BN302*BN248+BO302*BO248+BP302*BP248+BQ302*BQ248+BR302*BR248+BS302*BS248+BT302*BT248+BU302*BU248+BV302*BV248+BW302*BW248+BX302*BX248+BY302*BY248+BZ302*BZ248+CA302*CA248+CB302*CB248+CC302*CC248+CD302*CD248+CE302*CE248+CF302*CF248+CG302*CG248+CH302*CH248+CI302*CI248+CJ302*CJ248+CK302*CK248+CL302*CL248+CM302*CM248+CN302*CN248+CO302*CO248+CP302*CP248+CQ302*CQ248+CR302*CR248+CS302*CS248+CT302*CT248+CU302*CU248</f>
        <v>0</v>
      </c>
      <c r="DB248" s="2882">
        <f>E303*E248+F303*F248+G303*G248+H303*H248+I303*I248+J303*J248+K303*K248+L303*L248+M303*M248+N303*N248+O303*O248+P303*P248+Q303*Q248+R303*R248+S303*S248+T303*T248+U303*U248+V303*V248+W303*W248+X303*X248+Y303*Y248+Z303*Z248+AA303*AA248+AB303*AB248+AC303*AC248+AD303*AD248+AE303*AE248+AF303*AF248+AG303*AG248+AH303*AH248+AI303*AI248+AJ303*AJ248+AK303*AK248+AL303*AL248+AM303*AM248+AN303*AN248+AO303*AO248+AP303*AP248+AQ303*AQ248+AR303*AR248+AS303*AS248+AT303*AT248+AU303*AU248+AV303*AV248+AW303*AW248+AX303*AX248+AY303*AY248+AZ303*AZ248+BA303*BA248+BB303*BB248+BC303*BC248+BD303*BD248+BE303*BE248+BF303*BF248+BG303*BG248+BH303*BH248+BI303*BI248+BJ303*BJ248+BK303*BK248+BL303*BL248+BM303*BM248+BN303*BN248+BO303*BO248+BP303*BP248+BQ303*BQ248+BR303*BR248+BS303*BS248+BT303*BT248+BU303*BU248+BV303*BV248+BW303*BW248+BX303*BX248+BY303*BY248+BZ303*BZ248+CA303*CA248+CB303*CB248+CC303*CC248+CD303*CD248+CE303*CE248+CF303*CF248+CG303*CG248+CH303*CH248+CI303*CI248+CJ303*CJ248+CK303*CK248+CL303*CL248+CM303*CM248+CN303*CN248+CO303*CO248+CP303*CP248+CQ303*CQ248+CR303*CR248+CS303*CS248+CT303*CT248+CU303*CU248</f>
        <v>0</v>
      </c>
      <c r="DC248" s="2882">
        <f>E304*E248+F304*F248+G304*G248+H304*H248+I304*I248+J304*J248+K304*K248+L304*L248+M304*M248+N304*N248+O304*O248+P304*P248+Q304*Q248+R304*R248+S304*S248+T304*T248+U304*U248+V304*V248+W304*W248+X304*X248+Y304*Y248+Z304*Z248+AA304*AA248+AB304*AB248+AC304*AC248+AD304*AD248+AE304*AE248+AF304*AF248+AG304*AG248+AH304*AH248+AI304*AI248+AJ304*AJ248+AK304*AK248+AL304*AL248+AM304*AM248+AN304*AN248+AO304*AO248+AP304*AP248+AQ304*AQ248+AR304*AR248+AS304*AS248+AT304*AT248+AU304*AU248+AV304*AV248+AW304*AW248+AX304*AX248+AY304*AY248+AZ304*AZ248+BA304*BA248+BB304*BB248+BC304*BC248+BD304*BD248+BE304*BE248+BF304*BF248+BG304*BG248+BH304*BH248+BI304*BI248+BJ304*BJ248+BK304*BK248+BL304*BL248+BM304*BM248+BN304*BN248+BO304*BO248+BP304*BP248+BQ304*BQ248+BR304*BR248+BS304*BS248+BT304*BT248+BU304*BU248+BV304*BV248+BW304*BW248+BX304*BX248+BY304*BY248+BZ304*BZ248+CA304*CA248+CB304*CB248+CC304*CC248+CD304*CD248+CE304*CE248+CF304*CF248+CG304*CG248+CH304*CH248+CI304*CI248+CJ304*CJ248+CK304*CK248+CL304*CL248+CM304*CM248+CN304*CN248+CO304*CO248+CP304*CP248+CQ304*CQ248+CR304*CR248+CS304*CS248+CT304*CT248+CU304*CU248</f>
        <v>0</v>
      </c>
      <c r="DD248" s="2882">
        <f>E305*E248+F305*F248+G305*G248+H305*H248+I305*I248+J305*J248+K305*K248+L305*L248+M305*M248+N305*N248+O305*O248+P305*P248+Q305*Q248+R305*R248+S305*S248+T305*T248+U305*U248+V305*V248+W305*W248+X305*X248+Y305*Y248+Z305*Z248+AA305*AA248+AB305*AB248+AC305*AC248+AD305*AD248+AE305*AE248+AF305*AF248+AG305*AG248+AH305*AH248+AI305*AI248+AJ305*AJ248+AK305*AK248+AL305*AL248+AM305*AM248+AN305*AN248+AO305*AO248+AP305*AP248+AQ305*AQ248+AR305*AR248+AS305*AS248+AT305*AT248+AU305*AU248+AV305*AV248+AW305*AW248+AX305*AX248+AY305*AY248+AZ305*AZ248+BA305*BA248+BB305*BB248+BC305*BC248+BD305*BD248+BE305*BE248+BF305*BF248+BG305*BG248+BH305*BH248+BI305*BI248+BJ305*BJ248+BK305*BK248+BL305*BL248+BM305*BM248+BN305*BN248+BO305*BO248+BP305*BP248+BQ305*BQ248+BR305*BR248+BS305*BS248+BT305*BT248+BU305*BU248+BV305*BV248+BW305*BW248+BX305*BX248+BY305*BY248+BZ305*BZ248+CA305*CA248+CB305*CB248+CC305*CC248+CD305*CD248+CE305*CE248+CF305*CF248+CG305*CG248+CH305*CH248+CI305*CI248+CJ305*CJ248+CK305*CK248+CL305*CL248+CM305*CM248+CN305*CN248+CO305*CO248+CP305*CP248+CQ305*CQ248+CR305*CR248+CS305*CS248+CT305*CT248+CU305*CU248</f>
        <v>0</v>
      </c>
      <c r="DE248" s="2882">
        <f>E306*E248+F306*F248+G306*G248+H306*H248+I306*I248+J306*J248+K306*K248+L306*L248+M306*M248+N306*N248+O306*O248+P306*P248+Q306*Q248+R306*R248+S306*S248+T306*T248+U306*U248+V306*V248+W306*W248+X306*X248+Y306*Y248+Z306*Z248+AA306*AA248+AB306*AB248+AC306*AC248+AD306*AD248+AE306*AE248+AF306*AF248+AG306*AG248+AH306*AH248+AI306*AI248+AJ306*AJ248+AK306*AK248+AL306*AL248+AM306*AM248+AN306*AN248+AO306*AO248+AP306*AP248+AQ306*AQ248+AR306*AR248+AS306*AS248+AT306*AT248+AU306*AU248+AV306*AV248+AW306*AW248+AX306*AX248+AY306*AY248+AZ306*AZ248+BA306*BA248+BB306*BB248+BC306*BC248+BD306*BD248+BE306*BE248+BF306*BF248+BG306*BG248+BH306*BH248+BI306*BI248+BJ306*BJ248+BK306*BK248+BL306*BL248+BM306*BM248+BN306*BN248+BO306*BO248+BP306*BP248+BQ306*BQ248+BR306*BR248+BS306*BS248+BT306*BT248+BU306*BU248+BV306*BV248+BW306*BW248+BX306*BX248+BY306*BY248+BZ306*BZ248+CA306*CA248+CB306*CB248+CC306*CC248+CD306*CD248+CE306*CE248+CF306*CF248+CG306*CG248+CH306*CH248+CI306*CI248+CJ306*CJ248+CK306*CK248+CL306*CL248+CM306*CM248+CN306*CN248+CO306*CO248+CP306*CP248+CQ306*CQ248+CR306*CR248+CS306*CS248+CT306*CT248+CU306*CU248</f>
        <v>0</v>
      </c>
      <c r="DF248" s="2882">
        <f>E307*E248+F307*F248+G307*G248+H307*H248+I307*I248+J307*J248+K307*K248+L307*L248+M307*M248+N307*N248+O307*O248+P307*P248+Q307*Q248+R307*R248+S307*S248+T307*T248+U307*U248+V307*V248+W307*W248+X307*X248+Y307*Y248+Z307*Z248+AA307*AA248+AB307*AB248+AC307*AC248+AD307*AD248+AE307*AE248+AF307*AF248+AG307*AG248+AH307*AH248+AI307*AI248+AJ307*AJ248+AK307*AK248+AL307*AL248+AM307*AM248+AN307*AN248+AO307*AO248+AP307*AP248+AQ307*AQ248+AR307*AR248+AS307*AS248+AT307*AT248+AU307*AU248+AV307*AV248+AW307*AW248+AX307*AX248+AY307*AY248+AZ307*AZ248+BA307*BA248+BB307*BB248+BC307*BC248+BD307*BD248+BE307*BE248+BF307*BF248+BG307*BG248+BH307*BH248+BI307*BI248+BJ307*BJ248+BK307*BK248+BL307*BL248+BM307*BM248+BN307*BN248+BO307*BO248+BP307*BP248+BQ307*BQ248+BR307*BR248+BS307*BS248+BT307*BT248+BU307*BU248+BV307*BV248+BW307*BW248+BX307*BX248+BY307*BY248+BZ307*BZ248+CA307*CA248+CB307*CB248+CC307*CC248+CD307*CD248+CE307*CE248+CF307*CF248+CG307*CG248+CH307*CH248+CI307*CI248+CJ307*CJ248+CK307*CK248+CL307*CL248+CM307*CM248+CN307*CN248+CO307*CO248+CP307*CP248+CQ307*CQ248+CR307*CR248+CS307*CS248+CT307*CT248+CU307*CU248</f>
        <v>0</v>
      </c>
      <c r="DG248" s="2882">
        <f>E308*E248+F308*F248+G308*G248+H308*H248+I308*I248+J308*J248+K308*K248+L308*L248+M308*M248+N308*N248+O308*O248+P308*P248+Q308*Q248+R308*R248+S308*S248+T308*T248+U308*U248+V308*V248+W308*W248+X308*X248+Y308*Y248+Z308*Z248+AA308*AA248+AB308*AB248+AC308*AC248+AD308*AD248+AE308*AE248+AF308*AF248+AG308*AG248+AH308*AH248+AI308*AI248+AJ308*AJ248+AK308*AK248+AL308*AL248+AM308*AM248+AN308*AN248+AO308*AO248+AP308*AP248+AQ308*AQ248+AR308*AR248+AS308*AS248+AT308*AT248+AU308*AU248+AV308*AV248+AW308*AW248+AX308*AX248+AY308*AY248+AZ308*AZ248+BA308*BA248+BB308*BB248+BC308*BC248+BD308*BD248+BE308*BE248+BF308*BF248+BG308*BG248+BH308*BH248+BI308*BI248+BJ308*BJ248+BK308*BK248+BL308*BL248+BM308*BM248+BN308*BN248+BO308*BO248+BP308*BP248+BQ308*BQ248+BR308*BR248+BS308*BS248+BT308*BT248+BU308*BU248+BV308*BV248+BW308*BW248+BX308*BX248+BY308*BY248+BZ308*BZ248+CA308*CA248+CB308*CB248+CC308*CC248+CD308*CD248+CE308*CE248+CF308*CF248+CG308*CG248+CH308*CH248+CI308*CI248+CJ308*CJ248+CK308*CK248+CL308*CL248+CM308*CM248+CN308*CN248+CO308*CO248+CP308*CP248+CQ308*CQ248+CR308*CR248+CS308*CS248+CT308*CT248+CU308*CU248</f>
        <v>0</v>
      </c>
      <c r="DH248" s="2882">
        <f>E309*E248+F309*F248+G309*G248+H309*H248+I309*I248+J309*J248+K309*K248+L309*L248+M309*M248+N309*N248+O309*O248+P309*P248+Q309*Q248+R309*R248+S309*S248+T309*T248+U309*U248+V309*V248+W309*W248+X309*X248+Y309*Y248+Z309*Z248+AA309*AA248+AB309*AB248+AC309*AC248+AD309*AD248+AE309*AE248+AF309*AF248+AG309*AG248+AH309*AH248+AI309*AI248+AJ309*AJ248+AK309*AK248+AL309*AL248+AM309*AM248+AN309*AN248+AO309*AO248+AP309*AP248+AQ309*AQ248+AR309*AR248+AS309*AS248+AT309*AT248+AU309*AU248+AV309*AV248+AW309*AW248+AX309*AX248+AY309*AY248+AZ309*AZ248+BA309*BA248+BB309*BB248+BC309*BC248+BD309*BD248+BE309*BE248+BF309*BF248+BG309*BG248+BH309*BH248+BI309*BI248+BJ309*BJ248+BK309*BK248+BL309*BL248+BM309*BM248+BN309*BN248+BO309*BO248+BP309*BP248+BQ309*BQ248+BR309*BR248+BS309*BS248+BT309*BT248+BU309*BU248+BV309*BV248+BW309*BW248+BX309*BX248+BY309*BY248+BZ309*BZ248+CA309*CA248+CB309*CB248+CC309*CC248+CD309*CD248+CE309*CE248+CF309*CF248+CG309*CG248+CH309*CH248+CI309*CI248+CJ309*CJ248+CK309*CK248+CL309*CL248+CM309*CM248+CN309*CN248+CO309*CO248+CP309*CP248+CQ309*CQ248+CR309*CR248+CS309*CS248+CT309*CT248+CU309*CU248</f>
        <v>0</v>
      </c>
      <c r="DI248" s="2882">
        <f>E310*E248+F310*F248+G310*G248+H310*H248+I310*I248+J310*J248+K310*K248+L310*L248+M310*M248+N310*N248+O310*O248+P310*P248+Q310*Q248+R310*R248+S310*S248+T310*T248+U310*U248+V310*V248+W310*W248+X310*X248+Y310*Y248+Z310*Z248+AA310*AA248+AB310*AB248+AC310*AC248+AD310*AD248+AE310*AE248+AF310*AF248+AG310*AG248+AH310*AH248+AI310*AI248+AJ310*AJ248+AK310*AK248+AL310*AL248+AM310*AM248+AN310*AN248+AO310*AO248+AP310*AP248+AQ310*AQ248+AR310*AR248+AS310*AS248+AT310*AT248+AU310*AU248+AV310*AV248+AW310*AW248+AX310*AX248+AY310*AY248+AZ310*AZ248+BA310*BA248+BB310*BB248+BC310*BC248+BD310*BD248+BE310*BE248+BF310*BF248+BG310*BG248+BH310*BH248+BI310*BI248+BJ310*BJ248+BK310*BK248+BL310*BL248+BM310*BM248+BN310*BN248+BO310*BO248+BP310*BP248+BQ310*BQ248+BR310*BR248+BS310*BS248+BT310*BT248+BU310*BU248+BV310*BV248+BW310*BW248+BX310*BX248+BY310*BY248+BZ310*BZ248+CA310*CA248+CB310*CB248+CC310*CC248+CD310*CD248+CE310*CE248+CF310*CF248+CG310*CG248+CH310*CH248+CI310*CI248+CJ310*CJ248+CK310*CK248+CL310*CL248+CM310*CM248+CN310*CN248+CO310*CO248+CP310*CP248+CQ310*CQ248+CR310*CR248+CS310*CS248+CT310*CT248+CU310*CU248</f>
        <v>0</v>
      </c>
    </row>
    <row r="249" spans="2:113" x14ac:dyDescent="0.45">
      <c r="B249" s="811">
        <v>90</v>
      </c>
      <c r="C249" s="811" t="s">
        <v>3221</v>
      </c>
      <c r="D249" s="812" t="s">
        <v>288</v>
      </c>
      <c r="E249" s="737">
        <f>0</f>
        <v>0</v>
      </c>
      <c r="F249" s="737">
        <f>0</f>
        <v>0</v>
      </c>
      <c r="G249" s="737">
        <f>0</f>
        <v>0</v>
      </c>
      <c r="H249" s="737">
        <f>0</f>
        <v>0</v>
      </c>
      <c r="I249" s="737">
        <f>0</f>
        <v>0</v>
      </c>
      <c r="J249" s="737">
        <f>0</f>
        <v>0</v>
      </c>
      <c r="K249" s="737">
        <f>0</f>
        <v>0</v>
      </c>
      <c r="L249" s="737">
        <f>0</f>
        <v>0</v>
      </c>
      <c r="M249" s="737">
        <f>0</f>
        <v>0</v>
      </c>
      <c r="N249" s="737">
        <f>0</f>
        <v>0</v>
      </c>
      <c r="O249" s="737">
        <f>0</f>
        <v>0</v>
      </c>
      <c r="P249" s="737">
        <f>0</f>
        <v>0</v>
      </c>
      <c r="Q249" s="738">
        <f>0</f>
        <v>0</v>
      </c>
      <c r="R249" s="737">
        <f>0</f>
        <v>0</v>
      </c>
      <c r="S249" s="737">
        <f>0</f>
        <v>0</v>
      </c>
      <c r="T249" s="737">
        <f>0</f>
        <v>0</v>
      </c>
      <c r="U249" s="737">
        <f>0</f>
        <v>0</v>
      </c>
      <c r="V249" s="737">
        <f>0</f>
        <v>0</v>
      </c>
      <c r="W249" s="737">
        <f>0</f>
        <v>0</v>
      </c>
      <c r="X249" s="737">
        <f>0</f>
        <v>0</v>
      </c>
      <c r="Y249" s="737">
        <f>0</f>
        <v>0</v>
      </c>
      <c r="Z249" s="737">
        <f>0</f>
        <v>0</v>
      </c>
      <c r="AA249" s="737">
        <f>0</f>
        <v>0</v>
      </c>
      <c r="AB249" s="738">
        <f>-A_MN/M_MSTR</f>
        <v>-5.7075504823359977E-2</v>
      </c>
      <c r="AC249" s="738">
        <f>0</f>
        <v>0</v>
      </c>
      <c r="AD249" s="737">
        <f>0</f>
        <v>0</v>
      </c>
      <c r="AE249" s="737">
        <f>0</f>
        <v>0</v>
      </c>
      <c r="AF249" s="737">
        <f>0</f>
        <v>0</v>
      </c>
      <c r="AG249" s="737">
        <f>0</f>
        <v>0</v>
      </c>
      <c r="AH249" s="737">
        <f>0</f>
        <v>0</v>
      </c>
      <c r="AI249" s="737">
        <f>0</f>
        <v>0</v>
      </c>
      <c r="AJ249" s="737">
        <f>0</f>
        <v>0</v>
      </c>
      <c r="AK249" s="737">
        <f>0</f>
        <v>0</v>
      </c>
      <c r="AL249" s="737">
        <f>0</f>
        <v>0</v>
      </c>
      <c r="AM249" s="738">
        <f>-A_MP/M_MSTR</f>
        <v>-0.12621410566683836</v>
      </c>
      <c r="AN249" s="737">
        <f>0</f>
        <v>0</v>
      </c>
      <c r="AO249" s="737">
        <f>0</f>
        <v>0</v>
      </c>
      <c r="AP249" s="737">
        <f>0</f>
        <v>0</v>
      </c>
      <c r="AQ249" s="737">
        <f>0</f>
        <v>0</v>
      </c>
      <c r="AR249" s="737">
        <f>0</f>
        <v>0</v>
      </c>
      <c r="AS249" s="737">
        <f>0</f>
        <v>0</v>
      </c>
      <c r="AT249" s="737">
        <f>0</f>
        <v>0</v>
      </c>
      <c r="AU249" s="737">
        <f>0</f>
        <v>0</v>
      </c>
      <c r="AV249" s="737">
        <f>0</f>
        <v>0</v>
      </c>
      <c r="AW249" s="737">
        <f>0</f>
        <v>0</v>
      </c>
      <c r="AX249" s="737">
        <f>0</f>
        <v>0</v>
      </c>
      <c r="AY249" s="737">
        <f>0</f>
        <v>0</v>
      </c>
      <c r="AZ249" s="738">
        <f>-A_MMg/M_MSTR</f>
        <v>-9.9039755597804202E-2</v>
      </c>
      <c r="BA249" s="737">
        <f>0</f>
        <v>0</v>
      </c>
      <c r="BB249" s="737">
        <f>0</f>
        <v>0</v>
      </c>
      <c r="BC249" s="737">
        <f>0</f>
        <v>0</v>
      </c>
      <c r="BD249" s="737">
        <f>0</f>
        <v>0</v>
      </c>
      <c r="BE249" s="738">
        <f>0</f>
        <v>0</v>
      </c>
      <c r="BF249" s="737">
        <f>0</f>
        <v>0</v>
      </c>
      <c r="BG249" s="737">
        <f>0</f>
        <v>0</v>
      </c>
      <c r="BH249" s="738">
        <f>0</f>
        <v>0</v>
      </c>
      <c r="BI249" s="738">
        <f>0</f>
        <v>0</v>
      </c>
      <c r="BJ249" s="737">
        <f>0</f>
        <v>0</v>
      </c>
      <c r="BK249" s="738">
        <f>0</f>
        <v>0</v>
      </c>
      <c r="BL249" s="738">
        <f>0</f>
        <v>0</v>
      </c>
      <c r="BM249" s="737">
        <f>0</f>
        <v>0</v>
      </c>
      <c r="BN249" s="737">
        <f>0</f>
        <v>0</v>
      </c>
      <c r="BO249" s="738">
        <f>0</f>
        <v>0</v>
      </c>
      <c r="BP249" s="738">
        <f>0</f>
        <v>0</v>
      </c>
      <c r="BQ249" s="737">
        <f>0</f>
        <v>0</v>
      </c>
      <c r="BR249" s="738">
        <f>0</f>
        <v>0</v>
      </c>
      <c r="BS249" s="738">
        <f>0</f>
        <v>0</v>
      </c>
      <c r="BT249" s="738">
        <f>0</f>
        <v>0</v>
      </c>
      <c r="BU249" s="738">
        <f>0</f>
        <v>0</v>
      </c>
      <c r="BV249" s="906">
        <f>0</f>
        <v>0</v>
      </c>
      <c r="BW249" s="738">
        <f>1</f>
        <v>1</v>
      </c>
      <c r="BX249" s="738">
        <f>0</f>
        <v>0</v>
      </c>
      <c r="BY249" s="738">
        <f>0</f>
        <v>0</v>
      </c>
      <c r="BZ249" s="738">
        <f>0</f>
        <v>0</v>
      </c>
      <c r="CA249" s="906">
        <f>0</f>
        <v>0</v>
      </c>
      <c r="CB249" s="738">
        <f>0</f>
        <v>0</v>
      </c>
      <c r="CC249" s="738">
        <f>0</f>
        <v>0</v>
      </c>
      <c r="CD249" s="738">
        <f>0</f>
        <v>0</v>
      </c>
      <c r="CE249" s="738">
        <f>0</f>
        <v>0</v>
      </c>
      <c r="CF249" s="738">
        <f>0</f>
        <v>0</v>
      </c>
      <c r="CG249" s="738">
        <f>0</f>
        <v>0</v>
      </c>
      <c r="CH249" s="738">
        <f>0</f>
        <v>0</v>
      </c>
      <c r="CI249" s="738">
        <f>0</f>
        <v>0</v>
      </c>
      <c r="CJ249" s="738">
        <f>0</f>
        <v>0</v>
      </c>
      <c r="CK249" s="738">
        <f>0</f>
        <v>0</v>
      </c>
      <c r="CL249" s="738">
        <f>0</f>
        <v>0</v>
      </c>
      <c r="CM249" s="738">
        <f>0</f>
        <v>0</v>
      </c>
      <c r="CN249" s="738">
        <f>0</f>
        <v>0</v>
      </c>
      <c r="CO249" s="738">
        <f>0</f>
        <v>0</v>
      </c>
      <c r="CP249" s="738">
        <f>0</f>
        <v>0</v>
      </c>
      <c r="CQ249" s="738">
        <f>0</f>
        <v>0</v>
      </c>
      <c r="CR249" s="738">
        <f>0</f>
        <v>0</v>
      </c>
      <c r="CS249" s="738">
        <f>0</f>
        <v>0</v>
      </c>
      <c r="CT249" s="738">
        <f>0</f>
        <v>0</v>
      </c>
      <c r="CU249" s="738">
        <f>0</f>
        <v>0</v>
      </c>
      <c r="CV249" s="2867">
        <f>q_STR*P_recipDrivingForceSTR^3</f>
        <v>-8.4905580887911959E-48</v>
      </c>
      <c r="CX249" s="2880">
        <f>E299*E249+F299*F249+G299*G249+H299*H249+I299*I249+J299*J249+K299*K249+L299*L249+M299*M249+N299*N249+O299*O249+P299*P249+Q299*Q249+R299*R249+S299*S249+T299*T249+U299*U249+V299*V249+W299*W249+X299*X249+Y299*Y249+Z299*Z249+AA299*AA249+AB299*AB249+AC299*AC249+AD299*AD249+AE299*AE249+AF299*AF249+AG299*AG249+AH299*AH249+AI299*AI249+AJ299*AJ249+AK299*AK249+AL299*AL249+AM299*AM249+AN299*AN249+AO299*AO249+AP299*AP249+AQ299*AQ249+AR299*AR249+AS299*AS249+AT299*AT249+AU299*AU249+AV299*AV249+AW299*AW249+AX299*AX249+AY299*AY249+AZ299*AZ249+BA299*BA249+BB299*BB249+BC299*BC249+BD299*BD249+BE299*BE249+BF299*BF249+BG299*BG249+BH299*BH249+BI299*BI249+BJ299*BJ249+BK299*BK249+BL299*BL249+BM299*BM249+BN299*BN249+BO299*BO249+BP299*BP249+BQ299*BQ249+BR299*BR249+BS299*BS249+BT299*BT249+BU299*BU249+BV299*BV249+BW299*BW249+BX299*BX249+BY299*BY249+BZ299*BZ249+CA299*CA249+CB299*CB249+CC299*CC249+CD299*CD249+CE299*CE249+CF299*CF249+CG299*CG249+CH299*CH249+CI299*CI249+CJ299*CJ249+CK299*CK249+CL299*CL249+CM299*CM249+CN299*CN249+CO299*CO249+CP299*CP249+CQ299*CQ249+CR299*CR249+CS299*CS249+CT299*CT249+CU299*CU249</f>
        <v>0</v>
      </c>
      <c r="CY249" s="2880">
        <f>E300*E249+F300*F249+G300*G249+H300*H249+I300*I249+J300*J249+K300*K249+L300*L249+M300*M249+N300*N249+O300*O249+P300*P249+Q300*Q249+R300*R249+S300*S249+T300*T249+U300*U249+V300*V249+W300*W249+X300*X249+Y300*Y249+Z300*Z249+AA300*AA249+AB300*AB249+AC300*AC249+AD300*AD249+AE300*AE249+AF300*AF249+AG300*AG249+AH300*AH249+AI300*AI249+AJ300*AJ249+AK300*AK249+AL300*AL249+AM300*AM249+AN300*AN249+AO300*AO249+AP300*AP249+AQ300*AQ249+AR300*AR249+AS300*AS249+AT300*AT249+AU300*AU249+AV300*AV249+AW300*AW249+AX300*AX249+AY300*AY249+AZ300*AZ249+BA300*BA249+BB300*BB249+BC300*BC249+BD300*BD249+BE300*BE249+BF300*BF249+BG300*BG249+BH300*BH249+BI300*BI249+BJ300*BJ249+BK300*BK249+BL300*BL249+BM300*BM249+BN300*BN249+BO300*BO249+BP300*BP249+BQ300*BQ249+BR300*BR249+BS300*BS249+BT300*BT249+BU300*BU249+BV300*BV249+BW300*BW249+BX300*BX249+BY300*BY249+BZ300*BZ249+CA300*CA249+CB300*CB249+CC300*CC249+CD300*CD249+CE300*CE249+CF300*CF249+CG300*CG249+CH300*CH249+CI300*CI249+CJ300*CJ249+CK300*CK249+CL300*CL249+CM300*CM249+CN300*CN249+CO300*CO249+CP300*CP249+CQ300*CQ249+CR300*CR249+CS300*CS249+CT300*CT249+CU300*CU249</f>
        <v>0</v>
      </c>
      <c r="CZ249" s="2881">
        <f>E301*E249+F301*F249+G301*G249+H301*H249+I301*I249+J301*J249+K301*K249+L301*L249+M301*M249+N301*N249+O301*O249+P301*P249+Q301*Q249+R301*R249+S301*S249+T301*T249+U301*U249+V301*V249+W301*W249+X301*X249+Y301*Y249+Z301*Z249+AA301*AA249+AB301*AB249+AC301*AC249+AD301*AD249+AE301*AE249+AF301*AF249+AG301*AG249+AH301*AH249+AI301*AI249+AJ301*AJ249+AK301*AK249+AL301*AL249+AM301*AM249+AN301*AN249+AO301*AO249+AP301*AP249+AQ301*AQ249+AR301*AR249+AS301*AS249+AT301*AT249+AU301*AU249+AV301*AV249+AW301*AW249+AX301*AX249+AY301*AY249+AZ301*AZ249+BA301*BA249+BB301*BB249+BC301*BC249+BD301*BD249+BE301*BE249+BF301*BF249+BG301*BG249+BH301*BH249+BI301*BI249+BJ301*BJ249+BK301*BK249+BL301*BL249+BM301*BM249+BN301*BN249+BO301*BO249+BP301*BP249+BQ301*BQ249+BR301*BR249+BS301*BS249+BT301*BT249+BU301*BU249+BV301*BV249+BW301*BW249+BX301*BX249+BY301*BY249+BZ301*BZ249+CA301*CA249+CB301*CB249+CC301*CC249+CD301*CD249+CE301*CE249+CF301*CF249+CG301*CG249+CH301*CH249+CI301*CI249+CJ301*CJ249+CK301*CK249+CL301*CL249+CM301*CM249+CN301*CN249+CO301*CO249+CP301*CP249+CQ301*CQ249+CR301*CR249+CS301*CS249+CT301*CT249+CU301*CU249</f>
        <v>0</v>
      </c>
      <c r="DA249" s="2882">
        <f>E302*E249+F302*F249+G302*G249+H302*H249+I302*I249+J302*J249+K302*K249+L302*L249+M302*M249+N302*N249+O302*O249+P302*P249+Q302*Q249+R302*R249+S302*S249+T302*T249+U302*U249+V302*V249+W302*W249+X302*X249+Y302*Y249+Z302*Z249+AA302*AA249+AB302*AB249+AC302*AC249+AD302*AD249+AE302*AE249+AF302*AF249+AG302*AG249+AH302*AH249+AI302*AI249+AJ302*AJ249+AK302*AK249+AL302*AL249+AM302*AM249+AN302*AN249+AO302*AO249+AP302*AP249+AQ302*AQ249+AR302*AR249+AS302*AS249+AT302*AT249+AU302*AU249+AV302*AV249+AW302*AW249+AX302*AX249+AY302*AY249+AZ302*AZ249+BA302*BA249+BB302*BB249+BC302*BC249+BD302*BD249+BE302*BE249+BF302*BF249+BG302*BG249+BH302*BH249+BI302*BI249+BJ302*BJ249+BK302*BK249+BL302*BL249+BM302*BM249+BN302*BN249+BO302*BO249+BP302*BP249+BQ302*BQ249+BR302*BR249+BS302*BS249+BT302*BT249+BU302*BU249+BV302*BV249+BW302*BW249+BX302*BX249+BY302*BY249+BZ302*BZ249+CA302*CA249+CB302*CB249+CC302*CC249+CD302*CD249+CE302*CE249+CF302*CF249+CG302*CG249+CH302*CH249+CI302*CI249+CJ302*CJ249+CK302*CK249+CL302*CL249+CM302*CM249+CN302*CN249+CO302*CO249+CP302*CP249+CQ302*CQ249+CR302*CR249+CS302*CS249+CT302*CT249+CU302*CU249</f>
        <v>0</v>
      </c>
      <c r="DB249" s="2882">
        <f>E303*E249+F303*F249+G303*G249+H303*H249+I303*I249+J303*J249+K303*K249+L303*L249+M303*M249+N303*N249+O303*O249+P303*P249+Q303*Q249+R303*R249+S303*S249+T303*T249+U303*U249+V303*V249+W303*W249+X303*X249+Y303*Y249+Z303*Z249+AA303*AA249+AB303*AB249+AC303*AC249+AD303*AD249+AE303*AE249+AF303*AF249+AG303*AG249+AH303*AH249+AI303*AI249+AJ303*AJ249+AK303*AK249+AL303*AL249+AM303*AM249+AN303*AN249+AO303*AO249+AP303*AP249+AQ303*AQ249+AR303*AR249+AS303*AS249+AT303*AT249+AU303*AU249+AV303*AV249+AW303*AW249+AX303*AX249+AY303*AY249+AZ303*AZ249+BA303*BA249+BB303*BB249+BC303*BC249+BD303*BD249+BE303*BE249+BF303*BF249+BG303*BG249+BH303*BH249+BI303*BI249+BJ303*BJ249+BK303*BK249+BL303*BL249+BM303*BM249+BN303*BN249+BO303*BO249+BP303*BP249+BQ303*BQ249+BR303*BR249+BS303*BS249+BT303*BT249+BU303*BU249+BV303*BV249+BW303*BW249+BX303*BX249+BY303*BY249+BZ303*BZ249+CA303*CA249+CB303*CB249+CC303*CC249+CD303*CD249+CE303*CE249+CF303*CF249+CG303*CG249+CH303*CH249+CI303*CI249+CJ303*CJ249+CK303*CK249+CL303*CL249+CM303*CM249+CN303*CN249+CO303*CO249+CP303*CP249+CQ303*CQ249+CR303*CR249+CS303*CS249+CT303*CT249+CU303*CU249</f>
        <v>0</v>
      </c>
      <c r="DC249" s="2882">
        <f>E304*E249+F304*F249+G304*G249+H304*H249+I304*I249+J304*J249+K304*K249+L304*L249+M304*M249+N304*N249+O304*O249+P304*P249+Q304*Q249+R304*R249+S304*S249+T304*T249+U304*U249+V304*V249+W304*W249+X304*X249+Y304*Y249+Z304*Z249+AA304*AA249+AB304*AB249+AC304*AC249+AD304*AD249+AE304*AE249+AF304*AF249+AG304*AG249+AH304*AH249+AI304*AI249+AJ304*AJ249+AK304*AK249+AL304*AL249+AM304*AM249+AN304*AN249+AO304*AO249+AP304*AP249+AQ304*AQ249+AR304*AR249+AS304*AS249+AT304*AT249+AU304*AU249+AV304*AV249+AW304*AW249+AX304*AX249+AY304*AY249+AZ304*AZ249+BA304*BA249+BB304*BB249+BC304*BC249+BD304*BD249+BE304*BE249+BF304*BF249+BG304*BG249+BH304*BH249+BI304*BI249+BJ304*BJ249+BK304*BK249+BL304*BL249+BM304*BM249+BN304*BN249+BO304*BO249+BP304*BP249+BQ304*BQ249+BR304*BR249+BS304*BS249+BT304*BT249+BU304*BU249+BV304*BV249+BW304*BW249+BX304*BX249+BY304*BY249+BZ304*BZ249+CA304*CA249+CB304*CB249+CC304*CC249+CD304*CD249+CE304*CE249+CF304*CF249+CG304*CG249+CH304*CH249+CI304*CI249+CJ304*CJ249+CK304*CK249+CL304*CL249+CM304*CM249+CN304*CN249+CO304*CO249+CP304*CP249+CQ304*CQ249+CR304*CR249+CS304*CS249+CT304*CT249+CU304*CU249</f>
        <v>0</v>
      </c>
      <c r="DD249" s="2882">
        <f>E305*E249+F305*F249+G305*G249+H305*H249+I305*I249+J305*J249+K305*K249+L305*L249+M305*M249+N305*N249+O305*O249+P305*P249+Q305*Q249+R305*R249+S305*S249+T305*T249+U305*U249+V305*V249+W305*W249+X305*X249+Y305*Y249+Z305*Z249+AA305*AA249+AB305*AB249+AC305*AC249+AD305*AD249+AE305*AE249+AF305*AF249+AG305*AG249+AH305*AH249+AI305*AI249+AJ305*AJ249+AK305*AK249+AL305*AL249+AM305*AM249+AN305*AN249+AO305*AO249+AP305*AP249+AQ305*AQ249+AR305*AR249+AS305*AS249+AT305*AT249+AU305*AU249+AV305*AV249+AW305*AW249+AX305*AX249+AY305*AY249+AZ305*AZ249+BA305*BA249+BB305*BB249+BC305*BC249+BD305*BD249+BE305*BE249+BF305*BF249+BG305*BG249+BH305*BH249+BI305*BI249+BJ305*BJ249+BK305*BK249+BL305*BL249+BM305*BM249+BN305*BN249+BO305*BO249+BP305*BP249+BQ305*BQ249+BR305*BR249+BS305*BS249+BT305*BT249+BU305*BU249+BV305*BV249+BW305*BW249+BX305*BX249+BY305*BY249+BZ305*BZ249+CA305*CA249+CB305*CB249+CC305*CC249+CD305*CD249+CE305*CE249+CF305*CF249+CG305*CG249+CH305*CH249+CI305*CI249+CJ305*CJ249+CK305*CK249+CL305*CL249+CM305*CM249+CN305*CN249+CO305*CO249+CP305*CP249+CQ305*CQ249+CR305*CR249+CS305*CS249+CT305*CT249+CU305*CU249</f>
        <v>0</v>
      </c>
      <c r="DE249" s="2882">
        <f>E306*E249+F306*F249+G306*G249+H306*H249+I306*I249+J306*J249+K306*K249+L306*L249+M306*M249+N306*N249+O306*O249+P306*P249+Q306*Q249+R306*R249+S306*S249+T306*T249+U306*U249+V306*V249+W306*W249+X306*X249+Y306*Y249+Z306*Z249+AA306*AA249+AB306*AB249+AC306*AC249+AD306*AD249+AE306*AE249+AF306*AF249+AG306*AG249+AH306*AH249+AI306*AI249+AJ306*AJ249+AK306*AK249+AL306*AL249+AM306*AM249+AN306*AN249+AO306*AO249+AP306*AP249+AQ306*AQ249+AR306*AR249+AS306*AS249+AT306*AT249+AU306*AU249+AV306*AV249+AW306*AW249+AX306*AX249+AY306*AY249+AZ306*AZ249+BA306*BA249+BB306*BB249+BC306*BC249+BD306*BD249+BE306*BE249+BF306*BF249+BG306*BG249+BH306*BH249+BI306*BI249+BJ306*BJ249+BK306*BK249+BL306*BL249+BM306*BM249+BN306*BN249+BO306*BO249+BP306*BP249+BQ306*BQ249+BR306*BR249+BS306*BS249+BT306*BT249+BU306*BU249+BV306*BV249+BW306*BW249+BX306*BX249+BY306*BY249+BZ306*BZ249+CA306*CA249+CB306*CB249+CC306*CC249+CD306*CD249+CE306*CE249+CF306*CF249+CG306*CG249+CH306*CH249+CI306*CI249+CJ306*CJ249+CK306*CK249+CL306*CL249+CM306*CM249+CN306*CN249+CO306*CO249+CP306*CP249+CQ306*CQ249+CR306*CR249+CS306*CS249+CT306*CT249+CU306*CU249</f>
        <v>0</v>
      </c>
      <c r="DF249" s="2882">
        <f>E307*E249+F307*F249+G307*G249+H307*H249+I307*I249+J307*J249+K307*K249+L307*L249+M307*M249+N307*N249+O307*O249+P307*P249+Q307*Q249+R307*R249+S307*S249+T307*T249+U307*U249+V307*V249+W307*W249+X307*X249+Y307*Y249+Z307*Z249+AA307*AA249+AB307*AB249+AC307*AC249+AD307*AD249+AE307*AE249+AF307*AF249+AG307*AG249+AH307*AH249+AI307*AI249+AJ307*AJ249+AK307*AK249+AL307*AL249+AM307*AM249+AN307*AN249+AO307*AO249+AP307*AP249+AQ307*AQ249+AR307*AR249+AS307*AS249+AT307*AT249+AU307*AU249+AV307*AV249+AW307*AW249+AX307*AX249+AY307*AY249+AZ307*AZ249+BA307*BA249+BB307*BB249+BC307*BC249+BD307*BD249+BE307*BE249+BF307*BF249+BG307*BG249+BH307*BH249+BI307*BI249+BJ307*BJ249+BK307*BK249+BL307*BL249+BM307*BM249+BN307*BN249+BO307*BO249+BP307*BP249+BQ307*BQ249+BR307*BR249+BS307*BS249+BT307*BT249+BU307*BU249+BV307*BV249+BW307*BW249+BX307*BX249+BY307*BY249+BZ307*BZ249+CA307*CA249+CB307*CB249+CC307*CC249+CD307*CD249+CE307*CE249+CF307*CF249+CG307*CG249+CH307*CH249+CI307*CI249+CJ307*CJ249+CK307*CK249+CL307*CL249+CM307*CM249+CN307*CN249+CO307*CO249+CP307*CP249+CQ307*CQ249+CR307*CR249+CS307*CS249+CT307*CT249+CU307*CU249</f>
        <v>0</v>
      </c>
      <c r="DG249" s="2882">
        <f>E308*E249+F308*F249+G308*G249+H308*H249+I308*I249+J308*J249+K308*K249+L308*L249+M308*M249+N308*N249+O308*O249+P308*P249+Q308*Q249+R308*R249+S308*S249+T308*T249+U308*U249+V308*V249+W308*W249+X308*X249+Y308*Y249+Z308*Z249+AA308*AA249+AB308*AB249+AC308*AC249+AD308*AD249+AE308*AE249+AF308*AF249+AG308*AG249+AH308*AH249+AI308*AI249+AJ308*AJ249+AK308*AK249+AL308*AL249+AM308*AM249+AN308*AN249+AO308*AO249+AP308*AP249+AQ308*AQ249+AR308*AR249+AS308*AS249+AT308*AT249+AU308*AU249+AV308*AV249+AW308*AW249+AX308*AX249+AY308*AY249+AZ308*AZ249+BA308*BA249+BB308*BB249+BC308*BC249+BD308*BD249+BE308*BE249+BF308*BF249+BG308*BG249+BH308*BH249+BI308*BI249+BJ308*BJ249+BK308*BK249+BL308*BL249+BM308*BM249+BN308*BN249+BO308*BO249+BP308*BP249+BQ308*BQ249+BR308*BR249+BS308*BS249+BT308*BT249+BU308*BU249+BV308*BV249+BW308*BW249+BX308*BX249+BY308*BY249+BZ308*BZ249+CA308*CA249+CB308*CB249+CC308*CC249+CD308*CD249+CE308*CE249+CF308*CF249+CG308*CG249+CH308*CH249+CI308*CI249+CJ308*CJ249+CK308*CK249+CL308*CL249+CM308*CM249+CN308*CN249+CO308*CO249+CP308*CP249+CQ308*CQ249+CR308*CR249+CS308*CS249+CT308*CT249+CU308*CU249</f>
        <v>0</v>
      </c>
      <c r="DH249" s="2882">
        <f>E309*E249+F309*F249+G309*G249+H309*H249+I309*I249+J309*J249+K309*K249+L309*L249+M309*M249+N309*N249+O309*O249+P309*P249+Q309*Q249+R309*R249+S309*S249+T309*T249+U309*U249+V309*V249+W309*W249+X309*X249+Y309*Y249+Z309*Z249+AA309*AA249+AB309*AB249+AC309*AC249+AD309*AD249+AE309*AE249+AF309*AF249+AG309*AG249+AH309*AH249+AI309*AI249+AJ309*AJ249+AK309*AK249+AL309*AL249+AM309*AM249+AN309*AN249+AO309*AO249+AP309*AP249+AQ309*AQ249+AR309*AR249+AS309*AS249+AT309*AT249+AU309*AU249+AV309*AV249+AW309*AW249+AX309*AX249+AY309*AY249+AZ309*AZ249+BA309*BA249+BB309*BB249+BC309*BC249+BD309*BD249+BE309*BE249+BF309*BF249+BG309*BG249+BH309*BH249+BI309*BI249+BJ309*BJ249+BK309*BK249+BL309*BL249+BM309*BM249+BN309*BN249+BO309*BO249+BP309*BP249+BQ309*BQ249+BR309*BR249+BS309*BS249+BT309*BT249+BU309*BU249+BV309*BV249+BW309*BW249+BX309*BX249+BY309*BY249+BZ309*BZ249+CA309*CA249+CB309*CB249+CC309*CC249+CD309*CD249+CE309*CE249+CF309*CF249+CG309*CG249+CH309*CH249+CI309*CI249+CJ309*CJ249+CK309*CK249+CL309*CL249+CM309*CM249+CN309*CN249+CO309*CO249+CP309*CP249+CQ309*CQ249+CR309*CR249+CS309*CS249+CT309*CT249+CU309*CU249</f>
        <v>0</v>
      </c>
      <c r="DI249" s="2882">
        <f>E310*E249+F310*F249+G310*G249+H310*H249+I310*I249+J310*J249+K310*K249+L310*L249+M310*M249+N310*N249+O310*O249+P310*P249+Q310*Q249+R310*R249+S310*S249+T310*T249+U310*U249+V310*V249+W310*W249+X310*X249+Y310*Y249+Z310*Z249+AA310*AA249+AB310*AB249+AC310*AC249+AD310*AD249+AE310*AE249+AF310*AF249+AG310*AG249+AH310*AH249+AI310*AI249+AJ310*AJ249+AK310*AK249+AL310*AL249+AM310*AM249+AN310*AN249+AO310*AO249+AP310*AP249+AQ310*AQ249+AR310*AR249+AS310*AS249+AT310*AT249+AU310*AU249+AV310*AV249+AW310*AW249+AX310*AX249+AY310*AY249+AZ310*AZ249+BA310*BA249+BB310*BB249+BC310*BC249+BD310*BD249+BE310*BE249+BF310*BF249+BG310*BG249+BH310*BH249+BI310*BI249+BJ310*BJ249+BK310*BK249+BL310*BL249+BM310*BM249+BN310*BN249+BO310*BO249+BP310*BP249+BQ310*BQ249+BR310*BR249+BS310*BS249+BT310*BT249+BU310*BU249+BV310*BV249+BW310*BW249+BX310*BX249+BY310*BY249+BZ310*BZ249+CA310*CA249+CB310*CB249+CC310*CC249+CD310*CD249+CE310*CE249+CF310*CF249+CG310*CG249+CH310*CH249+CI310*CI249+CJ310*CJ249+CK310*CK249+CL310*CL249+CM310*CM249+CN310*CN249+CO310*CO249+CP310*CP249+CQ310*CQ249+CR310*CR249+CS310*CS249+CT310*CT249+CU310*CU249</f>
        <v>0</v>
      </c>
    </row>
    <row r="250" spans="2:113" x14ac:dyDescent="0.45">
      <c r="B250" s="811">
        <v>91</v>
      </c>
      <c r="C250" s="811" t="s">
        <v>3222</v>
      </c>
      <c r="D250" s="812" t="s">
        <v>1125</v>
      </c>
      <c r="E250" s="737">
        <f>0</f>
        <v>0</v>
      </c>
      <c r="F250" s="737">
        <f>0</f>
        <v>0</v>
      </c>
      <c r="G250" s="737">
        <f>0</f>
        <v>0</v>
      </c>
      <c r="H250" s="737">
        <f>0</f>
        <v>0</v>
      </c>
      <c r="I250" s="737">
        <f>0</f>
        <v>0</v>
      </c>
      <c r="J250" s="737">
        <f>0</f>
        <v>0</v>
      </c>
      <c r="K250" s="737">
        <f>0</f>
        <v>0</v>
      </c>
      <c r="L250" s="737">
        <f>0</f>
        <v>0</v>
      </c>
      <c r="M250" s="737">
        <f>0</f>
        <v>0</v>
      </c>
      <c r="N250" s="737">
        <f>0</f>
        <v>0</v>
      </c>
      <c r="O250" s="737">
        <f>0</f>
        <v>0</v>
      </c>
      <c r="P250" s="737">
        <f>0</f>
        <v>0</v>
      </c>
      <c r="Q250" s="738">
        <f>0</f>
        <v>0</v>
      </c>
      <c r="R250" s="737">
        <f>0</f>
        <v>0</v>
      </c>
      <c r="S250" s="737">
        <f>0</f>
        <v>0</v>
      </c>
      <c r="T250" s="737">
        <f>0</f>
        <v>0</v>
      </c>
      <c r="U250" s="737">
        <f>0</f>
        <v>0</v>
      </c>
      <c r="V250" s="737">
        <f>0</f>
        <v>0</v>
      </c>
      <c r="W250" s="737">
        <f>0</f>
        <v>0</v>
      </c>
      <c r="X250" s="737">
        <f>0</f>
        <v>0</v>
      </c>
      <c r="Y250" s="737">
        <f>0</f>
        <v>0</v>
      </c>
      <c r="Z250" s="737">
        <f>0</f>
        <v>0</v>
      </c>
      <c r="AA250" s="737">
        <f>0</f>
        <v>0</v>
      </c>
      <c r="AB250" s="738">
        <f>0</f>
        <v>0</v>
      </c>
      <c r="AC250" s="738">
        <f>0</f>
        <v>0</v>
      </c>
      <c r="AD250" s="737">
        <f>0</f>
        <v>0</v>
      </c>
      <c r="AE250" s="737">
        <f>0</f>
        <v>0</v>
      </c>
      <c r="AF250" s="737">
        <f>0</f>
        <v>0</v>
      </c>
      <c r="AG250" s="737">
        <f>0</f>
        <v>0</v>
      </c>
      <c r="AH250" s="737">
        <f>0</f>
        <v>0</v>
      </c>
      <c r="AI250" s="737">
        <f>0</f>
        <v>0</v>
      </c>
      <c r="AJ250" s="737">
        <f>0</f>
        <v>0</v>
      </c>
      <c r="AK250" s="737">
        <f>0</f>
        <v>0</v>
      </c>
      <c r="AL250" s="737">
        <f>0</f>
        <v>0</v>
      </c>
      <c r="AM250" s="738">
        <f>-2*A_MP/M_MVivi</f>
        <v>-0.1234998580474381</v>
      </c>
      <c r="AN250" s="737">
        <f>0</f>
        <v>0</v>
      </c>
      <c r="AO250" s="737">
        <f>0</f>
        <v>0</v>
      </c>
      <c r="AP250" s="737">
        <f>0</f>
        <v>0</v>
      </c>
      <c r="AQ250" s="737">
        <f>0</f>
        <v>0</v>
      </c>
      <c r="AR250" s="737">
        <f>0</f>
        <v>0</v>
      </c>
      <c r="AS250" s="737">
        <f>0</f>
        <v>0</v>
      </c>
      <c r="AT250" s="737">
        <f>0</f>
        <v>0</v>
      </c>
      <c r="AU250" s="737">
        <f>0</f>
        <v>0</v>
      </c>
      <c r="AV250" s="737">
        <f>0</f>
        <v>0</v>
      </c>
      <c r="AW250" s="737">
        <f>0</f>
        <v>0</v>
      </c>
      <c r="AX250" s="737">
        <f>0</f>
        <v>0</v>
      </c>
      <c r="AY250" s="737">
        <f>0</f>
        <v>0</v>
      </c>
      <c r="AZ250" s="738">
        <f>0</f>
        <v>0</v>
      </c>
      <c r="BA250" s="737">
        <f>0</f>
        <v>0</v>
      </c>
      <c r="BB250" s="737">
        <f>0</f>
        <v>0</v>
      </c>
      <c r="BC250" s="737">
        <f>0</f>
        <v>0</v>
      </c>
      <c r="BD250" s="737">
        <f>0</f>
        <v>0</v>
      </c>
      <c r="BE250" s="738">
        <f>-3*A_MFe/M_MVivi</f>
        <v>-0.33400121987727954</v>
      </c>
      <c r="BF250" s="737">
        <f>0</f>
        <v>0</v>
      </c>
      <c r="BG250" s="737">
        <f>0</f>
        <v>0</v>
      </c>
      <c r="BH250" s="738">
        <f>0</f>
        <v>0</v>
      </c>
      <c r="BI250" s="738">
        <f>0</f>
        <v>0</v>
      </c>
      <c r="BJ250" s="737">
        <f>0</f>
        <v>0</v>
      </c>
      <c r="BK250" s="738">
        <f>0</f>
        <v>0</v>
      </c>
      <c r="BL250" s="738">
        <f>0</f>
        <v>0</v>
      </c>
      <c r="BM250" s="737">
        <f>0</f>
        <v>0</v>
      </c>
      <c r="BN250" s="737">
        <f>0</f>
        <v>0</v>
      </c>
      <c r="BO250" s="738">
        <f>0</f>
        <v>0</v>
      </c>
      <c r="BP250" s="738">
        <f>0</f>
        <v>0</v>
      </c>
      <c r="BQ250" s="737">
        <f>0</f>
        <v>0</v>
      </c>
      <c r="BR250" s="738">
        <f>0</f>
        <v>0</v>
      </c>
      <c r="BS250" s="738">
        <f>0</f>
        <v>0</v>
      </c>
      <c r="BT250" s="738">
        <f>0</f>
        <v>0</v>
      </c>
      <c r="BU250" s="738">
        <f>0</f>
        <v>0</v>
      </c>
      <c r="BV250" s="906">
        <f>0</f>
        <v>0</v>
      </c>
      <c r="BW250" s="738">
        <f>0</f>
        <v>0</v>
      </c>
      <c r="BX250" s="738">
        <f>1</f>
        <v>1</v>
      </c>
      <c r="BY250" s="738">
        <f>0</f>
        <v>0</v>
      </c>
      <c r="BZ250" s="738">
        <f>0</f>
        <v>0</v>
      </c>
      <c r="CA250" s="906">
        <f>0</f>
        <v>0</v>
      </c>
      <c r="CB250" s="738">
        <f>0</f>
        <v>0</v>
      </c>
      <c r="CC250" s="738">
        <f>0</f>
        <v>0</v>
      </c>
      <c r="CD250" s="738">
        <f>0</f>
        <v>0</v>
      </c>
      <c r="CE250" s="738">
        <f>0</f>
        <v>0</v>
      </c>
      <c r="CF250" s="738">
        <f>0</f>
        <v>0</v>
      </c>
      <c r="CG250" s="738">
        <f>0</f>
        <v>0</v>
      </c>
      <c r="CH250" s="738">
        <f>0</f>
        <v>0</v>
      </c>
      <c r="CI250" s="738">
        <f>0</f>
        <v>0</v>
      </c>
      <c r="CJ250" s="738">
        <f>0</f>
        <v>0</v>
      </c>
      <c r="CK250" s="738">
        <f>0</f>
        <v>0</v>
      </c>
      <c r="CL250" s="738">
        <f>0</f>
        <v>0</v>
      </c>
      <c r="CM250" s="738">
        <f>0</f>
        <v>0</v>
      </c>
      <c r="CN250" s="738">
        <f>0</f>
        <v>0</v>
      </c>
      <c r="CO250" s="738">
        <f>0</f>
        <v>0</v>
      </c>
      <c r="CP250" s="738">
        <f>0</f>
        <v>0</v>
      </c>
      <c r="CQ250" s="738">
        <f>0</f>
        <v>0</v>
      </c>
      <c r="CR250" s="738">
        <f>0</f>
        <v>0</v>
      </c>
      <c r="CS250" s="738">
        <f>0</f>
        <v>0</v>
      </c>
      <c r="CT250" s="738">
        <f>0</f>
        <v>0</v>
      </c>
      <c r="CU250" s="738">
        <f>0</f>
        <v>0</v>
      </c>
      <c r="CV250" s="2867">
        <f>q_Vivi*P_recipDrivingForceVivi^2</f>
        <v>-1E-50</v>
      </c>
      <c r="CX250" s="2880">
        <f>E299*E250+F299*F250+G299*G250+H299*H250+I299*I250+J299*J250+K299*K250+L299*L250+M299*M250+N299*N250+O299*O250+P299*P250+Q299*Q250+R299*R250+S299*S250+T299*T250+U299*U250+V299*V250+W299*W250+X299*X250+Y299*Y250+Z299*Z250+AA299*AA250+AB299*AB250+AC299*AC250+AD299*AD250+AE299*AE250+AF299*AF250+AG299*AG250+AH299*AH250+AI299*AI250+AJ299*AJ250+AK299*AK250+AL299*AL250+AM299*AM250+AN299*AN250+AO299*AO250+AP299*AP250+AQ299*AQ250+AR299*AR250+AS299*AS250+AT299*AT250+AU299*AU250+AV299*AV250+AW299*AW250+AX299*AX250+AY299*AY250+AZ299*AZ250+BA299*BA250+BB299*BB250+BC299*BC250+BD299*BD250+BE299*BE250+BF299*BF250+BG299*BG250+BH299*BH250+BI299*BI250+BJ299*BJ250+BK299*BK250+BL299*BL250+BM299*BM250+BN299*BN250+BO299*BO250+BP299*BP250+BQ299*BQ250+BR299*BR250+BS299*BS250+BT299*BT250+BU299*BU250+BV299*BV250+BW299*BW250+BX299*BX250+BY299*BY250+BZ299*BZ250+CA299*CA250+CB299*CB250+CC299*CC250+CD299*CD250+CE299*CE250+CF299*CF250+CG299*CG250+CH299*CH250+CI299*CI250+CJ299*CJ250+CK299*CK250+CL299*CL250+CM299*CM250+CN299*CN250+CO299*CO250+CP299*CP250+CQ299*CQ250+CR299*CR250+CS299*CS250+CT299*CT250+CU299*CU250</f>
        <v>0</v>
      </c>
      <c r="CY250" s="2880">
        <f>E300*E250+F300*F250+G300*G250+H300*H250+I300*I250+J300*J250+K300*K250+L300*L250+M300*M250+N300*N250+O300*O250+P300*P250+Q300*Q250+R300*R250+S300*S250+T300*T250+U300*U250+V300*V250+W300*W250+X300*X250+Y300*Y250+Z300*Z250+AA300*AA250+AB300*AB250+AC300*AC250+AD300*AD250+AE300*AE250+AF300*AF250+AG300*AG250+AH300*AH250+AI300*AI250+AJ300*AJ250+AK300*AK250+AL300*AL250+AM300*AM250+AN300*AN250+AO300*AO250+AP300*AP250+AQ300*AQ250+AR300*AR250+AS300*AS250+AT300*AT250+AU300*AU250+AV300*AV250+AW300*AW250+AX300*AX250+AY300*AY250+AZ300*AZ250+BA300*BA250+BB300*BB250+BC300*BC250+BD300*BD250+BE300*BE250+BF300*BF250+BG300*BG250+BH300*BH250+BI300*BI250+BJ300*BJ250+BK300*BK250+BL300*BL250+BM300*BM250+BN300*BN250+BO300*BO250+BP300*BP250+BQ300*BQ250+BR300*BR250+BS300*BS250+BT300*BT250+BU300*BU250+BV300*BV250+BW300*BW250+BX300*BX250+BY300*BY250+BZ300*BZ250+CA300*CA250+CB300*CB250+CC300*CC250+CD300*CD250+CE300*CE250+CF300*CF250+CG300*CG250+CH300*CH250+CI300*CI250+CJ300*CJ250+CK300*CK250+CL300*CL250+CM300*CM250+CN300*CN250+CO300*CO250+CP300*CP250+CQ300*CQ250+CR300*CR250+CS300*CS250+CT300*CT250+CU300*CU250</f>
        <v>0</v>
      </c>
      <c r="CZ250" s="2881">
        <f>E301*E250+F301*F250+G301*G250+H301*H250+I301*I250+J301*J250+K301*K250+L301*L250+M301*M250+N301*N250+O301*O250+P301*P250+Q301*Q250+R301*R250+S301*S250+T301*T250+U301*U250+V301*V250+W301*W250+X301*X250+Y301*Y250+Z301*Z250+AA301*AA250+AB301*AB250+AC301*AC250+AD301*AD250+AE301*AE250+AF301*AF250+AG301*AG250+AH301*AH250+AI301*AI250+AJ301*AJ250+AK301*AK250+AL301*AL250+AM301*AM250+AN301*AN250+AO301*AO250+AP301*AP250+AQ301*AQ250+AR301*AR250+AS301*AS250+AT301*AT250+AU301*AU250+AV301*AV250+AW301*AW250+AX301*AX250+AY301*AY250+AZ301*AZ250+BA301*BA250+BB301*BB250+BC301*BC250+BD301*BD250+BE301*BE250+BF301*BF250+BG301*BG250+BH301*BH250+BI301*BI250+BJ301*BJ250+BK301*BK250+BL301*BL250+BM301*BM250+BN301*BN250+BO301*BO250+BP301*BP250+BQ301*BQ250+BR301*BR250+BS301*BS250+BT301*BT250+BU301*BU250+BV301*BV250+BW301*BW250+BX301*BX250+BY301*BY250+BZ301*BZ250+CA301*CA250+CB301*CB250+CC301*CC250+CD301*CD250+CE301*CE250+CF301*CF250+CG301*CG250+CH301*CH250+CI301*CI250+CJ301*CJ250+CK301*CK250+CL301*CL250+CM301*CM250+CN301*CN250+CO301*CO250+CP301*CP250+CQ301*CQ250+CR301*CR250+CS301*CS250+CT301*CT250+CU301*CU250</f>
        <v>0</v>
      </c>
      <c r="DA250" s="2882">
        <f>E302*E250+F302*F250+G302*G250+H302*H250+I302*I250+J302*J250+K302*K250+L302*L250+M302*M250+N302*N250+O302*O250+P302*P250+Q302*Q250+R302*R250+S302*S250+T302*T250+U302*U250+V302*V250+W302*W250+X302*X250+Y302*Y250+Z302*Z250+AA302*AA250+AB302*AB250+AC302*AC250+AD302*AD250+AE302*AE250+AF302*AF250+AG302*AG250+AH302*AH250+AI302*AI250+AJ302*AJ250+AK302*AK250+AL302*AL250+AM302*AM250+AN302*AN250+AO302*AO250+AP302*AP250+AQ302*AQ250+AR302*AR250+AS302*AS250+AT302*AT250+AU302*AU250+AV302*AV250+AW302*AW250+AX302*AX250+AY302*AY250+AZ302*AZ250+BA302*BA250+BB302*BB250+BC302*BC250+BD302*BD250+BE302*BE250+BF302*BF250+BG302*BG250+BH302*BH250+BI302*BI250+BJ302*BJ250+BK302*BK250+BL302*BL250+BM302*BM250+BN302*BN250+BO302*BO250+BP302*BP250+BQ302*BQ250+BR302*BR250+BS302*BS250+BT302*BT250+BU302*BU250+BV302*BV250+BW302*BW250+BX302*BX250+BY302*BY250+BZ302*BZ250+CA302*CA250+CB302*CB250+CC302*CC250+CD302*CD250+CE302*CE250+CF302*CF250+CG302*CG250+CH302*CH250+CI302*CI250+CJ302*CJ250+CK302*CK250+CL302*CL250+CM302*CM250+CN302*CN250+CO302*CO250+CP302*CP250+CQ302*CQ250+CR302*CR250+CS302*CS250+CT302*CT250+CU302*CU250</f>
        <v>0</v>
      </c>
      <c r="DB250" s="2882">
        <f>E303*E250+F303*F250+G303*G250+H303*H250+I303*I250+J303*J250+K303*K250+L303*L250+M303*M250+N303*N250+O303*O250+P303*P250+Q303*Q250+R303*R250+S303*S250+T303*T250+U303*U250+V303*V250+W303*W250+X303*X250+Y303*Y250+Z303*Z250+AA303*AA250+AB303*AB250+AC303*AC250+AD303*AD250+AE303*AE250+AF303*AF250+AG303*AG250+AH303*AH250+AI303*AI250+AJ303*AJ250+AK303*AK250+AL303*AL250+AM303*AM250+AN303*AN250+AO303*AO250+AP303*AP250+AQ303*AQ250+AR303*AR250+AS303*AS250+AT303*AT250+AU303*AU250+AV303*AV250+AW303*AW250+AX303*AX250+AY303*AY250+AZ303*AZ250+BA303*BA250+BB303*BB250+BC303*BC250+BD303*BD250+BE303*BE250+BF303*BF250+BG303*BG250+BH303*BH250+BI303*BI250+BJ303*BJ250+BK303*BK250+BL303*BL250+BM303*BM250+BN303*BN250+BO303*BO250+BP303*BP250+BQ303*BQ250+BR303*BR250+BS303*BS250+BT303*BT250+BU303*BU250+BV303*BV250+BW303*BW250+BX303*BX250+BY303*BY250+BZ303*BZ250+CA303*CA250+CB303*CB250+CC303*CC250+CD303*CD250+CE303*CE250+CF303*CF250+CG303*CG250+CH303*CH250+CI303*CI250+CJ303*CJ250+CK303*CK250+CL303*CL250+CM303*CM250+CN303*CN250+CO303*CO250+CP303*CP250+CQ303*CQ250+CR303*CR250+CS303*CS250+CT303*CT250+CU303*CU250</f>
        <v>0</v>
      </c>
      <c r="DC250" s="2882">
        <f>E304*E250+F304*F250+G304*G250+H304*H250+I304*I250+J304*J250+K304*K250+L304*L250+M304*M250+N304*N250+O304*O250+P304*P250+Q304*Q250+R304*R250+S304*S250+T304*T250+U304*U250+V304*V250+W304*W250+X304*X250+Y304*Y250+Z304*Z250+AA304*AA250+AB304*AB250+AC304*AC250+AD304*AD250+AE304*AE250+AF304*AF250+AG304*AG250+AH304*AH250+AI304*AI250+AJ304*AJ250+AK304*AK250+AL304*AL250+AM304*AM250+AN304*AN250+AO304*AO250+AP304*AP250+AQ304*AQ250+AR304*AR250+AS304*AS250+AT304*AT250+AU304*AU250+AV304*AV250+AW304*AW250+AX304*AX250+AY304*AY250+AZ304*AZ250+BA304*BA250+BB304*BB250+BC304*BC250+BD304*BD250+BE304*BE250+BF304*BF250+BG304*BG250+BH304*BH250+BI304*BI250+BJ304*BJ250+BK304*BK250+BL304*BL250+BM304*BM250+BN304*BN250+BO304*BO250+BP304*BP250+BQ304*BQ250+BR304*BR250+BS304*BS250+BT304*BT250+BU304*BU250+BV304*BV250+BW304*BW250+BX304*BX250+BY304*BY250+BZ304*BZ250+CA304*CA250+CB304*CB250+CC304*CC250+CD304*CD250+CE304*CE250+CF304*CF250+CG304*CG250+CH304*CH250+CI304*CI250+CJ304*CJ250+CK304*CK250+CL304*CL250+CM304*CM250+CN304*CN250+CO304*CO250+CP304*CP250+CQ304*CQ250+CR304*CR250+CS304*CS250+CT304*CT250+CU304*CU250</f>
        <v>0</v>
      </c>
      <c r="DD250" s="2882">
        <f>E305*E250+F305*F250+G305*G250+H305*H250+I305*I250+J305*J250+K305*K250+L305*L250+M305*M250+N305*N250+O305*O250+P305*P250+Q305*Q250+R305*R250+S305*S250+T305*T250+U305*U250+V305*V250+W305*W250+X305*X250+Y305*Y250+Z305*Z250+AA305*AA250+AB305*AB250+AC305*AC250+AD305*AD250+AE305*AE250+AF305*AF250+AG305*AG250+AH305*AH250+AI305*AI250+AJ305*AJ250+AK305*AK250+AL305*AL250+AM305*AM250+AN305*AN250+AO305*AO250+AP305*AP250+AQ305*AQ250+AR305*AR250+AS305*AS250+AT305*AT250+AU305*AU250+AV305*AV250+AW305*AW250+AX305*AX250+AY305*AY250+AZ305*AZ250+BA305*BA250+BB305*BB250+BC305*BC250+BD305*BD250+BE305*BE250+BF305*BF250+BG305*BG250+BH305*BH250+BI305*BI250+BJ305*BJ250+BK305*BK250+BL305*BL250+BM305*BM250+BN305*BN250+BO305*BO250+BP305*BP250+BQ305*BQ250+BR305*BR250+BS305*BS250+BT305*BT250+BU305*BU250+BV305*BV250+BW305*BW250+BX305*BX250+BY305*BY250+BZ305*BZ250+CA305*CA250+CB305*CB250+CC305*CC250+CD305*CD250+CE305*CE250+CF305*CF250+CG305*CG250+CH305*CH250+CI305*CI250+CJ305*CJ250+CK305*CK250+CL305*CL250+CM305*CM250+CN305*CN250+CO305*CO250+CP305*CP250+CQ305*CQ250+CR305*CR250+CS305*CS250+CT305*CT250+CU305*CU250</f>
        <v>0</v>
      </c>
      <c r="DE250" s="2882">
        <f>E306*E250+F306*F250+G306*G250+H306*H250+I306*I250+J306*J250+K306*K250+L306*L250+M306*M250+N306*N250+O306*O250+P306*P250+Q306*Q250+R306*R250+S306*S250+T306*T250+U306*U250+V306*V250+W306*W250+X306*X250+Y306*Y250+Z306*Z250+AA306*AA250+AB306*AB250+AC306*AC250+AD306*AD250+AE306*AE250+AF306*AF250+AG306*AG250+AH306*AH250+AI306*AI250+AJ306*AJ250+AK306*AK250+AL306*AL250+AM306*AM250+AN306*AN250+AO306*AO250+AP306*AP250+AQ306*AQ250+AR306*AR250+AS306*AS250+AT306*AT250+AU306*AU250+AV306*AV250+AW306*AW250+AX306*AX250+AY306*AY250+AZ306*AZ250+BA306*BA250+BB306*BB250+BC306*BC250+BD306*BD250+BE306*BE250+BF306*BF250+BG306*BG250+BH306*BH250+BI306*BI250+BJ306*BJ250+BK306*BK250+BL306*BL250+BM306*BM250+BN306*BN250+BO306*BO250+BP306*BP250+BQ306*BQ250+BR306*BR250+BS306*BS250+BT306*BT250+BU306*BU250+BV306*BV250+BW306*BW250+BX306*BX250+BY306*BY250+BZ306*BZ250+CA306*CA250+CB306*CB250+CC306*CC250+CD306*CD250+CE306*CE250+CF306*CF250+CG306*CG250+CH306*CH250+CI306*CI250+CJ306*CJ250+CK306*CK250+CL306*CL250+CM306*CM250+CN306*CN250+CO306*CO250+CP306*CP250+CQ306*CQ250+CR306*CR250+CS306*CS250+CT306*CT250+CU306*CU250</f>
        <v>0</v>
      </c>
      <c r="DF250" s="2882">
        <f>E307*E250+F307*F250+G307*G250+H307*H250+I307*I250+J307*J250+K307*K250+L307*L250+M307*M250+N307*N250+O307*O250+P307*P250+Q307*Q250+R307*R250+S307*S250+T307*T250+U307*U250+V307*V250+W307*W250+X307*X250+Y307*Y250+Z307*Z250+AA307*AA250+AB307*AB250+AC307*AC250+AD307*AD250+AE307*AE250+AF307*AF250+AG307*AG250+AH307*AH250+AI307*AI250+AJ307*AJ250+AK307*AK250+AL307*AL250+AM307*AM250+AN307*AN250+AO307*AO250+AP307*AP250+AQ307*AQ250+AR307*AR250+AS307*AS250+AT307*AT250+AU307*AU250+AV307*AV250+AW307*AW250+AX307*AX250+AY307*AY250+AZ307*AZ250+BA307*BA250+BB307*BB250+BC307*BC250+BD307*BD250+BE307*BE250+BF307*BF250+BG307*BG250+BH307*BH250+BI307*BI250+BJ307*BJ250+BK307*BK250+BL307*BL250+BM307*BM250+BN307*BN250+BO307*BO250+BP307*BP250+BQ307*BQ250+BR307*BR250+BS307*BS250+BT307*BT250+BU307*BU250+BV307*BV250+BW307*BW250+BX307*BX250+BY307*BY250+BZ307*BZ250+CA307*CA250+CB307*CB250+CC307*CC250+CD307*CD250+CE307*CE250+CF307*CF250+CG307*CG250+CH307*CH250+CI307*CI250+CJ307*CJ250+CK307*CK250+CL307*CL250+CM307*CM250+CN307*CN250+CO307*CO250+CP307*CP250+CQ307*CQ250+CR307*CR250+CS307*CS250+CT307*CT250+CU307*CU250</f>
        <v>0</v>
      </c>
      <c r="DG250" s="2882">
        <f>E308*E250+F308*F250+G308*G250+H308*H250+I308*I250+J308*J250+K308*K250+L308*L250+M308*M250+N308*N250+O308*O250+P308*P250+Q308*Q250+R308*R250+S308*S250+T308*T250+U308*U250+V308*V250+W308*W250+X308*X250+Y308*Y250+Z308*Z250+AA308*AA250+AB308*AB250+AC308*AC250+AD308*AD250+AE308*AE250+AF308*AF250+AG308*AG250+AH308*AH250+AI308*AI250+AJ308*AJ250+AK308*AK250+AL308*AL250+AM308*AM250+AN308*AN250+AO308*AO250+AP308*AP250+AQ308*AQ250+AR308*AR250+AS308*AS250+AT308*AT250+AU308*AU250+AV308*AV250+AW308*AW250+AX308*AX250+AY308*AY250+AZ308*AZ250+BA308*BA250+BB308*BB250+BC308*BC250+BD308*BD250+BE308*BE250+BF308*BF250+BG308*BG250+BH308*BH250+BI308*BI250+BJ308*BJ250+BK308*BK250+BL308*BL250+BM308*BM250+BN308*BN250+BO308*BO250+BP308*BP250+BQ308*BQ250+BR308*BR250+BS308*BS250+BT308*BT250+BU308*BU250+BV308*BV250+BW308*BW250+BX308*BX250+BY308*BY250+BZ308*BZ250+CA308*CA250+CB308*CB250+CC308*CC250+CD308*CD250+CE308*CE250+CF308*CF250+CG308*CG250+CH308*CH250+CI308*CI250+CJ308*CJ250+CK308*CK250+CL308*CL250+CM308*CM250+CN308*CN250+CO308*CO250+CP308*CP250+CQ308*CQ250+CR308*CR250+CS308*CS250+CT308*CT250+CU308*CU250</f>
        <v>0</v>
      </c>
      <c r="DH250" s="2882">
        <f>E309*E250+F309*F250+G309*G250+H309*H250+I309*I250+J309*J250+K309*K250+L309*L250+M309*M250+N309*N250+O309*O250+P309*P250+Q309*Q250+R309*R250+S309*S250+T309*T250+U309*U250+V309*V250+W309*W250+X309*X250+Y309*Y250+Z309*Z250+AA309*AA250+AB309*AB250+AC309*AC250+AD309*AD250+AE309*AE250+AF309*AF250+AG309*AG250+AH309*AH250+AI309*AI250+AJ309*AJ250+AK309*AK250+AL309*AL250+AM309*AM250+AN309*AN250+AO309*AO250+AP309*AP250+AQ309*AQ250+AR309*AR250+AS309*AS250+AT309*AT250+AU309*AU250+AV309*AV250+AW309*AW250+AX309*AX250+AY309*AY250+AZ309*AZ250+BA309*BA250+BB309*BB250+BC309*BC250+BD309*BD250+BE309*BE250+BF309*BF250+BG309*BG250+BH309*BH250+BI309*BI250+BJ309*BJ250+BK309*BK250+BL309*BL250+BM309*BM250+BN309*BN250+BO309*BO250+BP309*BP250+BQ309*BQ250+BR309*BR250+BS309*BS250+BT309*BT250+BU309*BU250+BV309*BV250+BW309*BW250+BX309*BX250+BY309*BY250+BZ309*BZ250+CA309*CA250+CB309*CB250+CC309*CC250+CD309*CD250+CE309*CE250+CF309*CF250+CG309*CG250+CH309*CH250+CI309*CI250+CJ309*CJ250+CK309*CK250+CL309*CL250+CM309*CM250+CN309*CN250+CO309*CO250+CP309*CP250+CQ309*CQ250+CR309*CR250+CS309*CS250+CT309*CT250+CU309*CU250</f>
        <v>0</v>
      </c>
      <c r="DI250" s="2882">
        <f>E310*E250+F310*F250+G310*G250+H310*H250+I310*I250+J310*J250+K310*K250+L310*L250+M310*M250+N310*N250+O310*O250+P310*P250+Q310*Q250+R310*R250+S310*S250+T310*T250+U310*U250+V310*V250+W310*W250+X310*X250+Y310*Y250+Z310*Z250+AA310*AA250+AB310*AB250+AC310*AC250+AD310*AD250+AE310*AE250+AF310*AF250+AG310*AG250+AH310*AH250+AI310*AI250+AJ310*AJ250+AK310*AK250+AL310*AL250+AM310*AM250+AN310*AN250+AO310*AO250+AP310*AP250+AQ310*AQ250+AR310*AR250+AS310*AS250+AT310*AT250+AU310*AU250+AV310*AV250+AW310*AW250+AX310*AX250+AY310*AY250+AZ310*AZ250+BA310*BA250+BB310*BB250+BC310*BC250+BD310*BD250+BE310*BE250+BF310*BF250+BG310*BG250+BH310*BH250+BI310*BI250+BJ310*BJ250+BK310*BK250+BL310*BL250+BM310*BM250+BN310*BN250+BO310*BO250+BP310*BP250+BQ310*BQ250+BR310*BR250+BS310*BS250+BT310*BT250+BU310*BU250+BV310*BV250+BW310*BW250+BX310*BX250+BY310*BY250+BZ310*BZ250+CA310*CA250+CB310*CB250+CC310*CC250+CD310*CD250+CE310*CE250+CF310*CF250+CG310*CG250+CH310*CH250+CI310*CI250+CJ310*CJ250+CK310*CK250+CL310*CL250+CM310*CM250+CN310*CN250+CO310*CO250+CP310*CP250+CQ310*CQ250+CR310*CR250+CS310*CS250+CT310*CT250+CU310*CU250</f>
        <v>0</v>
      </c>
    </row>
    <row r="251" spans="2:113" x14ac:dyDescent="0.45">
      <c r="B251" s="2213">
        <v>92</v>
      </c>
      <c r="C251" s="2213" t="s">
        <v>3425</v>
      </c>
      <c r="D251" s="2214" t="s">
        <v>4484</v>
      </c>
      <c r="E251" s="928">
        <f>0</f>
        <v>0</v>
      </c>
      <c r="F251" s="928">
        <f>0</f>
        <v>0</v>
      </c>
      <c r="G251" s="928">
        <f>0</f>
        <v>0</v>
      </c>
      <c r="H251" s="928">
        <f>0</f>
        <v>0</v>
      </c>
      <c r="I251" s="928">
        <f>0</f>
        <v>0</v>
      </c>
      <c r="J251" s="928">
        <f>0</f>
        <v>0</v>
      </c>
      <c r="K251" s="928">
        <f>0</f>
        <v>0</v>
      </c>
      <c r="L251" s="928">
        <f>0</f>
        <v>0</v>
      </c>
      <c r="M251" s="928">
        <f>0</f>
        <v>0</v>
      </c>
      <c r="N251" s="928">
        <f>0</f>
        <v>0</v>
      </c>
      <c r="O251" s="928">
        <f>0</f>
        <v>0</v>
      </c>
      <c r="P251" s="928">
        <f>0</f>
        <v>0</v>
      </c>
      <c r="Q251" s="928">
        <f>0</f>
        <v>0</v>
      </c>
      <c r="R251" s="928">
        <f>0</f>
        <v>0</v>
      </c>
      <c r="S251" s="928">
        <f>0</f>
        <v>0</v>
      </c>
      <c r="T251" s="928">
        <f>0</f>
        <v>0</v>
      </c>
      <c r="U251" s="928">
        <f>0</f>
        <v>0</v>
      </c>
      <c r="V251" s="928">
        <f>0</f>
        <v>0</v>
      </c>
      <c r="W251" s="928">
        <f>0</f>
        <v>0</v>
      </c>
      <c r="X251" s="928">
        <f>0</f>
        <v>0</v>
      </c>
      <c r="Y251" s="2548">
        <f>0</f>
        <v>0</v>
      </c>
      <c r="Z251" s="2548">
        <f>0</f>
        <v>0</v>
      </c>
      <c r="AA251" s="2548">
        <f>0</f>
        <v>0</v>
      </c>
      <c r="AB251" s="928">
        <f>0</f>
        <v>0</v>
      </c>
      <c r="AC251" s="928">
        <f>0</f>
        <v>0</v>
      </c>
      <c r="AD251" s="928">
        <f>0</f>
        <v>0</v>
      </c>
      <c r="AE251" s="928">
        <f>0</f>
        <v>0</v>
      </c>
      <c r="AF251" s="928">
        <f>0</f>
        <v>0</v>
      </c>
      <c r="AG251" s="928">
        <f>0</f>
        <v>0</v>
      </c>
      <c r="AH251" s="928">
        <f>0</f>
        <v>0</v>
      </c>
      <c r="AI251" s="928">
        <f>0</f>
        <v>0</v>
      </c>
      <c r="AJ251" s="928">
        <f>0</f>
        <v>0</v>
      </c>
      <c r="AK251" s="928">
        <f>0</f>
        <v>0</v>
      </c>
      <c r="AL251" s="928">
        <f>0</f>
        <v>0</v>
      </c>
      <c r="AM251" s="928">
        <f>0</f>
        <v>0</v>
      </c>
      <c r="AN251" s="928">
        <f>0</f>
        <v>0</v>
      </c>
      <c r="AO251" s="928">
        <f>0</f>
        <v>0</v>
      </c>
      <c r="AP251" s="928">
        <f>0</f>
        <v>0</v>
      </c>
      <c r="AQ251" s="928">
        <f>0</f>
        <v>0</v>
      </c>
      <c r="AR251" s="928">
        <f>0</f>
        <v>0</v>
      </c>
      <c r="AS251" s="928">
        <f>0</f>
        <v>0</v>
      </c>
      <c r="AT251" s="928">
        <f>0</f>
        <v>0</v>
      </c>
      <c r="AU251" s="928">
        <f>0</f>
        <v>0</v>
      </c>
      <c r="AV251" s="928">
        <f>0</f>
        <v>0</v>
      </c>
      <c r="AW251" s="928">
        <f>0</f>
        <v>0</v>
      </c>
      <c r="AX251" s="928">
        <f>0</f>
        <v>0</v>
      </c>
      <c r="AY251" s="928">
        <f>0</f>
        <v>0</v>
      </c>
      <c r="AZ251" s="928">
        <f>0</f>
        <v>0</v>
      </c>
      <c r="BA251" s="928">
        <f>0</f>
        <v>0</v>
      </c>
      <c r="BB251" s="2548">
        <f>0</f>
        <v>0</v>
      </c>
      <c r="BC251" s="2548">
        <f>0</f>
        <v>0</v>
      </c>
      <c r="BD251" s="2548">
        <f>0</f>
        <v>0</v>
      </c>
      <c r="BE251" s="928">
        <f>0</f>
        <v>0</v>
      </c>
      <c r="BF251" s="928">
        <f>0</f>
        <v>0</v>
      </c>
      <c r="BG251" s="928">
        <f>0</f>
        <v>0</v>
      </c>
      <c r="BH251" s="928">
        <f>0</f>
        <v>0</v>
      </c>
      <c r="BI251" s="928">
        <f>0</f>
        <v>0</v>
      </c>
      <c r="BJ251" s="928">
        <f>0</f>
        <v>0</v>
      </c>
      <c r="BK251" s="928">
        <f>0</f>
        <v>0</v>
      </c>
      <c r="BL251" s="928">
        <f>0</f>
        <v>0</v>
      </c>
      <c r="BM251" s="928">
        <f>0</f>
        <v>0</v>
      </c>
      <c r="BN251" s="928">
        <f>0</f>
        <v>0</v>
      </c>
      <c r="BO251" s="928">
        <f>0</f>
        <v>0</v>
      </c>
      <c r="BP251" s="928">
        <f>0</f>
        <v>0</v>
      </c>
      <c r="BQ251" s="928">
        <f>0</f>
        <v>0</v>
      </c>
      <c r="BR251" s="928">
        <f>0</f>
        <v>0</v>
      </c>
      <c r="BS251" s="928">
        <f>0</f>
        <v>0</v>
      </c>
      <c r="BT251" s="928">
        <f>0</f>
        <v>0</v>
      </c>
      <c r="BU251" s="928">
        <f>0</f>
        <v>0</v>
      </c>
      <c r="BV251" s="928">
        <f>0</f>
        <v>0</v>
      </c>
      <c r="BW251" s="929">
        <f>0</f>
        <v>0</v>
      </c>
      <c r="BX251" s="928">
        <f>0</f>
        <v>0</v>
      </c>
      <c r="BY251" s="2548">
        <f>0</f>
        <v>0</v>
      </c>
      <c r="BZ251" s="928">
        <f>0</f>
        <v>0</v>
      </c>
      <c r="CA251" s="928">
        <f>1</f>
        <v>1</v>
      </c>
      <c r="CB251" s="928">
        <f>0</f>
        <v>0</v>
      </c>
      <c r="CC251" s="928">
        <f>0</f>
        <v>0</v>
      </c>
      <c r="CD251" s="928">
        <f>0</f>
        <v>0</v>
      </c>
      <c r="CE251" s="928">
        <f>0</f>
        <v>0</v>
      </c>
      <c r="CF251" s="928">
        <f>0</f>
        <v>0</v>
      </c>
      <c r="CG251" s="928">
        <f>0</f>
        <v>0</v>
      </c>
      <c r="CH251" s="928">
        <f>0</f>
        <v>0</v>
      </c>
      <c r="CI251" s="928">
        <f>0</f>
        <v>0</v>
      </c>
      <c r="CJ251" s="2548">
        <f>0</f>
        <v>0</v>
      </c>
      <c r="CK251" s="928">
        <f>0</f>
        <v>0</v>
      </c>
      <c r="CL251" s="928">
        <f>0</f>
        <v>0</v>
      </c>
      <c r="CM251" s="928">
        <f>0</f>
        <v>0</v>
      </c>
      <c r="CN251" s="928">
        <f>0</f>
        <v>0</v>
      </c>
      <c r="CO251" s="928">
        <f>0</f>
        <v>0</v>
      </c>
      <c r="CP251" s="928">
        <f>0</f>
        <v>0</v>
      </c>
      <c r="CQ251" s="928">
        <f>0</f>
        <v>0</v>
      </c>
      <c r="CR251" s="928">
        <f>0</f>
        <v>0</v>
      </c>
      <c r="CS251" s="2548">
        <f>0</f>
        <v>0</v>
      </c>
      <c r="CT251" s="2548">
        <f>0</f>
        <v>0</v>
      </c>
      <c r="CU251" s="2548">
        <f>0</f>
        <v>0</v>
      </c>
      <c r="CV251" s="2853">
        <f>q_ALPHA_SO2*X_VSS*d_ampALPHA*(S_ALPHA_sat-S_ALPHA)</f>
        <v>1.6637764531719617</v>
      </c>
      <c r="CX251" s="2880">
        <f>E299*E251+F299*F251+G299*G251+H299*H251+I299*I251+J299*J251+K299*K251+L299*L251+M299*M251+N299*N251+O299*O251+P299*P251+Q299*Q251+R299*R251+S299*S251+T299*T251+U299*U251+V299*V251+W299*W251+X299*X251+Y299*Y251+Z299*Z251+AA299*AA251+AB299*AB251+AC299*AC251+AD299*AD251+AE299*AE251+AF299*AF251+AG299*AG251+AH299*AH251+AI299*AI251+AJ299*AJ251+AK299*AK251+AL299*AL251+AM299*AM251+AN299*AN251+AO299*AO251+AP299*AP251+AQ299*AQ251+AR299*AR251+AS299*AS251+AT299*AT251+AU299*AU251+AV299*AV251+AW299*AW251+AX299*AX251+AY299*AY251+AZ299*AZ251+BA299*BA251+BB299*BB251+BC299*BC251+BD299*BD251+BE299*BE251+BF299*BF251+BG299*BG251+BH299*BH251+BI299*BI251+BJ299*BJ251+BK299*BK251+BL299*BL251+BM299*BM251+BN299*BN251+BO299*BO251+BP299*BP251+BQ299*BQ251+BR299*BR251+BS299*BS251+BT299*BT251+BU299*BU251+BV299*BV251+BW299*BW251+BX299*BX251+BY299*BY251+BZ299*BZ251+CA299*CA251+CB299*CB251+CC299*CC251+CD299*CD251+CE299*CE251+CF299*CF251+CG299*CG251+CH299*CH251+CI299*CI251+CJ299*CJ251+CK299*CK251+CL299*CL251+CM299*CM251+CN299*CN251+CO299*CO251+CP299*CP251+CQ299*CQ251+CR299*CR251+CS299*CS251+CT299*CT251+CU299*CU251</f>
        <v>0</v>
      </c>
      <c r="CY251" s="2880">
        <f>E300*E251+F300*F251+G300*G251+H300*H251+I300*I251+J300*J251+K300*K251+L300*L251+M300*M251+N300*N251+O300*O251+P300*P251+Q300*Q251+R300*R251+S300*S251+T300*T251+U300*U251+V300*V251+W300*W251+X300*X251+Y300*Y251+Z300*Z251+AA300*AA251+AB300*AB251+AC300*AC251+AD300*AD251+AE300*AE251+AF300*AF251+AG300*AG251+AH300*AH251+AI300*AI251+AJ300*AJ251+AK300*AK251+AL300*AL251+AM300*AM251+AN300*AN251+AO300*AO251+AP300*AP251+AQ300*AQ251+AR300*AR251+AS300*AS251+AT300*AT251+AU300*AU251+AV300*AV251+AW300*AW251+AX300*AX251+AY300*AY251+AZ300*AZ251+BA300*BA251+BB300*BB251+BC300*BC251+BD300*BD251+BE300*BE251+BF300*BF251+BG300*BG251+BH300*BH251+BI300*BI251+BJ300*BJ251+BK300*BK251+BL300*BL251+BM300*BM251+BN300*BN251+BO300*BO251+BP300*BP251+BQ300*BQ251+BR300*BR251+BS300*BS251+BT300*BT251+BU300*BU251+BV300*BV251+BW300*BW251+BX300*BX251+BY300*BY251+BZ300*BZ251+CA300*CA251+CB300*CB251+CC300*CC251+CD300*CD251+CE300*CE251+CF300*CF251+CG300*CG251+CH300*CH251+CI300*CI251+CJ300*CJ251+CK300*CK251+CL300*CL251+CM300*CM251+CN300*CN251+CO300*CO251+CP300*CP251+CQ300*CQ251+CR300*CR251+CS300*CS251+CT300*CT251+CU300*CU251</f>
        <v>0</v>
      </c>
      <c r="CZ251" s="2881">
        <f>E301*E251+F301*F251+G301*G251+H301*H251+I301*I251+J301*J251+K301*K251+L301*L251+M301*M251+N301*N251+O301*O251+P301*P251+Q301*Q251+R301*R251+S301*S251+T301*T251+U301*U251+V301*V251+W301*W251+X301*X251+Y301*Y251+Z301*Z251+AA301*AA251+AB301*AB251+AC301*AC251+AD301*AD251+AE301*AE251+AF301*AF251+AG301*AG251+AH301*AH251+AI301*AI251+AJ301*AJ251+AK301*AK251+AL301*AL251+AM301*AM251+AN301*AN251+AO301*AO251+AP301*AP251+AQ301*AQ251+AR301*AR251+AS301*AS251+AT301*AT251+AU301*AU251+AV301*AV251+AW301*AW251+AX301*AX251+AY301*AY251+AZ301*AZ251+BA301*BA251+BB301*BB251+BC301*BC251+BD301*BD251+BE301*BE251+BF301*BF251+BG301*BG251+BH301*BH251+BI301*BI251+BJ301*BJ251+BK301*BK251+BL301*BL251+BM301*BM251+BN301*BN251+BO301*BO251+BP301*BP251+BQ301*BQ251+BR301*BR251+BS301*BS251+BT301*BT251+BU301*BU251+BV301*BV251+BW301*BW251+BX301*BX251+BY301*BY251+BZ301*BZ251+CA301*CA251+CB301*CB251+CC301*CC251+CD301*CD251+CE301*CE251+CF301*CF251+CG301*CG251+CH301*CH251+CI301*CI251+CJ301*CJ251+CK301*CK251+CL301*CL251+CM301*CM251+CN301*CN251+CO301*CO251+CP301*CP251+CQ301*CQ251+CR301*CR251+CS301*CS251+CT301*CT251+CU301*CU251</f>
        <v>0</v>
      </c>
      <c r="DA251" s="2882">
        <f>E302*E251+F302*F251+G302*G251+H302*H251+I302*I251+J302*J251+K302*K251+L302*L251+M302*M251+N302*N251+O302*O251+P302*P251+Q302*Q251+R302*R251+S302*S251+T302*T251+U302*U251+V302*V251+W302*W251+X302*X251+Y302*Y251+Z302*Z251+AA302*AA251+AB302*AB251+AC302*AC251+AD302*AD251+AE302*AE251+AF302*AF251+AG302*AG251+AH302*AH251+AI302*AI251+AJ302*AJ251+AK302*AK251+AL302*AL251+AM302*AM251+AN302*AN251+AO302*AO251+AP302*AP251+AQ302*AQ251+AR302*AR251+AS302*AS251+AT302*AT251+AU302*AU251+AV302*AV251+AW302*AW251+AX302*AX251+AY302*AY251+AZ302*AZ251+BA302*BA251+BB302*BB251+BC302*BC251+BD302*BD251+BE302*BE251+BF302*BF251+BG302*BG251+BH302*BH251+BI302*BI251+BJ302*BJ251+BK302*BK251+BL302*BL251+BM302*BM251+BN302*BN251+BO302*BO251+BP302*BP251+BQ302*BQ251+BR302*BR251+BS302*BS251+BT302*BT251+BU302*BU251+BV302*BV251+BW302*BW251+BX302*BX251+BY302*BY251+BZ302*BZ251+CA302*CA251+CB302*CB251+CC302*CC251+CD302*CD251+CE302*CE251+CF302*CF251+CG302*CG251+CH302*CH251+CI302*CI251+CJ302*CJ251+CK302*CK251+CL302*CL251+CM302*CM251+CN302*CN251+CO302*CO251+CP302*CP251+CQ302*CQ251+CR302*CR251+CS302*CS251+CT302*CT251+CU302*CU251</f>
        <v>0</v>
      </c>
      <c r="DB251" s="2882">
        <f>E303*E251+F303*F251+G303*G251+H303*H251+I303*I251+J303*J251+K303*K251+L303*L251+M303*M251+N303*N251+O303*O251+P303*P251+Q303*Q251+R303*R251+S303*S251+T303*T251+U303*U251+V303*V251+W303*W251+X303*X251+Y303*Y251+Z303*Z251+AA303*AA251+AB303*AB251+AC303*AC251+AD303*AD251+AE303*AE251+AF303*AF251+AG303*AG251+AH303*AH251+AI303*AI251+AJ303*AJ251+AK303*AK251+AL303*AL251+AM303*AM251+AN303*AN251+AO303*AO251+AP303*AP251+AQ303*AQ251+AR303*AR251+AS303*AS251+AT303*AT251+AU303*AU251+AV303*AV251+AW303*AW251+AX303*AX251+AY303*AY251+AZ303*AZ251+BA303*BA251+BB303*BB251+BC303*BC251+BD303*BD251+BE303*BE251+BF303*BF251+BG303*BG251+BH303*BH251+BI303*BI251+BJ303*BJ251+BK303*BK251+BL303*BL251+BM303*BM251+BN303*BN251+BO303*BO251+BP303*BP251+BQ303*BQ251+BR303*BR251+BS303*BS251+BT303*BT251+BU303*BU251+BV303*BV251+BW303*BW251+BX303*BX251+BY303*BY251+BZ303*BZ251+CA303*CA251+CB303*CB251+CC303*CC251+CD303*CD251+CE303*CE251+CF303*CF251+CG303*CG251+CH303*CH251+CI303*CI251+CJ303*CJ251+CK303*CK251+CL303*CL251+CM303*CM251+CN303*CN251+CO303*CO251+CP303*CP251+CQ303*CQ251+CR303*CR251+CS303*CS251+CT303*CT251+CU303*CU251</f>
        <v>0</v>
      </c>
      <c r="DC251" s="2882">
        <f>E304*E251+F304*F251+G304*G251+H304*H251+I304*I251+J304*J251+K304*K251+L304*L251+M304*M251+N304*N251+O304*O251+P304*P251+Q304*Q251+R304*R251+S304*S251+T304*T251+U304*U251+V304*V251+W304*W251+X304*X251+Y304*Y251+Z304*Z251+AA304*AA251+AB304*AB251+AC304*AC251+AD304*AD251+AE304*AE251+AF304*AF251+AG304*AG251+AH304*AH251+AI304*AI251+AJ304*AJ251+AK304*AK251+AL304*AL251+AM304*AM251+AN304*AN251+AO304*AO251+AP304*AP251+AQ304*AQ251+AR304*AR251+AS304*AS251+AT304*AT251+AU304*AU251+AV304*AV251+AW304*AW251+AX304*AX251+AY304*AY251+AZ304*AZ251+BA304*BA251+BB304*BB251+BC304*BC251+BD304*BD251+BE304*BE251+BF304*BF251+BG304*BG251+BH304*BH251+BI304*BI251+BJ304*BJ251+BK304*BK251+BL304*BL251+BM304*BM251+BN304*BN251+BO304*BO251+BP304*BP251+BQ304*BQ251+BR304*BR251+BS304*BS251+BT304*BT251+BU304*BU251+BV304*BV251+BW304*BW251+BX304*BX251+BY304*BY251+BZ304*BZ251+CA304*CA251+CB304*CB251+CC304*CC251+CD304*CD251+CE304*CE251+CF304*CF251+CG304*CG251+CH304*CH251+CI304*CI251+CJ304*CJ251+CK304*CK251+CL304*CL251+CM304*CM251+CN304*CN251+CO304*CO251+CP304*CP251+CQ304*CQ251+CR304*CR251+CS304*CS251+CT304*CT251+CU304*CU251</f>
        <v>0</v>
      </c>
      <c r="DD251" s="2882">
        <f>E305*E251+F305*F251+G305*G251+H305*H251+I305*I251+J305*J251+K305*K251+L305*L251+M305*M251+N305*N251+O305*O251+P305*P251+Q305*Q251+R305*R251+S305*S251+T305*T251+U305*U251+V305*V251+W305*W251+X305*X251+Y305*Y251+Z305*Z251+AA305*AA251+AB305*AB251+AC305*AC251+AD305*AD251+AE305*AE251+AF305*AF251+AG305*AG251+AH305*AH251+AI305*AI251+AJ305*AJ251+AK305*AK251+AL305*AL251+AM305*AM251+AN305*AN251+AO305*AO251+AP305*AP251+AQ305*AQ251+AR305*AR251+AS305*AS251+AT305*AT251+AU305*AU251+AV305*AV251+AW305*AW251+AX305*AX251+AY305*AY251+AZ305*AZ251+BA305*BA251+BB305*BB251+BC305*BC251+BD305*BD251+BE305*BE251+BF305*BF251+BG305*BG251+BH305*BH251+BI305*BI251+BJ305*BJ251+BK305*BK251+BL305*BL251+BM305*BM251+BN305*BN251+BO305*BO251+BP305*BP251+BQ305*BQ251+BR305*BR251+BS305*BS251+BT305*BT251+BU305*BU251+BV305*BV251+BW305*BW251+BX305*BX251+BY305*BY251+BZ305*BZ251+CA305*CA251+CB305*CB251+CC305*CC251+CD305*CD251+CE305*CE251+CF305*CF251+CG305*CG251+CH305*CH251+CI305*CI251+CJ305*CJ251+CK305*CK251+CL305*CL251+CM305*CM251+CN305*CN251+CO305*CO251+CP305*CP251+CQ305*CQ251+CR305*CR251+CS305*CS251+CT305*CT251+CU305*CU251</f>
        <v>0</v>
      </c>
      <c r="DE251" s="2882">
        <f>E306*E251+F306*F251+G306*G251+H306*H251+I306*I251+J306*J251+K306*K251+L306*L251+M306*M251+N306*N251+O306*O251+P306*P251+Q306*Q251+R306*R251+S306*S251+T306*T251+U306*U251+V306*V251+W306*W251+X306*X251+Y306*Y251+Z306*Z251+AA306*AA251+AB306*AB251+AC306*AC251+AD306*AD251+AE306*AE251+AF306*AF251+AG306*AG251+AH306*AH251+AI306*AI251+AJ306*AJ251+AK306*AK251+AL306*AL251+AM306*AM251+AN306*AN251+AO306*AO251+AP306*AP251+AQ306*AQ251+AR306*AR251+AS306*AS251+AT306*AT251+AU306*AU251+AV306*AV251+AW306*AW251+AX306*AX251+AY306*AY251+AZ306*AZ251+BA306*BA251+BB306*BB251+BC306*BC251+BD306*BD251+BE306*BE251+BF306*BF251+BG306*BG251+BH306*BH251+BI306*BI251+BJ306*BJ251+BK306*BK251+BL306*BL251+BM306*BM251+BN306*BN251+BO306*BO251+BP306*BP251+BQ306*BQ251+BR306*BR251+BS306*BS251+BT306*BT251+BU306*BU251+BV306*BV251+BW306*BW251+BX306*BX251+BY306*BY251+BZ306*BZ251+CA306*CA251+CB306*CB251+CC306*CC251+CD306*CD251+CE306*CE251+CF306*CF251+CG306*CG251+CH306*CH251+CI306*CI251+CJ306*CJ251+CK306*CK251+CL306*CL251+CM306*CM251+CN306*CN251+CO306*CO251+CP306*CP251+CQ306*CQ251+CR306*CR251+CS306*CS251+CT306*CT251+CU306*CU251</f>
        <v>0</v>
      </c>
      <c r="DF251" s="2882">
        <f>E307*E251+F307*F251+G307*G251+H307*H251+I307*I251+J307*J251+K307*K251+L307*L251+M307*M251+N307*N251+O307*O251+P307*P251+Q307*Q251+R307*R251+S307*S251+T307*T251+U307*U251+V307*V251+W307*W251+X307*X251+Y307*Y251+Z307*Z251+AA307*AA251+AB307*AB251+AC307*AC251+AD307*AD251+AE307*AE251+AF307*AF251+AG307*AG251+AH307*AH251+AI307*AI251+AJ307*AJ251+AK307*AK251+AL307*AL251+AM307*AM251+AN307*AN251+AO307*AO251+AP307*AP251+AQ307*AQ251+AR307*AR251+AS307*AS251+AT307*AT251+AU307*AU251+AV307*AV251+AW307*AW251+AX307*AX251+AY307*AY251+AZ307*AZ251+BA307*BA251+BB307*BB251+BC307*BC251+BD307*BD251+BE307*BE251+BF307*BF251+BG307*BG251+BH307*BH251+BI307*BI251+BJ307*BJ251+BK307*BK251+BL307*BL251+BM307*BM251+BN307*BN251+BO307*BO251+BP307*BP251+BQ307*BQ251+BR307*BR251+BS307*BS251+BT307*BT251+BU307*BU251+BV307*BV251+BW307*BW251+BX307*BX251+BY307*BY251+BZ307*BZ251+CA307*CA251+CB307*CB251+CC307*CC251+CD307*CD251+CE307*CE251+CF307*CF251+CG307*CG251+CH307*CH251+CI307*CI251+CJ307*CJ251+CK307*CK251+CL307*CL251+CM307*CM251+CN307*CN251+CO307*CO251+CP307*CP251+CQ307*CQ251+CR307*CR251+CS307*CS251+CT307*CT251+CU307*CU251</f>
        <v>0</v>
      </c>
      <c r="DG251" s="2882">
        <f>E308*E251+F308*F251+G308*G251+H308*H251+I308*I251+J308*J251+K308*K251+L308*L251+M308*M251+N308*N251+O308*O251+P308*P251+Q308*Q251+R308*R251+S308*S251+T308*T251+U308*U251+V308*V251+W308*W251+X308*X251+Y308*Y251+Z308*Z251+AA308*AA251+AB308*AB251+AC308*AC251+AD308*AD251+AE308*AE251+AF308*AF251+AG308*AG251+AH308*AH251+AI308*AI251+AJ308*AJ251+AK308*AK251+AL308*AL251+AM308*AM251+AN308*AN251+AO308*AO251+AP308*AP251+AQ308*AQ251+AR308*AR251+AS308*AS251+AT308*AT251+AU308*AU251+AV308*AV251+AW308*AW251+AX308*AX251+AY308*AY251+AZ308*AZ251+BA308*BA251+BB308*BB251+BC308*BC251+BD308*BD251+BE308*BE251+BF308*BF251+BG308*BG251+BH308*BH251+BI308*BI251+BJ308*BJ251+BK308*BK251+BL308*BL251+BM308*BM251+BN308*BN251+BO308*BO251+BP308*BP251+BQ308*BQ251+BR308*BR251+BS308*BS251+BT308*BT251+BU308*BU251+BV308*BV251+BW308*BW251+BX308*BX251+BY308*BY251+BZ308*BZ251+CA308*CA251+CB308*CB251+CC308*CC251+CD308*CD251+CE308*CE251+CF308*CF251+CG308*CG251+CH308*CH251+CI308*CI251+CJ308*CJ251+CK308*CK251+CL308*CL251+CM308*CM251+CN308*CN251+CO308*CO251+CP308*CP251+CQ308*CQ251+CR308*CR251+CS308*CS251+CT308*CT251+CU308*CU251</f>
        <v>0</v>
      </c>
      <c r="DH251" s="2882">
        <f>E309*E251+F309*F251+G309*G251+H309*H251+I309*I251+J309*J251+K309*K251+L309*L251+M309*M251+N309*N251+O309*O251+P309*P251+Q309*Q251+R309*R251+S309*S251+T309*T251+U309*U251+V309*V251+W309*W251+X309*X251+Y309*Y251+Z309*Z251+AA309*AA251+AB309*AB251+AC309*AC251+AD309*AD251+AE309*AE251+AF309*AF251+AG309*AG251+AH309*AH251+AI309*AI251+AJ309*AJ251+AK309*AK251+AL309*AL251+AM309*AM251+AN309*AN251+AO309*AO251+AP309*AP251+AQ309*AQ251+AR309*AR251+AS309*AS251+AT309*AT251+AU309*AU251+AV309*AV251+AW309*AW251+AX309*AX251+AY309*AY251+AZ309*AZ251+BA309*BA251+BB309*BB251+BC309*BC251+BD309*BD251+BE309*BE251+BF309*BF251+BG309*BG251+BH309*BH251+BI309*BI251+BJ309*BJ251+BK309*BK251+BL309*BL251+BM309*BM251+BN309*BN251+BO309*BO251+BP309*BP251+BQ309*BQ251+BR309*BR251+BS309*BS251+BT309*BT251+BU309*BU251+BV309*BV251+BW309*BW251+BX309*BX251+BY309*BY251+BZ309*BZ251+CA309*CA251+CB309*CB251+CC309*CC251+CD309*CD251+CE309*CE251+CF309*CF251+CG309*CG251+CH309*CH251+CI309*CI251+CJ309*CJ251+CK309*CK251+CL309*CL251+CM309*CM251+CN309*CN251+CO309*CO251+CP309*CP251+CQ309*CQ251+CR309*CR251+CS309*CS251+CT309*CT251+CU309*CU251</f>
        <v>0</v>
      </c>
      <c r="DI251" s="2882">
        <f>E310*E251+F310*F251+G310*G251+H310*H251+I310*I251+J310*J251+K310*K251+L310*L251+M310*M251+N310*N251+O310*O251+P310*P251+Q310*Q251+R310*R251+S310*S251+T310*T251+U310*U251+V310*V251+W310*W251+X310*X251+Y310*Y251+Z310*Z251+AA310*AA251+AB310*AB251+AC310*AC251+AD310*AD251+AE310*AE251+AF310*AF251+AG310*AG251+AH310*AH251+AI310*AI251+AJ310*AJ251+AK310*AK251+AL310*AL251+AM310*AM251+AN310*AN251+AO310*AO251+AP310*AP251+AQ310*AQ251+AR310*AR251+AS310*AS251+AT310*AT251+AU310*AU251+AV310*AV251+AW310*AW251+AX310*AX251+AY310*AY251+AZ310*AZ251+BA310*BA251+BB310*BB251+BC310*BC251+BD310*BD251+BE310*BE251+BF310*BF251+BG310*BG251+BH310*BH251+BI310*BI251+BJ310*BJ251+BK310*BK251+BL310*BL251+BM310*BM251+BN310*BN251+BO310*BO251+BP310*BP251+BQ310*BQ251+BR310*BR251+BS310*BS251+BT310*BT251+BU310*BU251+BV310*BV251+BW310*BW251+BX310*BX251+BY310*BY251+BZ310*BZ251+CA310*CA251+CB310*CB251+CC310*CC251+CD310*CD251+CE310*CE251+CF310*CF251+CG310*CG251+CH310*CH251+CI310*CI251+CJ310*CJ251+CK310*CK251+CL310*CL251+CM310*CM251+CN310*CN251+CO310*CO251+CP310*CP251+CQ310*CQ251+CR310*CR251+CS310*CS251+CT310*CT251+CU310*CU251</f>
        <v>0</v>
      </c>
    </row>
    <row r="252" spans="2:113" x14ac:dyDescent="0.45">
      <c r="B252" s="815">
        <v>93</v>
      </c>
      <c r="C252" s="815" t="s">
        <v>3426</v>
      </c>
      <c r="D252" s="816" t="s">
        <v>3211</v>
      </c>
      <c r="E252" s="739">
        <f>0</f>
        <v>0</v>
      </c>
      <c r="F252" s="739">
        <f>0</f>
        <v>0</v>
      </c>
      <c r="G252" s="739">
        <f>0</f>
        <v>0</v>
      </c>
      <c r="H252" s="739">
        <f>0</f>
        <v>0</v>
      </c>
      <c r="I252" s="739">
        <f>0</f>
        <v>0</v>
      </c>
      <c r="J252" s="739">
        <f>0</f>
        <v>0</v>
      </c>
      <c r="K252" s="739">
        <f>0</f>
        <v>0</v>
      </c>
      <c r="L252" s="739">
        <f>0</f>
        <v>0</v>
      </c>
      <c r="M252" s="739">
        <f>0</f>
        <v>0</v>
      </c>
      <c r="N252" s="739">
        <f>0</f>
        <v>0</v>
      </c>
      <c r="O252" s="739">
        <f>0</f>
        <v>0</v>
      </c>
      <c r="P252" s="739">
        <f>0</f>
        <v>0</v>
      </c>
      <c r="Q252" s="817">
        <f>0</f>
        <v>0</v>
      </c>
      <c r="R252" s="739">
        <f>0</f>
        <v>0</v>
      </c>
      <c r="S252" s="739">
        <f>0</f>
        <v>0</v>
      </c>
      <c r="T252" s="739">
        <f>0</f>
        <v>0</v>
      </c>
      <c r="U252" s="739">
        <f>0</f>
        <v>0</v>
      </c>
      <c r="V252" s="739">
        <f>0</f>
        <v>0</v>
      </c>
      <c r="W252" s="739">
        <f>0</f>
        <v>0</v>
      </c>
      <c r="X252" s="739">
        <f>0</f>
        <v>0</v>
      </c>
      <c r="Y252" s="739">
        <f>0</f>
        <v>0</v>
      </c>
      <c r="Z252" s="739">
        <f>0</f>
        <v>0</v>
      </c>
      <c r="AA252" s="739">
        <f>0</f>
        <v>0</v>
      </c>
      <c r="AB252" s="739">
        <f>0</f>
        <v>0</v>
      </c>
      <c r="AC252" s="739">
        <f>0</f>
        <v>0</v>
      </c>
      <c r="AD252" s="739">
        <f>0</f>
        <v>0</v>
      </c>
      <c r="AE252" s="739">
        <f>0</f>
        <v>0</v>
      </c>
      <c r="AF252" s="739">
        <f>0</f>
        <v>0</v>
      </c>
      <c r="AG252" s="739">
        <f>0</f>
        <v>0</v>
      </c>
      <c r="AH252" s="739">
        <f>0</f>
        <v>0</v>
      </c>
      <c r="AI252" s="739">
        <f>0</f>
        <v>0</v>
      </c>
      <c r="AJ252" s="739">
        <f>0</f>
        <v>0</v>
      </c>
      <c r="AK252" s="739">
        <f>0</f>
        <v>0</v>
      </c>
      <c r="AL252" s="739">
        <f>0</f>
        <v>0</v>
      </c>
      <c r="AM252" s="739">
        <f>0</f>
        <v>0</v>
      </c>
      <c r="AN252" s="739">
        <f>0</f>
        <v>0</v>
      </c>
      <c r="AO252" s="739">
        <f>0</f>
        <v>0</v>
      </c>
      <c r="AP252" s="739">
        <f>0</f>
        <v>0</v>
      </c>
      <c r="AQ252" s="739">
        <f>0</f>
        <v>0</v>
      </c>
      <c r="AR252" s="739">
        <f>0</f>
        <v>0</v>
      </c>
      <c r="AS252" s="739">
        <f>0</f>
        <v>0</v>
      </c>
      <c r="AT252" s="739">
        <f>0</f>
        <v>0</v>
      </c>
      <c r="AU252" s="739">
        <f>1</f>
        <v>1</v>
      </c>
      <c r="AV252" s="739">
        <f>0</f>
        <v>0</v>
      </c>
      <c r="AW252" s="739">
        <f>0</f>
        <v>0</v>
      </c>
      <c r="AX252" s="739">
        <f>0</f>
        <v>0</v>
      </c>
      <c r="AY252" s="739">
        <f>0</f>
        <v>0</v>
      </c>
      <c r="AZ252" s="739">
        <f>0</f>
        <v>0</v>
      </c>
      <c r="BA252" s="739">
        <f>0</f>
        <v>0</v>
      </c>
      <c r="BB252" s="739">
        <f>0</f>
        <v>0</v>
      </c>
      <c r="BC252" s="739">
        <f>0</f>
        <v>0</v>
      </c>
      <c r="BD252" s="739">
        <f>0</f>
        <v>0</v>
      </c>
      <c r="BE252" s="817">
        <f>0</f>
        <v>0</v>
      </c>
      <c r="BF252" s="817">
        <f>0</f>
        <v>0</v>
      </c>
      <c r="BG252" s="817">
        <f>0</f>
        <v>0</v>
      </c>
      <c r="BH252" s="817">
        <f>0</f>
        <v>0</v>
      </c>
      <c r="BI252" s="817">
        <f>0</f>
        <v>0</v>
      </c>
      <c r="BJ252" s="817">
        <f>0</f>
        <v>0</v>
      </c>
      <c r="BK252" s="817">
        <f>0</f>
        <v>0</v>
      </c>
      <c r="BL252" s="817">
        <f>0</f>
        <v>0</v>
      </c>
      <c r="BM252" s="817">
        <f>0</f>
        <v>0</v>
      </c>
      <c r="BN252" s="817">
        <f>0</f>
        <v>0</v>
      </c>
      <c r="BO252" s="817">
        <f>0</f>
        <v>0</v>
      </c>
      <c r="BP252" s="817">
        <f>0</f>
        <v>0</v>
      </c>
      <c r="BQ252" s="817">
        <f>0</f>
        <v>0</v>
      </c>
      <c r="BR252" s="817">
        <f>0</f>
        <v>0</v>
      </c>
      <c r="BS252" s="817">
        <f>0</f>
        <v>0</v>
      </c>
      <c r="BT252" s="817">
        <f>0</f>
        <v>0</v>
      </c>
      <c r="BU252" s="817">
        <f>0</f>
        <v>0</v>
      </c>
      <c r="BV252" s="907">
        <f>0</f>
        <v>0</v>
      </c>
      <c r="BW252" s="817">
        <f>0</f>
        <v>0</v>
      </c>
      <c r="BX252" s="817">
        <f>0</f>
        <v>0</v>
      </c>
      <c r="BY252" s="817">
        <f>0</f>
        <v>0</v>
      </c>
      <c r="BZ252" s="817">
        <f>0</f>
        <v>0</v>
      </c>
      <c r="CA252" s="907">
        <f>0</f>
        <v>0</v>
      </c>
      <c r="CB252" s="739">
        <f>-1</f>
        <v>-1</v>
      </c>
      <c r="CC252" s="739">
        <f>0</f>
        <v>0</v>
      </c>
      <c r="CD252" s="739">
        <f>0</f>
        <v>0</v>
      </c>
      <c r="CE252" s="739">
        <f>0</f>
        <v>0</v>
      </c>
      <c r="CF252" s="739">
        <f>0</f>
        <v>0</v>
      </c>
      <c r="CG252" s="739">
        <f>0</f>
        <v>0</v>
      </c>
      <c r="CH252" s="739">
        <f>0</f>
        <v>0</v>
      </c>
      <c r="CI252" s="739">
        <f>0</f>
        <v>0</v>
      </c>
      <c r="CJ252" s="739">
        <f>0</f>
        <v>0</v>
      </c>
      <c r="CK252" s="817">
        <f>0</f>
        <v>0</v>
      </c>
      <c r="CL252" s="817">
        <f>0</f>
        <v>0</v>
      </c>
      <c r="CM252" s="817">
        <f>0</f>
        <v>0</v>
      </c>
      <c r="CN252" s="817">
        <f>0</f>
        <v>0</v>
      </c>
      <c r="CO252" s="817">
        <f>0</f>
        <v>0</v>
      </c>
      <c r="CP252" s="739">
        <f>0</f>
        <v>0</v>
      </c>
      <c r="CQ252" s="739">
        <f>0</f>
        <v>0</v>
      </c>
      <c r="CR252" s="817">
        <f>0</f>
        <v>0</v>
      </c>
      <c r="CS252" s="817">
        <f>0</f>
        <v>0</v>
      </c>
      <c r="CT252" s="817">
        <f>0</f>
        <v>0</v>
      </c>
      <c r="CU252" s="817">
        <f>0</f>
        <v>0</v>
      </c>
      <c r="CV252" s="2869">
        <f>k_transfer_GCO2_bub</f>
        <v>2861.6873452767227</v>
      </c>
      <c r="CX252" s="2880">
        <f>E299*E252+F299*F252+G299*G252+H299*H252+I299*I252+J299*J252+K299*K252+L299*L252+M299*M252+N299*N252+O299*O252+P299*P252+Q299*Q252+R299*R252+S299*S252+T299*T252+U299*U252+V299*V252+W299*W252+X299*X252+Y299*Y252+Z299*Z252+AA299*AA252+AB299*AB252+AC299*AC252+AD299*AD252+AE299*AE252+AF299*AF252+AG299*AG252+AH299*AH252+AI299*AI252+AJ299*AJ252+AK299*AK252+AL299*AL252+AM299*AM252+AN299*AN252+AO299*AO252+AP299*AP252+AQ299*AQ252+AR299*AR252+AS299*AS252+AT299*AT252+AU299*AU252+AV299*AV252+AW299*AW252+AX299*AX252+AY299*AY252+AZ299*AZ252+BA299*BA252+BB299*BB252+BC299*BC252+BD299*BD252+BE299*BE252+BF299*BF252+BG299*BG252+BH299*BH252+BI299*BI252+BJ299*BJ252+BK299*BK252+BL299*BL252+BM299*BM252+BN299*BN252+BO299*BO252+BP299*BP252+BQ299*BQ252+BR299*BR252+BS299*BS252+BT299*BT252+BU299*BU252+BV299*BV252+BW299*BW252+BX299*BX252+BY299*BY252+BZ299*BZ252+CA299*CA252+CB299*CB252+CC299*CC252+CD299*CD252+CE299*CE252+CF299*CF252+CG299*CG252+CH299*CH252+CI299*CI252+CJ299*CJ252+CK299*CK252+CL299*CL252+CM299*CM252+CN299*CN252+CO299*CO252+CP299*CP252+CQ299*CQ252+CR299*CR252+CS299*CS252+CT299*CT252+CU299*CU252</f>
        <v>0</v>
      </c>
      <c r="CY252" s="2880">
        <f>E300*E252+F300*F252+G300*G252+H300*H252+I300*I252+J300*J252+K300*K252+L300*L252+M300*M252+N300*N252+O300*O252+P300*P252+Q300*Q252+R300*R252+S300*S252+T300*T252+U300*U252+V300*V252+W300*W252+X300*X252+Y300*Y252+Z300*Z252+AA300*AA252+AB300*AB252+AC300*AC252+AD300*AD252+AE300*AE252+AF300*AF252+AG300*AG252+AH300*AH252+AI300*AI252+AJ300*AJ252+AK300*AK252+AL300*AL252+AM300*AM252+AN300*AN252+AO300*AO252+AP300*AP252+AQ300*AQ252+AR300*AR252+AS300*AS252+AT300*AT252+AU300*AU252+AV300*AV252+AW300*AW252+AX300*AX252+AY300*AY252+AZ300*AZ252+BA300*BA252+BB300*BB252+BC300*BC252+BD300*BD252+BE300*BE252+BF300*BF252+BG300*BG252+BH300*BH252+BI300*BI252+BJ300*BJ252+BK300*BK252+BL300*BL252+BM300*BM252+BN300*BN252+BO300*BO252+BP300*BP252+BQ300*BQ252+BR300*BR252+BS300*BS252+BT300*BT252+BU300*BU252+BV300*BV252+BW300*BW252+BX300*BX252+BY300*BY252+BZ300*BZ252+CA300*CA252+CB300*CB252+CC300*CC252+CD300*CD252+CE300*CE252+CF300*CF252+CG300*CG252+CH300*CH252+CI300*CI252+CJ300*CJ252+CK300*CK252+CL300*CL252+CM300*CM252+CN300*CN252+CO300*CO252+CP300*CP252+CQ300*CQ252+CR300*CR252+CS300*CS252+CT300*CT252+CU300*CU252</f>
        <v>0</v>
      </c>
      <c r="CZ252" s="2881">
        <f>E301*E252+F301*F252+G301*G252+H301*H252+I301*I252+J301*J252+K301*K252+L301*L252+M301*M252+N301*N252+O301*O252+P301*P252+Q301*Q252+R301*R252+S301*S252+T301*T252+U301*U252+V301*V252+W301*W252+X301*X252+Y301*Y252+Z301*Z252+AA301*AA252+AB301*AB252+AC301*AC252+AD301*AD252+AE301*AE252+AF301*AF252+AG301*AG252+AH301*AH252+AI301*AI252+AJ301*AJ252+AK301*AK252+AL301*AL252+AM301*AM252+AN301*AN252+AO301*AO252+AP301*AP252+AQ301*AQ252+AR301*AR252+AS301*AS252+AT301*AT252+AU301*AU252+AV301*AV252+AW301*AW252+AX301*AX252+AY301*AY252+AZ301*AZ252+BA301*BA252+BB301*BB252+BC301*BC252+BD301*BD252+BE301*BE252+BF301*BF252+BG301*BG252+BH301*BH252+BI301*BI252+BJ301*BJ252+BK301*BK252+BL301*BL252+BM301*BM252+BN301*BN252+BO301*BO252+BP301*BP252+BQ301*BQ252+BR301*BR252+BS301*BS252+BT301*BT252+BU301*BU252+BV301*BV252+BW301*BW252+BX301*BX252+BY301*BY252+BZ301*BZ252+CA301*CA252+CB301*CB252+CC301*CC252+CD301*CD252+CE301*CE252+CF301*CF252+CG301*CG252+CH301*CH252+CI301*CI252+CJ301*CJ252+CK301*CK252+CL301*CL252+CM301*CM252+CN301*CN252+CO301*CO252+CP301*CP252+CQ301*CQ252+CR301*CR252+CS301*CS252+CT301*CT252+CU301*CU252</f>
        <v>0</v>
      </c>
      <c r="DA252" s="2882">
        <f>E302*E252+F302*F252+G302*G252+H302*H252+I302*I252+J302*J252+K302*K252+L302*L252+M302*M252+N302*N252+O302*O252+P302*P252+Q302*Q252+R302*R252+S302*S252+T302*T252+U302*U252+V302*V252+W302*W252+X302*X252+Y302*Y252+Z302*Z252+AA302*AA252+AB302*AB252+AC302*AC252+AD302*AD252+AE302*AE252+AF302*AF252+AG302*AG252+AH302*AH252+AI302*AI252+AJ302*AJ252+AK302*AK252+AL302*AL252+AM302*AM252+AN302*AN252+AO302*AO252+AP302*AP252+AQ302*AQ252+AR302*AR252+AS302*AS252+AT302*AT252+AU302*AU252+AV302*AV252+AW302*AW252+AX302*AX252+AY302*AY252+AZ302*AZ252+BA302*BA252+BB302*BB252+BC302*BC252+BD302*BD252+BE302*BE252+BF302*BF252+BG302*BG252+BH302*BH252+BI302*BI252+BJ302*BJ252+BK302*BK252+BL302*BL252+BM302*BM252+BN302*BN252+BO302*BO252+BP302*BP252+BQ302*BQ252+BR302*BR252+BS302*BS252+BT302*BT252+BU302*BU252+BV302*BV252+BW302*BW252+BX302*BX252+BY302*BY252+BZ302*BZ252+CA302*CA252+CB302*CB252+CC302*CC252+CD302*CD252+CE302*CE252+CF302*CF252+CG302*CG252+CH302*CH252+CI302*CI252+CJ302*CJ252+CK302*CK252+CL302*CL252+CM302*CM252+CN302*CN252+CO302*CO252+CP302*CP252+CQ302*CQ252+CR302*CR252+CS302*CS252+CT302*CT252+CU302*CU252</f>
        <v>0</v>
      </c>
      <c r="DB252" s="2882">
        <f>E303*E252+F303*F252+G303*G252+H303*H252+I303*I252+J303*J252+K303*K252+L303*L252+M303*M252+N303*N252+O303*O252+P303*P252+Q303*Q252+R303*R252+S303*S252+T303*T252+U303*U252+V303*V252+W303*W252+X303*X252+Y303*Y252+Z303*Z252+AA303*AA252+AB303*AB252+AC303*AC252+AD303*AD252+AE303*AE252+AF303*AF252+AG303*AG252+AH303*AH252+AI303*AI252+AJ303*AJ252+AK303*AK252+AL303*AL252+AM303*AM252+AN303*AN252+AO303*AO252+AP303*AP252+AQ303*AQ252+AR303*AR252+AS303*AS252+AT303*AT252+AU303*AU252+AV303*AV252+AW303*AW252+AX303*AX252+AY303*AY252+AZ303*AZ252+BA303*BA252+BB303*BB252+BC303*BC252+BD303*BD252+BE303*BE252+BF303*BF252+BG303*BG252+BH303*BH252+BI303*BI252+BJ303*BJ252+BK303*BK252+BL303*BL252+BM303*BM252+BN303*BN252+BO303*BO252+BP303*BP252+BQ303*BQ252+BR303*BR252+BS303*BS252+BT303*BT252+BU303*BU252+BV303*BV252+BW303*BW252+BX303*BX252+BY303*BY252+BZ303*BZ252+CA303*CA252+CB303*CB252+CC303*CC252+CD303*CD252+CE303*CE252+CF303*CF252+CG303*CG252+CH303*CH252+CI303*CI252+CJ303*CJ252+CK303*CK252+CL303*CL252+CM303*CM252+CN303*CN252+CO303*CO252+CP303*CP252+CQ303*CQ252+CR303*CR252+CS303*CS252+CT303*CT252+CU303*CU252</f>
        <v>0</v>
      </c>
      <c r="DC252" s="2882">
        <f>E304*E252+F304*F252+G304*G252+H304*H252+I304*I252+J304*J252+K304*K252+L304*L252+M304*M252+N304*N252+O304*O252+P304*P252+Q304*Q252+R304*R252+S304*S252+T304*T252+U304*U252+V304*V252+W304*W252+X304*X252+Y304*Y252+Z304*Z252+AA304*AA252+AB304*AB252+AC304*AC252+AD304*AD252+AE304*AE252+AF304*AF252+AG304*AG252+AH304*AH252+AI304*AI252+AJ304*AJ252+AK304*AK252+AL304*AL252+AM304*AM252+AN304*AN252+AO304*AO252+AP304*AP252+AQ304*AQ252+AR304*AR252+AS304*AS252+AT304*AT252+AU304*AU252+AV304*AV252+AW304*AW252+AX304*AX252+AY304*AY252+AZ304*AZ252+BA304*BA252+BB304*BB252+BC304*BC252+BD304*BD252+BE304*BE252+BF304*BF252+BG304*BG252+BH304*BH252+BI304*BI252+BJ304*BJ252+BK304*BK252+BL304*BL252+BM304*BM252+BN304*BN252+BO304*BO252+BP304*BP252+BQ304*BQ252+BR304*BR252+BS304*BS252+BT304*BT252+BU304*BU252+BV304*BV252+BW304*BW252+BX304*BX252+BY304*BY252+BZ304*BZ252+CA304*CA252+CB304*CB252+CC304*CC252+CD304*CD252+CE304*CE252+CF304*CF252+CG304*CG252+CH304*CH252+CI304*CI252+CJ304*CJ252+CK304*CK252+CL304*CL252+CM304*CM252+CN304*CN252+CO304*CO252+CP304*CP252+CQ304*CQ252+CR304*CR252+CS304*CS252+CT304*CT252+CU304*CU252</f>
        <v>0</v>
      </c>
      <c r="DD252" s="2882">
        <f>E305*E252+F305*F252+G305*G252+H305*H252+I305*I252+J305*J252+K305*K252+L305*L252+M305*M252+N305*N252+O305*O252+P305*P252+Q305*Q252+R305*R252+S305*S252+T305*T252+U305*U252+V305*V252+W305*W252+X305*X252+Y305*Y252+Z305*Z252+AA305*AA252+AB305*AB252+AC305*AC252+AD305*AD252+AE305*AE252+AF305*AF252+AG305*AG252+AH305*AH252+AI305*AI252+AJ305*AJ252+AK305*AK252+AL305*AL252+AM305*AM252+AN305*AN252+AO305*AO252+AP305*AP252+AQ305*AQ252+AR305*AR252+AS305*AS252+AT305*AT252+AU305*AU252+AV305*AV252+AW305*AW252+AX305*AX252+AY305*AY252+AZ305*AZ252+BA305*BA252+BB305*BB252+BC305*BC252+BD305*BD252+BE305*BE252+BF305*BF252+BG305*BG252+BH305*BH252+BI305*BI252+BJ305*BJ252+BK305*BK252+BL305*BL252+BM305*BM252+BN305*BN252+BO305*BO252+BP305*BP252+BQ305*BQ252+BR305*BR252+BS305*BS252+BT305*BT252+BU305*BU252+BV305*BV252+BW305*BW252+BX305*BX252+BY305*BY252+BZ305*BZ252+CA305*CA252+CB305*CB252+CC305*CC252+CD305*CD252+CE305*CE252+CF305*CF252+CG305*CG252+CH305*CH252+CI305*CI252+CJ305*CJ252+CK305*CK252+CL305*CL252+CM305*CM252+CN305*CN252+CO305*CO252+CP305*CP252+CQ305*CQ252+CR305*CR252+CS305*CS252+CT305*CT252+CU305*CU252</f>
        <v>0</v>
      </c>
      <c r="DE252" s="2882">
        <f>E306*E252+F306*F252+G306*G252+H306*H252+I306*I252+J306*J252+K306*K252+L306*L252+M306*M252+N306*N252+O306*O252+P306*P252+Q306*Q252+R306*R252+S306*S252+T306*T252+U306*U252+V306*V252+W306*W252+X306*X252+Y306*Y252+Z306*Z252+AA306*AA252+AB306*AB252+AC306*AC252+AD306*AD252+AE306*AE252+AF306*AF252+AG306*AG252+AH306*AH252+AI306*AI252+AJ306*AJ252+AK306*AK252+AL306*AL252+AM306*AM252+AN306*AN252+AO306*AO252+AP306*AP252+AQ306*AQ252+AR306*AR252+AS306*AS252+AT306*AT252+AU306*AU252+AV306*AV252+AW306*AW252+AX306*AX252+AY306*AY252+AZ306*AZ252+BA306*BA252+BB306*BB252+BC306*BC252+BD306*BD252+BE306*BE252+BF306*BF252+BG306*BG252+BH306*BH252+BI306*BI252+BJ306*BJ252+BK306*BK252+BL306*BL252+BM306*BM252+BN306*BN252+BO306*BO252+BP306*BP252+BQ306*BQ252+BR306*BR252+BS306*BS252+BT306*BT252+BU306*BU252+BV306*BV252+BW306*BW252+BX306*BX252+BY306*BY252+BZ306*BZ252+CA306*CA252+CB306*CB252+CC306*CC252+CD306*CD252+CE306*CE252+CF306*CF252+CG306*CG252+CH306*CH252+CI306*CI252+CJ306*CJ252+CK306*CK252+CL306*CL252+CM306*CM252+CN306*CN252+CO306*CO252+CP306*CP252+CQ306*CQ252+CR306*CR252+CS306*CS252+CT306*CT252+CU306*CU252</f>
        <v>0</v>
      </c>
      <c r="DF252" s="2882">
        <f>E307*E252+F307*F252+G307*G252+H307*H252+I307*I252+J307*J252+K307*K252+L307*L252+M307*M252+N307*N252+O307*O252+P307*P252+Q307*Q252+R307*R252+S307*S252+T307*T252+U307*U252+V307*V252+W307*W252+X307*X252+Y307*Y252+Z307*Z252+AA307*AA252+AB307*AB252+AC307*AC252+AD307*AD252+AE307*AE252+AF307*AF252+AG307*AG252+AH307*AH252+AI307*AI252+AJ307*AJ252+AK307*AK252+AL307*AL252+AM307*AM252+AN307*AN252+AO307*AO252+AP307*AP252+AQ307*AQ252+AR307*AR252+AS307*AS252+AT307*AT252+AU307*AU252+AV307*AV252+AW307*AW252+AX307*AX252+AY307*AY252+AZ307*AZ252+BA307*BA252+BB307*BB252+BC307*BC252+BD307*BD252+BE307*BE252+BF307*BF252+BG307*BG252+BH307*BH252+BI307*BI252+BJ307*BJ252+BK307*BK252+BL307*BL252+BM307*BM252+BN307*BN252+BO307*BO252+BP307*BP252+BQ307*BQ252+BR307*BR252+BS307*BS252+BT307*BT252+BU307*BU252+BV307*BV252+BW307*BW252+BX307*BX252+BY307*BY252+BZ307*BZ252+CA307*CA252+CB307*CB252+CC307*CC252+CD307*CD252+CE307*CE252+CF307*CF252+CG307*CG252+CH307*CH252+CI307*CI252+CJ307*CJ252+CK307*CK252+CL307*CL252+CM307*CM252+CN307*CN252+CO307*CO252+CP307*CP252+CQ307*CQ252+CR307*CR252+CS307*CS252+CT307*CT252+CU307*CU252</f>
        <v>0</v>
      </c>
      <c r="DG252" s="2882">
        <f>E308*E252+F308*F252+G308*G252+H308*H252+I308*I252+J308*J252+K308*K252+L308*L252+M308*M252+N308*N252+O308*O252+P308*P252+Q308*Q252+R308*R252+S308*S252+T308*T252+U308*U252+V308*V252+W308*W252+X308*X252+Y308*Y252+Z308*Z252+AA308*AA252+AB308*AB252+AC308*AC252+AD308*AD252+AE308*AE252+AF308*AF252+AG308*AG252+AH308*AH252+AI308*AI252+AJ308*AJ252+AK308*AK252+AL308*AL252+AM308*AM252+AN308*AN252+AO308*AO252+AP308*AP252+AQ308*AQ252+AR308*AR252+AS308*AS252+AT308*AT252+AU308*AU252+AV308*AV252+AW308*AW252+AX308*AX252+AY308*AY252+AZ308*AZ252+BA308*BA252+BB308*BB252+BC308*BC252+BD308*BD252+BE308*BE252+BF308*BF252+BG308*BG252+BH308*BH252+BI308*BI252+BJ308*BJ252+BK308*BK252+BL308*BL252+BM308*BM252+BN308*BN252+BO308*BO252+BP308*BP252+BQ308*BQ252+BR308*BR252+BS308*BS252+BT308*BT252+BU308*BU252+BV308*BV252+BW308*BW252+BX308*BX252+BY308*BY252+BZ308*BZ252+CA308*CA252+CB308*CB252+CC308*CC252+CD308*CD252+CE308*CE252+CF308*CF252+CG308*CG252+CH308*CH252+CI308*CI252+CJ308*CJ252+CK308*CK252+CL308*CL252+CM308*CM252+CN308*CN252+CO308*CO252+CP308*CP252+CQ308*CQ252+CR308*CR252+CS308*CS252+CT308*CT252+CU308*CU252</f>
        <v>0</v>
      </c>
      <c r="DH252" s="2882">
        <f>E309*E252+F309*F252+G309*G252+H309*H252+I309*I252+J309*J252+K309*K252+L309*L252+M309*M252+N309*N252+O309*O252+P309*P252+Q309*Q252+R309*R252+S309*S252+T309*T252+U309*U252+V309*V252+W309*W252+X309*X252+Y309*Y252+Z309*Z252+AA309*AA252+AB309*AB252+AC309*AC252+AD309*AD252+AE309*AE252+AF309*AF252+AG309*AG252+AH309*AH252+AI309*AI252+AJ309*AJ252+AK309*AK252+AL309*AL252+AM309*AM252+AN309*AN252+AO309*AO252+AP309*AP252+AQ309*AQ252+AR309*AR252+AS309*AS252+AT309*AT252+AU309*AU252+AV309*AV252+AW309*AW252+AX309*AX252+AY309*AY252+AZ309*AZ252+BA309*BA252+BB309*BB252+BC309*BC252+BD309*BD252+BE309*BE252+BF309*BF252+BG309*BG252+BH309*BH252+BI309*BI252+BJ309*BJ252+BK309*BK252+BL309*BL252+BM309*BM252+BN309*BN252+BO309*BO252+BP309*BP252+BQ309*BQ252+BR309*BR252+BS309*BS252+BT309*BT252+BU309*BU252+BV309*BV252+BW309*BW252+BX309*BX252+BY309*BY252+BZ309*BZ252+CA309*CA252+CB309*CB252+CC309*CC252+CD309*CD252+CE309*CE252+CF309*CF252+CG309*CG252+CH309*CH252+CI309*CI252+CJ309*CJ252+CK309*CK252+CL309*CL252+CM309*CM252+CN309*CN252+CO309*CO252+CP309*CP252+CQ309*CQ252+CR309*CR252+CS309*CS252+CT309*CT252+CU309*CU252</f>
        <v>0</v>
      </c>
      <c r="DI252" s="2882">
        <f>E310*E252+F310*F252+G310*G252+H310*H252+I310*I252+J310*J252+K310*K252+L310*L252+M310*M252+N310*N252+O310*O252+P310*P252+Q310*Q252+R310*R252+S310*S252+T310*T252+U310*U252+V310*V252+W310*W252+X310*X252+Y310*Y252+Z310*Z252+AA310*AA252+AB310*AB252+AC310*AC252+AD310*AD252+AE310*AE252+AF310*AF252+AG310*AG252+AH310*AH252+AI310*AI252+AJ310*AJ252+AK310*AK252+AL310*AL252+AM310*AM252+AN310*AN252+AO310*AO252+AP310*AP252+AQ310*AQ252+AR310*AR252+AS310*AS252+AT310*AT252+AU310*AU252+AV310*AV252+AW310*AW252+AX310*AX252+AY310*AY252+AZ310*AZ252+BA310*BA252+BB310*BB252+BC310*BC252+BD310*BD252+BE310*BE252+BF310*BF252+BG310*BG252+BH310*BH252+BI310*BI252+BJ310*BJ252+BK310*BK252+BL310*BL252+BM310*BM252+BN310*BN252+BO310*BO252+BP310*BP252+BQ310*BQ252+BR310*BR252+BS310*BS252+BT310*BT252+BU310*BU252+BV310*BV252+BW310*BW252+BX310*BX252+BY310*BY252+BZ310*BZ252+CA310*CA252+CB310*CB252+CC310*CC252+CD310*CD252+CE310*CE252+CF310*CF252+CG310*CG252+CH310*CH252+CI310*CI252+CJ310*CJ252+CK310*CK252+CL310*CL252+CM310*CM252+CN310*CN252+CO310*CO252+CP310*CP252+CQ310*CQ252+CR310*CR252+CS310*CS252+CT310*CT252+CU310*CU252</f>
        <v>0</v>
      </c>
    </row>
    <row r="253" spans="2:113" x14ac:dyDescent="0.45">
      <c r="B253" s="815">
        <v>94</v>
      </c>
      <c r="C253" s="815" t="s">
        <v>3448</v>
      </c>
      <c r="D253" s="816" t="s">
        <v>3212</v>
      </c>
      <c r="E253" s="739">
        <f>0</f>
        <v>0</v>
      </c>
      <c r="F253" s="739">
        <f>0</f>
        <v>0</v>
      </c>
      <c r="G253" s="739">
        <f>0</f>
        <v>0</v>
      </c>
      <c r="H253" s="739">
        <f>0</f>
        <v>0</v>
      </c>
      <c r="I253" s="739">
        <f>0</f>
        <v>0</v>
      </c>
      <c r="J253" s="739">
        <f>0</f>
        <v>0</v>
      </c>
      <c r="K253" s="739">
        <f>0</f>
        <v>0</v>
      </c>
      <c r="L253" s="739">
        <f>0</f>
        <v>0</v>
      </c>
      <c r="M253" s="739">
        <f>0</f>
        <v>0</v>
      </c>
      <c r="N253" s="739">
        <f>0</f>
        <v>0</v>
      </c>
      <c r="O253" s="739">
        <f>0</f>
        <v>0</v>
      </c>
      <c r="P253" s="739">
        <f>0</f>
        <v>0</v>
      </c>
      <c r="Q253" s="817">
        <f>0</f>
        <v>0</v>
      </c>
      <c r="R253" s="739">
        <f>0</f>
        <v>0</v>
      </c>
      <c r="S253" s="739">
        <f>0</f>
        <v>0</v>
      </c>
      <c r="T253" s="739">
        <f>0</f>
        <v>0</v>
      </c>
      <c r="U253" s="739">
        <f>0</f>
        <v>0</v>
      </c>
      <c r="V253" s="739">
        <f>0</f>
        <v>0</v>
      </c>
      <c r="W253" s="739">
        <f>0</f>
        <v>0</v>
      </c>
      <c r="X253" s="739">
        <f>0</f>
        <v>0</v>
      </c>
      <c r="Y253" s="739">
        <f>0</f>
        <v>0</v>
      </c>
      <c r="Z253" s="739">
        <f>0</f>
        <v>0</v>
      </c>
      <c r="AA253" s="739">
        <f>0</f>
        <v>0</v>
      </c>
      <c r="AB253" s="739">
        <f>0</f>
        <v>0</v>
      </c>
      <c r="AC253" s="739">
        <f>0</f>
        <v>0</v>
      </c>
      <c r="AD253" s="739">
        <f>0</f>
        <v>0</v>
      </c>
      <c r="AE253" s="739">
        <f>0</f>
        <v>0</v>
      </c>
      <c r="AF253" s="739">
        <f>0</f>
        <v>0</v>
      </c>
      <c r="AG253" s="739">
        <f>0</f>
        <v>0</v>
      </c>
      <c r="AH253" s="739">
        <f>0</f>
        <v>0</v>
      </c>
      <c r="AI253" s="739">
        <f>0</f>
        <v>0</v>
      </c>
      <c r="AJ253" s="739">
        <f>0</f>
        <v>0</v>
      </c>
      <c r="AK253" s="739">
        <f>0</f>
        <v>0</v>
      </c>
      <c r="AL253" s="739">
        <f>0</f>
        <v>0</v>
      </c>
      <c r="AM253" s="739">
        <f>0</f>
        <v>0</v>
      </c>
      <c r="AN253" s="739">
        <f>0</f>
        <v>0</v>
      </c>
      <c r="AO253" s="739">
        <f>0</f>
        <v>0</v>
      </c>
      <c r="AP253" s="739">
        <f>0</f>
        <v>0</v>
      </c>
      <c r="AQ253" s="739">
        <f>0</f>
        <v>0</v>
      </c>
      <c r="AR253" s="739">
        <f>0</f>
        <v>0</v>
      </c>
      <c r="AS253" s="739">
        <f>1</f>
        <v>1</v>
      </c>
      <c r="AT253" s="739">
        <f>0</f>
        <v>0</v>
      </c>
      <c r="AU253" s="739">
        <f>0</f>
        <v>0</v>
      </c>
      <c r="AV253" s="739">
        <f>0</f>
        <v>0</v>
      </c>
      <c r="AW253" s="739">
        <f>0</f>
        <v>0</v>
      </c>
      <c r="AX253" s="739">
        <f>0</f>
        <v>0</v>
      </c>
      <c r="AY253" s="739">
        <f>0</f>
        <v>0</v>
      </c>
      <c r="AZ253" s="739">
        <f>0</f>
        <v>0</v>
      </c>
      <c r="BA253" s="739">
        <f>0</f>
        <v>0</v>
      </c>
      <c r="BB253" s="739">
        <f>0</f>
        <v>0</v>
      </c>
      <c r="BC253" s="739">
        <f>0</f>
        <v>0</v>
      </c>
      <c r="BD253" s="739">
        <f>0</f>
        <v>0</v>
      </c>
      <c r="BE253" s="817">
        <f>0</f>
        <v>0</v>
      </c>
      <c r="BF253" s="817">
        <f>0</f>
        <v>0</v>
      </c>
      <c r="BG253" s="817">
        <f>0</f>
        <v>0</v>
      </c>
      <c r="BH253" s="817">
        <f>0</f>
        <v>0</v>
      </c>
      <c r="BI253" s="817">
        <f>0</f>
        <v>0</v>
      </c>
      <c r="BJ253" s="817">
        <f>0</f>
        <v>0</v>
      </c>
      <c r="BK253" s="817">
        <f>0</f>
        <v>0</v>
      </c>
      <c r="BL253" s="817">
        <f>0</f>
        <v>0</v>
      </c>
      <c r="BM253" s="817">
        <f>0</f>
        <v>0</v>
      </c>
      <c r="BN253" s="817">
        <f>0</f>
        <v>0</v>
      </c>
      <c r="BO253" s="817">
        <f>0</f>
        <v>0</v>
      </c>
      <c r="BP253" s="817">
        <f>0</f>
        <v>0</v>
      </c>
      <c r="BQ253" s="817">
        <f>0</f>
        <v>0</v>
      </c>
      <c r="BR253" s="817">
        <f>0</f>
        <v>0</v>
      </c>
      <c r="BS253" s="817">
        <f>0</f>
        <v>0</v>
      </c>
      <c r="BT253" s="817">
        <f>0</f>
        <v>0</v>
      </c>
      <c r="BU253" s="817">
        <f>0</f>
        <v>0</v>
      </c>
      <c r="BV253" s="907">
        <f>0</f>
        <v>0</v>
      </c>
      <c r="BW253" s="817">
        <f>0</f>
        <v>0</v>
      </c>
      <c r="BX253" s="817">
        <f>0</f>
        <v>0</v>
      </c>
      <c r="BY253" s="817">
        <f>0</f>
        <v>0</v>
      </c>
      <c r="BZ253" s="817">
        <f>0</f>
        <v>0</v>
      </c>
      <c r="CA253" s="907">
        <f>0</f>
        <v>0</v>
      </c>
      <c r="CB253" s="739">
        <f>0</f>
        <v>0</v>
      </c>
      <c r="CC253" s="739">
        <f>-1</f>
        <v>-1</v>
      </c>
      <c r="CD253" s="739">
        <f>0</f>
        <v>0</v>
      </c>
      <c r="CE253" s="739">
        <f>0</f>
        <v>0</v>
      </c>
      <c r="CF253" s="739">
        <f>0</f>
        <v>0</v>
      </c>
      <c r="CG253" s="739">
        <f>0</f>
        <v>0</v>
      </c>
      <c r="CH253" s="739">
        <f>0</f>
        <v>0</v>
      </c>
      <c r="CI253" s="739">
        <f>0</f>
        <v>0</v>
      </c>
      <c r="CJ253" s="739">
        <f>0</f>
        <v>0</v>
      </c>
      <c r="CK253" s="817">
        <f>0</f>
        <v>0</v>
      </c>
      <c r="CL253" s="817">
        <f>0</f>
        <v>0</v>
      </c>
      <c r="CM253" s="817">
        <f>0</f>
        <v>0</v>
      </c>
      <c r="CN253" s="817">
        <f>0</f>
        <v>0</v>
      </c>
      <c r="CO253" s="817">
        <f>0</f>
        <v>0</v>
      </c>
      <c r="CP253" s="739">
        <f>0</f>
        <v>0</v>
      </c>
      <c r="CQ253" s="739">
        <f>0</f>
        <v>0</v>
      </c>
      <c r="CR253" s="817">
        <f>0</f>
        <v>0</v>
      </c>
      <c r="CS253" s="817">
        <f>0</f>
        <v>0</v>
      </c>
      <c r="CT253" s="817">
        <f>0</f>
        <v>0</v>
      </c>
      <c r="CU253" s="817">
        <f>0</f>
        <v>0</v>
      </c>
      <c r="CV253" s="2869">
        <f>k_LaGCH4_bub*(S_GCH4_bub_sat-S_CH4)</f>
        <v>-0.84435000000000004</v>
      </c>
      <c r="CX253" s="2880">
        <f>E299*E253+F299*F253+G299*G253+H299*H253+I299*I253+J299*J253+K299*K253+L299*L253+M299*M253+N299*N253+O299*O253+P299*P253+Q299*Q253+R299*R253+S299*S253+T299*T253+U299*U253+V299*V253+W299*W253+X299*X253+Y299*Y253+Z299*Z253+AA299*AA253+AB299*AB253+AC299*AC253+AD299*AD253+AE299*AE253+AF299*AF253+AG299*AG253+AH299*AH253+AI299*AI253+AJ299*AJ253+AK299*AK253+AL299*AL253+AM299*AM253+AN299*AN253+AO299*AO253+AP299*AP253+AQ299*AQ253+AR299*AR253+AS299*AS253+AT299*AT253+AU299*AU253+AV299*AV253+AW299*AW253+AX299*AX253+AY299*AY253+AZ299*AZ253+BA299*BA253+BB299*BB253+BC299*BC253+BD299*BD253+BE299*BE253+BF299*BF253+BG299*BG253+BH299*BH253+BI299*BI253+BJ299*BJ253+BK299*BK253+BL299*BL253+BM299*BM253+BN299*BN253+BO299*BO253+BP299*BP253+BQ299*BQ253+BR299*BR253+BS299*BS253+BT299*BT253+BU299*BU253+BV299*BV253+BW299*BW253+BX299*BX253+BY299*BY253+BZ299*BZ253+CA299*CA253+CB299*CB253+CC299*CC253+CD299*CD253+CE299*CE253+CF299*CF253+CG299*CG253+CH299*CH253+CI299*CI253+CJ299*CJ253+CK299*CK253+CL299*CL253+CM299*CM253+CN299*CN253+CO299*CO253+CP299*CP253+CQ299*CQ253+CR299*CR253+CS299*CS253+CT299*CT253+CU299*CU253</f>
        <v>0</v>
      </c>
      <c r="CY253" s="2880">
        <f>E300*E253+F300*F253+G300*G253+H300*H253+I300*I253+J300*J253+K300*K253+L300*L253+M300*M253+N300*N253+O300*O253+P300*P253+Q300*Q253+R300*R253+S300*S253+T300*T253+U300*U253+V300*V253+W300*W253+X300*X253+Y300*Y253+Z300*Z253+AA300*AA253+AB300*AB253+AC300*AC253+AD300*AD253+AE300*AE253+AF300*AF253+AG300*AG253+AH300*AH253+AI300*AI253+AJ300*AJ253+AK300*AK253+AL300*AL253+AM300*AM253+AN300*AN253+AO300*AO253+AP300*AP253+AQ300*AQ253+AR300*AR253+AS300*AS253+AT300*AT253+AU300*AU253+AV300*AV253+AW300*AW253+AX300*AX253+AY300*AY253+AZ300*AZ253+BA300*BA253+BB300*BB253+BC300*BC253+BD300*BD253+BE300*BE253+BF300*BF253+BG300*BG253+BH300*BH253+BI300*BI253+BJ300*BJ253+BK300*BK253+BL300*BL253+BM300*BM253+BN300*BN253+BO300*BO253+BP300*BP253+BQ300*BQ253+BR300*BR253+BS300*BS253+BT300*BT253+BU300*BU253+BV300*BV253+BW300*BW253+BX300*BX253+BY300*BY253+BZ300*BZ253+CA300*CA253+CB300*CB253+CC300*CC253+CD300*CD253+CE300*CE253+CF300*CF253+CG300*CG253+CH300*CH253+CI300*CI253+CJ300*CJ253+CK300*CK253+CL300*CL253+CM300*CM253+CN300*CN253+CO300*CO253+CP300*CP253+CQ300*CQ253+CR300*CR253+CS300*CS253+CT300*CT253+CU300*CU253</f>
        <v>0</v>
      </c>
      <c r="CZ253" s="2881">
        <f>E301*E253+F301*F253+G301*G253+H301*H253+I301*I253+J301*J253+K301*K253+L301*L253+M301*M253+N301*N253+O301*O253+P301*P253+Q301*Q253+R301*R253+S301*S253+T301*T253+U301*U253+V301*V253+W301*W253+X301*X253+Y301*Y253+Z301*Z253+AA301*AA253+AB301*AB253+AC301*AC253+AD301*AD253+AE301*AE253+AF301*AF253+AG301*AG253+AH301*AH253+AI301*AI253+AJ301*AJ253+AK301*AK253+AL301*AL253+AM301*AM253+AN301*AN253+AO301*AO253+AP301*AP253+AQ301*AQ253+AR301*AR253+AS301*AS253+AT301*AT253+AU301*AU253+AV301*AV253+AW301*AW253+AX301*AX253+AY301*AY253+AZ301*AZ253+BA301*BA253+BB301*BB253+BC301*BC253+BD301*BD253+BE301*BE253+BF301*BF253+BG301*BG253+BH301*BH253+BI301*BI253+BJ301*BJ253+BK301*BK253+BL301*BL253+BM301*BM253+BN301*BN253+BO301*BO253+BP301*BP253+BQ301*BQ253+BR301*BR253+BS301*BS253+BT301*BT253+BU301*BU253+BV301*BV253+BW301*BW253+BX301*BX253+BY301*BY253+BZ301*BZ253+CA301*CA253+CB301*CB253+CC301*CC253+CD301*CD253+CE301*CE253+CF301*CF253+CG301*CG253+CH301*CH253+CI301*CI253+CJ301*CJ253+CK301*CK253+CL301*CL253+CM301*CM253+CN301*CN253+CO301*CO253+CP301*CP253+CQ301*CQ253+CR301*CR253+CS301*CS253+CT301*CT253+CU301*CU253</f>
        <v>0</v>
      </c>
      <c r="DA253" s="2882">
        <f>E302*E253+F302*F253+G302*G253+H302*H253+I302*I253+J302*J253+K302*K253+L302*L253+M302*M253+N302*N253+O302*O253+P302*P253+Q302*Q253+R302*R253+S302*S253+T302*T253+U302*U253+V302*V253+W302*W253+X302*X253+Y302*Y253+Z302*Z253+AA302*AA253+AB302*AB253+AC302*AC253+AD302*AD253+AE302*AE253+AF302*AF253+AG302*AG253+AH302*AH253+AI302*AI253+AJ302*AJ253+AK302*AK253+AL302*AL253+AM302*AM253+AN302*AN253+AO302*AO253+AP302*AP253+AQ302*AQ253+AR302*AR253+AS302*AS253+AT302*AT253+AU302*AU253+AV302*AV253+AW302*AW253+AX302*AX253+AY302*AY253+AZ302*AZ253+BA302*BA253+BB302*BB253+BC302*BC253+BD302*BD253+BE302*BE253+BF302*BF253+BG302*BG253+BH302*BH253+BI302*BI253+BJ302*BJ253+BK302*BK253+BL302*BL253+BM302*BM253+BN302*BN253+BO302*BO253+BP302*BP253+BQ302*BQ253+BR302*BR253+BS302*BS253+BT302*BT253+BU302*BU253+BV302*BV253+BW302*BW253+BX302*BX253+BY302*BY253+BZ302*BZ253+CA302*CA253+CB302*CB253+CC302*CC253+CD302*CD253+CE302*CE253+CF302*CF253+CG302*CG253+CH302*CH253+CI302*CI253+CJ302*CJ253+CK302*CK253+CL302*CL253+CM302*CM253+CN302*CN253+CO302*CO253+CP302*CP253+CQ302*CQ253+CR302*CR253+CS302*CS253+CT302*CT253+CU302*CU253</f>
        <v>0</v>
      </c>
      <c r="DB253" s="2882">
        <f>E303*E253+F303*F253+G303*G253+H303*H253+I303*I253+J303*J253+K303*K253+L303*L253+M303*M253+N303*N253+O303*O253+P303*P253+Q303*Q253+R303*R253+S303*S253+T303*T253+U303*U253+V303*V253+W303*W253+X303*X253+Y303*Y253+Z303*Z253+AA303*AA253+AB303*AB253+AC303*AC253+AD303*AD253+AE303*AE253+AF303*AF253+AG303*AG253+AH303*AH253+AI303*AI253+AJ303*AJ253+AK303*AK253+AL303*AL253+AM303*AM253+AN303*AN253+AO303*AO253+AP303*AP253+AQ303*AQ253+AR303*AR253+AS303*AS253+AT303*AT253+AU303*AU253+AV303*AV253+AW303*AW253+AX303*AX253+AY303*AY253+AZ303*AZ253+BA303*BA253+BB303*BB253+BC303*BC253+BD303*BD253+BE303*BE253+BF303*BF253+BG303*BG253+BH303*BH253+BI303*BI253+BJ303*BJ253+BK303*BK253+BL303*BL253+BM303*BM253+BN303*BN253+BO303*BO253+BP303*BP253+BQ303*BQ253+BR303*BR253+BS303*BS253+BT303*BT253+BU303*BU253+BV303*BV253+BW303*BW253+BX303*BX253+BY303*BY253+BZ303*BZ253+CA303*CA253+CB303*CB253+CC303*CC253+CD303*CD253+CE303*CE253+CF303*CF253+CG303*CG253+CH303*CH253+CI303*CI253+CJ303*CJ253+CK303*CK253+CL303*CL253+CM303*CM253+CN303*CN253+CO303*CO253+CP303*CP253+CQ303*CQ253+CR303*CR253+CS303*CS253+CT303*CT253+CU303*CU253</f>
        <v>0</v>
      </c>
      <c r="DC253" s="2882">
        <f>E304*E253+F304*F253+G304*G253+H304*H253+I304*I253+J304*J253+K304*K253+L304*L253+M304*M253+N304*N253+O304*O253+P304*P253+Q304*Q253+R304*R253+S304*S253+T304*T253+U304*U253+V304*V253+W304*W253+X304*X253+Y304*Y253+Z304*Z253+AA304*AA253+AB304*AB253+AC304*AC253+AD304*AD253+AE304*AE253+AF304*AF253+AG304*AG253+AH304*AH253+AI304*AI253+AJ304*AJ253+AK304*AK253+AL304*AL253+AM304*AM253+AN304*AN253+AO304*AO253+AP304*AP253+AQ304*AQ253+AR304*AR253+AS304*AS253+AT304*AT253+AU304*AU253+AV304*AV253+AW304*AW253+AX304*AX253+AY304*AY253+AZ304*AZ253+BA304*BA253+BB304*BB253+BC304*BC253+BD304*BD253+BE304*BE253+BF304*BF253+BG304*BG253+BH304*BH253+BI304*BI253+BJ304*BJ253+BK304*BK253+BL304*BL253+BM304*BM253+BN304*BN253+BO304*BO253+BP304*BP253+BQ304*BQ253+BR304*BR253+BS304*BS253+BT304*BT253+BU304*BU253+BV304*BV253+BW304*BW253+BX304*BX253+BY304*BY253+BZ304*BZ253+CA304*CA253+CB304*CB253+CC304*CC253+CD304*CD253+CE304*CE253+CF304*CF253+CG304*CG253+CH304*CH253+CI304*CI253+CJ304*CJ253+CK304*CK253+CL304*CL253+CM304*CM253+CN304*CN253+CO304*CO253+CP304*CP253+CQ304*CQ253+CR304*CR253+CS304*CS253+CT304*CT253+CU304*CU253</f>
        <v>0</v>
      </c>
      <c r="DD253" s="2882">
        <f>E305*E253+F305*F253+G305*G253+H305*H253+I305*I253+J305*J253+K305*K253+L305*L253+M305*M253+N305*N253+O305*O253+P305*P253+Q305*Q253+R305*R253+S305*S253+T305*T253+U305*U253+V305*V253+W305*W253+X305*X253+Y305*Y253+Z305*Z253+AA305*AA253+AB305*AB253+AC305*AC253+AD305*AD253+AE305*AE253+AF305*AF253+AG305*AG253+AH305*AH253+AI305*AI253+AJ305*AJ253+AK305*AK253+AL305*AL253+AM305*AM253+AN305*AN253+AO305*AO253+AP305*AP253+AQ305*AQ253+AR305*AR253+AS305*AS253+AT305*AT253+AU305*AU253+AV305*AV253+AW305*AW253+AX305*AX253+AY305*AY253+AZ305*AZ253+BA305*BA253+BB305*BB253+BC305*BC253+BD305*BD253+BE305*BE253+BF305*BF253+BG305*BG253+BH305*BH253+BI305*BI253+BJ305*BJ253+BK305*BK253+BL305*BL253+BM305*BM253+BN305*BN253+BO305*BO253+BP305*BP253+BQ305*BQ253+BR305*BR253+BS305*BS253+BT305*BT253+BU305*BU253+BV305*BV253+BW305*BW253+BX305*BX253+BY305*BY253+BZ305*BZ253+CA305*CA253+CB305*CB253+CC305*CC253+CD305*CD253+CE305*CE253+CF305*CF253+CG305*CG253+CH305*CH253+CI305*CI253+CJ305*CJ253+CK305*CK253+CL305*CL253+CM305*CM253+CN305*CN253+CO305*CO253+CP305*CP253+CQ305*CQ253+CR305*CR253+CS305*CS253+CT305*CT253+CU305*CU253</f>
        <v>0</v>
      </c>
      <c r="DE253" s="2882">
        <f>E306*E253+F306*F253+G306*G253+H306*H253+I306*I253+J306*J253+K306*K253+L306*L253+M306*M253+N306*N253+O306*O253+P306*P253+Q306*Q253+R306*R253+S306*S253+T306*T253+U306*U253+V306*V253+W306*W253+X306*X253+Y306*Y253+Z306*Z253+AA306*AA253+AB306*AB253+AC306*AC253+AD306*AD253+AE306*AE253+AF306*AF253+AG306*AG253+AH306*AH253+AI306*AI253+AJ306*AJ253+AK306*AK253+AL306*AL253+AM306*AM253+AN306*AN253+AO306*AO253+AP306*AP253+AQ306*AQ253+AR306*AR253+AS306*AS253+AT306*AT253+AU306*AU253+AV306*AV253+AW306*AW253+AX306*AX253+AY306*AY253+AZ306*AZ253+BA306*BA253+BB306*BB253+BC306*BC253+BD306*BD253+BE306*BE253+BF306*BF253+BG306*BG253+BH306*BH253+BI306*BI253+BJ306*BJ253+BK306*BK253+BL306*BL253+BM306*BM253+BN306*BN253+BO306*BO253+BP306*BP253+BQ306*BQ253+BR306*BR253+BS306*BS253+BT306*BT253+BU306*BU253+BV306*BV253+BW306*BW253+BX306*BX253+BY306*BY253+BZ306*BZ253+CA306*CA253+CB306*CB253+CC306*CC253+CD306*CD253+CE306*CE253+CF306*CF253+CG306*CG253+CH306*CH253+CI306*CI253+CJ306*CJ253+CK306*CK253+CL306*CL253+CM306*CM253+CN306*CN253+CO306*CO253+CP306*CP253+CQ306*CQ253+CR306*CR253+CS306*CS253+CT306*CT253+CU306*CU253</f>
        <v>0</v>
      </c>
      <c r="DF253" s="2882">
        <f>E307*E253+F307*F253+G307*G253+H307*H253+I307*I253+J307*J253+K307*K253+L307*L253+M307*M253+N307*N253+O307*O253+P307*P253+Q307*Q253+R307*R253+S307*S253+T307*T253+U307*U253+V307*V253+W307*W253+X307*X253+Y307*Y253+Z307*Z253+AA307*AA253+AB307*AB253+AC307*AC253+AD307*AD253+AE307*AE253+AF307*AF253+AG307*AG253+AH307*AH253+AI307*AI253+AJ307*AJ253+AK307*AK253+AL307*AL253+AM307*AM253+AN307*AN253+AO307*AO253+AP307*AP253+AQ307*AQ253+AR307*AR253+AS307*AS253+AT307*AT253+AU307*AU253+AV307*AV253+AW307*AW253+AX307*AX253+AY307*AY253+AZ307*AZ253+BA307*BA253+BB307*BB253+BC307*BC253+BD307*BD253+BE307*BE253+BF307*BF253+BG307*BG253+BH307*BH253+BI307*BI253+BJ307*BJ253+BK307*BK253+BL307*BL253+BM307*BM253+BN307*BN253+BO307*BO253+BP307*BP253+BQ307*BQ253+BR307*BR253+BS307*BS253+BT307*BT253+BU307*BU253+BV307*BV253+BW307*BW253+BX307*BX253+BY307*BY253+BZ307*BZ253+CA307*CA253+CB307*CB253+CC307*CC253+CD307*CD253+CE307*CE253+CF307*CF253+CG307*CG253+CH307*CH253+CI307*CI253+CJ307*CJ253+CK307*CK253+CL307*CL253+CM307*CM253+CN307*CN253+CO307*CO253+CP307*CP253+CQ307*CQ253+CR307*CR253+CS307*CS253+CT307*CT253+CU307*CU253</f>
        <v>0</v>
      </c>
      <c r="DG253" s="2882">
        <f>E308*E253+F308*F253+G308*G253+H308*H253+I308*I253+J308*J253+K308*K253+L308*L253+M308*M253+N308*N253+O308*O253+P308*P253+Q308*Q253+R308*R253+S308*S253+T308*T253+U308*U253+V308*V253+W308*W253+X308*X253+Y308*Y253+Z308*Z253+AA308*AA253+AB308*AB253+AC308*AC253+AD308*AD253+AE308*AE253+AF308*AF253+AG308*AG253+AH308*AH253+AI308*AI253+AJ308*AJ253+AK308*AK253+AL308*AL253+AM308*AM253+AN308*AN253+AO308*AO253+AP308*AP253+AQ308*AQ253+AR308*AR253+AS308*AS253+AT308*AT253+AU308*AU253+AV308*AV253+AW308*AW253+AX308*AX253+AY308*AY253+AZ308*AZ253+BA308*BA253+BB308*BB253+BC308*BC253+BD308*BD253+BE308*BE253+BF308*BF253+BG308*BG253+BH308*BH253+BI308*BI253+BJ308*BJ253+BK308*BK253+BL308*BL253+BM308*BM253+BN308*BN253+BO308*BO253+BP308*BP253+BQ308*BQ253+BR308*BR253+BS308*BS253+BT308*BT253+BU308*BU253+BV308*BV253+BW308*BW253+BX308*BX253+BY308*BY253+BZ308*BZ253+CA308*CA253+CB308*CB253+CC308*CC253+CD308*CD253+CE308*CE253+CF308*CF253+CG308*CG253+CH308*CH253+CI308*CI253+CJ308*CJ253+CK308*CK253+CL308*CL253+CM308*CM253+CN308*CN253+CO308*CO253+CP308*CP253+CQ308*CQ253+CR308*CR253+CS308*CS253+CT308*CT253+CU308*CU253</f>
        <v>0</v>
      </c>
      <c r="DH253" s="2882">
        <f>E309*E253+F309*F253+G309*G253+H309*H253+I309*I253+J309*J253+K309*K253+L309*L253+M309*M253+N309*N253+O309*O253+P309*P253+Q309*Q253+R309*R253+S309*S253+T309*T253+U309*U253+V309*V253+W309*W253+X309*X253+Y309*Y253+Z309*Z253+AA309*AA253+AB309*AB253+AC309*AC253+AD309*AD253+AE309*AE253+AF309*AF253+AG309*AG253+AH309*AH253+AI309*AI253+AJ309*AJ253+AK309*AK253+AL309*AL253+AM309*AM253+AN309*AN253+AO309*AO253+AP309*AP253+AQ309*AQ253+AR309*AR253+AS309*AS253+AT309*AT253+AU309*AU253+AV309*AV253+AW309*AW253+AX309*AX253+AY309*AY253+AZ309*AZ253+BA309*BA253+BB309*BB253+BC309*BC253+BD309*BD253+BE309*BE253+BF309*BF253+BG309*BG253+BH309*BH253+BI309*BI253+BJ309*BJ253+BK309*BK253+BL309*BL253+BM309*BM253+BN309*BN253+BO309*BO253+BP309*BP253+BQ309*BQ253+BR309*BR253+BS309*BS253+BT309*BT253+BU309*BU253+BV309*BV253+BW309*BW253+BX309*BX253+BY309*BY253+BZ309*BZ253+CA309*CA253+CB309*CB253+CC309*CC253+CD309*CD253+CE309*CE253+CF309*CF253+CG309*CG253+CH309*CH253+CI309*CI253+CJ309*CJ253+CK309*CK253+CL309*CL253+CM309*CM253+CN309*CN253+CO309*CO253+CP309*CP253+CQ309*CQ253+CR309*CR253+CS309*CS253+CT309*CT253+CU309*CU253</f>
        <v>0</v>
      </c>
      <c r="DI253" s="2882">
        <f>E310*E253+F310*F253+G310*G253+H310*H253+I310*I253+J310*J253+K310*K253+L310*L253+M310*M253+N310*N253+O310*O253+P310*P253+Q310*Q253+R310*R253+S310*S253+T310*T253+U310*U253+V310*V253+W310*W253+X310*X253+Y310*Y253+Z310*Z253+AA310*AA253+AB310*AB253+AC310*AC253+AD310*AD253+AE310*AE253+AF310*AF253+AG310*AG253+AH310*AH253+AI310*AI253+AJ310*AJ253+AK310*AK253+AL310*AL253+AM310*AM253+AN310*AN253+AO310*AO253+AP310*AP253+AQ310*AQ253+AR310*AR253+AS310*AS253+AT310*AT253+AU310*AU253+AV310*AV253+AW310*AW253+AX310*AX253+AY310*AY253+AZ310*AZ253+BA310*BA253+BB310*BB253+BC310*BC253+BD310*BD253+BE310*BE253+BF310*BF253+BG310*BG253+BH310*BH253+BI310*BI253+BJ310*BJ253+BK310*BK253+BL310*BL253+BM310*BM253+BN310*BN253+BO310*BO253+BP310*BP253+BQ310*BQ253+BR310*BR253+BS310*BS253+BT310*BT253+BU310*BU253+BV310*BV253+BW310*BW253+BX310*BX253+BY310*BY253+BZ310*BZ253+CA310*CA253+CB310*CB253+CC310*CC253+CD310*CD253+CE310*CE253+CF310*CF253+CG310*CG253+CH310*CH253+CI310*CI253+CJ310*CJ253+CK310*CK253+CL310*CL253+CM310*CM253+CN310*CN253+CO310*CO253+CP310*CP253+CQ310*CQ253+CR310*CR253+CS310*CS253+CT310*CT253+CU310*CU253</f>
        <v>0</v>
      </c>
    </row>
    <row r="254" spans="2:113" x14ac:dyDescent="0.45">
      <c r="B254" s="815">
        <v>95</v>
      </c>
      <c r="C254" s="815" t="s">
        <v>3767</v>
      </c>
      <c r="D254" s="816" t="s">
        <v>3213</v>
      </c>
      <c r="E254" s="739">
        <f>0</f>
        <v>0</v>
      </c>
      <c r="F254" s="739">
        <f>0</f>
        <v>0</v>
      </c>
      <c r="G254" s="739">
        <f>0</f>
        <v>0</v>
      </c>
      <c r="H254" s="739">
        <f>0</f>
        <v>0</v>
      </c>
      <c r="I254" s="739">
        <f>0</f>
        <v>0</v>
      </c>
      <c r="J254" s="739">
        <f>0</f>
        <v>0</v>
      </c>
      <c r="K254" s="739">
        <f>0</f>
        <v>0</v>
      </c>
      <c r="L254" s="739">
        <f>0</f>
        <v>0</v>
      </c>
      <c r="M254" s="739">
        <f>0</f>
        <v>0</v>
      </c>
      <c r="N254" s="739">
        <f>0</f>
        <v>0</v>
      </c>
      <c r="O254" s="739">
        <f>0</f>
        <v>0</v>
      </c>
      <c r="P254" s="739">
        <f>0</f>
        <v>0</v>
      </c>
      <c r="Q254" s="817">
        <f>0</f>
        <v>0</v>
      </c>
      <c r="R254" s="739">
        <f>0</f>
        <v>0</v>
      </c>
      <c r="S254" s="739">
        <f>0</f>
        <v>0</v>
      </c>
      <c r="T254" s="739">
        <f>0</f>
        <v>0</v>
      </c>
      <c r="U254" s="739">
        <f>0</f>
        <v>0</v>
      </c>
      <c r="V254" s="739">
        <f>0</f>
        <v>0</v>
      </c>
      <c r="W254" s="739">
        <f>0</f>
        <v>0</v>
      </c>
      <c r="X254" s="739">
        <f>0</f>
        <v>0</v>
      </c>
      <c r="Y254" s="739">
        <f>0</f>
        <v>0</v>
      </c>
      <c r="Z254" s="739">
        <f>0</f>
        <v>0</v>
      </c>
      <c r="AA254" s="739">
        <f>0</f>
        <v>0</v>
      </c>
      <c r="AB254" s="739">
        <f>0</f>
        <v>0</v>
      </c>
      <c r="AC254" s="739">
        <f>0</f>
        <v>0</v>
      </c>
      <c r="AD254" s="739">
        <f>0</f>
        <v>0</v>
      </c>
      <c r="AE254" s="739">
        <f>0</f>
        <v>0</v>
      </c>
      <c r="AF254" s="739">
        <f>0</f>
        <v>0</v>
      </c>
      <c r="AG254" s="739">
        <f>0</f>
        <v>0</v>
      </c>
      <c r="AH254" s="739">
        <f>0</f>
        <v>0</v>
      </c>
      <c r="AI254" s="739">
        <f>0</f>
        <v>0</v>
      </c>
      <c r="AJ254" s="739">
        <f>0</f>
        <v>0</v>
      </c>
      <c r="AK254" s="739">
        <f>0</f>
        <v>0</v>
      </c>
      <c r="AL254" s="739">
        <f>0</f>
        <v>0</v>
      </c>
      <c r="AM254" s="739">
        <f>0</f>
        <v>0</v>
      </c>
      <c r="AN254" s="739">
        <f>0</f>
        <v>0</v>
      </c>
      <c r="AO254" s="739">
        <f>0</f>
        <v>0</v>
      </c>
      <c r="AP254" s="739">
        <f>0</f>
        <v>0</v>
      </c>
      <c r="AQ254" s="739">
        <f>0</f>
        <v>0</v>
      </c>
      <c r="AR254" s="739">
        <f>0</f>
        <v>0</v>
      </c>
      <c r="AS254" s="739">
        <f>0</f>
        <v>0</v>
      </c>
      <c r="AT254" s="739">
        <f>1</f>
        <v>1</v>
      </c>
      <c r="AU254" s="739">
        <f>0</f>
        <v>0</v>
      </c>
      <c r="AV254" s="739">
        <f>0</f>
        <v>0</v>
      </c>
      <c r="AW254" s="739">
        <f>0</f>
        <v>0</v>
      </c>
      <c r="AX254" s="739">
        <f>0</f>
        <v>0</v>
      </c>
      <c r="AY254" s="739">
        <f>0</f>
        <v>0</v>
      </c>
      <c r="AZ254" s="739">
        <f>0</f>
        <v>0</v>
      </c>
      <c r="BA254" s="739">
        <f>0</f>
        <v>0</v>
      </c>
      <c r="BB254" s="739">
        <f>0</f>
        <v>0</v>
      </c>
      <c r="BC254" s="739">
        <f>0</f>
        <v>0</v>
      </c>
      <c r="BD254" s="739">
        <f>0</f>
        <v>0</v>
      </c>
      <c r="BE254" s="817">
        <f>0</f>
        <v>0</v>
      </c>
      <c r="BF254" s="817">
        <f>0</f>
        <v>0</v>
      </c>
      <c r="BG254" s="817">
        <f>0</f>
        <v>0</v>
      </c>
      <c r="BH254" s="817">
        <f>0</f>
        <v>0</v>
      </c>
      <c r="BI254" s="817">
        <f>0</f>
        <v>0</v>
      </c>
      <c r="BJ254" s="817">
        <f>0</f>
        <v>0</v>
      </c>
      <c r="BK254" s="817">
        <f>0</f>
        <v>0</v>
      </c>
      <c r="BL254" s="817">
        <f>0</f>
        <v>0</v>
      </c>
      <c r="BM254" s="817">
        <f>0</f>
        <v>0</v>
      </c>
      <c r="BN254" s="817">
        <f>0</f>
        <v>0</v>
      </c>
      <c r="BO254" s="817">
        <f>0</f>
        <v>0</v>
      </c>
      <c r="BP254" s="817">
        <f>0</f>
        <v>0</v>
      </c>
      <c r="BQ254" s="817">
        <f>0</f>
        <v>0</v>
      </c>
      <c r="BR254" s="817">
        <f>0</f>
        <v>0</v>
      </c>
      <c r="BS254" s="817">
        <f>0</f>
        <v>0</v>
      </c>
      <c r="BT254" s="817">
        <f>0</f>
        <v>0</v>
      </c>
      <c r="BU254" s="817">
        <f>0</f>
        <v>0</v>
      </c>
      <c r="BV254" s="907">
        <f>0</f>
        <v>0</v>
      </c>
      <c r="BW254" s="817">
        <f>0</f>
        <v>0</v>
      </c>
      <c r="BX254" s="817">
        <f>0</f>
        <v>0</v>
      </c>
      <c r="BY254" s="817">
        <f>0</f>
        <v>0</v>
      </c>
      <c r="BZ254" s="817">
        <f>0</f>
        <v>0</v>
      </c>
      <c r="CA254" s="907">
        <f>0</f>
        <v>0</v>
      </c>
      <c r="CB254" s="739">
        <f>0</f>
        <v>0</v>
      </c>
      <c r="CC254" s="739">
        <f>0</f>
        <v>0</v>
      </c>
      <c r="CD254" s="739">
        <f>-1</f>
        <v>-1</v>
      </c>
      <c r="CE254" s="739">
        <f>0</f>
        <v>0</v>
      </c>
      <c r="CF254" s="739">
        <f>0</f>
        <v>0</v>
      </c>
      <c r="CG254" s="739">
        <f>0</f>
        <v>0</v>
      </c>
      <c r="CH254" s="739">
        <f>0</f>
        <v>0</v>
      </c>
      <c r="CI254" s="739">
        <f>0</f>
        <v>0</v>
      </c>
      <c r="CJ254" s="739">
        <f>0</f>
        <v>0</v>
      </c>
      <c r="CK254" s="817">
        <f>0</f>
        <v>0</v>
      </c>
      <c r="CL254" s="817">
        <f>0</f>
        <v>0</v>
      </c>
      <c r="CM254" s="817">
        <f>0</f>
        <v>0</v>
      </c>
      <c r="CN254" s="817">
        <f>0</f>
        <v>0</v>
      </c>
      <c r="CO254" s="817">
        <f>0</f>
        <v>0</v>
      </c>
      <c r="CP254" s="739">
        <f>0</f>
        <v>0</v>
      </c>
      <c r="CQ254" s="739">
        <f>0</f>
        <v>0</v>
      </c>
      <c r="CR254" s="817">
        <f>0</f>
        <v>0</v>
      </c>
      <c r="CS254" s="817">
        <f>0</f>
        <v>0</v>
      </c>
      <c r="CT254" s="817">
        <f>0</f>
        <v>0</v>
      </c>
      <c r="CU254" s="817">
        <f>0</f>
        <v>0</v>
      </c>
      <c r="CV254" s="2869">
        <f>k_LaGH2_bub*(S_GH2_bub_sat-S_H2)</f>
        <v>-1.4673500000000002</v>
      </c>
      <c r="CX254" s="2880">
        <f>E299*E254+F299*F254+G299*G254+H299*H254+I299*I254+J299*J254+K299*K254+L299*L254+M299*M254+N299*N254+O299*O254+P299*P254+Q299*Q254+R299*R254+S299*S254+T299*T254+U299*U254+V299*V254+W299*W254+X299*X254+Y299*Y254+Z299*Z254+AA299*AA254+AB299*AB254+AC299*AC254+AD299*AD254+AE299*AE254+AF299*AF254+AG299*AG254+AH299*AH254+AI299*AI254+AJ299*AJ254+AK299*AK254+AL299*AL254+AM299*AM254+AN299*AN254+AO299*AO254+AP299*AP254+AQ299*AQ254+AR299*AR254+AS299*AS254+AT299*AT254+AU299*AU254+AV299*AV254+AW299*AW254+AX299*AX254+AY299*AY254+AZ299*AZ254+BA299*BA254+BB299*BB254+BC299*BC254+BD299*BD254+BE299*BE254+BF299*BF254+BG299*BG254+BH299*BH254+BI299*BI254+BJ299*BJ254+BK299*BK254+BL299*BL254+BM299*BM254+BN299*BN254+BO299*BO254+BP299*BP254+BQ299*BQ254+BR299*BR254+BS299*BS254+BT299*BT254+BU299*BU254+BV299*BV254+BW299*BW254+BX299*BX254+BY299*BY254+BZ299*BZ254+CA299*CA254+CB299*CB254+CC299*CC254+CD299*CD254+CE299*CE254+CF299*CF254+CG299*CG254+CH299*CH254+CI299*CI254+CJ299*CJ254+CK299*CK254+CL299*CL254+CM299*CM254+CN299*CN254+CO299*CO254+CP299*CP254+CQ299*CQ254+CR299*CR254+CS299*CS254+CT299*CT254+CU299*CU254</f>
        <v>0</v>
      </c>
      <c r="CY254" s="2880">
        <f>E300*E254+F300*F254+G300*G254+H300*H254+I300*I254+J300*J254+K300*K254+L300*L254+M300*M254+N300*N254+O300*O254+P300*P254+Q300*Q254+R300*R254+S300*S254+T300*T254+U300*U254+V300*V254+W300*W254+X300*X254+Y300*Y254+Z300*Z254+AA300*AA254+AB300*AB254+AC300*AC254+AD300*AD254+AE300*AE254+AF300*AF254+AG300*AG254+AH300*AH254+AI300*AI254+AJ300*AJ254+AK300*AK254+AL300*AL254+AM300*AM254+AN300*AN254+AO300*AO254+AP300*AP254+AQ300*AQ254+AR300*AR254+AS300*AS254+AT300*AT254+AU300*AU254+AV300*AV254+AW300*AW254+AX300*AX254+AY300*AY254+AZ300*AZ254+BA300*BA254+BB300*BB254+BC300*BC254+BD300*BD254+BE300*BE254+BF300*BF254+BG300*BG254+BH300*BH254+BI300*BI254+BJ300*BJ254+BK300*BK254+BL300*BL254+BM300*BM254+BN300*BN254+BO300*BO254+BP300*BP254+BQ300*BQ254+BR300*BR254+BS300*BS254+BT300*BT254+BU300*BU254+BV300*BV254+BW300*BW254+BX300*BX254+BY300*BY254+BZ300*BZ254+CA300*CA254+CB300*CB254+CC300*CC254+CD300*CD254+CE300*CE254+CF300*CF254+CG300*CG254+CH300*CH254+CI300*CI254+CJ300*CJ254+CK300*CK254+CL300*CL254+CM300*CM254+CN300*CN254+CO300*CO254+CP300*CP254+CQ300*CQ254+CR300*CR254+CS300*CS254+CT300*CT254+CU300*CU254</f>
        <v>0</v>
      </c>
      <c r="CZ254" s="2881">
        <f>E301*E254+F301*F254+G301*G254+H301*H254+I301*I254+J301*J254+K301*K254+L301*L254+M301*M254+N301*N254+O301*O254+P301*P254+Q301*Q254+R301*R254+S301*S254+T301*T254+U301*U254+V301*V254+W301*W254+X301*X254+Y301*Y254+Z301*Z254+AA301*AA254+AB301*AB254+AC301*AC254+AD301*AD254+AE301*AE254+AF301*AF254+AG301*AG254+AH301*AH254+AI301*AI254+AJ301*AJ254+AK301*AK254+AL301*AL254+AM301*AM254+AN301*AN254+AO301*AO254+AP301*AP254+AQ301*AQ254+AR301*AR254+AS301*AS254+AT301*AT254+AU301*AU254+AV301*AV254+AW301*AW254+AX301*AX254+AY301*AY254+AZ301*AZ254+BA301*BA254+BB301*BB254+BC301*BC254+BD301*BD254+BE301*BE254+BF301*BF254+BG301*BG254+BH301*BH254+BI301*BI254+BJ301*BJ254+BK301*BK254+BL301*BL254+BM301*BM254+BN301*BN254+BO301*BO254+BP301*BP254+BQ301*BQ254+BR301*BR254+BS301*BS254+BT301*BT254+BU301*BU254+BV301*BV254+BW301*BW254+BX301*BX254+BY301*BY254+BZ301*BZ254+CA301*CA254+CB301*CB254+CC301*CC254+CD301*CD254+CE301*CE254+CF301*CF254+CG301*CG254+CH301*CH254+CI301*CI254+CJ301*CJ254+CK301*CK254+CL301*CL254+CM301*CM254+CN301*CN254+CO301*CO254+CP301*CP254+CQ301*CQ254+CR301*CR254+CS301*CS254+CT301*CT254+CU301*CU254</f>
        <v>0</v>
      </c>
      <c r="DA254" s="2882">
        <f>E302*E254+F302*F254+G302*G254+H302*H254+I302*I254+J302*J254+K302*K254+L302*L254+M302*M254+N302*N254+O302*O254+P302*P254+Q302*Q254+R302*R254+S302*S254+T302*T254+U302*U254+V302*V254+W302*W254+X302*X254+Y302*Y254+Z302*Z254+AA302*AA254+AB302*AB254+AC302*AC254+AD302*AD254+AE302*AE254+AF302*AF254+AG302*AG254+AH302*AH254+AI302*AI254+AJ302*AJ254+AK302*AK254+AL302*AL254+AM302*AM254+AN302*AN254+AO302*AO254+AP302*AP254+AQ302*AQ254+AR302*AR254+AS302*AS254+AT302*AT254+AU302*AU254+AV302*AV254+AW302*AW254+AX302*AX254+AY302*AY254+AZ302*AZ254+BA302*BA254+BB302*BB254+BC302*BC254+BD302*BD254+BE302*BE254+BF302*BF254+BG302*BG254+BH302*BH254+BI302*BI254+BJ302*BJ254+BK302*BK254+BL302*BL254+BM302*BM254+BN302*BN254+BO302*BO254+BP302*BP254+BQ302*BQ254+BR302*BR254+BS302*BS254+BT302*BT254+BU302*BU254+BV302*BV254+BW302*BW254+BX302*BX254+BY302*BY254+BZ302*BZ254+CA302*CA254+CB302*CB254+CC302*CC254+CD302*CD254+CE302*CE254+CF302*CF254+CG302*CG254+CH302*CH254+CI302*CI254+CJ302*CJ254+CK302*CK254+CL302*CL254+CM302*CM254+CN302*CN254+CO302*CO254+CP302*CP254+CQ302*CQ254+CR302*CR254+CS302*CS254+CT302*CT254+CU302*CU254</f>
        <v>0</v>
      </c>
      <c r="DB254" s="2882">
        <f>E303*E254+F303*F254+G303*G254+H303*H254+I303*I254+J303*J254+K303*K254+L303*L254+M303*M254+N303*N254+O303*O254+P303*P254+Q303*Q254+R303*R254+S303*S254+T303*T254+U303*U254+V303*V254+W303*W254+X303*X254+Y303*Y254+Z303*Z254+AA303*AA254+AB303*AB254+AC303*AC254+AD303*AD254+AE303*AE254+AF303*AF254+AG303*AG254+AH303*AH254+AI303*AI254+AJ303*AJ254+AK303*AK254+AL303*AL254+AM303*AM254+AN303*AN254+AO303*AO254+AP303*AP254+AQ303*AQ254+AR303*AR254+AS303*AS254+AT303*AT254+AU303*AU254+AV303*AV254+AW303*AW254+AX303*AX254+AY303*AY254+AZ303*AZ254+BA303*BA254+BB303*BB254+BC303*BC254+BD303*BD254+BE303*BE254+BF303*BF254+BG303*BG254+BH303*BH254+BI303*BI254+BJ303*BJ254+BK303*BK254+BL303*BL254+BM303*BM254+BN303*BN254+BO303*BO254+BP303*BP254+BQ303*BQ254+BR303*BR254+BS303*BS254+BT303*BT254+BU303*BU254+BV303*BV254+BW303*BW254+BX303*BX254+BY303*BY254+BZ303*BZ254+CA303*CA254+CB303*CB254+CC303*CC254+CD303*CD254+CE303*CE254+CF303*CF254+CG303*CG254+CH303*CH254+CI303*CI254+CJ303*CJ254+CK303*CK254+CL303*CL254+CM303*CM254+CN303*CN254+CO303*CO254+CP303*CP254+CQ303*CQ254+CR303*CR254+CS303*CS254+CT303*CT254+CU303*CU254</f>
        <v>0</v>
      </c>
      <c r="DC254" s="2882">
        <f>E304*E254+F304*F254+G304*G254+H304*H254+I304*I254+J304*J254+K304*K254+L304*L254+M304*M254+N304*N254+O304*O254+P304*P254+Q304*Q254+R304*R254+S304*S254+T304*T254+U304*U254+V304*V254+W304*W254+X304*X254+Y304*Y254+Z304*Z254+AA304*AA254+AB304*AB254+AC304*AC254+AD304*AD254+AE304*AE254+AF304*AF254+AG304*AG254+AH304*AH254+AI304*AI254+AJ304*AJ254+AK304*AK254+AL304*AL254+AM304*AM254+AN304*AN254+AO304*AO254+AP304*AP254+AQ304*AQ254+AR304*AR254+AS304*AS254+AT304*AT254+AU304*AU254+AV304*AV254+AW304*AW254+AX304*AX254+AY304*AY254+AZ304*AZ254+BA304*BA254+BB304*BB254+BC304*BC254+BD304*BD254+BE304*BE254+BF304*BF254+BG304*BG254+BH304*BH254+BI304*BI254+BJ304*BJ254+BK304*BK254+BL304*BL254+BM304*BM254+BN304*BN254+BO304*BO254+BP304*BP254+BQ304*BQ254+BR304*BR254+BS304*BS254+BT304*BT254+BU304*BU254+BV304*BV254+BW304*BW254+BX304*BX254+BY304*BY254+BZ304*BZ254+CA304*CA254+CB304*CB254+CC304*CC254+CD304*CD254+CE304*CE254+CF304*CF254+CG304*CG254+CH304*CH254+CI304*CI254+CJ304*CJ254+CK304*CK254+CL304*CL254+CM304*CM254+CN304*CN254+CO304*CO254+CP304*CP254+CQ304*CQ254+CR304*CR254+CS304*CS254+CT304*CT254+CU304*CU254</f>
        <v>0</v>
      </c>
      <c r="DD254" s="2882">
        <f>E305*E254+F305*F254+G305*G254+H305*H254+I305*I254+J305*J254+K305*K254+L305*L254+M305*M254+N305*N254+O305*O254+P305*P254+Q305*Q254+R305*R254+S305*S254+T305*T254+U305*U254+V305*V254+W305*W254+X305*X254+Y305*Y254+Z305*Z254+AA305*AA254+AB305*AB254+AC305*AC254+AD305*AD254+AE305*AE254+AF305*AF254+AG305*AG254+AH305*AH254+AI305*AI254+AJ305*AJ254+AK305*AK254+AL305*AL254+AM305*AM254+AN305*AN254+AO305*AO254+AP305*AP254+AQ305*AQ254+AR305*AR254+AS305*AS254+AT305*AT254+AU305*AU254+AV305*AV254+AW305*AW254+AX305*AX254+AY305*AY254+AZ305*AZ254+BA305*BA254+BB305*BB254+BC305*BC254+BD305*BD254+BE305*BE254+BF305*BF254+BG305*BG254+BH305*BH254+BI305*BI254+BJ305*BJ254+BK305*BK254+BL305*BL254+BM305*BM254+BN305*BN254+BO305*BO254+BP305*BP254+BQ305*BQ254+BR305*BR254+BS305*BS254+BT305*BT254+BU305*BU254+BV305*BV254+BW305*BW254+BX305*BX254+BY305*BY254+BZ305*BZ254+CA305*CA254+CB305*CB254+CC305*CC254+CD305*CD254+CE305*CE254+CF305*CF254+CG305*CG254+CH305*CH254+CI305*CI254+CJ305*CJ254+CK305*CK254+CL305*CL254+CM305*CM254+CN305*CN254+CO305*CO254+CP305*CP254+CQ305*CQ254+CR305*CR254+CS305*CS254+CT305*CT254+CU305*CU254</f>
        <v>0</v>
      </c>
      <c r="DE254" s="2882">
        <f>E306*E254+F306*F254+G306*G254+H306*H254+I306*I254+J306*J254+K306*K254+L306*L254+M306*M254+N306*N254+O306*O254+P306*P254+Q306*Q254+R306*R254+S306*S254+T306*T254+U306*U254+V306*V254+W306*W254+X306*X254+Y306*Y254+Z306*Z254+AA306*AA254+AB306*AB254+AC306*AC254+AD306*AD254+AE306*AE254+AF306*AF254+AG306*AG254+AH306*AH254+AI306*AI254+AJ306*AJ254+AK306*AK254+AL306*AL254+AM306*AM254+AN306*AN254+AO306*AO254+AP306*AP254+AQ306*AQ254+AR306*AR254+AS306*AS254+AT306*AT254+AU306*AU254+AV306*AV254+AW306*AW254+AX306*AX254+AY306*AY254+AZ306*AZ254+BA306*BA254+BB306*BB254+BC306*BC254+BD306*BD254+BE306*BE254+BF306*BF254+BG306*BG254+BH306*BH254+BI306*BI254+BJ306*BJ254+BK306*BK254+BL306*BL254+BM306*BM254+BN306*BN254+BO306*BO254+BP306*BP254+BQ306*BQ254+BR306*BR254+BS306*BS254+BT306*BT254+BU306*BU254+BV306*BV254+BW306*BW254+BX306*BX254+BY306*BY254+BZ306*BZ254+CA306*CA254+CB306*CB254+CC306*CC254+CD306*CD254+CE306*CE254+CF306*CF254+CG306*CG254+CH306*CH254+CI306*CI254+CJ306*CJ254+CK306*CK254+CL306*CL254+CM306*CM254+CN306*CN254+CO306*CO254+CP306*CP254+CQ306*CQ254+CR306*CR254+CS306*CS254+CT306*CT254+CU306*CU254</f>
        <v>0</v>
      </c>
      <c r="DF254" s="2882">
        <f>E307*E254+F307*F254+G307*G254+H307*H254+I307*I254+J307*J254+K307*K254+L307*L254+M307*M254+N307*N254+O307*O254+P307*P254+Q307*Q254+R307*R254+S307*S254+T307*T254+U307*U254+V307*V254+W307*W254+X307*X254+Y307*Y254+Z307*Z254+AA307*AA254+AB307*AB254+AC307*AC254+AD307*AD254+AE307*AE254+AF307*AF254+AG307*AG254+AH307*AH254+AI307*AI254+AJ307*AJ254+AK307*AK254+AL307*AL254+AM307*AM254+AN307*AN254+AO307*AO254+AP307*AP254+AQ307*AQ254+AR307*AR254+AS307*AS254+AT307*AT254+AU307*AU254+AV307*AV254+AW307*AW254+AX307*AX254+AY307*AY254+AZ307*AZ254+BA307*BA254+BB307*BB254+BC307*BC254+BD307*BD254+BE307*BE254+BF307*BF254+BG307*BG254+BH307*BH254+BI307*BI254+BJ307*BJ254+BK307*BK254+BL307*BL254+BM307*BM254+BN307*BN254+BO307*BO254+BP307*BP254+BQ307*BQ254+BR307*BR254+BS307*BS254+BT307*BT254+BU307*BU254+BV307*BV254+BW307*BW254+BX307*BX254+BY307*BY254+BZ307*BZ254+CA307*CA254+CB307*CB254+CC307*CC254+CD307*CD254+CE307*CE254+CF307*CF254+CG307*CG254+CH307*CH254+CI307*CI254+CJ307*CJ254+CK307*CK254+CL307*CL254+CM307*CM254+CN307*CN254+CO307*CO254+CP307*CP254+CQ307*CQ254+CR307*CR254+CS307*CS254+CT307*CT254+CU307*CU254</f>
        <v>0</v>
      </c>
      <c r="DG254" s="2882">
        <f>E308*E254+F308*F254+G308*G254+H308*H254+I308*I254+J308*J254+K308*K254+L308*L254+M308*M254+N308*N254+O308*O254+P308*P254+Q308*Q254+R308*R254+S308*S254+T308*T254+U308*U254+V308*V254+W308*W254+X308*X254+Y308*Y254+Z308*Z254+AA308*AA254+AB308*AB254+AC308*AC254+AD308*AD254+AE308*AE254+AF308*AF254+AG308*AG254+AH308*AH254+AI308*AI254+AJ308*AJ254+AK308*AK254+AL308*AL254+AM308*AM254+AN308*AN254+AO308*AO254+AP308*AP254+AQ308*AQ254+AR308*AR254+AS308*AS254+AT308*AT254+AU308*AU254+AV308*AV254+AW308*AW254+AX308*AX254+AY308*AY254+AZ308*AZ254+BA308*BA254+BB308*BB254+BC308*BC254+BD308*BD254+BE308*BE254+BF308*BF254+BG308*BG254+BH308*BH254+BI308*BI254+BJ308*BJ254+BK308*BK254+BL308*BL254+BM308*BM254+BN308*BN254+BO308*BO254+BP308*BP254+BQ308*BQ254+BR308*BR254+BS308*BS254+BT308*BT254+BU308*BU254+BV308*BV254+BW308*BW254+BX308*BX254+BY308*BY254+BZ308*BZ254+CA308*CA254+CB308*CB254+CC308*CC254+CD308*CD254+CE308*CE254+CF308*CF254+CG308*CG254+CH308*CH254+CI308*CI254+CJ308*CJ254+CK308*CK254+CL308*CL254+CM308*CM254+CN308*CN254+CO308*CO254+CP308*CP254+CQ308*CQ254+CR308*CR254+CS308*CS254+CT308*CT254+CU308*CU254</f>
        <v>0</v>
      </c>
      <c r="DH254" s="2882">
        <f>E309*E254+F309*F254+G309*G254+H309*H254+I309*I254+J309*J254+K309*K254+L309*L254+M309*M254+N309*N254+O309*O254+P309*P254+Q309*Q254+R309*R254+S309*S254+T309*T254+U309*U254+V309*V254+W309*W254+X309*X254+Y309*Y254+Z309*Z254+AA309*AA254+AB309*AB254+AC309*AC254+AD309*AD254+AE309*AE254+AF309*AF254+AG309*AG254+AH309*AH254+AI309*AI254+AJ309*AJ254+AK309*AK254+AL309*AL254+AM309*AM254+AN309*AN254+AO309*AO254+AP309*AP254+AQ309*AQ254+AR309*AR254+AS309*AS254+AT309*AT254+AU309*AU254+AV309*AV254+AW309*AW254+AX309*AX254+AY309*AY254+AZ309*AZ254+BA309*BA254+BB309*BB254+BC309*BC254+BD309*BD254+BE309*BE254+BF309*BF254+BG309*BG254+BH309*BH254+BI309*BI254+BJ309*BJ254+BK309*BK254+BL309*BL254+BM309*BM254+BN309*BN254+BO309*BO254+BP309*BP254+BQ309*BQ254+BR309*BR254+BS309*BS254+BT309*BT254+BU309*BU254+BV309*BV254+BW309*BW254+BX309*BX254+BY309*BY254+BZ309*BZ254+CA309*CA254+CB309*CB254+CC309*CC254+CD309*CD254+CE309*CE254+CF309*CF254+CG309*CG254+CH309*CH254+CI309*CI254+CJ309*CJ254+CK309*CK254+CL309*CL254+CM309*CM254+CN309*CN254+CO309*CO254+CP309*CP254+CQ309*CQ254+CR309*CR254+CS309*CS254+CT309*CT254+CU309*CU254</f>
        <v>0</v>
      </c>
      <c r="DI254" s="2882">
        <f>E310*E254+F310*F254+G310*G254+H310*H254+I310*I254+J310*J254+K310*K254+L310*L254+M310*M254+N310*N254+O310*O254+P310*P254+Q310*Q254+R310*R254+S310*S254+T310*T254+U310*U254+V310*V254+W310*W254+X310*X254+Y310*Y254+Z310*Z254+AA310*AA254+AB310*AB254+AC310*AC254+AD310*AD254+AE310*AE254+AF310*AF254+AG310*AG254+AH310*AH254+AI310*AI254+AJ310*AJ254+AK310*AK254+AL310*AL254+AM310*AM254+AN310*AN254+AO310*AO254+AP310*AP254+AQ310*AQ254+AR310*AR254+AS310*AS254+AT310*AT254+AU310*AU254+AV310*AV254+AW310*AW254+AX310*AX254+AY310*AY254+AZ310*AZ254+BA310*BA254+BB310*BB254+BC310*BC254+BD310*BD254+BE310*BE254+BF310*BF254+BG310*BG254+BH310*BH254+BI310*BI254+BJ310*BJ254+BK310*BK254+BL310*BL254+BM310*BM254+BN310*BN254+BO310*BO254+BP310*BP254+BQ310*BQ254+BR310*BR254+BS310*BS254+BT310*BT254+BU310*BU254+BV310*BV254+BW310*BW254+BX310*BX254+BY310*BY254+BZ310*BZ254+CA310*CA254+CB310*CB254+CC310*CC254+CD310*CD254+CE310*CE254+CF310*CF254+CG310*CG254+CH310*CH254+CI310*CI254+CJ310*CJ254+CK310*CK254+CL310*CL254+CM310*CM254+CN310*CN254+CO310*CO254+CP310*CP254+CQ310*CQ254+CR310*CR254+CS310*CS254+CT310*CT254+CU310*CU254</f>
        <v>0</v>
      </c>
    </row>
    <row r="255" spans="2:113" x14ac:dyDescent="0.45">
      <c r="B255" s="815">
        <v>96</v>
      </c>
      <c r="C255" s="815" t="s">
        <v>3768</v>
      </c>
      <c r="D255" s="816" t="s">
        <v>3214</v>
      </c>
      <c r="E255" s="739">
        <f>0</f>
        <v>0</v>
      </c>
      <c r="F255" s="739">
        <f>0</f>
        <v>0</v>
      </c>
      <c r="G255" s="739">
        <f>0</f>
        <v>0</v>
      </c>
      <c r="H255" s="739">
        <f>0</f>
        <v>0</v>
      </c>
      <c r="I255" s="739">
        <f>0</f>
        <v>0</v>
      </c>
      <c r="J255" s="739">
        <f>0</f>
        <v>0</v>
      </c>
      <c r="K255" s="739">
        <f>0</f>
        <v>0</v>
      </c>
      <c r="L255" s="739">
        <f>0</f>
        <v>0</v>
      </c>
      <c r="M255" s="739">
        <f>0</f>
        <v>0</v>
      </c>
      <c r="N255" s="739">
        <f>0</f>
        <v>0</v>
      </c>
      <c r="O255" s="739">
        <f>0</f>
        <v>0</v>
      </c>
      <c r="P255" s="739">
        <f>0</f>
        <v>0</v>
      </c>
      <c r="Q255" s="817">
        <f>0</f>
        <v>0</v>
      </c>
      <c r="R255" s="739">
        <f>0</f>
        <v>0</v>
      </c>
      <c r="S255" s="739">
        <f>0</f>
        <v>0</v>
      </c>
      <c r="T255" s="739">
        <f>0</f>
        <v>0</v>
      </c>
      <c r="U255" s="739">
        <f>0</f>
        <v>0</v>
      </c>
      <c r="V255" s="739">
        <f>0</f>
        <v>0</v>
      </c>
      <c r="W255" s="739">
        <f>0</f>
        <v>0</v>
      </c>
      <c r="X255" s="739">
        <f>0</f>
        <v>0</v>
      </c>
      <c r="Y255" s="739">
        <f>0</f>
        <v>0</v>
      </c>
      <c r="Z255" s="739">
        <f>0</f>
        <v>0</v>
      </c>
      <c r="AA255" s="739">
        <f>0</f>
        <v>0</v>
      </c>
      <c r="AB255" s="739">
        <f>0</f>
        <v>0</v>
      </c>
      <c r="AC255" s="739">
        <f>0</f>
        <v>0</v>
      </c>
      <c r="AD255" s="739">
        <f>0</f>
        <v>0</v>
      </c>
      <c r="AE255" s="739">
        <f>0</f>
        <v>0</v>
      </c>
      <c r="AF255" s="739">
        <f>0</f>
        <v>0</v>
      </c>
      <c r="AG255" s="739">
        <f>0</f>
        <v>0</v>
      </c>
      <c r="AH255" s="739">
        <f>0</f>
        <v>0</v>
      </c>
      <c r="AI255" s="739">
        <f>0</f>
        <v>0</v>
      </c>
      <c r="AJ255" s="739">
        <f>0</f>
        <v>0</v>
      </c>
      <c r="AK255" s="739">
        <f>0</f>
        <v>0</v>
      </c>
      <c r="AL255" s="739">
        <f>0</f>
        <v>0</v>
      </c>
      <c r="AM255" s="739">
        <f>0</f>
        <v>0</v>
      </c>
      <c r="AN255" s="739">
        <f>0</f>
        <v>0</v>
      </c>
      <c r="AO255" s="739">
        <f>0</f>
        <v>0</v>
      </c>
      <c r="AP255" s="739">
        <f>0</f>
        <v>0</v>
      </c>
      <c r="AQ255" s="739">
        <f>0</f>
        <v>0</v>
      </c>
      <c r="AR255" s="739">
        <f>1</f>
        <v>1</v>
      </c>
      <c r="AS255" s="739">
        <f>0</f>
        <v>0</v>
      </c>
      <c r="AT255" s="739">
        <f>0</f>
        <v>0</v>
      </c>
      <c r="AU255" s="739">
        <f>0</f>
        <v>0</v>
      </c>
      <c r="AV255" s="739">
        <f>0</f>
        <v>0</v>
      </c>
      <c r="AW255" s="739">
        <f>0</f>
        <v>0</v>
      </c>
      <c r="AX255" s="739">
        <f>0</f>
        <v>0</v>
      </c>
      <c r="AY255" s="739">
        <f>0</f>
        <v>0</v>
      </c>
      <c r="AZ255" s="739">
        <f>0</f>
        <v>0</v>
      </c>
      <c r="BA255" s="739">
        <f>0</f>
        <v>0</v>
      </c>
      <c r="BB255" s="739">
        <f>0</f>
        <v>0</v>
      </c>
      <c r="BC255" s="739">
        <f>0</f>
        <v>0</v>
      </c>
      <c r="BD255" s="739">
        <f>0</f>
        <v>0</v>
      </c>
      <c r="BE255" s="817">
        <f>0</f>
        <v>0</v>
      </c>
      <c r="BF255" s="817">
        <f>0</f>
        <v>0</v>
      </c>
      <c r="BG255" s="817">
        <f>0</f>
        <v>0</v>
      </c>
      <c r="BH255" s="817">
        <f>0</f>
        <v>0</v>
      </c>
      <c r="BI255" s="817">
        <f>0</f>
        <v>0</v>
      </c>
      <c r="BJ255" s="817">
        <f>0</f>
        <v>0</v>
      </c>
      <c r="BK255" s="817">
        <f>0</f>
        <v>0</v>
      </c>
      <c r="BL255" s="817">
        <f>0</f>
        <v>0</v>
      </c>
      <c r="BM255" s="817">
        <f>0</f>
        <v>0</v>
      </c>
      <c r="BN255" s="817">
        <f>0</f>
        <v>0</v>
      </c>
      <c r="BO255" s="817">
        <f>0</f>
        <v>0</v>
      </c>
      <c r="BP255" s="817">
        <f>0</f>
        <v>0</v>
      </c>
      <c r="BQ255" s="817">
        <f>0</f>
        <v>0</v>
      </c>
      <c r="BR255" s="817">
        <f>0</f>
        <v>0</v>
      </c>
      <c r="BS255" s="817">
        <f>0</f>
        <v>0</v>
      </c>
      <c r="BT255" s="817">
        <f>0</f>
        <v>0</v>
      </c>
      <c r="BU255" s="817">
        <f>0</f>
        <v>0</v>
      </c>
      <c r="BV255" s="907">
        <f>0</f>
        <v>0</v>
      </c>
      <c r="BW255" s="817">
        <f>0</f>
        <v>0</v>
      </c>
      <c r="BX255" s="817">
        <f>0</f>
        <v>0</v>
      </c>
      <c r="BY255" s="817">
        <f>0</f>
        <v>0</v>
      </c>
      <c r="BZ255" s="817">
        <f>0</f>
        <v>0</v>
      </c>
      <c r="CA255" s="907">
        <f>0</f>
        <v>0</v>
      </c>
      <c r="CB255" s="739">
        <f>0</f>
        <v>0</v>
      </c>
      <c r="CC255" s="739">
        <f>0</f>
        <v>0</v>
      </c>
      <c r="CD255" s="739">
        <f>0</f>
        <v>0</v>
      </c>
      <c r="CE255" s="739">
        <f>-1</f>
        <v>-1</v>
      </c>
      <c r="CF255" s="739">
        <f>0</f>
        <v>0</v>
      </c>
      <c r="CG255" s="739">
        <f>0</f>
        <v>0</v>
      </c>
      <c r="CH255" s="739">
        <f>0</f>
        <v>0</v>
      </c>
      <c r="CI255" s="739">
        <f>0</f>
        <v>0</v>
      </c>
      <c r="CJ255" s="739">
        <f>0</f>
        <v>0</v>
      </c>
      <c r="CK255" s="817">
        <f>0</f>
        <v>0</v>
      </c>
      <c r="CL255" s="817">
        <f>0</f>
        <v>0</v>
      </c>
      <c r="CM255" s="817">
        <f>0</f>
        <v>0</v>
      </c>
      <c r="CN255" s="817">
        <f>0</f>
        <v>0</v>
      </c>
      <c r="CO255" s="817">
        <f>0</f>
        <v>0</v>
      </c>
      <c r="CP255" s="739">
        <f>0</f>
        <v>0</v>
      </c>
      <c r="CQ255" s="739">
        <f>0</f>
        <v>0</v>
      </c>
      <c r="CR255" s="817">
        <f>0</f>
        <v>0</v>
      </c>
      <c r="CS255" s="817">
        <f>0</f>
        <v>0</v>
      </c>
      <c r="CT255" s="817">
        <f>0</f>
        <v>0</v>
      </c>
      <c r="CU255" s="817">
        <f>0</f>
        <v>0</v>
      </c>
      <c r="CV255" s="2869">
        <f>k_LaGO2_bub*(S_GO2_bub_sat-S_O2)</f>
        <v>800</v>
      </c>
      <c r="CX255" s="2880">
        <f>E299*E255+F299*F255+G299*G255+H299*H255+I299*I255+J299*J255+K299*K255+L299*L255+M299*M255+N299*N255+O299*O255+P299*P255+Q299*Q255+R299*R255+S299*S255+T299*T255+U299*U255+V299*V255+W299*W255+X299*X255+Y299*Y255+Z299*Z255+AA299*AA255+AB299*AB255+AC299*AC255+AD299*AD255+AE299*AE255+AF299*AF255+AG299*AG255+AH299*AH255+AI299*AI255+AJ299*AJ255+AK299*AK255+AL299*AL255+AM299*AM255+AN299*AN255+AO299*AO255+AP299*AP255+AQ299*AQ255+AR299*AR255+AS299*AS255+AT299*AT255+AU299*AU255+AV299*AV255+AW299*AW255+AX299*AX255+AY299*AY255+AZ299*AZ255+BA299*BA255+BB299*BB255+BC299*BC255+BD299*BD255+BE299*BE255+BF299*BF255+BG299*BG255+BH299*BH255+BI299*BI255+BJ299*BJ255+BK299*BK255+BL299*BL255+BM299*BM255+BN299*BN255+BO299*BO255+BP299*BP255+BQ299*BQ255+BR299*BR255+BS299*BS255+BT299*BT255+BU299*BU255+BV299*BV255+BW299*BW255+BX299*BX255+BY299*BY255+BZ299*BZ255+CA299*CA255+CB299*CB255+CC299*CC255+CD299*CD255+CE299*CE255+CF299*CF255+CG299*CG255+CH299*CH255+CI299*CI255+CJ299*CJ255+CK299*CK255+CL299*CL255+CM299*CM255+CN299*CN255+CO299*CO255+CP299*CP255+CQ299*CQ255+CR299*CR255+CS299*CS255+CT299*CT255+CU299*CU255</f>
        <v>0</v>
      </c>
      <c r="CY255" s="2880">
        <f>E300*E255+F300*F255+G300*G255+H300*H255+I300*I255+J300*J255+K300*K255+L300*L255+M300*M255+N300*N255+O300*O255+P300*P255+Q300*Q255+R300*R255+S300*S255+T300*T255+U300*U255+V300*V255+W300*W255+X300*X255+Y300*Y255+Z300*Z255+AA300*AA255+AB300*AB255+AC300*AC255+AD300*AD255+AE300*AE255+AF300*AF255+AG300*AG255+AH300*AH255+AI300*AI255+AJ300*AJ255+AK300*AK255+AL300*AL255+AM300*AM255+AN300*AN255+AO300*AO255+AP300*AP255+AQ300*AQ255+AR300*AR255+AS300*AS255+AT300*AT255+AU300*AU255+AV300*AV255+AW300*AW255+AX300*AX255+AY300*AY255+AZ300*AZ255+BA300*BA255+BB300*BB255+BC300*BC255+BD300*BD255+BE300*BE255+BF300*BF255+BG300*BG255+BH300*BH255+BI300*BI255+BJ300*BJ255+BK300*BK255+BL300*BL255+BM300*BM255+BN300*BN255+BO300*BO255+BP300*BP255+BQ300*BQ255+BR300*BR255+BS300*BS255+BT300*BT255+BU300*BU255+BV300*BV255+BW300*BW255+BX300*BX255+BY300*BY255+BZ300*BZ255+CA300*CA255+CB300*CB255+CC300*CC255+CD300*CD255+CE300*CE255+CF300*CF255+CG300*CG255+CH300*CH255+CI300*CI255+CJ300*CJ255+CK300*CK255+CL300*CL255+CM300*CM255+CN300*CN255+CO300*CO255+CP300*CP255+CQ300*CQ255+CR300*CR255+CS300*CS255+CT300*CT255+CU300*CU255</f>
        <v>0</v>
      </c>
      <c r="CZ255" s="2881">
        <f>E301*E255+F301*F255+G301*G255+H301*H255+I301*I255+J301*J255+K301*K255+L301*L255+M301*M255+N301*N255+O301*O255+P301*P255+Q301*Q255+R301*R255+S301*S255+T301*T255+U301*U255+V301*V255+W301*W255+X301*X255+Y301*Y255+Z301*Z255+AA301*AA255+AB301*AB255+AC301*AC255+AD301*AD255+AE301*AE255+AF301*AF255+AG301*AG255+AH301*AH255+AI301*AI255+AJ301*AJ255+AK301*AK255+AL301*AL255+AM301*AM255+AN301*AN255+AO301*AO255+AP301*AP255+AQ301*AQ255+AR301*AR255+AS301*AS255+AT301*AT255+AU301*AU255+AV301*AV255+AW301*AW255+AX301*AX255+AY301*AY255+AZ301*AZ255+BA301*BA255+BB301*BB255+BC301*BC255+BD301*BD255+BE301*BE255+BF301*BF255+BG301*BG255+BH301*BH255+BI301*BI255+BJ301*BJ255+BK301*BK255+BL301*BL255+BM301*BM255+BN301*BN255+BO301*BO255+BP301*BP255+BQ301*BQ255+BR301*BR255+BS301*BS255+BT301*BT255+BU301*BU255+BV301*BV255+BW301*BW255+BX301*BX255+BY301*BY255+BZ301*BZ255+CA301*CA255+CB301*CB255+CC301*CC255+CD301*CD255+CE301*CE255+CF301*CF255+CG301*CG255+CH301*CH255+CI301*CI255+CJ301*CJ255+CK301*CK255+CL301*CL255+CM301*CM255+CN301*CN255+CO301*CO255+CP301*CP255+CQ301*CQ255+CR301*CR255+CS301*CS255+CT301*CT255+CU301*CU255</f>
        <v>0</v>
      </c>
      <c r="DA255" s="2882">
        <f>E302*E255+F302*F255+G302*G255+H302*H255+I302*I255+J302*J255+K302*K255+L302*L255+M302*M255+N302*N255+O302*O255+P302*P255+Q302*Q255+R302*R255+S302*S255+T302*T255+U302*U255+V302*V255+W302*W255+X302*X255+Y302*Y255+Z302*Z255+AA302*AA255+AB302*AB255+AC302*AC255+AD302*AD255+AE302*AE255+AF302*AF255+AG302*AG255+AH302*AH255+AI302*AI255+AJ302*AJ255+AK302*AK255+AL302*AL255+AM302*AM255+AN302*AN255+AO302*AO255+AP302*AP255+AQ302*AQ255+AR302*AR255+AS302*AS255+AT302*AT255+AU302*AU255+AV302*AV255+AW302*AW255+AX302*AX255+AY302*AY255+AZ302*AZ255+BA302*BA255+BB302*BB255+BC302*BC255+BD302*BD255+BE302*BE255+BF302*BF255+BG302*BG255+BH302*BH255+BI302*BI255+BJ302*BJ255+BK302*BK255+BL302*BL255+BM302*BM255+BN302*BN255+BO302*BO255+BP302*BP255+BQ302*BQ255+BR302*BR255+BS302*BS255+BT302*BT255+BU302*BU255+BV302*BV255+BW302*BW255+BX302*BX255+BY302*BY255+BZ302*BZ255+CA302*CA255+CB302*CB255+CC302*CC255+CD302*CD255+CE302*CE255+CF302*CF255+CG302*CG255+CH302*CH255+CI302*CI255+CJ302*CJ255+CK302*CK255+CL302*CL255+CM302*CM255+CN302*CN255+CO302*CO255+CP302*CP255+CQ302*CQ255+CR302*CR255+CS302*CS255+CT302*CT255+CU302*CU255</f>
        <v>0</v>
      </c>
      <c r="DB255" s="2882">
        <f>E303*E255+F303*F255+G303*G255+H303*H255+I303*I255+J303*J255+K303*K255+L303*L255+M303*M255+N303*N255+O303*O255+P303*P255+Q303*Q255+R303*R255+S303*S255+T303*T255+U303*U255+V303*V255+W303*W255+X303*X255+Y303*Y255+Z303*Z255+AA303*AA255+AB303*AB255+AC303*AC255+AD303*AD255+AE303*AE255+AF303*AF255+AG303*AG255+AH303*AH255+AI303*AI255+AJ303*AJ255+AK303*AK255+AL303*AL255+AM303*AM255+AN303*AN255+AO303*AO255+AP303*AP255+AQ303*AQ255+AR303*AR255+AS303*AS255+AT303*AT255+AU303*AU255+AV303*AV255+AW303*AW255+AX303*AX255+AY303*AY255+AZ303*AZ255+BA303*BA255+BB303*BB255+BC303*BC255+BD303*BD255+BE303*BE255+BF303*BF255+BG303*BG255+BH303*BH255+BI303*BI255+BJ303*BJ255+BK303*BK255+BL303*BL255+BM303*BM255+BN303*BN255+BO303*BO255+BP303*BP255+BQ303*BQ255+BR303*BR255+BS303*BS255+BT303*BT255+BU303*BU255+BV303*BV255+BW303*BW255+BX303*BX255+BY303*BY255+BZ303*BZ255+CA303*CA255+CB303*CB255+CC303*CC255+CD303*CD255+CE303*CE255+CF303*CF255+CG303*CG255+CH303*CH255+CI303*CI255+CJ303*CJ255+CK303*CK255+CL303*CL255+CM303*CM255+CN303*CN255+CO303*CO255+CP303*CP255+CQ303*CQ255+CR303*CR255+CS303*CS255+CT303*CT255+CU303*CU255</f>
        <v>0</v>
      </c>
      <c r="DC255" s="2882">
        <f>E304*E255+F304*F255+G304*G255+H304*H255+I304*I255+J304*J255+K304*K255+L304*L255+M304*M255+N304*N255+O304*O255+P304*P255+Q304*Q255+R304*R255+S304*S255+T304*T255+U304*U255+V304*V255+W304*W255+X304*X255+Y304*Y255+Z304*Z255+AA304*AA255+AB304*AB255+AC304*AC255+AD304*AD255+AE304*AE255+AF304*AF255+AG304*AG255+AH304*AH255+AI304*AI255+AJ304*AJ255+AK304*AK255+AL304*AL255+AM304*AM255+AN304*AN255+AO304*AO255+AP304*AP255+AQ304*AQ255+AR304*AR255+AS304*AS255+AT304*AT255+AU304*AU255+AV304*AV255+AW304*AW255+AX304*AX255+AY304*AY255+AZ304*AZ255+BA304*BA255+BB304*BB255+BC304*BC255+BD304*BD255+BE304*BE255+BF304*BF255+BG304*BG255+BH304*BH255+BI304*BI255+BJ304*BJ255+BK304*BK255+BL304*BL255+BM304*BM255+BN304*BN255+BO304*BO255+BP304*BP255+BQ304*BQ255+BR304*BR255+BS304*BS255+BT304*BT255+BU304*BU255+BV304*BV255+BW304*BW255+BX304*BX255+BY304*BY255+BZ304*BZ255+CA304*CA255+CB304*CB255+CC304*CC255+CD304*CD255+CE304*CE255+CF304*CF255+CG304*CG255+CH304*CH255+CI304*CI255+CJ304*CJ255+CK304*CK255+CL304*CL255+CM304*CM255+CN304*CN255+CO304*CO255+CP304*CP255+CQ304*CQ255+CR304*CR255+CS304*CS255+CT304*CT255+CU304*CU255</f>
        <v>0</v>
      </c>
      <c r="DD255" s="2882">
        <f>E305*E255+F305*F255+G305*G255+H305*H255+I305*I255+J305*J255+K305*K255+L305*L255+M305*M255+N305*N255+O305*O255+P305*P255+Q305*Q255+R305*R255+S305*S255+T305*T255+U305*U255+V305*V255+W305*W255+X305*X255+Y305*Y255+Z305*Z255+AA305*AA255+AB305*AB255+AC305*AC255+AD305*AD255+AE305*AE255+AF305*AF255+AG305*AG255+AH305*AH255+AI305*AI255+AJ305*AJ255+AK305*AK255+AL305*AL255+AM305*AM255+AN305*AN255+AO305*AO255+AP305*AP255+AQ305*AQ255+AR305*AR255+AS305*AS255+AT305*AT255+AU305*AU255+AV305*AV255+AW305*AW255+AX305*AX255+AY305*AY255+AZ305*AZ255+BA305*BA255+BB305*BB255+BC305*BC255+BD305*BD255+BE305*BE255+BF305*BF255+BG305*BG255+BH305*BH255+BI305*BI255+BJ305*BJ255+BK305*BK255+BL305*BL255+BM305*BM255+BN305*BN255+BO305*BO255+BP305*BP255+BQ305*BQ255+BR305*BR255+BS305*BS255+BT305*BT255+BU305*BU255+BV305*BV255+BW305*BW255+BX305*BX255+BY305*BY255+BZ305*BZ255+CA305*CA255+CB305*CB255+CC305*CC255+CD305*CD255+CE305*CE255+CF305*CF255+CG305*CG255+CH305*CH255+CI305*CI255+CJ305*CJ255+CK305*CK255+CL305*CL255+CM305*CM255+CN305*CN255+CO305*CO255+CP305*CP255+CQ305*CQ255+CR305*CR255+CS305*CS255+CT305*CT255+CU305*CU255</f>
        <v>0</v>
      </c>
      <c r="DE255" s="2882">
        <f>E306*E255+F306*F255+G306*G255+H306*H255+I306*I255+J306*J255+K306*K255+L306*L255+M306*M255+N306*N255+O306*O255+P306*P255+Q306*Q255+R306*R255+S306*S255+T306*T255+U306*U255+V306*V255+W306*W255+X306*X255+Y306*Y255+Z306*Z255+AA306*AA255+AB306*AB255+AC306*AC255+AD306*AD255+AE306*AE255+AF306*AF255+AG306*AG255+AH306*AH255+AI306*AI255+AJ306*AJ255+AK306*AK255+AL306*AL255+AM306*AM255+AN306*AN255+AO306*AO255+AP306*AP255+AQ306*AQ255+AR306*AR255+AS306*AS255+AT306*AT255+AU306*AU255+AV306*AV255+AW306*AW255+AX306*AX255+AY306*AY255+AZ306*AZ255+BA306*BA255+BB306*BB255+BC306*BC255+BD306*BD255+BE306*BE255+BF306*BF255+BG306*BG255+BH306*BH255+BI306*BI255+BJ306*BJ255+BK306*BK255+BL306*BL255+BM306*BM255+BN306*BN255+BO306*BO255+BP306*BP255+BQ306*BQ255+BR306*BR255+BS306*BS255+BT306*BT255+BU306*BU255+BV306*BV255+BW306*BW255+BX306*BX255+BY306*BY255+BZ306*BZ255+CA306*CA255+CB306*CB255+CC306*CC255+CD306*CD255+CE306*CE255+CF306*CF255+CG306*CG255+CH306*CH255+CI306*CI255+CJ306*CJ255+CK306*CK255+CL306*CL255+CM306*CM255+CN306*CN255+CO306*CO255+CP306*CP255+CQ306*CQ255+CR306*CR255+CS306*CS255+CT306*CT255+CU306*CU255</f>
        <v>0</v>
      </c>
      <c r="DF255" s="2882">
        <f>E307*E255+F307*F255+G307*G255+H307*H255+I307*I255+J307*J255+K307*K255+L307*L255+M307*M255+N307*N255+O307*O255+P307*P255+Q307*Q255+R307*R255+S307*S255+T307*T255+U307*U255+V307*V255+W307*W255+X307*X255+Y307*Y255+Z307*Z255+AA307*AA255+AB307*AB255+AC307*AC255+AD307*AD255+AE307*AE255+AF307*AF255+AG307*AG255+AH307*AH255+AI307*AI255+AJ307*AJ255+AK307*AK255+AL307*AL255+AM307*AM255+AN307*AN255+AO307*AO255+AP307*AP255+AQ307*AQ255+AR307*AR255+AS307*AS255+AT307*AT255+AU307*AU255+AV307*AV255+AW307*AW255+AX307*AX255+AY307*AY255+AZ307*AZ255+BA307*BA255+BB307*BB255+BC307*BC255+BD307*BD255+BE307*BE255+BF307*BF255+BG307*BG255+BH307*BH255+BI307*BI255+BJ307*BJ255+BK307*BK255+BL307*BL255+BM307*BM255+BN307*BN255+BO307*BO255+BP307*BP255+BQ307*BQ255+BR307*BR255+BS307*BS255+BT307*BT255+BU307*BU255+BV307*BV255+BW307*BW255+BX307*BX255+BY307*BY255+BZ307*BZ255+CA307*CA255+CB307*CB255+CC307*CC255+CD307*CD255+CE307*CE255+CF307*CF255+CG307*CG255+CH307*CH255+CI307*CI255+CJ307*CJ255+CK307*CK255+CL307*CL255+CM307*CM255+CN307*CN255+CO307*CO255+CP307*CP255+CQ307*CQ255+CR307*CR255+CS307*CS255+CT307*CT255+CU307*CU255</f>
        <v>0</v>
      </c>
      <c r="DG255" s="2882">
        <f>E308*E255+F308*F255+G308*G255+H308*H255+I308*I255+J308*J255+K308*K255+L308*L255+M308*M255+N308*N255+O308*O255+P308*P255+Q308*Q255+R308*R255+S308*S255+T308*T255+U308*U255+V308*V255+W308*W255+X308*X255+Y308*Y255+Z308*Z255+AA308*AA255+AB308*AB255+AC308*AC255+AD308*AD255+AE308*AE255+AF308*AF255+AG308*AG255+AH308*AH255+AI308*AI255+AJ308*AJ255+AK308*AK255+AL308*AL255+AM308*AM255+AN308*AN255+AO308*AO255+AP308*AP255+AQ308*AQ255+AR308*AR255+AS308*AS255+AT308*AT255+AU308*AU255+AV308*AV255+AW308*AW255+AX308*AX255+AY308*AY255+AZ308*AZ255+BA308*BA255+BB308*BB255+BC308*BC255+BD308*BD255+BE308*BE255+BF308*BF255+BG308*BG255+BH308*BH255+BI308*BI255+BJ308*BJ255+BK308*BK255+BL308*BL255+BM308*BM255+BN308*BN255+BO308*BO255+BP308*BP255+BQ308*BQ255+BR308*BR255+BS308*BS255+BT308*BT255+BU308*BU255+BV308*BV255+BW308*BW255+BX308*BX255+BY308*BY255+BZ308*BZ255+CA308*CA255+CB308*CB255+CC308*CC255+CD308*CD255+CE308*CE255+CF308*CF255+CG308*CG255+CH308*CH255+CI308*CI255+CJ308*CJ255+CK308*CK255+CL308*CL255+CM308*CM255+CN308*CN255+CO308*CO255+CP308*CP255+CQ308*CQ255+CR308*CR255+CS308*CS255+CT308*CT255+CU308*CU255</f>
        <v>0</v>
      </c>
      <c r="DH255" s="2882">
        <f>E309*E255+F309*F255+G309*G255+H309*H255+I309*I255+J309*J255+K309*K255+L309*L255+M309*M255+N309*N255+O309*O255+P309*P255+Q309*Q255+R309*R255+S309*S255+T309*T255+U309*U255+V309*V255+W309*W255+X309*X255+Y309*Y255+Z309*Z255+AA309*AA255+AB309*AB255+AC309*AC255+AD309*AD255+AE309*AE255+AF309*AF255+AG309*AG255+AH309*AH255+AI309*AI255+AJ309*AJ255+AK309*AK255+AL309*AL255+AM309*AM255+AN309*AN255+AO309*AO255+AP309*AP255+AQ309*AQ255+AR309*AR255+AS309*AS255+AT309*AT255+AU309*AU255+AV309*AV255+AW309*AW255+AX309*AX255+AY309*AY255+AZ309*AZ255+BA309*BA255+BB309*BB255+BC309*BC255+BD309*BD255+BE309*BE255+BF309*BF255+BG309*BG255+BH309*BH255+BI309*BI255+BJ309*BJ255+BK309*BK255+BL309*BL255+BM309*BM255+BN309*BN255+BO309*BO255+BP309*BP255+BQ309*BQ255+BR309*BR255+BS309*BS255+BT309*BT255+BU309*BU255+BV309*BV255+BW309*BW255+BX309*BX255+BY309*BY255+BZ309*BZ255+CA309*CA255+CB309*CB255+CC309*CC255+CD309*CD255+CE309*CE255+CF309*CF255+CG309*CG255+CH309*CH255+CI309*CI255+CJ309*CJ255+CK309*CK255+CL309*CL255+CM309*CM255+CN309*CN255+CO309*CO255+CP309*CP255+CQ309*CQ255+CR309*CR255+CS309*CS255+CT309*CT255+CU309*CU255</f>
        <v>0</v>
      </c>
      <c r="DI255" s="2882">
        <f>E310*E255+F310*F255+G310*G255+H310*H255+I310*I255+J310*J255+K310*K255+L310*L255+M310*M255+N310*N255+O310*O255+P310*P255+Q310*Q255+R310*R255+S310*S255+T310*T255+U310*U255+V310*V255+W310*W255+X310*X255+Y310*Y255+Z310*Z255+AA310*AA255+AB310*AB255+AC310*AC255+AD310*AD255+AE310*AE255+AF310*AF255+AG310*AG255+AH310*AH255+AI310*AI255+AJ310*AJ255+AK310*AK255+AL310*AL255+AM310*AM255+AN310*AN255+AO310*AO255+AP310*AP255+AQ310*AQ255+AR310*AR255+AS310*AS255+AT310*AT255+AU310*AU255+AV310*AV255+AW310*AW255+AX310*AX255+AY310*AY255+AZ310*AZ255+BA310*BA255+BB310*BB255+BC310*BC255+BD310*BD255+BE310*BE255+BF310*BF255+BG310*BG255+BH310*BH255+BI310*BI255+BJ310*BJ255+BK310*BK255+BL310*BL255+BM310*BM255+BN310*BN255+BO310*BO255+BP310*BP255+BQ310*BQ255+BR310*BR255+BS310*BS255+BT310*BT255+BU310*BU255+BV310*BV255+BW310*BW255+BX310*BX255+BY310*BY255+BZ310*BZ255+CA310*CA255+CB310*CB255+CC310*CC255+CD310*CD255+CE310*CE255+CF310*CF255+CG310*CG255+CH310*CH255+CI310*CI255+CJ310*CJ255+CK310*CK255+CL310*CL255+CM310*CM255+CN310*CN255+CO310*CO255+CP310*CP255+CQ310*CQ255+CR310*CR255+CS310*CS255+CT310*CT255+CU310*CU255</f>
        <v>0</v>
      </c>
    </row>
    <row r="256" spans="2:113" x14ac:dyDescent="0.45">
      <c r="B256" s="815">
        <v>97</v>
      </c>
      <c r="C256" s="815" t="s">
        <v>3769</v>
      </c>
      <c r="D256" s="816" t="s">
        <v>3215</v>
      </c>
      <c r="E256" s="739">
        <f>0</f>
        <v>0</v>
      </c>
      <c r="F256" s="739">
        <f>0</f>
        <v>0</v>
      </c>
      <c r="G256" s="739">
        <f>0</f>
        <v>0</v>
      </c>
      <c r="H256" s="739">
        <f>0</f>
        <v>0</v>
      </c>
      <c r="I256" s="739">
        <f>0</f>
        <v>0</v>
      </c>
      <c r="J256" s="739">
        <f>0</f>
        <v>0</v>
      </c>
      <c r="K256" s="739">
        <f>0</f>
        <v>0</v>
      </c>
      <c r="L256" s="739">
        <f>0</f>
        <v>0</v>
      </c>
      <c r="M256" s="739">
        <f>0</f>
        <v>0</v>
      </c>
      <c r="N256" s="739">
        <f>0</f>
        <v>0</v>
      </c>
      <c r="O256" s="739">
        <f>0</f>
        <v>0</v>
      </c>
      <c r="P256" s="739">
        <f>0</f>
        <v>0</v>
      </c>
      <c r="Q256" s="817">
        <f>0</f>
        <v>0</v>
      </c>
      <c r="R256" s="739">
        <f>0</f>
        <v>0</v>
      </c>
      <c r="S256" s="739">
        <f>0</f>
        <v>0</v>
      </c>
      <c r="T256" s="739">
        <f>0</f>
        <v>0</v>
      </c>
      <c r="U256" s="739">
        <f>0</f>
        <v>0</v>
      </c>
      <c r="V256" s="739">
        <f>0</f>
        <v>0</v>
      </c>
      <c r="W256" s="739">
        <f>0</f>
        <v>0</v>
      </c>
      <c r="X256" s="739">
        <f>0</f>
        <v>0</v>
      </c>
      <c r="Y256" s="739">
        <f>0</f>
        <v>0</v>
      </c>
      <c r="Z256" s="739">
        <f>0</f>
        <v>0</v>
      </c>
      <c r="AA256" s="739">
        <f>0</f>
        <v>0</v>
      </c>
      <c r="AB256" s="739">
        <f>1</f>
        <v>1</v>
      </c>
      <c r="AC256" s="739">
        <f>0</f>
        <v>0</v>
      </c>
      <c r="AD256" s="739">
        <f>0</f>
        <v>0</v>
      </c>
      <c r="AE256" s="739">
        <f>0</f>
        <v>0</v>
      </c>
      <c r="AF256" s="739">
        <f>0</f>
        <v>0</v>
      </c>
      <c r="AG256" s="739">
        <f>0</f>
        <v>0</v>
      </c>
      <c r="AH256" s="739">
        <f>0</f>
        <v>0</v>
      </c>
      <c r="AI256" s="739">
        <f>0</f>
        <v>0</v>
      </c>
      <c r="AJ256" s="739">
        <f>0</f>
        <v>0</v>
      </c>
      <c r="AK256" s="739">
        <f>0</f>
        <v>0</v>
      </c>
      <c r="AL256" s="739">
        <f>0</f>
        <v>0</v>
      </c>
      <c r="AM256" s="739">
        <f>0</f>
        <v>0</v>
      </c>
      <c r="AN256" s="739">
        <f>0</f>
        <v>0</v>
      </c>
      <c r="AO256" s="739">
        <f>0</f>
        <v>0</v>
      </c>
      <c r="AP256" s="739">
        <f>0</f>
        <v>0</v>
      </c>
      <c r="AQ256" s="739">
        <f>0</f>
        <v>0</v>
      </c>
      <c r="AR256" s="739">
        <f>0</f>
        <v>0</v>
      </c>
      <c r="AS256" s="739">
        <f>0</f>
        <v>0</v>
      </c>
      <c r="AT256" s="739">
        <f>0</f>
        <v>0</v>
      </c>
      <c r="AU256" s="739">
        <f>0</f>
        <v>0</v>
      </c>
      <c r="AV256" s="739">
        <f>0</f>
        <v>0</v>
      </c>
      <c r="AW256" s="739">
        <f>0</f>
        <v>0</v>
      </c>
      <c r="AX256" s="739">
        <f>0</f>
        <v>0</v>
      </c>
      <c r="AY256" s="739">
        <f>0</f>
        <v>0</v>
      </c>
      <c r="AZ256" s="739">
        <f>0</f>
        <v>0</v>
      </c>
      <c r="BA256" s="739">
        <f>0</f>
        <v>0</v>
      </c>
      <c r="BB256" s="739">
        <f>0</f>
        <v>0</v>
      </c>
      <c r="BC256" s="739">
        <f>0</f>
        <v>0</v>
      </c>
      <c r="BD256" s="739">
        <f>0</f>
        <v>0</v>
      </c>
      <c r="BE256" s="817">
        <f>0</f>
        <v>0</v>
      </c>
      <c r="BF256" s="817">
        <f>0</f>
        <v>0</v>
      </c>
      <c r="BG256" s="817">
        <f>0</f>
        <v>0</v>
      </c>
      <c r="BH256" s="817">
        <f>0</f>
        <v>0</v>
      </c>
      <c r="BI256" s="817">
        <f>0</f>
        <v>0</v>
      </c>
      <c r="BJ256" s="817">
        <f>0</f>
        <v>0</v>
      </c>
      <c r="BK256" s="817">
        <f>0</f>
        <v>0</v>
      </c>
      <c r="BL256" s="817">
        <f>0</f>
        <v>0</v>
      </c>
      <c r="BM256" s="817">
        <f>0</f>
        <v>0</v>
      </c>
      <c r="BN256" s="817">
        <f>0</f>
        <v>0</v>
      </c>
      <c r="BO256" s="817">
        <f>0</f>
        <v>0</v>
      </c>
      <c r="BP256" s="817">
        <f>0</f>
        <v>0</v>
      </c>
      <c r="BQ256" s="817">
        <f>0</f>
        <v>0</v>
      </c>
      <c r="BR256" s="817">
        <f>0</f>
        <v>0</v>
      </c>
      <c r="BS256" s="817">
        <f>0</f>
        <v>0</v>
      </c>
      <c r="BT256" s="817">
        <f>0</f>
        <v>0</v>
      </c>
      <c r="BU256" s="817">
        <f>0</f>
        <v>0</v>
      </c>
      <c r="BV256" s="907">
        <f>0</f>
        <v>0</v>
      </c>
      <c r="BW256" s="817">
        <f>0</f>
        <v>0</v>
      </c>
      <c r="BX256" s="817">
        <f>0</f>
        <v>0</v>
      </c>
      <c r="BY256" s="817">
        <f>0</f>
        <v>0</v>
      </c>
      <c r="BZ256" s="817">
        <f>0</f>
        <v>0</v>
      </c>
      <c r="CA256" s="907">
        <f>0</f>
        <v>0</v>
      </c>
      <c r="CB256" s="739">
        <f>0</f>
        <v>0</v>
      </c>
      <c r="CC256" s="739">
        <f>0</f>
        <v>0</v>
      </c>
      <c r="CD256" s="739">
        <f>0</f>
        <v>0</v>
      </c>
      <c r="CE256" s="739">
        <f>0</f>
        <v>0</v>
      </c>
      <c r="CF256" s="739">
        <f>-1</f>
        <v>-1</v>
      </c>
      <c r="CG256" s="739">
        <f>0</f>
        <v>0</v>
      </c>
      <c r="CH256" s="739">
        <f>0</f>
        <v>0</v>
      </c>
      <c r="CI256" s="739">
        <f>0</f>
        <v>0</v>
      </c>
      <c r="CJ256" s="739">
        <f>0</f>
        <v>0</v>
      </c>
      <c r="CK256" s="817">
        <f>0</f>
        <v>0</v>
      </c>
      <c r="CL256" s="817">
        <f>0</f>
        <v>0</v>
      </c>
      <c r="CM256" s="817">
        <f>0</f>
        <v>0</v>
      </c>
      <c r="CN256" s="817">
        <f>0</f>
        <v>0</v>
      </c>
      <c r="CO256" s="817">
        <f>0</f>
        <v>0</v>
      </c>
      <c r="CP256" s="739">
        <f>0</f>
        <v>0</v>
      </c>
      <c r="CQ256" s="739">
        <f>0</f>
        <v>0</v>
      </c>
      <c r="CR256" s="817">
        <f>0</f>
        <v>0</v>
      </c>
      <c r="CS256" s="817">
        <f>0</f>
        <v>0</v>
      </c>
      <c r="CT256" s="817">
        <f>0</f>
        <v>0</v>
      </c>
      <c r="CU256" s="817">
        <f>0</f>
        <v>0</v>
      </c>
      <c r="CV256" s="2869">
        <f>k_transfer_GNH3_bub</f>
        <v>0</v>
      </c>
      <c r="CX256" s="2880">
        <f>E299*E256+F299*F256+G299*G256+H299*H256+I299*I256+J299*J256+K299*K256+L299*L256+M299*M256+N299*N256+O299*O256+P299*P256+Q299*Q256+R299*R256+S299*S256+T299*T256+U299*U256+V299*V256+W299*W256+X299*X256+Y299*Y256+Z299*Z256+AA299*AA256+AB299*AB256+AC299*AC256+AD299*AD256+AE299*AE256+AF299*AF256+AG299*AG256+AH299*AH256+AI299*AI256+AJ299*AJ256+AK299*AK256+AL299*AL256+AM299*AM256+AN299*AN256+AO299*AO256+AP299*AP256+AQ299*AQ256+AR299*AR256+AS299*AS256+AT299*AT256+AU299*AU256+AV299*AV256+AW299*AW256+AX299*AX256+AY299*AY256+AZ299*AZ256+BA299*BA256+BB299*BB256+BC299*BC256+BD299*BD256+BE299*BE256+BF299*BF256+BG299*BG256+BH299*BH256+BI299*BI256+BJ299*BJ256+BK299*BK256+BL299*BL256+BM299*BM256+BN299*BN256+BO299*BO256+BP299*BP256+BQ299*BQ256+BR299*BR256+BS299*BS256+BT299*BT256+BU299*BU256+BV299*BV256+BW299*BW256+BX299*BX256+BY299*BY256+BZ299*BZ256+CA299*CA256+CB299*CB256+CC299*CC256+CD299*CD256+CE299*CE256+CF299*CF256+CG299*CG256+CH299*CH256+CI299*CI256+CJ299*CJ256+CK299*CK256+CL299*CL256+CM299*CM256+CN299*CN256+CO299*CO256+CP299*CP256+CQ299*CQ256+CR299*CR256+CS299*CS256+CT299*CT256+CU299*CU256</f>
        <v>0</v>
      </c>
      <c r="CY256" s="2880">
        <f>E300*E256+F300*F256+G300*G256+H300*H256+I300*I256+J300*J256+K300*K256+L300*L256+M300*M256+N300*N256+O300*O256+P300*P256+Q300*Q256+R300*R256+S300*S256+T300*T256+U300*U256+V300*V256+W300*W256+X300*X256+Y300*Y256+Z300*Z256+AA300*AA256+AB300*AB256+AC300*AC256+AD300*AD256+AE300*AE256+AF300*AF256+AG300*AG256+AH300*AH256+AI300*AI256+AJ300*AJ256+AK300*AK256+AL300*AL256+AM300*AM256+AN300*AN256+AO300*AO256+AP300*AP256+AQ300*AQ256+AR300*AR256+AS300*AS256+AT300*AT256+AU300*AU256+AV300*AV256+AW300*AW256+AX300*AX256+AY300*AY256+AZ300*AZ256+BA300*BA256+BB300*BB256+BC300*BC256+BD300*BD256+BE300*BE256+BF300*BF256+BG300*BG256+BH300*BH256+BI300*BI256+BJ300*BJ256+BK300*BK256+BL300*BL256+BM300*BM256+BN300*BN256+BO300*BO256+BP300*BP256+BQ300*BQ256+BR300*BR256+BS300*BS256+BT300*BT256+BU300*BU256+BV300*BV256+BW300*BW256+BX300*BX256+BY300*BY256+BZ300*BZ256+CA300*CA256+CB300*CB256+CC300*CC256+CD300*CD256+CE300*CE256+CF300*CF256+CG300*CG256+CH300*CH256+CI300*CI256+CJ300*CJ256+CK300*CK256+CL300*CL256+CM300*CM256+CN300*CN256+CO300*CO256+CP300*CP256+CQ300*CQ256+CR300*CR256+CS300*CS256+CT300*CT256+CU300*CU256</f>
        <v>0</v>
      </c>
      <c r="CZ256" s="2881">
        <f>E301*E256+F301*F256+G301*G256+H301*H256+I301*I256+J301*J256+K301*K256+L301*L256+M301*M256+N301*N256+O301*O256+P301*P256+Q301*Q256+R301*R256+S301*S256+T301*T256+U301*U256+V301*V256+W301*W256+X301*X256+Y301*Y256+Z301*Z256+AA301*AA256+AB301*AB256+AC301*AC256+AD301*AD256+AE301*AE256+AF301*AF256+AG301*AG256+AH301*AH256+AI301*AI256+AJ301*AJ256+AK301*AK256+AL301*AL256+AM301*AM256+AN301*AN256+AO301*AO256+AP301*AP256+AQ301*AQ256+AR301*AR256+AS301*AS256+AT301*AT256+AU301*AU256+AV301*AV256+AW301*AW256+AX301*AX256+AY301*AY256+AZ301*AZ256+BA301*BA256+BB301*BB256+BC301*BC256+BD301*BD256+BE301*BE256+BF301*BF256+BG301*BG256+BH301*BH256+BI301*BI256+BJ301*BJ256+BK301*BK256+BL301*BL256+BM301*BM256+BN301*BN256+BO301*BO256+BP301*BP256+BQ301*BQ256+BR301*BR256+BS301*BS256+BT301*BT256+BU301*BU256+BV301*BV256+BW301*BW256+BX301*BX256+BY301*BY256+BZ301*BZ256+CA301*CA256+CB301*CB256+CC301*CC256+CD301*CD256+CE301*CE256+CF301*CF256+CG301*CG256+CH301*CH256+CI301*CI256+CJ301*CJ256+CK301*CK256+CL301*CL256+CM301*CM256+CN301*CN256+CO301*CO256+CP301*CP256+CQ301*CQ256+CR301*CR256+CS301*CS256+CT301*CT256+CU301*CU256</f>
        <v>0</v>
      </c>
      <c r="DA256" s="2882">
        <f>E302*E256+F302*F256+G302*G256+H302*H256+I302*I256+J302*J256+K302*K256+L302*L256+M302*M256+N302*N256+O302*O256+P302*P256+Q302*Q256+R302*R256+S302*S256+T302*T256+U302*U256+V302*V256+W302*W256+X302*X256+Y302*Y256+Z302*Z256+AA302*AA256+AB302*AB256+AC302*AC256+AD302*AD256+AE302*AE256+AF302*AF256+AG302*AG256+AH302*AH256+AI302*AI256+AJ302*AJ256+AK302*AK256+AL302*AL256+AM302*AM256+AN302*AN256+AO302*AO256+AP302*AP256+AQ302*AQ256+AR302*AR256+AS302*AS256+AT302*AT256+AU302*AU256+AV302*AV256+AW302*AW256+AX302*AX256+AY302*AY256+AZ302*AZ256+BA302*BA256+BB302*BB256+BC302*BC256+BD302*BD256+BE302*BE256+BF302*BF256+BG302*BG256+BH302*BH256+BI302*BI256+BJ302*BJ256+BK302*BK256+BL302*BL256+BM302*BM256+BN302*BN256+BO302*BO256+BP302*BP256+BQ302*BQ256+BR302*BR256+BS302*BS256+BT302*BT256+BU302*BU256+BV302*BV256+BW302*BW256+BX302*BX256+BY302*BY256+BZ302*BZ256+CA302*CA256+CB302*CB256+CC302*CC256+CD302*CD256+CE302*CE256+CF302*CF256+CG302*CG256+CH302*CH256+CI302*CI256+CJ302*CJ256+CK302*CK256+CL302*CL256+CM302*CM256+CN302*CN256+CO302*CO256+CP302*CP256+CQ302*CQ256+CR302*CR256+CS302*CS256+CT302*CT256+CU302*CU256</f>
        <v>0</v>
      </c>
      <c r="DB256" s="2882">
        <f>E303*E256+F303*F256+G303*G256+H303*H256+I303*I256+J303*J256+K303*K256+L303*L256+M303*M256+N303*N256+O303*O256+P303*P256+Q303*Q256+R303*R256+S303*S256+T303*T256+U303*U256+V303*V256+W303*W256+X303*X256+Y303*Y256+Z303*Z256+AA303*AA256+AB303*AB256+AC303*AC256+AD303*AD256+AE303*AE256+AF303*AF256+AG303*AG256+AH303*AH256+AI303*AI256+AJ303*AJ256+AK303*AK256+AL303*AL256+AM303*AM256+AN303*AN256+AO303*AO256+AP303*AP256+AQ303*AQ256+AR303*AR256+AS303*AS256+AT303*AT256+AU303*AU256+AV303*AV256+AW303*AW256+AX303*AX256+AY303*AY256+AZ303*AZ256+BA303*BA256+BB303*BB256+BC303*BC256+BD303*BD256+BE303*BE256+BF303*BF256+BG303*BG256+BH303*BH256+BI303*BI256+BJ303*BJ256+BK303*BK256+BL303*BL256+BM303*BM256+BN303*BN256+BO303*BO256+BP303*BP256+BQ303*BQ256+BR303*BR256+BS303*BS256+BT303*BT256+BU303*BU256+BV303*BV256+BW303*BW256+BX303*BX256+BY303*BY256+BZ303*BZ256+CA303*CA256+CB303*CB256+CC303*CC256+CD303*CD256+CE303*CE256+CF303*CF256+CG303*CG256+CH303*CH256+CI303*CI256+CJ303*CJ256+CK303*CK256+CL303*CL256+CM303*CM256+CN303*CN256+CO303*CO256+CP303*CP256+CQ303*CQ256+CR303*CR256+CS303*CS256+CT303*CT256+CU303*CU256</f>
        <v>0</v>
      </c>
      <c r="DC256" s="2882">
        <f>E304*E256+F304*F256+G304*G256+H304*H256+I304*I256+J304*J256+K304*K256+L304*L256+M304*M256+N304*N256+O304*O256+P304*P256+Q304*Q256+R304*R256+S304*S256+T304*T256+U304*U256+V304*V256+W304*W256+X304*X256+Y304*Y256+Z304*Z256+AA304*AA256+AB304*AB256+AC304*AC256+AD304*AD256+AE304*AE256+AF304*AF256+AG304*AG256+AH304*AH256+AI304*AI256+AJ304*AJ256+AK304*AK256+AL304*AL256+AM304*AM256+AN304*AN256+AO304*AO256+AP304*AP256+AQ304*AQ256+AR304*AR256+AS304*AS256+AT304*AT256+AU304*AU256+AV304*AV256+AW304*AW256+AX304*AX256+AY304*AY256+AZ304*AZ256+BA304*BA256+BB304*BB256+BC304*BC256+BD304*BD256+BE304*BE256+BF304*BF256+BG304*BG256+BH304*BH256+BI304*BI256+BJ304*BJ256+BK304*BK256+BL304*BL256+BM304*BM256+BN304*BN256+BO304*BO256+BP304*BP256+BQ304*BQ256+BR304*BR256+BS304*BS256+BT304*BT256+BU304*BU256+BV304*BV256+BW304*BW256+BX304*BX256+BY304*BY256+BZ304*BZ256+CA304*CA256+CB304*CB256+CC304*CC256+CD304*CD256+CE304*CE256+CF304*CF256+CG304*CG256+CH304*CH256+CI304*CI256+CJ304*CJ256+CK304*CK256+CL304*CL256+CM304*CM256+CN304*CN256+CO304*CO256+CP304*CP256+CQ304*CQ256+CR304*CR256+CS304*CS256+CT304*CT256+CU304*CU256</f>
        <v>0</v>
      </c>
      <c r="DD256" s="2882">
        <f>E305*E256+F305*F256+G305*G256+H305*H256+I305*I256+J305*J256+K305*K256+L305*L256+M305*M256+N305*N256+O305*O256+P305*P256+Q305*Q256+R305*R256+S305*S256+T305*T256+U305*U256+V305*V256+W305*W256+X305*X256+Y305*Y256+Z305*Z256+AA305*AA256+AB305*AB256+AC305*AC256+AD305*AD256+AE305*AE256+AF305*AF256+AG305*AG256+AH305*AH256+AI305*AI256+AJ305*AJ256+AK305*AK256+AL305*AL256+AM305*AM256+AN305*AN256+AO305*AO256+AP305*AP256+AQ305*AQ256+AR305*AR256+AS305*AS256+AT305*AT256+AU305*AU256+AV305*AV256+AW305*AW256+AX305*AX256+AY305*AY256+AZ305*AZ256+BA305*BA256+BB305*BB256+BC305*BC256+BD305*BD256+BE305*BE256+BF305*BF256+BG305*BG256+BH305*BH256+BI305*BI256+BJ305*BJ256+BK305*BK256+BL305*BL256+BM305*BM256+BN305*BN256+BO305*BO256+BP305*BP256+BQ305*BQ256+BR305*BR256+BS305*BS256+BT305*BT256+BU305*BU256+BV305*BV256+BW305*BW256+BX305*BX256+BY305*BY256+BZ305*BZ256+CA305*CA256+CB305*CB256+CC305*CC256+CD305*CD256+CE305*CE256+CF305*CF256+CG305*CG256+CH305*CH256+CI305*CI256+CJ305*CJ256+CK305*CK256+CL305*CL256+CM305*CM256+CN305*CN256+CO305*CO256+CP305*CP256+CQ305*CQ256+CR305*CR256+CS305*CS256+CT305*CT256+CU305*CU256</f>
        <v>0</v>
      </c>
      <c r="DE256" s="2882">
        <f>E306*E256+F306*F256+G306*G256+H306*H256+I306*I256+J306*J256+K306*K256+L306*L256+M306*M256+N306*N256+O306*O256+P306*P256+Q306*Q256+R306*R256+S306*S256+T306*T256+U306*U256+V306*V256+W306*W256+X306*X256+Y306*Y256+Z306*Z256+AA306*AA256+AB306*AB256+AC306*AC256+AD306*AD256+AE306*AE256+AF306*AF256+AG306*AG256+AH306*AH256+AI306*AI256+AJ306*AJ256+AK306*AK256+AL306*AL256+AM306*AM256+AN306*AN256+AO306*AO256+AP306*AP256+AQ306*AQ256+AR306*AR256+AS306*AS256+AT306*AT256+AU306*AU256+AV306*AV256+AW306*AW256+AX306*AX256+AY306*AY256+AZ306*AZ256+BA306*BA256+BB306*BB256+BC306*BC256+BD306*BD256+BE306*BE256+BF306*BF256+BG306*BG256+BH306*BH256+BI306*BI256+BJ306*BJ256+BK306*BK256+BL306*BL256+BM306*BM256+BN306*BN256+BO306*BO256+BP306*BP256+BQ306*BQ256+BR306*BR256+BS306*BS256+BT306*BT256+BU306*BU256+BV306*BV256+BW306*BW256+BX306*BX256+BY306*BY256+BZ306*BZ256+CA306*CA256+CB306*CB256+CC306*CC256+CD306*CD256+CE306*CE256+CF306*CF256+CG306*CG256+CH306*CH256+CI306*CI256+CJ306*CJ256+CK306*CK256+CL306*CL256+CM306*CM256+CN306*CN256+CO306*CO256+CP306*CP256+CQ306*CQ256+CR306*CR256+CS306*CS256+CT306*CT256+CU306*CU256</f>
        <v>0</v>
      </c>
      <c r="DF256" s="2882">
        <f>E307*E256+F307*F256+G307*G256+H307*H256+I307*I256+J307*J256+K307*K256+L307*L256+M307*M256+N307*N256+O307*O256+P307*P256+Q307*Q256+R307*R256+S307*S256+T307*T256+U307*U256+V307*V256+W307*W256+X307*X256+Y307*Y256+Z307*Z256+AA307*AA256+AB307*AB256+AC307*AC256+AD307*AD256+AE307*AE256+AF307*AF256+AG307*AG256+AH307*AH256+AI307*AI256+AJ307*AJ256+AK307*AK256+AL307*AL256+AM307*AM256+AN307*AN256+AO307*AO256+AP307*AP256+AQ307*AQ256+AR307*AR256+AS307*AS256+AT307*AT256+AU307*AU256+AV307*AV256+AW307*AW256+AX307*AX256+AY307*AY256+AZ307*AZ256+BA307*BA256+BB307*BB256+BC307*BC256+BD307*BD256+BE307*BE256+BF307*BF256+BG307*BG256+BH307*BH256+BI307*BI256+BJ307*BJ256+BK307*BK256+BL307*BL256+BM307*BM256+BN307*BN256+BO307*BO256+BP307*BP256+BQ307*BQ256+BR307*BR256+BS307*BS256+BT307*BT256+BU307*BU256+BV307*BV256+BW307*BW256+BX307*BX256+BY307*BY256+BZ307*BZ256+CA307*CA256+CB307*CB256+CC307*CC256+CD307*CD256+CE307*CE256+CF307*CF256+CG307*CG256+CH307*CH256+CI307*CI256+CJ307*CJ256+CK307*CK256+CL307*CL256+CM307*CM256+CN307*CN256+CO307*CO256+CP307*CP256+CQ307*CQ256+CR307*CR256+CS307*CS256+CT307*CT256+CU307*CU256</f>
        <v>0</v>
      </c>
      <c r="DG256" s="2882">
        <f>E308*E256+F308*F256+G308*G256+H308*H256+I308*I256+J308*J256+K308*K256+L308*L256+M308*M256+N308*N256+O308*O256+P308*P256+Q308*Q256+R308*R256+S308*S256+T308*T256+U308*U256+V308*V256+W308*W256+X308*X256+Y308*Y256+Z308*Z256+AA308*AA256+AB308*AB256+AC308*AC256+AD308*AD256+AE308*AE256+AF308*AF256+AG308*AG256+AH308*AH256+AI308*AI256+AJ308*AJ256+AK308*AK256+AL308*AL256+AM308*AM256+AN308*AN256+AO308*AO256+AP308*AP256+AQ308*AQ256+AR308*AR256+AS308*AS256+AT308*AT256+AU308*AU256+AV308*AV256+AW308*AW256+AX308*AX256+AY308*AY256+AZ308*AZ256+BA308*BA256+BB308*BB256+BC308*BC256+BD308*BD256+BE308*BE256+BF308*BF256+BG308*BG256+BH308*BH256+BI308*BI256+BJ308*BJ256+BK308*BK256+BL308*BL256+BM308*BM256+BN308*BN256+BO308*BO256+BP308*BP256+BQ308*BQ256+BR308*BR256+BS308*BS256+BT308*BT256+BU308*BU256+BV308*BV256+BW308*BW256+BX308*BX256+BY308*BY256+BZ308*BZ256+CA308*CA256+CB308*CB256+CC308*CC256+CD308*CD256+CE308*CE256+CF308*CF256+CG308*CG256+CH308*CH256+CI308*CI256+CJ308*CJ256+CK308*CK256+CL308*CL256+CM308*CM256+CN308*CN256+CO308*CO256+CP308*CP256+CQ308*CQ256+CR308*CR256+CS308*CS256+CT308*CT256+CU308*CU256</f>
        <v>0</v>
      </c>
      <c r="DH256" s="2882">
        <f>E309*E256+F309*F256+G309*G256+H309*H256+I309*I256+J309*J256+K309*K256+L309*L256+M309*M256+N309*N256+O309*O256+P309*P256+Q309*Q256+R309*R256+S309*S256+T309*T256+U309*U256+V309*V256+W309*W256+X309*X256+Y309*Y256+Z309*Z256+AA309*AA256+AB309*AB256+AC309*AC256+AD309*AD256+AE309*AE256+AF309*AF256+AG309*AG256+AH309*AH256+AI309*AI256+AJ309*AJ256+AK309*AK256+AL309*AL256+AM309*AM256+AN309*AN256+AO309*AO256+AP309*AP256+AQ309*AQ256+AR309*AR256+AS309*AS256+AT309*AT256+AU309*AU256+AV309*AV256+AW309*AW256+AX309*AX256+AY309*AY256+AZ309*AZ256+BA309*BA256+BB309*BB256+BC309*BC256+BD309*BD256+BE309*BE256+BF309*BF256+BG309*BG256+BH309*BH256+BI309*BI256+BJ309*BJ256+BK309*BK256+BL309*BL256+BM309*BM256+BN309*BN256+BO309*BO256+BP309*BP256+BQ309*BQ256+BR309*BR256+BS309*BS256+BT309*BT256+BU309*BU256+BV309*BV256+BW309*BW256+BX309*BX256+BY309*BY256+BZ309*BZ256+CA309*CA256+CB309*CB256+CC309*CC256+CD309*CD256+CE309*CE256+CF309*CF256+CG309*CG256+CH309*CH256+CI309*CI256+CJ309*CJ256+CK309*CK256+CL309*CL256+CM309*CM256+CN309*CN256+CO309*CO256+CP309*CP256+CQ309*CQ256+CR309*CR256+CS309*CS256+CT309*CT256+CU309*CU256</f>
        <v>0</v>
      </c>
      <c r="DI256" s="2882">
        <f>E310*E256+F310*F256+G310*G256+H310*H256+I310*I256+J310*J256+K310*K256+L310*L256+M310*M256+N310*N256+O310*O256+P310*P256+Q310*Q256+R310*R256+S310*S256+T310*T256+U310*U256+V310*V256+W310*W256+X310*X256+Y310*Y256+Z310*Z256+AA310*AA256+AB310*AB256+AC310*AC256+AD310*AD256+AE310*AE256+AF310*AF256+AG310*AG256+AH310*AH256+AI310*AI256+AJ310*AJ256+AK310*AK256+AL310*AL256+AM310*AM256+AN310*AN256+AO310*AO256+AP310*AP256+AQ310*AQ256+AR310*AR256+AS310*AS256+AT310*AT256+AU310*AU256+AV310*AV256+AW310*AW256+AX310*AX256+AY310*AY256+AZ310*AZ256+BA310*BA256+BB310*BB256+BC310*BC256+BD310*BD256+BE310*BE256+BF310*BF256+BG310*BG256+BH310*BH256+BI310*BI256+BJ310*BJ256+BK310*BK256+BL310*BL256+BM310*BM256+BN310*BN256+BO310*BO256+BP310*BP256+BQ310*BQ256+BR310*BR256+BS310*BS256+BT310*BT256+BU310*BU256+BV310*BV256+BW310*BW256+BX310*BX256+BY310*BY256+BZ310*BZ256+CA310*CA256+CB310*CB256+CC310*CC256+CD310*CD256+CE310*CE256+CF310*CF256+CG310*CG256+CH310*CH256+CI310*CI256+CJ310*CJ256+CK310*CK256+CL310*CL256+CM310*CM256+CN310*CN256+CO310*CO256+CP310*CP256+CQ310*CQ256+CR310*CR256+CS310*CS256+CT310*CT256+CU310*CU256</f>
        <v>0</v>
      </c>
    </row>
    <row r="257" spans="2:113" x14ac:dyDescent="0.45">
      <c r="B257" s="815">
        <v>98</v>
      </c>
      <c r="C257" s="815" t="s">
        <v>3770</v>
      </c>
      <c r="D257" s="816" t="s">
        <v>3762</v>
      </c>
      <c r="E257" s="466">
        <f>0</f>
        <v>0</v>
      </c>
      <c r="F257" s="466">
        <f>0</f>
        <v>0</v>
      </c>
      <c r="G257" s="466">
        <f>0</f>
        <v>0</v>
      </c>
      <c r="H257" s="466">
        <f>0</f>
        <v>0</v>
      </c>
      <c r="I257" s="466">
        <f>0</f>
        <v>0</v>
      </c>
      <c r="J257" s="466">
        <f>0</f>
        <v>0</v>
      </c>
      <c r="K257" s="466">
        <f>0</f>
        <v>0</v>
      </c>
      <c r="L257" s="466">
        <f>0</f>
        <v>0</v>
      </c>
      <c r="M257" s="466">
        <f>0</f>
        <v>0</v>
      </c>
      <c r="N257" s="466">
        <f>0</f>
        <v>0</v>
      </c>
      <c r="O257" s="466">
        <f>0</f>
        <v>0</v>
      </c>
      <c r="P257" s="466">
        <f>0</f>
        <v>0</v>
      </c>
      <c r="Q257" s="467">
        <f>0</f>
        <v>0</v>
      </c>
      <c r="R257" s="466">
        <f>0</f>
        <v>0</v>
      </c>
      <c r="S257" s="466">
        <f>0</f>
        <v>0</v>
      </c>
      <c r="T257" s="466">
        <f>0</f>
        <v>0</v>
      </c>
      <c r="U257" s="466">
        <f>0</f>
        <v>0</v>
      </c>
      <c r="V257" s="466">
        <f>0</f>
        <v>0</v>
      </c>
      <c r="W257" s="466">
        <f>0</f>
        <v>0</v>
      </c>
      <c r="X257" s="466">
        <f>0</f>
        <v>0</v>
      </c>
      <c r="Y257" s="2549">
        <f>0</f>
        <v>0</v>
      </c>
      <c r="Z257" s="2549">
        <f>0</f>
        <v>0</v>
      </c>
      <c r="AA257" s="2549">
        <f>0</f>
        <v>0</v>
      </c>
      <c r="AB257" s="466">
        <f>0</f>
        <v>0</v>
      </c>
      <c r="AC257" s="466">
        <f>0</f>
        <v>0</v>
      </c>
      <c r="AD257" s="466">
        <f>0</f>
        <v>0</v>
      </c>
      <c r="AE257" s="466">
        <f>0</f>
        <v>0</v>
      </c>
      <c r="AF257" s="466">
        <f>S_NO_AOB/S_NO</f>
        <v>0.33333333333333337</v>
      </c>
      <c r="AG257" s="466">
        <f>S_NO_OHO/S_NO</f>
        <v>0.66666666666666674</v>
      </c>
      <c r="AH257" s="466">
        <f>0</f>
        <v>0</v>
      </c>
      <c r="AI257" s="466">
        <f>0</f>
        <v>0</v>
      </c>
      <c r="AJ257" s="466">
        <f>0</f>
        <v>0</v>
      </c>
      <c r="AK257" s="466">
        <f>0</f>
        <v>0</v>
      </c>
      <c r="AL257" s="466">
        <f>0</f>
        <v>0</v>
      </c>
      <c r="AM257" s="466">
        <f>0</f>
        <v>0</v>
      </c>
      <c r="AN257" s="466">
        <f>0</f>
        <v>0</v>
      </c>
      <c r="AO257" s="466">
        <f>0</f>
        <v>0</v>
      </c>
      <c r="AP257" s="466">
        <f>0</f>
        <v>0</v>
      </c>
      <c r="AQ257" s="466">
        <f>0</f>
        <v>0</v>
      </c>
      <c r="AR257" s="466">
        <f>0</f>
        <v>0</v>
      </c>
      <c r="AS257" s="466">
        <f>0</f>
        <v>0</v>
      </c>
      <c r="AT257" s="466">
        <f>0</f>
        <v>0</v>
      </c>
      <c r="AU257" s="466">
        <f>0</f>
        <v>0</v>
      </c>
      <c r="AV257" s="466">
        <f>0</f>
        <v>0</v>
      </c>
      <c r="AW257" s="466">
        <f>0</f>
        <v>0</v>
      </c>
      <c r="AX257" s="466">
        <f>0</f>
        <v>0</v>
      </c>
      <c r="AY257" s="466">
        <f>0</f>
        <v>0</v>
      </c>
      <c r="AZ257" s="466">
        <f>0</f>
        <v>0</v>
      </c>
      <c r="BA257" s="466">
        <f>0</f>
        <v>0</v>
      </c>
      <c r="BB257" s="2549">
        <f>0</f>
        <v>0</v>
      </c>
      <c r="BC257" s="2549">
        <f>0</f>
        <v>0</v>
      </c>
      <c r="BD257" s="2549">
        <f>0</f>
        <v>0</v>
      </c>
      <c r="BE257" s="467">
        <f>0</f>
        <v>0</v>
      </c>
      <c r="BF257" s="467">
        <f>0</f>
        <v>0</v>
      </c>
      <c r="BG257" s="467">
        <f>0</f>
        <v>0</v>
      </c>
      <c r="BH257" s="467">
        <f>0</f>
        <v>0</v>
      </c>
      <c r="BI257" s="467">
        <f>0</f>
        <v>0</v>
      </c>
      <c r="BJ257" s="467">
        <f>0</f>
        <v>0</v>
      </c>
      <c r="BK257" s="467">
        <f>0</f>
        <v>0</v>
      </c>
      <c r="BL257" s="467">
        <f>0</f>
        <v>0</v>
      </c>
      <c r="BM257" s="467">
        <f>0</f>
        <v>0</v>
      </c>
      <c r="BN257" s="467">
        <f>0</f>
        <v>0</v>
      </c>
      <c r="BO257" s="467">
        <f>0</f>
        <v>0</v>
      </c>
      <c r="BP257" s="467">
        <f>0</f>
        <v>0</v>
      </c>
      <c r="BQ257" s="467">
        <f>0</f>
        <v>0</v>
      </c>
      <c r="BR257" s="467">
        <f>0</f>
        <v>0</v>
      </c>
      <c r="BS257" s="467">
        <f>0</f>
        <v>0</v>
      </c>
      <c r="BT257" s="467">
        <f>0</f>
        <v>0</v>
      </c>
      <c r="BU257" s="467">
        <f>0</f>
        <v>0</v>
      </c>
      <c r="BV257" s="467">
        <f>0</f>
        <v>0</v>
      </c>
      <c r="BW257" s="467">
        <f>0</f>
        <v>0</v>
      </c>
      <c r="BX257" s="467">
        <f>0</f>
        <v>0</v>
      </c>
      <c r="BY257" s="2559">
        <f>0</f>
        <v>0</v>
      </c>
      <c r="BZ257" s="467">
        <f>0</f>
        <v>0</v>
      </c>
      <c r="CA257" s="467">
        <f>0</f>
        <v>0</v>
      </c>
      <c r="CB257" s="466">
        <f>0</f>
        <v>0</v>
      </c>
      <c r="CC257" s="466">
        <f>0</f>
        <v>0</v>
      </c>
      <c r="CD257" s="466">
        <f>0</f>
        <v>0</v>
      </c>
      <c r="CE257" s="466">
        <f>0</f>
        <v>0</v>
      </c>
      <c r="CF257" s="466">
        <f>0</f>
        <v>0</v>
      </c>
      <c r="CG257" s="739">
        <f>-1</f>
        <v>-1</v>
      </c>
      <c r="CH257" s="466">
        <f>0</f>
        <v>0</v>
      </c>
      <c r="CI257" s="466">
        <f>0</f>
        <v>0</v>
      </c>
      <c r="CJ257" s="2549">
        <f>0</f>
        <v>0</v>
      </c>
      <c r="CK257" s="467">
        <f>0</f>
        <v>0</v>
      </c>
      <c r="CL257" s="467">
        <f>0</f>
        <v>0</v>
      </c>
      <c r="CM257" s="467">
        <f>0</f>
        <v>0</v>
      </c>
      <c r="CN257" s="467">
        <f>0</f>
        <v>0</v>
      </c>
      <c r="CO257" s="467">
        <f>0</f>
        <v>0</v>
      </c>
      <c r="CP257" s="466">
        <f>0</f>
        <v>0</v>
      </c>
      <c r="CQ257" s="466">
        <f>0</f>
        <v>0</v>
      </c>
      <c r="CR257" s="467">
        <f>0</f>
        <v>0</v>
      </c>
      <c r="CS257" s="2559">
        <f>0</f>
        <v>0</v>
      </c>
      <c r="CT257" s="2559">
        <f>0</f>
        <v>0</v>
      </c>
      <c r="CU257" s="2559">
        <f>0</f>
        <v>0</v>
      </c>
      <c r="CV257" s="2869">
        <f>k_LaGNO_bub*(S_GNO_bub_sat-S_NO)</f>
        <v>1361.9855700000001</v>
      </c>
      <c r="CX257" s="2880">
        <f>E299*E257+F299*F257+G299*G257+H299*H257+I299*I257+J299*J257+K299*K257+L299*L257+M299*M257+N299*N257+O299*O257+P299*P257+Q299*Q257+R299*R257+S299*S257+T299*T257+U299*U257+V299*V257+W299*W257+X299*X257+Y299*Y257+Z299*Z257+AA299*AA257+AB299*AB257+AC299*AC257+AD299*AD257+AE299*AE257+AF299*AF257+AG299*AG257+AH299*AH257+AI299*AI257+AJ299*AJ257+AK299*AK257+AL299*AL257+AM299*AM257+AN299*AN257+AO299*AO257+AP299*AP257+AQ299*AQ257+AR299*AR257+AS299*AS257+AT299*AT257+AU299*AU257+AV299*AV257+AW299*AW257+AX299*AX257+AY299*AY257+AZ299*AZ257+BA299*BA257+BB299*BB257+BC299*BC257+BD299*BD257+BE299*BE257+BF299*BF257+BG299*BG257+BH299*BH257+BI299*BI257+BJ299*BJ257+BK299*BK257+BL299*BL257+BM299*BM257+BN299*BN257+BO299*BO257+BP299*BP257+BQ299*BQ257+BR299*BR257+BS299*BS257+BT299*BT257+BU299*BU257+BV299*BV257+BW299*BW257+BX299*BX257+BY299*BY257+BZ299*BZ257+CA299*CA257+CB299*CB257+CC299*CC257+CD299*CD257+CE299*CE257+CF299*CF257+CG299*CG257+CH299*CH257+CI299*CI257+CJ299*CJ257+CK299*CK257+CL299*CL257+CM299*CM257+CN299*CN257+CO299*CO257+CP299*CP257+CQ299*CQ257+CR299*CR257+CS299*CS257+CT299*CT257+CU299*CU257</f>
        <v>-4.4408920985006262E-16</v>
      </c>
      <c r="CY257" s="2880">
        <f>E300*E257+F300*F257+G300*G257+H300*H257+I300*I257+J300*J257+K300*K257+L300*L257+M300*M257+N300*N257+O300*O257+P300*P257+Q300*Q257+R300*R257+S300*S257+T300*T257+U300*U257+V300*V257+W300*W257+X300*X257+Y300*Y257+Z300*Z257+AA300*AA257+AB300*AB257+AC300*AC257+AD300*AD257+AE300*AE257+AF300*AF257+AG300*AG257+AH300*AH257+AI300*AI257+AJ300*AJ257+AK300*AK257+AL300*AL257+AM300*AM257+AN300*AN257+AO300*AO257+AP300*AP257+AQ300*AQ257+AR300*AR257+AS300*AS257+AT300*AT257+AU300*AU257+AV300*AV257+AW300*AW257+AX300*AX257+AY300*AY257+AZ300*AZ257+BA300*BA257+BB300*BB257+BC300*BC257+BD300*BD257+BE300*BE257+BF300*BF257+BG300*BG257+BH300*BH257+BI300*BI257+BJ300*BJ257+BK300*BK257+BL300*BL257+BM300*BM257+BN300*BN257+BO300*BO257+BP300*BP257+BQ300*BQ257+BR300*BR257+BS300*BS257+BT300*BT257+BU300*BU257+BV300*BV257+BW300*BW257+BX300*BX257+BY300*BY257+BZ300*BZ257+CA300*CA257+CB300*CB257+CC300*CC257+CD300*CD257+CE300*CE257+CF300*CF257+CG300*CG257+CH300*CH257+CI300*CI257+CJ300*CJ257+CK300*CK257+CL300*CL257+CM300*CM257+CN300*CN257+CO300*CO257+CP300*CP257+CQ300*CQ257+CR300*CR257+CS300*CS257+CT300*CT257+CU300*CU257</f>
        <v>0</v>
      </c>
      <c r="CZ257" s="2881">
        <f>E301*E257+F301*F257+G301*G257+H301*H257+I301*I257+J301*J257+K301*K257+L301*L257+M301*M257+N301*N257+O301*O257+P301*P257+Q301*Q257+R301*R257+S301*S257+T301*T257+U301*U257+V301*V257+W301*W257+X301*X257+Y301*Y257+Z301*Z257+AA301*AA257+AB301*AB257+AC301*AC257+AD301*AD257+AE301*AE257+AF301*AF257+AG301*AG257+AH301*AH257+AI301*AI257+AJ301*AJ257+AK301*AK257+AL301*AL257+AM301*AM257+AN301*AN257+AO301*AO257+AP301*AP257+AQ301*AQ257+AR301*AR257+AS301*AS257+AT301*AT257+AU301*AU257+AV301*AV257+AW301*AW257+AX301*AX257+AY301*AY257+AZ301*AZ257+BA301*BA257+BB301*BB257+BC301*BC257+BD301*BD257+BE301*BE257+BF301*BF257+BG301*BG257+BH301*BH257+BI301*BI257+BJ301*BJ257+BK301*BK257+BL301*BL257+BM301*BM257+BN301*BN257+BO301*BO257+BP301*BP257+BQ301*BQ257+BR301*BR257+BS301*BS257+BT301*BT257+BU301*BU257+BV301*BV257+BW301*BW257+BX301*BX257+BY301*BY257+BZ301*BZ257+CA301*CA257+CB301*CB257+CC301*CC257+CD301*CD257+CE301*CE257+CF301*CF257+CG301*CG257+CH301*CH257+CI301*CI257+CJ301*CJ257+CK301*CK257+CL301*CL257+CM301*CM257+CN301*CN257+CO301*CO257+CP301*CP257+CQ301*CQ257+CR301*CR257+CS301*CS257+CT301*CT257+CU301*CU257</f>
        <v>0</v>
      </c>
      <c r="DA257" s="2882">
        <f>E302*E257+F302*F257+G302*G257+H302*H257+I302*I257+J302*J257+K302*K257+L302*L257+M302*M257+N302*N257+O302*O257+P302*P257+Q302*Q257+R302*R257+S302*S257+T302*T257+U302*U257+V302*V257+W302*W257+X302*X257+Y302*Y257+Z302*Z257+AA302*AA257+AB302*AB257+AC302*AC257+AD302*AD257+AE302*AE257+AF302*AF257+AG302*AG257+AH302*AH257+AI302*AI257+AJ302*AJ257+AK302*AK257+AL302*AL257+AM302*AM257+AN302*AN257+AO302*AO257+AP302*AP257+AQ302*AQ257+AR302*AR257+AS302*AS257+AT302*AT257+AU302*AU257+AV302*AV257+AW302*AW257+AX302*AX257+AY302*AY257+AZ302*AZ257+BA302*BA257+BB302*BB257+BC302*BC257+BD302*BD257+BE302*BE257+BF302*BF257+BG302*BG257+BH302*BH257+BI302*BI257+BJ302*BJ257+BK302*BK257+BL302*BL257+BM302*BM257+BN302*BN257+BO302*BO257+BP302*BP257+BQ302*BQ257+BR302*BR257+BS302*BS257+BT302*BT257+BU302*BU257+BV302*BV257+BW302*BW257+BX302*BX257+BY302*BY257+BZ302*BZ257+CA302*CA257+CB302*CB257+CC302*CC257+CD302*CD257+CE302*CE257+CF302*CF257+CG302*CG257+CH302*CH257+CI302*CI257+CJ302*CJ257+CK302*CK257+CL302*CL257+CM302*CM257+CN302*CN257+CO302*CO257+CP302*CP257+CQ302*CQ257+CR302*CR257+CS302*CS257+CT302*CT257+CU302*CU257</f>
        <v>0</v>
      </c>
      <c r="DB257" s="2882">
        <f>E303*E257+F303*F257+G303*G257+H303*H257+I303*I257+J303*J257+K303*K257+L303*L257+M303*M257+N303*N257+O303*O257+P303*P257+Q303*Q257+R303*R257+S303*S257+T303*T257+U303*U257+V303*V257+W303*W257+X303*X257+Y303*Y257+Z303*Z257+AA303*AA257+AB303*AB257+AC303*AC257+AD303*AD257+AE303*AE257+AF303*AF257+AG303*AG257+AH303*AH257+AI303*AI257+AJ303*AJ257+AK303*AK257+AL303*AL257+AM303*AM257+AN303*AN257+AO303*AO257+AP303*AP257+AQ303*AQ257+AR303*AR257+AS303*AS257+AT303*AT257+AU303*AU257+AV303*AV257+AW303*AW257+AX303*AX257+AY303*AY257+AZ303*AZ257+BA303*BA257+BB303*BB257+BC303*BC257+BD303*BD257+BE303*BE257+BF303*BF257+BG303*BG257+BH303*BH257+BI303*BI257+BJ303*BJ257+BK303*BK257+BL303*BL257+BM303*BM257+BN303*BN257+BO303*BO257+BP303*BP257+BQ303*BQ257+BR303*BR257+BS303*BS257+BT303*BT257+BU303*BU257+BV303*BV257+BW303*BW257+BX303*BX257+BY303*BY257+BZ303*BZ257+CA303*CA257+CB303*CB257+CC303*CC257+CD303*CD257+CE303*CE257+CF303*CF257+CG303*CG257+CH303*CH257+CI303*CI257+CJ303*CJ257+CK303*CK257+CL303*CL257+CM303*CM257+CN303*CN257+CO303*CO257+CP303*CP257+CQ303*CQ257+CR303*CR257+CS303*CS257+CT303*CT257+CU303*CU257</f>
        <v>0</v>
      </c>
      <c r="DC257" s="2882">
        <f>E304*E257+F304*F257+G304*G257+H304*H257+I304*I257+J304*J257+K304*K257+L304*L257+M304*M257+N304*N257+O304*O257+P304*P257+Q304*Q257+R304*R257+S304*S257+T304*T257+U304*U257+V304*V257+W304*W257+X304*X257+Y304*Y257+Z304*Z257+AA304*AA257+AB304*AB257+AC304*AC257+AD304*AD257+AE304*AE257+AF304*AF257+AG304*AG257+AH304*AH257+AI304*AI257+AJ304*AJ257+AK304*AK257+AL304*AL257+AM304*AM257+AN304*AN257+AO304*AO257+AP304*AP257+AQ304*AQ257+AR304*AR257+AS304*AS257+AT304*AT257+AU304*AU257+AV304*AV257+AW304*AW257+AX304*AX257+AY304*AY257+AZ304*AZ257+BA304*BA257+BB304*BB257+BC304*BC257+BD304*BD257+BE304*BE257+BF304*BF257+BG304*BG257+BH304*BH257+BI304*BI257+BJ304*BJ257+BK304*BK257+BL304*BL257+BM304*BM257+BN304*BN257+BO304*BO257+BP304*BP257+BQ304*BQ257+BR304*BR257+BS304*BS257+BT304*BT257+BU304*BU257+BV304*BV257+BW304*BW257+BX304*BX257+BY304*BY257+BZ304*BZ257+CA304*CA257+CB304*CB257+CC304*CC257+CD304*CD257+CE304*CE257+CF304*CF257+CG304*CG257+CH304*CH257+CI304*CI257+CJ304*CJ257+CK304*CK257+CL304*CL257+CM304*CM257+CN304*CN257+CO304*CO257+CP304*CP257+CQ304*CQ257+CR304*CR257+CS304*CS257+CT304*CT257+CU304*CU257</f>
        <v>0</v>
      </c>
      <c r="DD257" s="2882">
        <f>E305*E257+F305*F257+G305*G257+H305*H257+I305*I257+J305*J257+K305*K257+L305*L257+M305*M257+N305*N257+O305*O257+P305*P257+Q305*Q257+R305*R257+S305*S257+T305*T257+U305*U257+V305*V257+W305*W257+X305*X257+Y305*Y257+Z305*Z257+AA305*AA257+AB305*AB257+AC305*AC257+AD305*AD257+AE305*AE257+AF305*AF257+AG305*AG257+AH305*AH257+AI305*AI257+AJ305*AJ257+AK305*AK257+AL305*AL257+AM305*AM257+AN305*AN257+AO305*AO257+AP305*AP257+AQ305*AQ257+AR305*AR257+AS305*AS257+AT305*AT257+AU305*AU257+AV305*AV257+AW305*AW257+AX305*AX257+AY305*AY257+AZ305*AZ257+BA305*BA257+BB305*BB257+BC305*BC257+BD305*BD257+BE305*BE257+BF305*BF257+BG305*BG257+BH305*BH257+BI305*BI257+BJ305*BJ257+BK305*BK257+BL305*BL257+BM305*BM257+BN305*BN257+BO305*BO257+BP305*BP257+BQ305*BQ257+BR305*BR257+BS305*BS257+BT305*BT257+BU305*BU257+BV305*BV257+BW305*BW257+BX305*BX257+BY305*BY257+BZ305*BZ257+CA305*CA257+CB305*CB257+CC305*CC257+CD305*CD257+CE305*CE257+CF305*CF257+CG305*CG257+CH305*CH257+CI305*CI257+CJ305*CJ257+CK305*CK257+CL305*CL257+CM305*CM257+CN305*CN257+CO305*CO257+CP305*CP257+CQ305*CQ257+CR305*CR257+CS305*CS257+CT305*CT257+CU305*CU257</f>
        <v>0</v>
      </c>
      <c r="DE257" s="2882">
        <f>E306*E257+F306*F257+G306*G257+H306*H257+I306*I257+J306*J257+K306*K257+L306*L257+M306*M257+N306*N257+O306*O257+P306*P257+Q306*Q257+R306*R257+S306*S257+T306*T257+U306*U257+V306*V257+W306*W257+X306*X257+Y306*Y257+Z306*Z257+AA306*AA257+AB306*AB257+AC306*AC257+AD306*AD257+AE306*AE257+AF306*AF257+AG306*AG257+AH306*AH257+AI306*AI257+AJ306*AJ257+AK306*AK257+AL306*AL257+AM306*AM257+AN306*AN257+AO306*AO257+AP306*AP257+AQ306*AQ257+AR306*AR257+AS306*AS257+AT306*AT257+AU306*AU257+AV306*AV257+AW306*AW257+AX306*AX257+AY306*AY257+AZ306*AZ257+BA306*BA257+BB306*BB257+BC306*BC257+BD306*BD257+BE306*BE257+BF306*BF257+BG306*BG257+BH306*BH257+BI306*BI257+BJ306*BJ257+BK306*BK257+BL306*BL257+BM306*BM257+BN306*BN257+BO306*BO257+BP306*BP257+BQ306*BQ257+BR306*BR257+BS306*BS257+BT306*BT257+BU306*BU257+BV306*BV257+BW306*BW257+BX306*BX257+BY306*BY257+BZ306*BZ257+CA306*CA257+CB306*CB257+CC306*CC257+CD306*CD257+CE306*CE257+CF306*CF257+CG306*CG257+CH306*CH257+CI306*CI257+CJ306*CJ257+CK306*CK257+CL306*CL257+CM306*CM257+CN306*CN257+CO306*CO257+CP306*CP257+CQ306*CQ257+CR306*CR257+CS306*CS257+CT306*CT257+CU306*CU257</f>
        <v>0</v>
      </c>
      <c r="DF257" s="2882">
        <f>E307*E257+F307*F257+G307*G257+H307*H257+I307*I257+J307*J257+K307*K257+L307*L257+M307*M257+N307*N257+O307*O257+P307*P257+Q307*Q257+R307*R257+S307*S257+T307*T257+U307*U257+V307*V257+W307*W257+X307*X257+Y307*Y257+Z307*Z257+AA307*AA257+AB307*AB257+AC307*AC257+AD307*AD257+AE307*AE257+AF307*AF257+AG307*AG257+AH307*AH257+AI307*AI257+AJ307*AJ257+AK307*AK257+AL307*AL257+AM307*AM257+AN307*AN257+AO307*AO257+AP307*AP257+AQ307*AQ257+AR307*AR257+AS307*AS257+AT307*AT257+AU307*AU257+AV307*AV257+AW307*AW257+AX307*AX257+AY307*AY257+AZ307*AZ257+BA307*BA257+BB307*BB257+BC307*BC257+BD307*BD257+BE307*BE257+BF307*BF257+BG307*BG257+BH307*BH257+BI307*BI257+BJ307*BJ257+BK307*BK257+BL307*BL257+BM307*BM257+BN307*BN257+BO307*BO257+BP307*BP257+BQ307*BQ257+BR307*BR257+BS307*BS257+BT307*BT257+BU307*BU257+BV307*BV257+BW307*BW257+BX307*BX257+BY307*BY257+BZ307*BZ257+CA307*CA257+CB307*CB257+CC307*CC257+CD307*CD257+CE307*CE257+CF307*CF257+CG307*CG257+CH307*CH257+CI307*CI257+CJ307*CJ257+CK307*CK257+CL307*CL257+CM307*CM257+CN307*CN257+CO307*CO257+CP307*CP257+CQ307*CQ257+CR307*CR257+CS307*CS257+CT307*CT257+CU307*CU257</f>
        <v>0</v>
      </c>
      <c r="DG257" s="2882">
        <f>E308*E257+F308*F257+G308*G257+H308*H257+I308*I257+J308*J257+K308*K257+L308*L257+M308*M257+N308*N257+O308*O257+P308*P257+Q308*Q257+R308*R257+S308*S257+T308*T257+U308*U257+V308*V257+W308*W257+X308*X257+Y308*Y257+Z308*Z257+AA308*AA257+AB308*AB257+AC308*AC257+AD308*AD257+AE308*AE257+AF308*AF257+AG308*AG257+AH308*AH257+AI308*AI257+AJ308*AJ257+AK308*AK257+AL308*AL257+AM308*AM257+AN308*AN257+AO308*AO257+AP308*AP257+AQ308*AQ257+AR308*AR257+AS308*AS257+AT308*AT257+AU308*AU257+AV308*AV257+AW308*AW257+AX308*AX257+AY308*AY257+AZ308*AZ257+BA308*BA257+BB308*BB257+BC308*BC257+BD308*BD257+BE308*BE257+BF308*BF257+BG308*BG257+BH308*BH257+BI308*BI257+BJ308*BJ257+BK308*BK257+BL308*BL257+BM308*BM257+BN308*BN257+BO308*BO257+BP308*BP257+BQ308*BQ257+BR308*BR257+BS308*BS257+BT308*BT257+BU308*BU257+BV308*BV257+BW308*BW257+BX308*BX257+BY308*BY257+BZ308*BZ257+CA308*CA257+CB308*CB257+CC308*CC257+CD308*CD257+CE308*CE257+CF308*CF257+CG308*CG257+CH308*CH257+CI308*CI257+CJ308*CJ257+CK308*CK257+CL308*CL257+CM308*CM257+CN308*CN257+CO308*CO257+CP308*CP257+CQ308*CQ257+CR308*CR257+CS308*CS257+CT308*CT257+CU308*CU257</f>
        <v>0</v>
      </c>
      <c r="DH257" s="2882">
        <f>E309*E257+F309*F257+G309*G257+H309*H257+I309*I257+J309*J257+K309*K257+L309*L257+M309*M257+N309*N257+O309*O257+P309*P257+Q309*Q257+R309*R257+S309*S257+T309*T257+U309*U257+V309*V257+W309*W257+X309*X257+Y309*Y257+Z309*Z257+AA309*AA257+AB309*AB257+AC309*AC257+AD309*AD257+AE309*AE257+AF309*AF257+AG309*AG257+AH309*AH257+AI309*AI257+AJ309*AJ257+AK309*AK257+AL309*AL257+AM309*AM257+AN309*AN257+AO309*AO257+AP309*AP257+AQ309*AQ257+AR309*AR257+AS309*AS257+AT309*AT257+AU309*AU257+AV309*AV257+AW309*AW257+AX309*AX257+AY309*AY257+AZ309*AZ257+BA309*BA257+BB309*BB257+BC309*BC257+BD309*BD257+BE309*BE257+BF309*BF257+BG309*BG257+BH309*BH257+BI309*BI257+BJ309*BJ257+BK309*BK257+BL309*BL257+BM309*BM257+BN309*BN257+BO309*BO257+BP309*BP257+BQ309*BQ257+BR309*BR257+BS309*BS257+BT309*BT257+BU309*BU257+BV309*BV257+BW309*BW257+BX309*BX257+BY309*BY257+BZ309*BZ257+CA309*CA257+CB309*CB257+CC309*CC257+CD309*CD257+CE309*CE257+CF309*CF257+CG309*CG257+CH309*CH257+CI309*CI257+CJ309*CJ257+CK309*CK257+CL309*CL257+CM309*CM257+CN309*CN257+CO309*CO257+CP309*CP257+CQ309*CQ257+CR309*CR257+CS309*CS257+CT309*CT257+CU309*CU257</f>
        <v>0</v>
      </c>
      <c r="DI257" s="2882">
        <f>E310*E257+F310*F257+G310*G257+H310*H257+I310*I257+J310*J257+K310*K257+L310*L257+M310*M257+N310*N257+O310*O257+P310*P257+Q310*Q257+R310*R257+S310*S257+T310*T257+U310*U257+V310*V257+W310*W257+X310*X257+Y310*Y257+Z310*Z257+AA310*AA257+AB310*AB257+AC310*AC257+AD310*AD257+AE310*AE257+AF310*AF257+AG310*AG257+AH310*AH257+AI310*AI257+AJ310*AJ257+AK310*AK257+AL310*AL257+AM310*AM257+AN310*AN257+AO310*AO257+AP310*AP257+AQ310*AQ257+AR310*AR257+AS310*AS257+AT310*AT257+AU310*AU257+AV310*AV257+AW310*AW257+AX310*AX257+AY310*AY257+AZ310*AZ257+BA310*BA257+BB310*BB257+BC310*BC257+BD310*BD257+BE310*BE257+BF310*BF257+BG310*BG257+BH310*BH257+BI310*BI257+BJ310*BJ257+BK310*BK257+BL310*BL257+BM310*BM257+BN310*BN257+BO310*BO257+BP310*BP257+BQ310*BQ257+BR310*BR257+BS310*BS257+BT310*BT257+BU310*BU257+BV310*BV257+BW310*BW257+BX310*BX257+BY310*BY257+BZ310*BZ257+CA310*CA257+CB310*CB257+CC310*CC257+CD310*CD257+CE310*CE257+CF310*CF257+CG310*CG257+CH310*CH257+CI310*CI257+CJ310*CJ257+CK310*CK257+CL310*CL257+CM310*CM257+CN310*CN257+CO310*CO257+CP310*CP257+CQ310*CQ257+CR310*CR257+CS310*CS257+CT310*CT257+CU310*CU257</f>
        <v>0</v>
      </c>
    </row>
    <row r="258" spans="2:113" x14ac:dyDescent="0.45">
      <c r="B258" s="815">
        <v>99</v>
      </c>
      <c r="C258" s="815" t="s">
        <v>3771</v>
      </c>
      <c r="D258" s="816" t="s">
        <v>3763</v>
      </c>
      <c r="E258" s="466">
        <f>0</f>
        <v>0</v>
      </c>
      <c r="F258" s="466">
        <f>0</f>
        <v>0</v>
      </c>
      <c r="G258" s="466">
        <f>0</f>
        <v>0</v>
      </c>
      <c r="H258" s="466">
        <f>0</f>
        <v>0</v>
      </c>
      <c r="I258" s="466">
        <f>0</f>
        <v>0</v>
      </c>
      <c r="J258" s="466">
        <f>0</f>
        <v>0</v>
      </c>
      <c r="K258" s="466">
        <f>0</f>
        <v>0</v>
      </c>
      <c r="L258" s="466">
        <f>0</f>
        <v>0</v>
      </c>
      <c r="M258" s="466">
        <f>0</f>
        <v>0</v>
      </c>
      <c r="N258" s="466">
        <f>0</f>
        <v>0</v>
      </c>
      <c r="O258" s="466">
        <f>0</f>
        <v>0</v>
      </c>
      <c r="P258" s="466">
        <f>0</f>
        <v>0</v>
      </c>
      <c r="Q258" s="467">
        <f>0</f>
        <v>0</v>
      </c>
      <c r="R258" s="466">
        <f>0</f>
        <v>0</v>
      </c>
      <c r="S258" s="466">
        <f>0</f>
        <v>0</v>
      </c>
      <c r="T258" s="466">
        <f>0</f>
        <v>0</v>
      </c>
      <c r="U258" s="466">
        <f>0</f>
        <v>0</v>
      </c>
      <c r="V258" s="466">
        <f>0</f>
        <v>0</v>
      </c>
      <c r="W258" s="466">
        <f>0</f>
        <v>0</v>
      </c>
      <c r="X258" s="466">
        <f>0</f>
        <v>0</v>
      </c>
      <c r="Y258" s="2549">
        <f>0</f>
        <v>0</v>
      </c>
      <c r="Z258" s="2549">
        <f>0</f>
        <v>0</v>
      </c>
      <c r="AA258" s="2549">
        <f>0</f>
        <v>0</v>
      </c>
      <c r="AB258" s="466">
        <f>0</f>
        <v>0</v>
      </c>
      <c r="AC258" s="466">
        <f>0</f>
        <v>0</v>
      </c>
      <c r="AD258" s="466">
        <f>0</f>
        <v>0</v>
      </c>
      <c r="AE258" s="466">
        <f>0</f>
        <v>0</v>
      </c>
      <c r="AF258" s="466">
        <f>0</f>
        <v>0</v>
      </c>
      <c r="AG258" s="466">
        <f>0</f>
        <v>0</v>
      </c>
      <c r="AH258" s="466">
        <f>1</f>
        <v>1</v>
      </c>
      <c r="AI258" s="466">
        <f>0</f>
        <v>0</v>
      </c>
      <c r="AJ258" s="466">
        <f>0</f>
        <v>0</v>
      </c>
      <c r="AK258" s="466">
        <f>0</f>
        <v>0</v>
      </c>
      <c r="AL258" s="466">
        <f>0</f>
        <v>0</v>
      </c>
      <c r="AM258" s="466">
        <f>0</f>
        <v>0</v>
      </c>
      <c r="AN258" s="466">
        <f>0</f>
        <v>0</v>
      </c>
      <c r="AO258" s="466">
        <f>0</f>
        <v>0</v>
      </c>
      <c r="AP258" s="466">
        <f>0</f>
        <v>0</v>
      </c>
      <c r="AQ258" s="466">
        <f>0</f>
        <v>0</v>
      </c>
      <c r="AR258" s="466">
        <f>0</f>
        <v>0</v>
      </c>
      <c r="AS258" s="466">
        <f>0</f>
        <v>0</v>
      </c>
      <c r="AT258" s="466">
        <f>0</f>
        <v>0</v>
      </c>
      <c r="AU258" s="466">
        <f>0</f>
        <v>0</v>
      </c>
      <c r="AV258" s="466">
        <f>0</f>
        <v>0</v>
      </c>
      <c r="AW258" s="466">
        <f>0</f>
        <v>0</v>
      </c>
      <c r="AX258" s="466">
        <f>0</f>
        <v>0</v>
      </c>
      <c r="AY258" s="466">
        <f>0</f>
        <v>0</v>
      </c>
      <c r="AZ258" s="466">
        <f>0</f>
        <v>0</v>
      </c>
      <c r="BA258" s="466">
        <f>0</f>
        <v>0</v>
      </c>
      <c r="BB258" s="2549">
        <f>0</f>
        <v>0</v>
      </c>
      <c r="BC258" s="2549">
        <f>0</f>
        <v>0</v>
      </c>
      <c r="BD258" s="2549">
        <f>0</f>
        <v>0</v>
      </c>
      <c r="BE258" s="467">
        <f>0</f>
        <v>0</v>
      </c>
      <c r="BF258" s="467">
        <f>0</f>
        <v>0</v>
      </c>
      <c r="BG258" s="467">
        <f>0</f>
        <v>0</v>
      </c>
      <c r="BH258" s="467">
        <f>0</f>
        <v>0</v>
      </c>
      <c r="BI258" s="467">
        <f>0</f>
        <v>0</v>
      </c>
      <c r="BJ258" s="467">
        <f>0</f>
        <v>0</v>
      </c>
      <c r="BK258" s="467">
        <f>0</f>
        <v>0</v>
      </c>
      <c r="BL258" s="467">
        <f>0</f>
        <v>0</v>
      </c>
      <c r="BM258" s="467">
        <f>0</f>
        <v>0</v>
      </c>
      <c r="BN258" s="467">
        <f>0</f>
        <v>0</v>
      </c>
      <c r="BO258" s="467">
        <f>0</f>
        <v>0</v>
      </c>
      <c r="BP258" s="467">
        <f>0</f>
        <v>0</v>
      </c>
      <c r="BQ258" s="467">
        <f>0</f>
        <v>0</v>
      </c>
      <c r="BR258" s="467">
        <f>0</f>
        <v>0</v>
      </c>
      <c r="BS258" s="467">
        <f>0</f>
        <v>0</v>
      </c>
      <c r="BT258" s="467">
        <f>0</f>
        <v>0</v>
      </c>
      <c r="BU258" s="467">
        <f>0</f>
        <v>0</v>
      </c>
      <c r="BV258" s="467">
        <f>0</f>
        <v>0</v>
      </c>
      <c r="BW258" s="467">
        <f>0</f>
        <v>0</v>
      </c>
      <c r="BX258" s="467">
        <f>0</f>
        <v>0</v>
      </c>
      <c r="BY258" s="2559">
        <f>0</f>
        <v>0</v>
      </c>
      <c r="BZ258" s="467">
        <f>0</f>
        <v>0</v>
      </c>
      <c r="CA258" s="467">
        <f>0</f>
        <v>0</v>
      </c>
      <c r="CB258" s="466">
        <f>0</f>
        <v>0</v>
      </c>
      <c r="CC258" s="466">
        <f>0</f>
        <v>0</v>
      </c>
      <c r="CD258" s="466">
        <f>0</f>
        <v>0</v>
      </c>
      <c r="CE258" s="466">
        <f>0</f>
        <v>0</v>
      </c>
      <c r="CF258" s="466">
        <f>0</f>
        <v>0</v>
      </c>
      <c r="CG258" s="466">
        <f>0</f>
        <v>0</v>
      </c>
      <c r="CH258" s="739">
        <f>-1</f>
        <v>-1</v>
      </c>
      <c r="CI258" s="466">
        <f>0</f>
        <v>0</v>
      </c>
      <c r="CJ258" s="2549">
        <f>0</f>
        <v>0</v>
      </c>
      <c r="CK258" s="467">
        <f>0</f>
        <v>0</v>
      </c>
      <c r="CL258" s="467">
        <f>0</f>
        <v>0</v>
      </c>
      <c r="CM258" s="467">
        <f>0</f>
        <v>0</v>
      </c>
      <c r="CN258" s="467">
        <f>0</f>
        <v>0</v>
      </c>
      <c r="CO258" s="467">
        <f>0</f>
        <v>0</v>
      </c>
      <c r="CP258" s="466">
        <f>0</f>
        <v>0</v>
      </c>
      <c r="CQ258" s="466">
        <f>0</f>
        <v>0</v>
      </c>
      <c r="CR258" s="467">
        <f>0</f>
        <v>0</v>
      </c>
      <c r="CS258" s="2559">
        <f>0</f>
        <v>0</v>
      </c>
      <c r="CT258" s="2559">
        <f>0</f>
        <v>0</v>
      </c>
      <c r="CU258" s="2559">
        <f>0</f>
        <v>0</v>
      </c>
      <c r="CV258" s="2869">
        <f>k_LaGN2O_bub*(S_GN2O_bub_sat-S_N2O)</f>
        <v>1363.80519</v>
      </c>
      <c r="CX258" s="2880">
        <f>E299*E258+F299*F258+G299*G258+H299*H258+I299*I258+J299*J258+K299*K258+L299*L258+M299*M258+N299*N258+O299*O258+P299*P258+Q299*Q258+R299*R258+S299*S258+T299*T258+U299*U258+V299*V258+W299*W258+X299*X258+Y299*Y258+Z299*Z258+AA299*AA258+AB299*AB258+AC299*AC258+AD299*AD258+AE299*AE258+AF299*AF258+AG299*AG258+AH299*AH258+AI299*AI258+AJ299*AJ258+AK299*AK258+AL299*AL258+AM299*AM258+AN299*AN258+AO299*AO258+AP299*AP258+AQ299*AQ258+AR299*AR258+AS299*AS258+AT299*AT258+AU299*AU258+AV299*AV258+AW299*AW258+AX299*AX258+AY299*AY258+AZ299*AZ258+BA299*BA258+BB299*BB258+BC299*BC258+BD299*BD258+BE299*BE258+BF299*BF258+BG299*BG258+BH299*BH258+BI299*BI258+BJ299*BJ258+BK299*BK258+BL299*BL258+BM299*BM258+BN299*BN258+BO299*BO258+BP299*BP258+BQ299*BQ258+BR299*BR258+BS299*BS258+BT299*BT258+BU299*BU258+BV299*BV258+BW299*BW258+BX299*BX258+BY299*BY258+BZ299*BZ258+CA299*CA258+CB299*CB258+CC299*CC258+CD299*CD258+CE299*CE258+CF299*CF258+CG299*CG258+CH299*CH258+CI299*CI258+CJ299*CJ258+CK299*CK258+CL299*CL258+CM299*CM258+CN299*CN258+CO299*CO258+CP299*CP258+CQ299*CQ258+CR299*CR258+CS299*CS258+CT299*CT258+CU299*CU258</f>
        <v>0</v>
      </c>
      <c r="CY258" s="2880">
        <f>E300*E258+F300*F258+G300*G258+H300*H258+I300*I258+J300*J258+K300*K258+L300*L258+M300*M258+N300*N258+O300*O258+P300*P258+Q300*Q258+R300*R258+S300*S258+T300*T258+U300*U258+V300*V258+W300*W258+X300*X258+Y300*Y258+Z300*Z258+AA300*AA258+AB300*AB258+AC300*AC258+AD300*AD258+AE300*AE258+AF300*AF258+AG300*AG258+AH300*AH258+AI300*AI258+AJ300*AJ258+AK300*AK258+AL300*AL258+AM300*AM258+AN300*AN258+AO300*AO258+AP300*AP258+AQ300*AQ258+AR300*AR258+AS300*AS258+AT300*AT258+AU300*AU258+AV300*AV258+AW300*AW258+AX300*AX258+AY300*AY258+AZ300*AZ258+BA300*BA258+BB300*BB258+BC300*BC258+BD300*BD258+BE300*BE258+BF300*BF258+BG300*BG258+BH300*BH258+BI300*BI258+BJ300*BJ258+BK300*BK258+BL300*BL258+BM300*BM258+BN300*BN258+BO300*BO258+BP300*BP258+BQ300*BQ258+BR300*BR258+BS300*BS258+BT300*BT258+BU300*BU258+BV300*BV258+BW300*BW258+BX300*BX258+BY300*BY258+BZ300*BZ258+CA300*CA258+CB300*CB258+CC300*CC258+CD300*CD258+CE300*CE258+CF300*CF258+CG300*CG258+CH300*CH258+CI300*CI258+CJ300*CJ258+CK300*CK258+CL300*CL258+CM300*CM258+CN300*CN258+CO300*CO258+CP300*CP258+CQ300*CQ258+CR300*CR258+CS300*CS258+CT300*CT258+CU300*CU258</f>
        <v>0</v>
      </c>
      <c r="CZ258" s="2881">
        <f>E301*E258+F301*F258+G301*G258+H301*H258+I301*I258+J301*J258+K301*K258+L301*L258+M301*M258+N301*N258+O301*O258+P301*P258+Q301*Q258+R301*R258+S301*S258+T301*T258+U301*U258+V301*V258+W301*W258+X301*X258+Y301*Y258+Z301*Z258+AA301*AA258+AB301*AB258+AC301*AC258+AD301*AD258+AE301*AE258+AF301*AF258+AG301*AG258+AH301*AH258+AI301*AI258+AJ301*AJ258+AK301*AK258+AL301*AL258+AM301*AM258+AN301*AN258+AO301*AO258+AP301*AP258+AQ301*AQ258+AR301*AR258+AS301*AS258+AT301*AT258+AU301*AU258+AV301*AV258+AW301*AW258+AX301*AX258+AY301*AY258+AZ301*AZ258+BA301*BA258+BB301*BB258+BC301*BC258+BD301*BD258+BE301*BE258+BF301*BF258+BG301*BG258+BH301*BH258+BI301*BI258+BJ301*BJ258+BK301*BK258+BL301*BL258+BM301*BM258+BN301*BN258+BO301*BO258+BP301*BP258+BQ301*BQ258+BR301*BR258+BS301*BS258+BT301*BT258+BU301*BU258+BV301*BV258+BW301*BW258+BX301*BX258+BY301*BY258+BZ301*BZ258+CA301*CA258+CB301*CB258+CC301*CC258+CD301*CD258+CE301*CE258+CF301*CF258+CG301*CG258+CH301*CH258+CI301*CI258+CJ301*CJ258+CK301*CK258+CL301*CL258+CM301*CM258+CN301*CN258+CO301*CO258+CP301*CP258+CQ301*CQ258+CR301*CR258+CS301*CS258+CT301*CT258+CU301*CU258</f>
        <v>0</v>
      </c>
      <c r="DA258" s="2882">
        <f>E302*E258+F302*F258+G302*G258+H302*H258+I302*I258+J302*J258+K302*K258+L302*L258+M302*M258+N302*N258+O302*O258+P302*P258+Q302*Q258+R302*R258+S302*S258+T302*T258+U302*U258+V302*V258+W302*W258+X302*X258+Y302*Y258+Z302*Z258+AA302*AA258+AB302*AB258+AC302*AC258+AD302*AD258+AE302*AE258+AF302*AF258+AG302*AG258+AH302*AH258+AI302*AI258+AJ302*AJ258+AK302*AK258+AL302*AL258+AM302*AM258+AN302*AN258+AO302*AO258+AP302*AP258+AQ302*AQ258+AR302*AR258+AS302*AS258+AT302*AT258+AU302*AU258+AV302*AV258+AW302*AW258+AX302*AX258+AY302*AY258+AZ302*AZ258+BA302*BA258+BB302*BB258+BC302*BC258+BD302*BD258+BE302*BE258+BF302*BF258+BG302*BG258+BH302*BH258+BI302*BI258+BJ302*BJ258+BK302*BK258+BL302*BL258+BM302*BM258+BN302*BN258+BO302*BO258+BP302*BP258+BQ302*BQ258+BR302*BR258+BS302*BS258+BT302*BT258+BU302*BU258+BV302*BV258+BW302*BW258+BX302*BX258+BY302*BY258+BZ302*BZ258+CA302*CA258+CB302*CB258+CC302*CC258+CD302*CD258+CE302*CE258+CF302*CF258+CG302*CG258+CH302*CH258+CI302*CI258+CJ302*CJ258+CK302*CK258+CL302*CL258+CM302*CM258+CN302*CN258+CO302*CO258+CP302*CP258+CQ302*CQ258+CR302*CR258+CS302*CS258+CT302*CT258+CU302*CU258</f>
        <v>0</v>
      </c>
      <c r="DB258" s="2882">
        <f>E303*E258+F303*F258+G303*G258+H303*H258+I303*I258+J303*J258+K303*K258+L303*L258+M303*M258+N303*N258+O303*O258+P303*P258+Q303*Q258+R303*R258+S303*S258+T303*T258+U303*U258+V303*V258+W303*W258+X303*X258+Y303*Y258+Z303*Z258+AA303*AA258+AB303*AB258+AC303*AC258+AD303*AD258+AE303*AE258+AF303*AF258+AG303*AG258+AH303*AH258+AI303*AI258+AJ303*AJ258+AK303*AK258+AL303*AL258+AM303*AM258+AN303*AN258+AO303*AO258+AP303*AP258+AQ303*AQ258+AR303*AR258+AS303*AS258+AT303*AT258+AU303*AU258+AV303*AV258+AW303*AW258+AX303*AX258+AY303*AY258+AZ303*AZ258+BA303*BA258+BB303*BB258+BC303*BC258+BD303*BD258+BE303*BE258+BF303*BF258+BG303*BG258+BH303*BH258+BI303*BI258+BJ303*BJ258+BK303*BK258+BL303*BL258+BM303*BM258+BN303*BN258+BO303*BO258+BP303*BP258+BQ303*BQ258+BR303*BR258+BS303*BS258+BT303*BT258+BU303*BU258+BV303*BV258+BW303*BW258+BX303*BX258+BY303*BY258+BZ303*BZ258+CA303*CA258+CB303*CB258+CC303*CC258+CD303*CD258+CE303*CE258+CF303*CF258+CG303*CG258+CH303*CH258+CI303*CI258+CJ303*CJ258+CK303*CK258+CL303*CL258+CM303*CM258+CN303*CN258+CO303*CO258+CP303*CP258+CQ303*CQ258+CR303*CR258+CS303*CS258+CT303*CT258+CU303*CU258</f>
        <v>0</v>
      </c>
      <c r="DC258" s="2882">
        <f>E304*E258+F304*F258+G304*G258+H304*H258+I304*I258+J304*J258+K304*K258+L304*L258+M304*M258+N304*N258+O304*O258+P304*P258+Q304*Q258+R304*R258+S304*S258+T304*T258+U304*U258+V304*V258+W304*W258+X304*X258+Y304*Y258+Z304*Z258+AA304*AA258+AB304*AB258+AC304*AC258+AD304*AD258+AE304*AE258+AF304*AF258+AG304*AG258+AH304*AH258+AI304*AI258+AJ304*AJ258+AK304*AK258+AL304*AL258+AM304*AM258+AN304*AN258+AO304*AO258+AP304*AP258+AQ304*AQ258+AR304*AR258+AS304*AS258+AT304*AT258+AU304*AU258+AV304*AV258+AW304*AW258+AX304*AX258+AY304*AY258+AZ304*AZ258+BA304*BA258+BB304*BB258+BC304*BC258+BD304*BD258+BE304*BE258+BF304*BF258+BG304*BG258+BH304*BH258+BI304*BI258+BJ304*BJ258+BK304*BK258+BL304*BL258+BM304*BM258+BN304*BN258+BO304*BO258+BP304*BP258+BQ304*BQ258+BR304*BR258+BS304*BS258+BT304*BT258+BU304*BU258+BV304*BV258+BW304*BW258+BX304*BX258+BY304*BY258+BZ304*BZ258+CA304*CA258+CB304*CB258+CC304*CC258+CD304*CD258+CE304*CE258+CF304*CF258+CG304*CG258+CH304*CH258+CI304*CI258+CJ304*CJ258+CK304*CK258+CL304*CL258+CM304*CM258+CN304*CN258+CO304*CO258+CP304*CP258+CQ304*CQ258+CR304*CR258+CS304*CS258+CT304*CT258+CU304*CU258</f>
        <v>0</v>
      </c>
      <c r="DD258" s="2882">
        <f>E305*E258+F305*F258+G305*G258+H305*H258+I305*I258+J305*J258+K305*K258+L305*L258+M305*M258+N305*N258+O305*O258+P305*P258+Q305*Q258+R305*R258+S305*S258+T305*T258+U305*U258+V305*V258+W305*W258+X305*X258+Y305*Y258+Z305*Z258+AA305*AA258+AB305*AB258+AC305*AC258+AD305*AD258+AE305*AE258+AF305*AF258+AG305*AG258+AH305*AH258+AI305*AI258+AJ305*AJ258+AK305*AK258+AL305*AL258+AM305*AM258+AN305*AN258+AO305*AO258+AP305*AP258+AQ305*AQ258+AR305*AR258+AS305*AS258+AT305*AT258+AU305*AU258+AV305*AV258+AW305*AW258+AX305*AX258+AY305*AY258+AZ305*AZ258+BA305*BA258+BB305*BB258+BC305*BC258+BD305*BD258+BE305*BE258+BF305*BF258+BG305*BG258+BH305*BH258+BI305*BI258+BJ305*BJ258+BK305*BK258+BL305*BL258+BM305*BM258+BN305*BN258+BO305*BO258+BP305*BP258+BQ305*BQ258+BR305*BR258+BS305*BS258+BT305*BT258+BU305*BU258+BV305*BV258+BW305*BW258+BX305*BX258+BY305*BY258+BZ305*BZ258+CA305*CA258+CB305*CB258+CC305*CC258+CD305*CD258+CE305*CE258+CF305*CF258+CG305*CG258+CH305*CH258+CI305*CI258+CJ305*CJ258+CK305*CK258+CL305*CL258+CM305*CM258+CN305*CN258+CO305*CO258+CP305*CP258+CQ305*CQ258+CR305*CR258+CS305*CS258+CT305*CT258+CU305*CU258</f>
        <v>0</v>
      </c>
      <c r="DE258" s="2882">
        <f>E306*E258+F306*F258+G306*G258+H306*H258+I306*I258+J306*J258+K306*K258+L306*L258+M306*M258+N306*N258+O306*O258+P306*P258+Q306*Q258+R306*R258+S306*S258+T306*T258+U306*U258+V306*V258+W306*W258+X306*X258+Y306*Y258+Z306*Z258+AA306*AA258+AB306*AB258+AC306*AC258+AD306*AD258+AE306*AE258+AF306*AF258+AG306*AG258+AH306*AH258+AI306*AI258+AJ306*AJ258+AK306*AK258+AL306*AL258+AM306*AM258+AN306*AN258+AO306*AO258+AP306*AP258+AQ306*AQ258+AR306*AR258+AS306*AS258+AT306*AT258+AU306*AU258+AV306*AV258+AW306*AW258+AX306*AX258+AY306*AY258+AZ306*AZ258+BA306*BA258+BB306*BB258+BC306*BC258+BD306*BD258+BE306*BE258+BF306*BF258+BG306*BG258+BH306*BH258+BI306*BI258+BJ306*BJ258+BK306*BK258+BL306*BL258+BM306*BM258+BN306*BN258+BO306*BO258+BP306*BP258+BQ306*BQ258+BR306*BR258+BS306*BS258+BT306*BT258+BU306*BU258+BV306*BV258+BW306*BW258+BX306*BX258+BY306*BY258+BZ306*BZ258+CA306*CA258+CB306*CB258+CC306*CC258+CD306*CD258+CE306*CE258+CF306*CF258+CG306*CG258+CH306*CH258+CI306*CI258+CJ306*CJ258+CK306*CK258+CL306*CL258+CM306*CM258+CN306*CN258+CO306*CO258+CP306*CP258+CQ306*CQ258+CR306*CR258+CS306*CS258+CT306*CT258+CU306*CU258</f>
        <v>0</v>
      </c>
      <c r="DF258" s="2882">
        <f>E307*E258+F307*F258+G307*G258+H307*H258+I307*I258+J307*J258+K307*K258+L307*L258+M307*M258+N307*N258+O307*O258+P307*P258+Q307*Q258+R307*R258+S307*S258+T307*T258+U307*U258+V307*V258+W307*W258+X307*X258+Y307*Y258+Z307*Z258+AA307*AA258+AB307*AB258+AC307*AC258+AD307*AD258+AE307*AE258+AF307*AF258+AG307*AG258+AH307*AH258+AI307*AI258+AJ307*AJ258+AK307*AK258+AL307*AL258+AM307*AM258+AN307*AN258+AO307*AO258+AP307*AP258+AQ307*AQ258+AR307*AR258+AS307*AS258+AT307*AT258+AU307*AU258+AV307*AV258+AW307*AW258+AX307*AX258+AY307*AY258+AZ307*AZ258+BA307*BA258+BB307*BB258+BC307*BC258+BD307*BD258+BE307*BE258+BF307*BF258+BG307*BG258+BH307*BH258+BI307*BI258+BJ307*BJ258+BK307*BK258+BL307*BL258+BM307*BM258+BN307*BN258+BO307*BO258+BP307*BP258+BQ307*BQ258+BR307*BR258+BS307*BS258+BT307*BT258+BU307*BU258+BV307*BV258+BW307*BW258+BX307*BX258+BY307*BY258+BZ307*BZ258+CA307*CA258+CB307*CB258+CC307*CC258+CD307*CD258+CE307*CE258+CF307*CF258+CG307*CG258+CH307*CH258+CI307*CI258+CJ307*CJ258+CK307*CK258+CL307*CL258+CM307*CM258+CN307*CN258+CO307*CO258+CP307*CP258+CQ307*CQ258+CR307*CR258+CS307*CS258+CT307*CT258+CU307*CU258</f>
        <v>0</v>
      </c>
      <c r="DG258" s="2882">
        <f>E308*E258+F308*F258+G308*G258+H308*H258+I308*I258+J308*J258+K308*K258+L308*L258+M308*M258+N308*N258+O308*O258+P308*P258+Q308*Q258+R308*R258+S308*S258+T308*T258+U308*U258+V308*V258+W308*W258+X308*X258+Y308*Y258+Z308*Z258+AA308*AA258+AB308*AB258+AC308*AC258+AD308*AD258+AE308*AE258+AF308*AF258+AG308*AG258+AH308*AH258+AI308*AI258+AJ308*AJ258+AK308*AK258+AL308*AL258+AM308*AM258+AN308*AN258+AO308*AO258+AP308*AP258+AQ308*AQ258+AR308*AR258+AS308*AS258+AT308*AT258+AU308*AU258+AV308*AV258+AW308*AW258+AX308*AX258+AY308*AY258+AZ308*AZ258+BA308*BA258+BB308*BB258+BC308*BC258+BD308*BD258+BE308*BE258+BF308*BF258+BG308*BG258+BH308*BH258+BI308*BI258+BJ308*BJ258+BK308*BK258+BL308*BL258+BM308*BM258+BN308*BN258+BO308*BO258+BP308*BP258+BQ308*BQ258+BR308*BR258+BS308*BS258+BT308*BT258+BU308*BU258+BV308*BV258+BW308*BW258+BX308*BX258+BY308*BY258+BZ308*BZ258+CA308*CA258+CB308*CB258+CC308*CC258+CD308*CD258+CE308*CE258+CF308*CF258+CG308*CG258+CH308*CH258+CI308*CI258+CJ308*CJ258+CK308*CK258+CL308*CL258+CM308*CM258+CN308*CN258+CO308*CO258+CP308*CP258+CQ308*CQ258+CR308*CR258+CS308*CS258+CT308*CT258+CU308*CU258</f>
        <v>0</v>
      </c>
      <c r="DH258" s="2882">
        <f>E309*E258+F309*F258+G309*G258+H309*H258+I309*I258+J309*J258+K309*K258+L309*L258+M309*M258+N309*N258+O309*O258+P309*P258+Q309*Q258+R309*R258+S309*S258+T309*T258+U309*U258+V309*V258+W309*W258+X309*X258+Y309*Y258+Z309*Z258+AA309*AA258+AB309*AB258+AC309*AC258+AD309*AD258+AE309*AE258+AF309*AF258+AG309*AG258+AH309*AH258+AI309*AI258+AJ309*AJ258+AK309*AK258+AL309*AL258+AM309*AM258+AN309*AN258+AO309*AO258+AP309*AP258+AQ309*AQ258+AR309*AR258+AS309*AS258+AT309*AT258+AU309*AU258+AV309*AV258+AW309*AW258+AX309*AX258+AY309*AY258+AZ309*AZ258+BA309*BA258+BB309*BB258+BC309*BC258+BD309*BD258+BE309*BE258+BF309*BF258+BG309*BG258+BH309*BH258+BI309*BI258+BJ309*BJ258+BK309*BK258+BL309*BL258+BM309*BM258+BN309*BN258+BO309*BO258+BP309*BP258+BQ309*BQ258+BR309*BR258+BS309*BS258+BT309*BT258+BU309*BU258+BV309*BV258+BW309*BW258+BX309*BX258+BY309*BY258+BZ309*BZ258+CA309*CA258+CB309*CB258+CC309*CC258+CD309*CD258+CE309*CE258+CF309*CF258+CG309*CG258+CH309*CH258+CI309*CI258+CJ309*CJ258+CK309*CK258+CL309*CL258+CM309*CM258+CN309*CN258+CO309*CO258+CP309*CP258+CQ309*CQ258+CR309*CR258+CS309*CS258+CT309*CT258+CU309*CU258</f>
        <v>0</v>
      </c>
      <c r="DI258" s="2882">
        <f>E310*E258+F310*F258+G310*G258+H310*H258+I310*I258+J310*J258+K310*K258+L310*L258+M310*M258+N310*N258+O310*O258+P310*P258+Q310*Q258+R310*R258+S310*S258+T310*T258+U310*U258+V310*V258+W310*W258+X310*X258+Y310*Y258+Z310*Z258+AA310*AA258+AB310*AB258+AC310*AC258+AD310*AD258+AE310*AE258+AF310*AF258+AG310*AG258+AH310*AH258+AI310*AI258+AJ310*AJ258+AK310*AK258+AL310*AL258+AM310*AM258+AN310*AN258+AO310*AO258+AP310*AP258+AQ310*AQ258+AR310*AR258+AS310*AS258+AT310*AT258+AU310*AU258+AV310*AV258+AW310*AW258+AX310*AX258+AY310*AY258+AZ310*AZ258+BA310*BA258+BB310*BB258+BC310*BC258+BD310*BD258+BE310*BE258+BF310*BF258+BG310*BG258+BH310*BH258+BI310*BI258+BJ310*BJ258+BK310*BK258+BL310*BL258+BM310*BM258+BN310*BN258+BO310*BO258+BP310*BP258+BQ310*BQ258+BR310*BR258+BS310*BS258+BT310*BT258+BU310*BU258+BV310*BV258+BW310*BW258+BX310*BX258+BY310*BY258+BZ310*BZ258+CA310*CA258+CB310*CB258+CC310*CC258+CD310*CD258+CE310*CE258+CF310*CF258+CG310*CG258+CH310*CH258+CI310*CI258+CJ310*CJ258+CK310*CK258+CL310*CL258+CM310*CM258+CN310*CN258+CO310*CO258+CP310*CP258+CQ310*CQ258+CR310*CR258+CS310*CS258+CT310*CT258+CU310*CU258</f>
        <v>0</v>
      </c>
    </row>
    <row r="259" spans="2:113" ht="14.65" thickBot="1" x14ac:dyDescent="0.5">
      <c r="B259" s="2215">
        <v>100</v>
      </c>
      <c r="C259" s="2215" t="s">
        <v>3772</v>
      </c>
      <c r="D259" s="2216" t="s">
        <v>3216</v>
      </c>
      <c r="E259" s="466">
        <f>0</f>
        <v>0</v>
      </c>
      <c r="F259" s="466">
        <f>0</f>
        <v>0</v>
      </c>
      <c r="G259" s="466">
        <f>0</f>
        <v>0</v>
      </c>
      <c r="H259" s="466">
        <f>0</f>
        <v>0</v>
      </c>
      <c r="I259" s="466">
        <f>0</f>
        <v>0</v>
      </c>
      <c r="J259" s="466">
        <f>0</f>
        <v>0</v>
      </c>
      <c r="K259" s="466">
        <f>0</f>
        <v>0</v>
      </c>
      <c r="L259" s="466">
        <f>0</f>
        <v>0</v>
      </c>
      <c r="M259" s="466">
        <f>0</f>
        <v>0</v>
      </c>
      <c r="N259" s="466">
        <f>0</f>
        <v>0</v>
      </c>
      <c r="O259" s="466">
        <f>0</f>
        <v>0</v>
      </c>
      <c r="P259" s="466">
        <f>0</f>
        <v>0</v>
      </c>
      <c r="Q259" s="467">
        <f>0</f>
        <v>0</v>
      </c>
      <c r="R259" s="466">
        <f>0</f>
        <v>0</v>
      </c>
      <c r="S259" s="466">
        <f>0</f>
        <v>0</v>
      </c>
      <c r="T259" s="466">
        <f>0</f>
        <v>0</v>
      </c>
      <c r="U259" s="466">
        <f>0</f>
        <v>0</v>
      </c>
      <c r="V259" s="466">
        <f>0</f>
        <v>0</v>
      </c>
      <c r="W259" s="466">
        <f>0</f>
        <v>0</v>
      </c>
      <c r="X259" s="466">
        <f>0</f>
        <v>0</v>
      </c>
      <c r="Y259" s="2549">
        <f>0</f>
        <v>0</v>
      </c>
      <c r="Z259" s="2549">
        <f>0</f>
        <v>0</v>
      </c>
      <c r="AA259" s="2549">
        <f>0</f>
        <v>0</v>
      </c>
      <c r="AB259" s="466">
        <f>0</f>
        <v>0</v>
      </c>
      <c r="AC259" s="466">
        <f>0</f>
        <v>0</v>
      </c>
      <c r="AD259" s="466">
        <f>0</f>
        <v>0</v>
      </c>
      <c r="AE259" s="466">
        <f>0</f>
        <v>0</v>
      </c>
      <c r="AF259" s="466">
        <f>0</f>
        <v>0</v>
      </c>
      <c r="AG259" s="466">
        <f>0</f>
        <v>0</v>
      </c>
      <c r="AH259" s="466">
        <f>0</f>
        <v>0</v>
      </c>
      <c r="AI259" s="466">
        <f>1</f>
        <v>1</v>
      </c>
      <c r="AJ259" s="466">
        <f>0</f>
        <v>0</v>
      </c>
      <c r="AK259" s="466">
        <f>0</f>
        <v>0</v>
      </c>
      <c r="AL259" s="466">
        <f>0</f>
        <v>0</v>
      </c>
      <c r="AM259" s="466">
        <f>0</f>
        <v>0</v>
      </c>
      <c r="AN259" s="466">
        <f>0</f>
        <v>0</v>
      </c>
      <c r="AO259" s="466">
        <f>0</f>
        <v>0</v>
      </c>
      <c r="AP259" s="466">
        <f>0</f>
        <v>0</v>
      </c>
      <c r="AQ259" s="466">
        <f>0</f>
        <v>0</v>
      </c>
      <c r="AR259" s="466">
        <f>0</f>
        <v>0</v>
      </c>
      <c r="AS259" s="466">
        <f>0</f>
        <v>0</v>
      </c>
      <c r="AT259" s="466">
        <f>0</f>
        <v>0</v>
      </c>
      <c r="AU259" s="466">
        <f>0</f>
        <v>0</v>
      </c>
      <c r="AV259" s="466">
        <f>0</f>
        <v>0</v>
      </c>
      <c r="AW259" s="466">
        <f>0</f>
        <v>0</v>
      </c>
      <c r="AX259" s="466">
        <f>0</f>
        <v>0</v>
      </c>
      <c r="AY259" s="466">
        <f>0</f>
        <v>0</v>
      </c>
      <c r="AZ259" s="466">
        <f>0</f>
        <v>0</v>
      </c>
      <c r="BA259" s="466">
        <f>0</f>
        <v>0</v>
      </c>
      <c r="BB259" s="2549">
        <f>0</f>
        <v>0</v>
      </c>
      <c r="BC259" s="2549">
        <f>0</f>
        <v>0</v>
      </c>
      <c r="BD259" s="2549">
        <f>0</f>
        <v>0</v>
      </c>
      <c r="BE259" s="467">
        <f>0</f>
        <v>0</v>
      </c>
      <c r="BF259" s="467">
        <f>0</f>
        <v>0</v>
      </c>
      <c r="BG259" s="467">
        <f>0</f>
        <v>0</v>
      </c>
      <c r="BH259" s="467">
        <f>0</f>
        <v>0</v>
      </c>
      <c r="BI259" s="467">
        <f>0</f>
        <v>0</v>
      </c>
      <c r="BJ259" s="467">
        <f>0</f>
        <v>0</v>
      </c>
      <c r="BK259" s="467">
        <f>0</f>
        <v>0</v>
      </c>
      <c r="BL259" s="467">
        <f>0</f>
        <v>0</v>
      </c>
      <c r="BM259" s="467">
        <f>0</f>
        <v>0</v>
      </c>
      <c r="BN259" s="467">
        <f>0</f>
        <v>0</v>
      </c>
      <c r="BO259" s="467">
        <f>0</f>
        <v>0</v>
      </c>
      <c r="BP259" s="467">
        <f>0</f>
        <v>0</v>
      </c>
      <c r="BQ259" s="467">
        <f>0</f>
        <v>0</v>
      </c>
      <c r="BR259" s="467">
        <f>0</f>
        <v>0</v>
      </c>
      <c r="BS259" s="467">
        <f>0</f>
        <v>0</v>
      </c>
      <c r="BT259" s="467">
        <f>0</f>
        <v>0</v>
      </c>
      <c r="BU259" s="467">
        <f>0</f>
        <v>0</v>
      </c>
      <c r="BV259" s="467">
        <f>0</f>
        <v>0</v>
      </c>
      <c r="BW259" s="467">
        <f>0</f>
        <v>0</v>
      </c>
      <c r="BX259" s="467">
        <f>0</f>
        <v>0</v>
      </c>
      <c r="BY259" s="2559">
        <f>0</f>
        <v>0</v>
      </c>
      <c r="BZ259" s="467">
        <f>0</f>
        <v>0</v>
      </c>
      <c r="CA259" s="467">
        <f>0</f>
        <v>0</v>
      </c>
      <c r="CB259" s="466">
        <f>0</f>
        <v>0</v>
      </c>
      <c r="CC259" s="466">
        <f>0</f>
        <v>0</v>
      </c>
      <c r="CD259" s="466">
        <f>0</f>
        <v>0</v>
      </c>
      <c r="CE259" s="466">
        <f>0</f>
        <v>0</v>
      </c>
      <c r="CF259" s="466">
        <f>0</f>
        <v>0</v>
      </c>
      <c r="CG259" s="466">
        <f>0</f>
        <v>0</v>
      </c>
      <c r="CH259" s="466">
        <f>0</f>
        <v>0</v>
      </c>
      <c r="CI259" s="466">
        <f>-1</f>
        <v>-1</v>
      </c>
      <c r="CJ259" s="2549">
        <f>0</f>
        <v>0</v>
      </c>
      <c r="CK259" s="467">
        <f>0</f>
        <v>0</v>
      </c>
      <c r="CL259" s="467">
        <f>0</f>
        <v>0</v>
      </c>
      <c r="CM259" s="467">
        <f>0</f>
        <v>0</v>
      </c>
      <c r="CN259" s="467">
        <f>0</f>
        <v>0</v>
      </c>
      <c r="CO259" s="467">
        <f>0</f>
        <v>0</v>
      </c>
      <c r="CP259" s="466">
        <f>0</f>
        <v>0</v>
      </c>
      <c r="CQ259" s="466">
        <f>0</f>
        <v>0</v>
      </c>
      <c r="CR259" s="467">
        <f>0</f>
        <v>0</v>
      </c>
      <c r="CS259" s="2559">
        <f>0</f>
        <v>0</v>
      </c>
      <c r="CT259" s="2559">
        <f>0</f>
        <v>0</v>
      </c>
      <c r="CU259" s="2559">
        <f>0</f>
        <v>0</v>
      </c>
      <c r="CV259" s="2870">
        <f>k_LaGN2_bub*(S_GN2_bub_sat-S_N2)</f>
        <v>-272.94299999999998</v>
      </c>
      <c r="CX259" s="2880">
        <f>E299*E259+F299*F259+G299*G259+H299*H259+I299*I259+J299*J259+K299*K259+L299*L259+M299*M259+N299*N259+O299*O259+P299*P259+Q299*Q259+R299*R259+S299*S259+T299*T259+U299*U259+V299*V259+W299*W259+X299*X259+Y299*Y259+Z299*Z259+AA299*AA259+AB299*AB259+AC299*AC259+AD299*AD259+AE299*AE259+AF299*AF259+AG299*AG259+AH299*AH259+AI299*AI259+AJ299*AJ259+AK299*AK259+AL299*AL259+AM299*AM259+AN299*AN259+AO299*AO259+AP299*AP259+AQ299*AQ259+AR299*AR259+AS299*AS259+AT299*AT259+AU299*AU259+AV299*AV259+AW299*AW259+AX299*AX259+AY299*AY259+AZ299*AZ259+BA299*BA259+BB299*BB259+BC299*BC259+BD299*BD259+BE299*BE259+BF299*BF259+BG299*BG259+BH299*BH259+BI299*BI259+BJ299*BJ259+BK299*BK259+BL299*BL259+BM299*BM259+BN299*BN259+BO299*BO259+BP299*BP259+BQ299*BQ259+BR299*BR259+BS299*BS259+BT299*BT259+BU299*BU259+BV299*BV259+BW299*BW259+BX299*BX259+BY299*BY259+BZ299*BZ259+CA299*CA259+CB299*CB259+CC299*CC259+CD299*CD259+CE299*CE259+CF299*CF259+CG299*CG259+CH299*CH259+CI299*CI259+CJ299*CJ259+CK299*CK259+CL299*CL259+CM299*CM259+CN299*CN259+CO299*CO259+CP299*CP259+CQ299*CQ259+CR299*CR259+CS299*CS259+CT299*CT259+CU299*CU259</f>
        <v>0</v>
      </c>
      <c r="CY259" s="2880">
        <f>E300*E259+F300*F259+G300*G259+H300*H259+I300*I259+J300*J259+K300*K259+L300*L259+M300*M259+N300*N259+O300*O259+P300*P259+Q300*Q259+R300*R259+S300*S259+T300*T259+U300*U259+V300*V259+W300*W259+X300*X259+Y300*Y259+Z300*Z259+AA300*AA259+AB300*AB259+AC300*AC259+AD300*AD259+AE300*AE259+AF300*AF259+AG300*AG259+AH300*AH259+AI300*AI259+AJ300*AJ259+AK300*AK259+AL300*AL259+AM300*AM259+AN300*AN259+AO300*AO259+AP300*AP259+AQ300*AQ259+AR300*AR259+AS300*AS259+AT300*AT259+AU300*AU259+AV300*AV259+AW300*AW259+AX300*AX259+AY300*AY259+AZ300*AZ259+BA300*BA259+BB300*BB259+BC300*BC259+BD300*BD259+BE300*BE259+BF300*BF259+BG300*BG259+BH300*BH259+BI300*BI259+BJ300*BJ259+BK300*BK259+BL300*BL259+BM300*BM259+BN300*BN259+BO300*BO259+BP300*BP259+BQ300*BQ259+BR300*BR259+BS300*BS259+BT300*BT259+BU300*BU259+BV300*BV259+BW300*BW259+BX300*BX259+BY300*BY259+BZ300*BZ259+CA300*CA259+CB300*CB259+CC300*CC259+CD300*CD259+CE300*CE259+CF300*CF259+CG300*CG259+CH300*CH259+CI300*CI259+CJ300*CJ259+CK300*CK259+CL300*CL259+CM300*CM259+CN300*CN259+CO300*CO259+CP300*CP259+CQ300*CQ259+CR300*CR259+CS300*CS259+CT300*CT259+CU300*CU259</f>
        <v>0</v>
      </c>
      <c r="CZ259" s="2881">
        <f>E301*E259+F301*F259+G301*G259+H301*H259+I301*I259+J301*J259+K301*K259+L301*L259+M301*M259+N301*N259+O301*O259+P301*P259+Q301*Q259+R301*R259+S301*S259+T301*T259+U301*U259+V301*V259+W301*W259+X301*X259+Y301*Y259+Z301*Z259+AA301*AA259+AB301*AB259+AC301*AC259+AD301*AD259+AE301*AE259+AF301*AF259+AG301*AG259+AH301*AH259+AI301*AI259+AJ301*AJ259+AK301*AK259+AL301*AL259+AM301*AM259+AN301*AN259+AO301*AO259+AP301*AP259+AQ301*AQ259+AR301*AR259+AS301*AS259+AT301*AT259+AU301*AU259+AV301*AV259+AW301*AW259+AX301*AX259+AY301*AY259+AZ301*AZ259+BA301*BA259+BB301*BB259+BC301*BC259+BD301*BD259+BE301*BE259+BF301*BF259+BG301*BG259+BH301*BH259+BI301*BI259+BJ301*BJ259+BK301*BK259+BL301*BL259+BM301*BM259+BN301*BN259+BO301*BO259+BP301*BP259+BQ301*BQ259+BR301*BR259+BS301*BS259+BT301*BT259+BU301*BU259+BV301*BV259+BW301*BW259+BX301*BX259+BY301*BY259+BZ301*BZ259+CA301*CA259+CB301*CB259+CC301*CC259+CD301*CD259+CE301*CE259+CF301*CF259+CG301*CG259+CH301*CH259+CI301*CI259+CJ301*CJ259+CK301*CK259+CL301*CL259+CM301*CM259+CN301*CN259+CO301*CO259+CP301*CP259+CQ301*CQ259+CR301*CR259+CS301*CS259+CT301*CT259+CU301*CU259</f>
        <v>0</v>
      </c>
      <c r="DA259" s="2882">
        <f>E302*E259+F302*F259+G302*G259+H302*H259+I302*I259+J302*J259+K302*K259+L302*L259+M302*M259+N302*N259+O302*O259+P302*P259+Q302*Q259+R302*R259+S302*S259+T302*T259+U302*U259+V302*V259+W302*W259+X302*X259+Y302*Y259+Z302*Z259+AA302*AA259+AB302*AB259+AC302*AC259+AD302*AD259+AE302*AE259+AF302*AF259+AG302*AG259+AH302*AH259+AI302*AI259+AJ302*AJ259+AK302*AK259+AL302*AL259+AM302*AM259+AN302*AN259+AO302*AO259+AP302*AP259+AQ302*AQ259+AR302*AR259+AS302*AS259+AT302*AT259+AU302*AU259+AV302*AV259+AW302*AW259+AX302*AX259+AY302*AY259+AZ302*AZ259+BA302*BA259+BB302*BB259+BC302*BC259+BD302*BD259+BE302*BE259+BF302*BF259+BG302*BG259+BH302*BH259+BI302*BI259+BJ302*BJ259+BK302*BK259+BL302*BL259+BM302*BM259+BN302*BN259+BO302*BO259+BP302*BP259+BQ302*BQ259+BR302*BR259+BS302*BS259+BT302*BT259+BU302*BU259+BV302*BV259+BW302*BW259+BX302*BX259+BY302*BY259+BZ302*BZ259+CA302*CA259+CB302*CB259+CC302*CC259+CD302*CD259+CE302*CE259+CF302*CF259+CG302*CG259+CH302*CH259+CI302*CI259+CJ302*CJ259+CK302*CK259+CL302*CL259+CM302*CM259+CN302*CN259+CO302*CO259+CP302*CP259+CQ302*CQ259+CR302*CR259+CS302*CS259+CT302*CT259+CU302*CU259</f>
        <v>0</v>
      </c>
      <c r="DB259" s="2882">
        <f>E303*E259+F303*F259+G303*G259+H303*H259+I303*I259+J303*J259+K303*K259+L303*L259+M303*M259+N303*N259+O303*O259+P303*P259+Q303*Q259+R303*R259+S303*S259+T303*T259+U303*U259+V303*V259+W303*W259+X303*X259+Y303*Y259+Z303*Z259+AA303*AA259+AB303*AB259+AC303*AC259+AD303*AD259+AE303*AE259+AF303*AF259+AG303*AG259+AH303*AH259+AI303*AI259+AJ303*AJ259+AK303*AK259+AL303*AL259+AM303*AM259+AN303*AN259+AO303*AO259+AP303*AP259+AQ303*AQ259+AR303*AR259+AS303*AS259+AT303*AT259+AU303*AU259+AV303*AV259+AW303*AW259+AX303*AX259+AY303*AY259+AZ303*AZ259+BA303*BA259+BB303*BB259+BC303*BC259+BD303*BD259+BE303*BE259+BF303*BF259+BG303*BG259+BH303*BH259+BI303*BI259+BJ303*BJ259+BK303*BK259+BL303*BL259+BM303*BM259+BN303*BN259+BO303*BO259+BP303*BP259+BQ303*BQ259+BR303*BR259+BS303*BS259+BT303*BT259+BU303*BU259+BV303*BV259+BW303*BW259+BX303*BX259+BY303*BY259+BZ303*BZ259+CA303*CA259+CB303*CB259+CC303*CC259+CD303*CD259+CE303*CE259+CF303*CF259+CG303*CG259+CH303*CH259+CI303*CI259+CJ303*CJ259+CK303*CK259+CL303*CL259+CM303*CM259+CN303*CN259+CO303*CO259+CP303*CP259+CQ303*CQ259+CR303*CR259+CS303*CS259+CT303*CT259+CU303*CU259</f>
        <v>0</v>
      </c>
      <c r="DC259" s="2882">
        <f>E304*E259+F304*F259+G304*G259+H304*H259+I304*I259+J304*J259+K304*K259+L304*L259+M304*M259+N304*N259+O304*O259+P304*P259+Q304*Q259+R304*R259+S304*S259+T304*T259+U304*U259+V304*V259+W304*W259+X304*X259+Y304*Y259+Z304*Z259+AA304*AA259+AB304*AB259+AC304*AC259+AD304*AD259+AE304*AE259+AF304*AF259+AG304*AG259+AH304*AH259+AI304*AI259+AJ304*AJ259+AK304*AK259+AL304*AL259+AM304*AM259+AN304*AN259+AO304*AO259+AP304*AP259+AQ304*AQ259+AR304*AR259+AS304*AS259+AT304*AT259+AU304*AU259+AV304*AV259+AW304*AW259+AX304*AX259+AY304*AY259+AZ304*AZ259+BA304*BA259+BB304*BB259+BC304*BC259+BD304*BD259+BE304*BE259+BF304*BF259+BG304*BG259+BH304*BH259+BI304*BI259+BJ304*BJ259+BK304*BK259+BL304*BL259+BM304*BM259+BN304*BN259+BO304*BO259+BP304*BP259+BQ304*BQ259+BR304*BR259+BS304*BS259+BT304*BT259+BU304*BU259+BV304*BV259+BW304*BW259+BX304*BX259+BY304*BY259+BZ304*BZ259+CA304*CA259+CB304*CB259+CC304*CC259+CD304*CD259+CE304*CE259+CF304*CF259+CG304*CG259+CH304*CH259+CI304*CI259+CJ304*CJ259+CK304*CK259+CL304*CL259+CM304*CM259+CN304*CN259+CO304*CO259+CP304*CP259+CQ304*CQ259+CR304*CR259+CS304*CS259+CT304*CT259+CU304*CU259</f>
        <v>0</v>
      </c>
      <c r="DD259" s="2882">
        <f>E305*E259+F305*F259+G305*G259+H305*H259+I305*I259+J305*J259+K305*K259+L305*L259+M305*M259+N305*N259+O305*O259+P305*P259+Q305*Q259+R305*R259+S305*S259+T305*T259+U305*U259+V305*V259+W305*W259+X305*X259+Y305*Y259+Z305*Z259+AA305*AA259+AB305*AB259+AC305*AC259+AD305*AD259+AE305*AE259+AF305*AF259+AG305*AG259+AH305*AH259+AI305*AI259+AJ305*AJ259+AK305*AK259+AL305*AL259+AM305*AM259+AN305*AN259+AO305*AO259+AP305*AP259+AQ305*AQ259+AR305*AR259+AS305*AS259+AT305*AT259+AU305*AU259+AV305*AV259+AW305*AW259+AX305*AX259+AY305*AY259+AZ305*AZ259+BA305*BA259+BB305*BB259+BC305*BC259+BD305*BD259+BE305*BE259+BF305*BF259+BG305*BG259+BH305*BH259+BI305*BI259+BJ305*BJ259+BK305*BK259+BL305*BL259+BM305*BM259+BN305*BN259+BO305*BO259+BP305*BP259+BQ305*BQ259+BR305*BR259+BS305*BS259+BT305*BT259+BU305*BU259+BV305*BV259+BW305*BW259+BX305*BX259+BY305*BY259+BZ305*BZ259+CA305*CA259+CB305*CB259+CC305*CC259+CD305*CD259+CE305*CE259+CF305*CF259+CG305*CG259+CH305*CH259+CI305*CI259+CJ305*CJ259+CK305*CK259+CL305*CL259+CM305*CM259+CN305*CN259+CO305*CO259+CP305*CP259+CQ305*CQ259+CR305*CR259+CS305*CS259+CT305*CT259+CU305*CU259</f>
        <v>0</v>
      </c>
      <c r="DE259" s="2882">
        <f>E306*E259+F306*F259+G306*G259+H306*H259+I306*I259+J306*J259+K306*K259+L306*L259+M306*M259+N306*N259+O306*O259+P306*P259+Q306*Q259+R306*R259+S306*S259+T306*T259+U306*U259+V306*V259+W306*W259+X306*X259+Y306*Y259+Z306*Z259+AA306*AA259+AB306*AB259+AC306*AC259+AD306*AD259+AE306*AE259+AF306*AF259+AG306*AG259+AH306*AH259+AI306*AI259+AJ306*AJ259+AK306*AK259+AL306*AL259+AM306*AM259+AN306*AN259+AO306*AO259+AP306*AP259+AQ306*AQ259+AR306*AR259+AS306*AS259+AT306*AT259+AU306*AU259+AV306*AV259+AW306*AW259+AX306*AX259+AY306*AY259+AZ306*AZ259+BA306*BA259+BB306*BB259+BC306*BC259+BD306*BD259+BE306*BE259+BF306*BF259+BG306*BG259+BH306*BH259+BI306*BI259+BJ306*BJ259+BK306*BK259+BL306*BL259+BM306*BM259+BN306*BN259+BO306*BO259+BP306*BP259+BQ306*BQ259+BR306*BR259+BS306*BS259+BT306*BT259+BU306*BU259+BV306*BV259+BW306*BW259+BX306*BX259+BY306*BY259+BZ306*BZ259+CA306*CA259+CB306*CB259+CC306*CC259+CD306*CD259+CE306*CE259+CF306*CF259+CG306*CG259+CH306*CH259+CI306*CI259+CJ306*CJ259+CK306*CK259+CL306*CL259+CM306*CM259+CN306*CN259+CO306*CO259+CP306*CP259+CQ306*CQ259+CR306*CR259+CS306*CS259+CT306*CT259+CU306*CU259</f>
        <v>0</v>
      </c>
      <c r="DF259" s="2882">
        <f>E307*E259+F307*F259+G307*G259+H307*H259+I307*I259+J307*J259+K307*K259+L307*L259+M307*M259+N307*N259+O307*O259+P307*P259+Q307*Q259+R307*R259+S307*S259+T307*T259+U307*U259+V307*V259+W307*W259+X307*X259+Y307*Y259+Z307*Z259+AA307*AA259+AB307*AB259+AC307*AC259+AD307*AD259+AE307*AE259+AF307*AF259+AG307*AG259+AH307*AH259+AI307*AI259+AJ307*AJ259+AK307*AK259+AL307*AL259+AM307*AM259+AN307*AN259+AO307*AO259+AP307*AP259+AQ307*AQ259+AR307*AR259+AS307*AS259+AT307*AT259+AU307*AU259+AV307*AV259+AW307*AW259+AX307*AX259+AY307*AY259+AZ307*AZ259+BA307*BA259+BB307*BB259+BC307*BC259+BD307*BD259+BE307*BE259+BF307*BF259+BG307*BG259+BH307*BH259+BI307*BI259+BJ307*BJ259+BK307*BK259+BL307*BL259+BM307*BM259+BN307*BN259+BO307*BO259+BP307*BP259+BQ307*BQ259+BR307*BR259+BS307*BS259+BT307*BT259+BU307*BU259+BV307*BV259+BW307*BW259+BX307*BX259+BY307*BY259+BZ307*BZ259+CA307*CA259+CB307*CB259+CC307*CC259+CD307*CD259+CE307*CE259+CF307*CF259+CG307*CG259+CH307*CH259+CI307*CI259+CJ307*CJ259+CK307*CK259+CL307*CL259+CM307*CM259+CN307*CN259+CO307*CO259+CP307*CP259+CQ307*CQ259+CR307*CR259+CS307*CS259+CT307*CT259+CU307*CU259</f>
        <v>0</v>
      </c>
      <c r="DG259" s="2882">
        <f>E308*E259+F308*F259+G308*G259+H308*H259+I308*I259+J308*J259+K308*K259+L308*L259+M308*M259+N308*N259+O308*O259+P308*P259+Q308*Q259+R308*R259+S308*S259+T308*T259+U308*U259+V308*V259+W308*W259+X308*X259+Y308*Y259+Z308*Z259+AA308*AA259+AB308*AB259+AC308*AC259+AD308*AD259+AE308*AE259+AF308*AF259+AG308*AG259+AH308*AH259+AI308*AI259+AJ308*AJ259+AK308*AK259+AL308*AL259+AM308*AM259+AN308*AN259+AO308*AO259+AP308*AP259+AQ308*AQ259+AR308*AR259+AS308*AS259+AT308*AT259+AU308*AU259+AV308*AV259+AW308*AW259+AX308*AX259+AY308*AY259+AZ308*AZ259+BA308*BA259+BB308*BB259+BC308*BC259+BD308*BD259+BE308*BE259+BF308*BF259+BG308*BG259+BH308*BH259+BI308*BI259+BJ308*BJ259+BK308*BK259+BL308*BL259+BM308*BM259+BN308*BN259+BO308*BO259+BP308*BP259+BQ308*BQ259+BR308*BR259+BS308*BS259+BT308*BT259+BU308*BU259+BV308*BV259+BW308*BW259+BX308*BX259+BY308*BY259+BZ308*BZ259+CA308*CA259+CB308*CB259+CC308*CC259+CD308*CD259+CE308*CE259+CF308*CF259+CG308*CG259+CH308*CH259+CI308*CI259+CJ308*CJ259+CK308*CK259+CL308*CL259+CM308*CM259+CN308*CN259+CO308*CO259+CP308*CP259+CQ308*CQ259+CR308*CR259+CS308*CS259+CT308*CT259+CU308*CU259</f>
        <v>0</v>
      </c>
      <c r="DH259" s="2882">
        <f>E309*E259+F309*F259+G309*G259+H309*H259+I309*I259+J309*J259+K309*K259+L309*L259+M309*M259+N309*N259+O309*O259+P309*P259+Q309*Q259+R309*R259+S309*S259+T309*T259+U309*U259+V309*V259+W309*W259+X309*X259+Y309*Y259+Z309*Z259+AA309*AA259+AB309*AB259+AC309*AC259+AD309*AD259+AE309*AE259+AF309*AF259+AG309*AG259+AH309*AH259+AI309*AI259+AJ309*AJ259+AK309*AK259+AL309*AL259+AM309*AM259+AN309*AN259+AO309*AO259+AP309*AP259+AQ309*AQ259+AR309*AR259+AS309*AS259+AT309*AT259+AU309*AU259+AV309*AV259+AW309*AW259+AX309*AX259+AY309*AY259+AZ309*AZ259+BA309*BA259+BB309*BB259+BC309*BC259+BD309*BD259+BE309*BE259+BF309*BF259+BG309*BG259+BH309*BH259+BI309*BI259+BJ309*BJ259+BK309*BK259+BL309*BL259+BM309*BM259+BN309*BN259+BO309*BO259+BP309*BP259+BQ309*BQ259+BR309*BR259+BS309*BS259+BT309*BT259+BU309*BU259+BV309*BV259+BW309*BW259+BX309*BX259+BY309*BY259+BZ309*BZ259+CA309*CA259+CB309*CB259+CC309*CC259+CD309*CD259+CE309*CE259+CF309*CF259+CG309*CG259+CH309*CH259+CI309*CI259+CJ309*CJ259+CK309*CK259+CL309*CL259+CM309*CM259+CN309*CN259+CO309*CO259+CP309*CP259+CQ309*CQ259+CR309*CR259+CS309*CS259+CT309*CT259+CU309*CU259</f>
        <v>0</v>
      </c>
      <c r="DI259" s="2882">
        <f>E310*E259+F310*F259+G310*G259+H310*H259+I310*I259+J310*J259+K310*K259+L310*L259+M310*M259+N310*N259+O310*O259+P310*P259+Q310*Q259+R310*R259+S310*S259+T310*T259+U310*U259+V310*V259+W310*W259+X310*X259+Y310*Y259+Z310*Z259+AA310*AA259+AB310*AB259+AC310*AC259+AD310*AD259+AE310*AE259+AF310*AF259+AG310*AG259+AH310*AH259+AI310*AI259+AJ310*AJ259+AK310*AK259+AL310*AL259+AM310*AM259+AN310*AN259+AO310*AO259+AP310*AP259+AQ310*AQ259+AR310*AR259+AS310*AS259+AT310*AT259+AU310*AU259+AV310*AV259+AW310*AW259+AX310*AX259+AY310*AY259+AZ310*AZ259+BA310*BA259+BB310*BB259+BC310*BC259+BD310*BD259+BE310*BE259+BF310*BF259+BG310*BG259+BH310*BH259+BI310*BI259+BJ310*BJ259+BK310*BK259+BL310*BL259+BM310*BM259+BN310*BN259+BO310*BO259+BP310*BP259+BQ310*BQ259+BR310*BR259+BS310*BS259+BT310*BT259+BU310*BU259+BV310*BV259+BW310*BW259+BX310*BX259+BY310*BY259+BZ310*BZ259+CA310*CA259+CB310*CB259+CC310*CC259+CD310*CD259+CE310*CE259+CF310*CF259+CG310*CG259+CH310*CH259+CI310*CI259+CJ310*CJ259+CK310*CK259+CL310*CL259+CM310*CM259+CN310*CN259+CO310*CO259+CP310*CP259+CQ310*CQ259+CR310*CR259+CS310*CS259+CT310*CT259+CU310*CU259</f>
        <v>0</v>
      </c>
    </row>
    <row r="260" spans="2:113" x14ac:dyDescent="0.45">
      <c r="B260" s="2217">
        <v>101</v>
      </c>
      <c r="C260" s="2217" t="s">
        <v>3773</v>
      </c>
      <c r="D260" s="2218" t="s">
        <v>3192</v>
      </c>
      <c r="E260" s="819">
        <f>0</f>
        <v>0</v>
      </c>
      <c r="F260" s="819">
        <f>0</f>
        <v>0</v>
      </c>
      <c r="G260" s="819">
        <f>0</f>
        <v>0</v>
      </c>
      <c r="H260" s="819">
        <f>0</f>
        <v>0</v>
      </c>
      <c r="I260" s="819">
        <f>0</f>
        <v>0</v>
      </c>
      <c r="J260" s="819">
        <f>0</f>
        <v>0</v>
      </c>
      <c r="K260" s="819">
        <f>0</f>
        <v>0</v>
      </c>
      <c r="L260" s="819">
        <f>0</f>
        <v>0</v>
      </c>
      <c r="M260" s="819">
        <f>0</f>
        <v>0</v>
      </c>
      <c r="N260" s="819">
        <f>0</f>
        <v>0</v>
      </c>
      <c r="O260" s="819">
        <f>0</f>
        <v>0</v>
      </c>
      <c r="P260" s="819">
        <f>0</f>
        <v>0</v>
      </c>
      <c r="Q260" s="819">
        <f>0</f>
        <v>0</v>
      </c>
      <c r="R260" s="819">
        <f>0</f>
        <v>0</v>
      </c>
      <c r="S260" s="819">
        <f>0</f>
        <v>0</v>
      </c>
      <c r="T260" s="819">
        <f>0</f>
        <v>0</v>
      </c>
      <c r="U260" s="819">
        <f>0</f>
        <v>0</v>
      </c>
      <c r="V260" s="819">
        <f>0</f>
        <v>0</v>
      </c>
      <c r="W260" s="819">
        <f>0</f>
        <v>0</v>
      </c>
      <c r="X260" s="819">
        <f>0</f>
        <v>0</v>
      </c>
      <c r="Y260" s="2550">
        <f>0</f>
        <v>0</v>
      </c>
      <c r="Z260" s="2550">
        <f>0</f>
        <v>0</v>
      </c>
      <c r="AA260" s="2550">
        <f>0</f>
        <v>0</v>
      </c>
      <c r="AB260" s="819">
        <f>0</f>
        <v>0</v>
      </c>
      <c r="AC260" s="819">
        <f>0</f>
        <v>0</v>
      </c>
      <c r="AD260" s="819">
        <f>0</f>
        <v>0</v>
      </c>
      <c r="AE260" s="819">
        <f>0</f>
        <v>0</v>
      </c>
      <c r="AF260" s="819">
        <f>0</f>
        <v>0</v>
      </c>
      <c r="AG260" s="819">
        <f>0</f>
        <v>0</v>
      </c>
      <c r="AH260" s="819">
        <f>0</f>
        <v>0</v>
      </c>
      <c r="AI260" s="819">
        <f>0</f>
        <v>0</v>
      </c>
      <c r="AJ260" s="819">
        <f>0</f>
        <v>0</v>
      </c>
      <c r="AK260" s="819">
        <f>0</f>
        <v>0</v>
      </c>
      <c r="AL260" s="819">
        <f>0</f>
        <v>0</v>
      </c>
      <c r="AM260" s="819">
        <f>0</f>
        <v>0</v>
      </c>
      <c r="AN260" s="819">
        <f>0</f>
        <v>0</v>
      </c>
      <c r="AO260" s="819">
        <f>0</f>
        <v>0</v>
      </c>
      <c r="AP260" s="819">
        <f>0</f>
        <v>0</v>
      </c>
      <c r="AQ260" s="819">
        <f>0</f>
        <v>0</v>
      </c>
      <c r="AR260" s="819">
        <f>0</f>
        <v>0</v>
      </c>
      <c r="AS260" s="819">
        <f>0</f>
        <v>0</v>
      </c>
      <c r="AT260" s="819">
        <f>0</f>
        <v>0</v>
      </c>
      <c r="AU260" s="819">
        <f>1</f>
        <v>1</v>
      </c>
      <c r="AV260" s="819">
        <f>0</f>
        <v>0</v>
      </c>
      <c r="AW260" s="819">
        <f>0</f>
        <v>0</v>
      </c>
      <c r="AX260" s="819">
        <f>0</f>
        <v>0</v>
      </c>
      <c r="AY260" s="819">
        <f>0</f>
        <v>0</v>
      </c>
      <c r="AZ260" s="819">
        <f>0</f>
        <v>0</v>
      </c>
      <c r="BA260" s="819">
        <f>0</f>
        <v>0</v>
      </c>
      <c r="BB260" s="2550">
        <f>0</f>
        <v>0</v>
      </c>
      <c r="BC260" s="2550">
        <f>0</f>
        <v>0</v>
      </c>
      <c r="BD260" s="2550">
        <f>0</f>
        <v>0</v>
      </c>
      <c r="BE260" s="819">
        <f>0</f>
        <v>0</v>
      </c>
      <c r="BF260" s="819">
        <f>0</f>
        <v>0</v>
      </c>
      <c r="BG260" s="819">
        <f>0</f>
        <v>0</v>
      </c>
      <c r="BH260" s="819">
        <f>0</f>
        <v>0</v>
      </c>
      <c r="BI260" s="819">
        <f>0</f>
        <v>0</v>
      </c>
      <c r="BJ260" s="819">
        <f>0</f>
        <v>0</v>
      </c>
      <c r="BK260" s="819">
        <f>0</f>
        <v>0</v>
      </c>
      <c r="BL260" s="819">
        <f>0</f>
        <v>0</v>
      </c>
      <c r="BM260" s="819">
        <f>0</f>
        <v>0</v>
      </c>
      <c r="BN260" s="819">
        <f>0</f>
        <v>0</v>
      </c>
      <c r="BO260" s="819">
        <f>0</f>
        <v>0</v>
      </c>
      <c r="BP260" s="819">
        <f>0</f>
        <v>0</v>
      </c>
      <c r="BQ260" s="819">
        <f>0</f>
        <v>0</v>
      </c>
      <c r="BR260" s="819">
        <f>0</f>
        <v>0</v>
      </c>
      <c r="BS260" s="819">
        <f>0</f>
        <v>0</v>
      </c>
      <c r="BT260" s="819">
        <f>0</f>
        <v>0</v>
      </c>
      <c r="BU260" s="819">
        <f>0</f>
        <v>0</v>
      </c>
      <c r="BV260" s="908">
        <f>0</f>
        <v>0</v>
      </c>
      <c r="BW260" s="819">
        <f>0</f>
        <v>0</v>
      </c>
      <c r="BX260" s="819">
        <f>0</f>
        <v>0</v>
      </c>
      <c r="BY260" s="2550">
        <f>0</f>
        <v>0</v>
      </c>
      <c r="BZ260" s="819">
        <f>0</f>
        <v>0</v>
      </c>
      <c r="CA260" s="908">
        <f>0</f>
        <v>0</v>
      </c>
      <c r="CB260" s="819">
        <f>0</f>
        <v>0</v>
      </c>
      <c r="CC260" s="819">
        <f>0</f>
        <v>0</v>
      </c>
      <c r="CD260" s="819">
        <f>0</f>
        <v>0</v>
      </c>
      <c r="CE260" s="819">
        <f>0</f>
        <v>0</v>
      </c>
      <c r="CF260" s="819">
        <f>0</f>
        <v>0</v>
      </c>
      <c r="CG260" s="819">
        <f>0</f>
        <v>0</v>
      </c>
      <c r="CH260" s="819">
        <f>0</f>
        <v>0</v>
      </c>
      <c r="CI260" s="819">
        <f>0</f>
        <v>0</v>
      </c>
      <c r="CJ260" s="2550">
        <f>0</f>
        <v>0</v>
      </c>
      <c r="CK260" s="820">
        <f>-Δ_atm</f>
        <v>-1</v>
      </c>
      <c r="CL260" s="819">
        <f>0</f>
        <v>0</v>
      </c>
      <c r="CM260" s="819">
        <f>0</f>
        <v>0</v>
      </c>
      <c r="CN260" s="819">
        <f>0</f>
        <v>0</v>
      </c>
      <c r="CO260" s="819">
        <f>0</f>
        <v>0</v>
      </c>
      <c r="CP260" s="819">
        <f>0</f>
        <v>0</v>
      </c>
      <c r="CQ260" s="819">
        <f>0</f>
        <v>0</v>
      </c>
      <c r="CR260" s="819">
        <f>0</f>
        <v>0</v>
      </c>
      <c r="CS260" s="2550">
        <f>0</f>
        <v>0</v>
      </c>
      <c r="CT260" s="2550">
        <f>0</f>
        <v>0</v>
      </c>
      <c r="CU260" s="2550">
        <f>0</f>
        <v>0</v>
      </c>
      <c r="CV260" s="2871">
        <f>k_transfer_GCO2_sur</f>
        <v>85.864791591722664</v>
      </c>
      <c r="CX260" s="2880">
        <f>E299*E260+F299*F260+G299*G260+H299*H260+I299*I260+J299*J260+K299*K260+L299*L260+M299*M260+N299*N260+O299*O260+P299*P260+Q299*Q260+R299*R260+S299*S260+T299*T260+U299*U260+V299*V260+W299*W260+X299*X260+Y299*Y260+Z299*Z260+AA299*AA260+AB299*AB260+AC299*AC260+AD299*AD260+AE299*AE260+AF299*AF260+AG299*AG260+AH299*AH260+AI299*AI260+AJ299*AJ260+AK299*AK260+AL299*AL260+AM299*AM260+AN299*AN260+AO299*AO260+AP299*AP260+AQ299*AQ260+AR299*AR260+AS299*AS260+AT299*AT260+AU299*AU260+AV299*AV260+AW299*AW260+AX299*AX260+AY299*AY260+AZ299*AZ260+BA299*BA260+BB299*BB260+BC299*BC260+BD299*BD260+BE299*BE260+BF299*BF260+BG299*BG260+BH299*BH260+BI299*BI260+BJ299*BJ260+BK299*BK260+BL299*BL260+BM299*BM260+BN299*BN260+BO299*BO260+BP299*BP260+BQ299*BQ260+BR299*BR260+BS299*BS260+BT299*BT260+BU299*BU260+BV299*BV260+BW299*BW260+BX299*BX260+BY299*BY260+BZ299*BZ260+CA299*CA260+CB299*CB260+CC299*CC260+CD299*CD260+CE299*CE260+CF299*CF260+CG299*CG260+CH299*CH260+CI299*CI260+CJ299*CJ260+CK299*CK260+CL299*CL260+CM299*CM260+CN299*CN260+CO299*CO260+CP299*CP260+CQ299*CQ260+CR299*CR260+CS299*CS260+CT299*CT260+CU299*CU260</f>
        <v>0</v>
      </c>
      <c r="CY260" s="2880">
        <f>E300*E260+F300*F260+G300*G260+H300*H260+I300*I260+J300*J260+K300*K260+L300*L260+M300*M260+N300*N260+O300*O260+P300*P260+Q300*Q260+R300*R260+S300*S260+T300*T260+U300*U260+V300*V260+W300*W260+X300*X260+Y300*Y260+Z300*Z260+AA300*AA260+AB300*AB260+AC300*AC260+AD300*AD260+AE300*AE260+AF300*AF260+AG300*AG260+AH300*AH260+AI300*AI260+AJ300*AJ260+AK300*AK260+AL300*AL260+AM300*AM260+AN300*AN260+AO300*AO260+AP300*AP260+AQ300*AQ260+AR300*AR260+AS300*AS260+AT300*AT260+AU300*AU260+AV300*AV260+AW300*AW260+AX300*AX260+AY300*AY260+AZ300*AZ260+BA300*BA260+BB300*BB260+BC300*BC260+BD300*BD260+BE300*BE260+BF300*BF260+BG300*BG260+BH300*BH260+BI300*BI260+BJ300*BJ260+BK300*BK260+BL300*BL260+BM300*BM260+BN300*BN260+BO300*BO260+BP300*BP260+BQ300*BQ260+BR300*BR260+BS300*BS260+BT300*BT260+BU300*BU260+BV300*BV260+BW300*BW260+BX300*BX260+BY300*BY260+BZ300*BZ260+CA300*CA260+CB300*CB260+CC300*CC260+CD300*CD260+CE300*CE260+CF300*CF260+CG300*CG260+CH300*CH260+CI300*CI260+CJ300*CJ260+CK300*CK260+CL300*CL260+CM300*CM260+CN300*CN260+CO300*CO260+CP300*CP260+CQ300*CQ260+CR300*CR260+CS300*CS260+CT300*CT260+CU300*CU260</f>
        <v>0</v>
      </c>
      <c r="CZ260" s="2881">
        <f>E301*E260+F301*F260+G301*G260+H301*H260+I301*I260+J301*J260+K301*K260+L301*L260+M301*M260+N301*N260+O301*O260+P301*P260+Q301*Q260+R301*R260+S301*S260+T301*T260+U301*U260+V301*V260+W301*W260+X301*X260+Y301*Y260+Z301*Z260+AA301*AA260+AB301*AB260+AC301*AC260+AD301*AD260+AE301*AE260+AF301*AF260+AG301*AG260+AH301*AH260+AI301*AI260+AJ301*AJ260+AK301*AK260+AL301*AL260+AM301*AM260+AN301*AN260+AO301*AO260+AP301*AP260+AQ301*AQ260+AR301*AR260+AS301*AS260+AT301*AT260+AU301*AU260+AV301*AV260+AW301*AW260+AX301*AX260+AY301*AY260+AZ301*AZ260+BA301*BA260+BB301*BB260+BC301*BC260+BD301*BD260+BE301*BE260+BF301*BF260+BG301*BG260+BH301*BH260+BI301*BI260+BJ301*BJ260+BK301*BK260+BL301*BL260+BM301*BM260+BN301*BN260+BO301*BO260+BP301*BP260+BQ301*BQ260+BR301*BR260+BS301*BS260+BT301*BT260+BU301*BU260+BV301*BV260+BW301*BW260+BX301*BX260+BY301*BY260+BZ301*BZ260+CA301*CA260+CB301*CB260+CC301*CC260+CD301*CD260+CE301*CE260+CF301*CF260+CG301*CG260+CH301*CH260+CI301*CI260+CJ301*CJ260+CK301*CK260+CL301*CL260+CM301*CM260+CN301*CN260+CO301*CO260+CP301*CP260+CQ301*CQ260+CR301*CR260+CS301*CS260+CT301*CT260+CU301*CU260</f>
        <v>0</v>
      </c>
      <c r="DA260" s="2882">
        <f>E302*E260+F302*F260+G302*G260+H302*H260+I302*I260+J302*J260+K302*K260+L302*L260+M302*M260+N302*N260+O302*O260+P302*P260+Q302*Q260+R302*R260+S302*S260+T302*T260+U302*U260+V302*V260+W302*W260+X302*X260+Y302*Y260+Z302*Z260+AA302*AA260+AB302*AB260+AC302*AC260+AD302*AD260+AE302*AE260+AF302*AF260+AG302*AG260+AH302*AH260+AI302*AI260+AJ302*AJ260+AK302*AK260+AL302*AL260+AM302*AM260+AN302*AN260+AO302*AO260+AP302*AP260+AQ302*AQ260+AR302*AR260+AS302*AS260+AT302*AT260+AU302*AU260+AV302*AV260+AW302*AW260+AX302*AX260+AY302*AY260+AZ302*AZ260+BA302*BA260+BB302*BB260+BC302*BC260+BD302*BD260+BE302*BE260+BF302*BF260+BG302*BG260+BH302*BH260+BI302*BI260+BJ302*BJ260+BK302*BK260+BL302*BL260+BM302*BM260+BN302*BN260+BO302*BO260+BP302*BP260+BQ302*BQ260+BR302*BR260+BS302*BS260+BT302*BT260+BU302*BU260+BV302*BV260+BW302*BW260+BX302*BX260+BY302*BY260+BZ302*BZ260+CA302*CA260+CB302*CB260+CC302*CC260+CD302*CD260+CE302*CE260+CF302*CF260+CG302*CG260+CH302*CH260+CI302*CI260+CJ302*CJ260+CK302*CK260+CL302*CL260+CM302*CM260+CN302*CN260+CO302*CO260+CP302*CP260+CQ302*CQ260+CR302*CR260+CS302*CS260+CT302*CT260+CU302*CU260</f>
        <v>0</v>
      </c>
      <c r="DB260" s="2882">
        <f>E303*E260+F303*F260+G303*G260+H303*H260+I303*I260+J303*J260+K303*K260+L303*L260+M303*M260+N303*N260+O303*O260+P303*P260+Q303*Q260+R303*R260+S303*S260+T303*T260+U303*U260+V303*V260+W303*W260+X303*X260+Y303*Y260+Z303*Z260+AA303*AA260+AB303*AB260+AC303*AC260+AD303*AD260+AE303*AE260+AF303*AF260+AG303*AG260+AH303*AH260+AI303*AI260+AJ303*AJ260+AK303*AK260+AL303*AL260+AM303*AM260+AN303*AN260+AO303*AO260+AP303*AP260+AQ303*AQ260+AR303*AR260+AS303*AS260+AT303*AT260+AU303*AU260+AV303*AV260+AW303*AW260+AX303*AX260+AY303*AY260+AZ303*AZ260+BA303*BA260+BB303*BB260+BC303*BC260+BD303*BD260+BE303*BE260+BF303*BF260+BG303*BG260+BH303*BH260+BI303*BI260+BJ303*BJ260+BK303*BK260+BL303*BL260+BM303*BM260+BN303*BN260+BO303*BO260+BP303*BP260+BQ303*BQ260+BR303*BR260+BS303*BS260+BT303*BT260+BU303*BU260+BV303*BV260+BW303*BW260+BX303*BX260+BY303*BY260+BZ303*BZ260+CA303*CA260+CB303*CB260+CC303*CC260+CD303*CD260+CE303*CE260+CF303*CF260+CG303*CG260+CH303*CH260+CI303*CI260+CJ303*CJ260+CK303*CK260+CL303*CL260+CM303*CM260+CN303*CN260+CO303*CO260+CP303*CP260+CQ303*CQ260+CR303*CR260+CS303*CS260+CT303*CT260+CU303*CU260</f>
        <v>0</v>
      </c>
      <c r="DC260" s="2882">
        <f>E304*E260+F304*F260+G304*G260+H304*H260+I304*I260+J304*J260+K304*K260+L304*L260+M304*M260+N304*N260+O304*O260+P304*P260+Q304*Q260+R304*R260+S304*S260+T304*T260+U304*U260+V304*V260+W304*W260+X304*X260+Y304*Y260+Z304*Z260+AA304*AA260+AB304*AB260+AC304*AC260+AD304*AD260+AE304*AE260+AF304*AF260+AG304*AG260+AH304*AH260+AI304*AI260+AJ304*AJ260+AK304*AK260+AL304*AL260+AM304*AM260+AN304*AN260+AO304*AO260+AP304*AP260+AQ304*AQ260+AR304*AR260+AS304*AS260+AT304*AT260+AU304*AU260+AV304*AV260+AW304*AW260+AX304*AX260+AY304*AY260+AZ304*AZ260+BA304*BA260+BB304*BB260+BC304*BC260+BD304*BD260+BE304*BE260+BF304*BF260+BG304*BG260+BH304*BH260+BI304*BI260+BJ304*BJ260+BK304*BK260+BL304*BL260+BM304*BM260+BN304*BN260+BO304*BO260+BP304*BP260+BQ304*BQ260+BR304*BR260+BS304*BS260+BT304*BT260+BU304*BU260+BV304*BV260+BW304*BW260+BX304*BX260+BY304*BY260+BZ304*BZ260+CA304*CA260+CB304*CB260+CC304*CC260+CD304*CD260+CE304*CE260+CF304*CF260+CG304*CG260+CH304*CH260+CI304*CI260+CJ304*CJ260+CK304*CK260+CL304*CL260+CM304*CM260+CN304*CN260+CO304*CO260+CP304*CP260+CQ304*CQ260+CR304*CR260+CS304*CS260+CT304*CT260+CU304*CU260</f>
        <v>0</v>
      </c>
      <c r="DD260" s="2882">
        <f>E305*E260+F305*F260+G305*G260+H305*H260+I305*I260+J305*J260+K305*K260+L305*L260+M305*M260+N305*N260+O305*O260+P305*P260+Q305*Q260+R305*R260+S305*S260+T305*T260+U305*U260+V305*V260+W305*W260+X305*X260+Y305*Y260+Z305*Z260+AA305*AA260+AB305*AB260+AC305*AC260+AD305*AD260+AE305*AE260+AF305*AF260+AG305*AG260+AH305*AH260+AI305*AI260+AJ305*AJ260+AK305*AK260+AL305*AL260+AM305*AM260+AN305*AN260+AO305*AO260+AP305*AP260+AQ305*AQ260+AR305*AR260+AS305*AS260+AT305*AT260+AU305*AU260+AV305*AV260+AW305*AW260+AX305*AX260+AY305*AY260+AZ305*AZ260+BA305*BA260+BB305*BB260+BC305*BC260+BD305*BD260+BE305*BE260+BF305*BF260+BG305*BG260+BH305*BH260+BI305*BI260+BJ305*BJ260+BK305*BK260+BL305*BL260+BM305*BM260+BN305*BN260+BO305*BO260+BP305*BP260+BQ305*BQ260+BR305*BR260+BS305*BS260+BT305*BT260+BU305*BU260+BV305*BV260+BW305*BW260+BX305*BX260+BY305*BY260+BZ305*BZ260+CA305*CA260+CB305*CB260+CC305*CC260+CD305*CD260+CE305*CE260+CF305*CF260+CG305*CG260+CH305*CH260+CI305*CI260+CJ305*CJ260+CK305*CK260+CL305*CL260+CM305*CM260+CN305*CN260+CO305*CO260+CP305*CP260+CQ305*CQ260+CR305*CR260+CS305*CS260+CT305*CT260+CU305*CU260</f>
        <v>0</v>
      </c>
      <c r="DE260" s="2882">
        <f>E306*E260+F306*F260+G306*G260+H306*H260+I306*I260+J306*J260+K306*K260+L306*L260+M306*M260+N306*N260+O306*O260+P306*P260+Q306*Q260+R306*R260+S306*S260+T306*T260+U306*U260+V306*V260+W306*W260+X306*X260+Y306*Y260+Z306*Z260+AA306*AA260+AB306*AB260+AC306*AC260+AD306*AD260+AE306*AE260+AF306*AF260+AG306*AG260+AH306*AH260+AI306*AI260+AJ306*AJ260+AK306*AK260+AL306*AL260+AM306*AM260+AN306*AN260+AO306*AO260+AP306*AP260+AQ306*AQ260+AR306*AR260+AS306*AS260+AT306*AT260+AU306*AU260+AV306*AV260+AW306*AW260+AX306*AX260+AY306*AY260+AZ306*AZ260+BA306*BA260+BB306*BB260+BC306*BC260+BD306*BD260+BE306*BE260+BF306*BF260+BG306*BG260+BH306*BH260+BI306*BI260+BJ306*BJ260+BK306*BK260+BL306*BL260+BM306*BM260+BN306*BN260+BO306*BO260+BP306*BP260+BQ306*BQ260+BR306*BR260+BS306*BS260+BT306*BT260+BU306*BU260+BV306*BV260+BW306*BW260+BX306*BX260+BY306*BY260+BZ306*BZ260+CA306*CA260+CB306*CB260+CC306*CC260+CD306*CD260+CE306*CE260+CF306*CF260+CG306*CG260+CH306*CH260+CI306*CI260+CJ306*CJ260+CK306*CK260+CL306*CL260+CM306*CM260+CN306*CN260+CO306*CO260+CP306*CP260+CQ306*CQ260+CR306*CR260+CS306*CS260+CT306*CT260+CU306*CU260</f>
        <v>0</v>
      </c>
      <c r="DF260" s="2882">
        <f>E307*E260+F307*F260+G307*G260+H307*H260+I307*I260+J307*J260+K307*K260+L307*L260+M307*M260+N307*N260+O307*O260+P307*P260+Q307*Q260+R307*R260+S307*S260+T307*T260+U307*U260+V307*V260+W307*W260+X307*X260+Y307*Y260+Z307*Z260+AA307*AA260+AB307*AB260+AC307*AC260+AD307*AD260+AE307*AE260+AF307*AF260+AG307*AG260+AH307*AH260+AI307*AI260+AJ307*AJ260+AK307*AK260+AL307*AL260+AM307*AM260+AN307*AN260+AO307*AO260+AP307*AP260+AQ307*AQ260+AR307*AR260+AS307*AS260+AT307*AT260+AU307*AU260+AV307*AV260+AW307*AW260+AX307*AX260+AY307*AY260+AZ307*AZ260+BA307*BA260+BB307*BB260+BC307*BC260+BD307*BD260+BE307*BE260+BF307*BF260+BG307*BG260+BH307*BH260+BI307*BI260+BJ307*BJ260+BK307*BK260+BL307*BL260+BM307*BM260+BN307*BN260+BO307*BO260+BP307*BP260+BQ307*BQ260+BR307*BR260+BS307*BS260+BT307*BT260+BU307*BU260+BV307*BV260+BW307*BW260+BX307*BX260+BY307*BY260+BZ307*BZ260+CA307*CA260+CB307*CB260+CC307*CC260+CD307*CD260+CE307*CE260+CF307*CF260+CG307*CG260+CH307*CH260+CI307*CI260+CJ307*CJ260+CK307*CK260+CL307*CL260+CM307*CM260+CN307*CN260+CO307*CO260+CP307*CP260+CQ307*CQ260+CR307*CR260+CS307*CS260+CT307*CT260+CU307*CU260</f>
        <v>0</v>
      </c>
      <c r="DG260" s="2882">
        <f>E308*E260+F308*F260+G308*G260+H308*H260+I308*I260+J308*J260+K308*K260+L308*L260+M308*M260+N308*N260+O308*O260+P308*P260+Q308*Q260+R308*R260+S308*S260+T308*T260+U308*U260+V308*V260+W308*W260+X308*X260+Y308*Y260+Z308*Z260+AA308*AA260+AB308*AB260+AC308*AC260+AD308*AD260+AE308*AE260+AF308*AF260+AG308*AG260+AH308*AH260+AI308*AI260+AJ308*AJ260+AK308*AK260+AL308*AL260+AM308*AM260+AN308*AN260+AO308*AO260+AP308*AP260+AQ308*AQ260+AR308*AR260+AS308*AS260+AT308*AT260+AU308*AU260+AV308*AV260+AW308*AW260+AX308*AX260+AY308*AY260+AZ308*AZ260+BA308*BA260+BB308*BB260+BC308*BC260+BD308*BD260+BE308*BE260+BF308*BF260+BG308*BG260+BH308*BH260+BI308*BI260+BJ308*BJ260+BK308*BK260+BL308*BL260+BM308*BM260+BN308*BN260+BO308*BO260+BP308*BP260+BQ308*BQ260+BR308*BR260+BS308*BS260+BT308*BT260+BU308*BU260+BV308*BV260+BW308*BW260+BX308*BX260+BY308*BY260+BZ308*BZ260+CA308*CA260+CB308*CB260+CC308*CC260+CD308*CD260+CE308*CE260+CF308*CF260+CG308*CG260+CH308*CH260+CI308*CI260+CJ308*CJ260+CK308*CK260+CL308*CL260+CM308*CM260+CN308*CN260+CO308*CO260+CP308*CP260+CQ308*CQ260+CR308*CR260+CS308*CS260+CT308*CT260+CU308*CU260</f>
        <v>0</v>
      </c>
      <c r="DH260" s="2882">
        <f>E309*E260+F309*F260+G309*G260+H309*H260+I309*I260+J309*J260+K309*K260+L309*L260+M309*M260+N309*N260+O309*O260+P309*P260+Q309*Q260+R309*R260+S309*S260+T309*T260+U309*U260+V309*V260+W309*W260+X309*X260+Y309*Y260+Z309*Z260+AA309*AA260+AB309*AB260+AC309*AC260+AD309*AD260+AE309*AE260+AF309*AF260+AG309*AG260+AH309*AH260+AI309*AI260+AJ309*AJ260+AK309*AK260+AL309*AL260+AM309*AM260+AN309*AN260+AO309*AO260+AP309*AP260+AQ309*AQ260+AR309*AR260+AS309*AS260+AT309*AT260+AU309*AU260+AV309*AV260+AW309*AW260+AX309*AX260+AY309*AY260+AZ309*AZ260+BA309*BA260+BB309*BB260+BC309*BC260+BD309*BD260+BE309*BE260+BF309*BF260+BG309*BG260+BH309*BH260+BI309*BI260+BJ309*BJ260+BK309*BK260+BL309*BL260+BM309*BM260+BN309*BN260+BO309*BO260+BP309*BP260+BQ309*BQ260+BR309*BR260+BS309*BS260+BT309*BT260+BU309*BU260+BV309*BV260+BW309*BW260+BX309*BX260+BY309*BY260+BZ309*BZ260+CA309*CA260+CB309*CB260+CC309*CC260+CD309*CD260+CE309*CE260+CF309*CF260+CG309*CG260+CH309*CH260+CI309*CI260+CJ309*CJ260+CK309*CK260+CL309*CL260+CM309*CM260+CN309*CN260+CO309*CO260+CP309*CP260+CQ309*CQ260+CR309*CR260+CS309*CS260+CT309*CT260+CU309*CU260</f>
        <v>0</v>
      </c>
      <c r="DI260" s="2882">
        <f>E310*E260+F310*F260+G310*G260+H310*H260+I310*I260+J310*J260+K310*K260+L310*L260+M310*M260+N310*N260+O310*O260+P310*P260+Q310*Q260+R310*R260+S310*S260+T310*T260+U310*U260+V310*V260+W310*W260+X310*X260+Y310*Y260+Z310*Z260+AA310*AA260+AB310*AB260+AC310*AC260+AD310*AD260+AE310*AE260+AF310*AF260+AG310*AG260+AH310*AH260+AI310*AI260+AJ310*AJ260+AK310*AK260+AL310*AL260+AM310*AM260+AN310*AN260+AO310*AO260+AP310*AP260+AQ310*AQ260+AR310*AR260+AS310*AS260+AT310*AT260+AU310*AU260+AV310*AV260+AW310*AW260+AX310*AX260+AY310*AY260+AZ310*AZ260+BA310*BA260+BB310*BB260+BC310*BC260+BD310*BD260+BE310*BE260+BF310*BF260+BG310*BG260+BH310*BH260+BI310*BI260+BJ310*BJ260+BK310*BK260+BL310*BL260+BM310*BM260+BN310*BN260+BO310*BO260+BP310*BP260+BQ310*BQ260+BR310*BR260+BS310*BS260+BT310*BT260+BU310*BU260+BV310*BV260+BW310*BW260+BX310*BX260+BY310*BY260+BZ310*BZ260+CA310*CA260+CB310*CB260+CC310*CC260+CD310*CD260+CE310*CE260+CF310*CF260+CG310*CG260+CH310*CH260+CI310*CI260+CJ310*CJ260+CK310*CK260+CL310*CL260+CM310*CM260+CN310*CN260+CO310*CO260+CP310*CP260+CQ310*CQ260+CR310*CR260+CS310*CS260+CT310*CT260+CU310*CU260</f>
        <v>0</v>
      </c>
    </row>
    <row r="261" spans="2:113" x14ac:dyDescent="0.45">
      <c r="B261" s="822">
        <v>102</v>
      </c>
      <c r="C261" s="822" t="s">
        <v>3774</v>
      </c>
      <c r="D261" s="787" t="s">
        <v>3195</v>
      </c>
      <c r="E261" s="733">
        <f>0</f>
        <v>0</v>
      </c>
      <c r="F261" s="733">
        <f>0</f>
        <v>0</v>
      </c>
      <c r="G261" s="733">
        <f>0</f>
        <v>0</v>
      </c>
      <c r="H261" s="733">
        <f>0</f>
        <v>0</v>
      </c>
      <c r="I261" s="733">
        <f>0</f>
        <v>0</v>
      </c>
      <c r="J261" s="733">
        <f>0</f>
        <v>0</v>
      </c>
      <c r="K261" s="733">
        <f>0</f>
        <v>0</v>
      </c>
      <c r="L261" s="733">
        <f>0</f>
        <v>0</v>
      </c>
      <c r="M261" s="733">
        <f>0</f>
        <v>0</v>
      </c>
      <c r="N261" s="733">
        <f>0</f>
        <v>0</v>
      </c>
      <c r="O261" s="733">
        <f>0</f>
        <v>0</v>
      </c>
      <c r="P261" s="733">
        <f>0</f>
        <v>0</v>
      </c>
      <c r="Q261" s="733">
        <f>0</f>
        <v>0</v>
      </c>
      <c r="R261" s="733">
        <f>0</f>
        <v>0</v>
      </c>
      <c r="S261" s="733">
        <f>0</f>
        <v>0</v>
      </c>
      <c r="T261" s="733">
        <f>0</f>
        <v>0</v>
      </c>
      <c r="U261" s="733">
        <f>0</f>
        <v>0</v>
      </c>
      <c r="V261" s="733">
        <f>0</f>
        <v>0</v>
      </c>
      <c r="W261" s="733">
        <f>0</f>
        <v>0</v>
      </c>
      <c r="X261" s="733">
        <f>0</f>
        <v>0</v>
      </c>
      <c r="Y261" s="733">
        <f>0</f>
        <v>0</v>
      </c>
      <c r="Z261" s="733">
        <f>0</f>
        <v>0</v>
      </c>
      <c r="AA261" s="733">
        <f>0</f>
        <v>0</v>
      </c>
      <c r="AB261" s="733">
        <f>0</f>
        <v>0</v>
      </c>
      <c r="AC261" s="733">
        <f>0</f>
        <v>0</v>
      </c>
      <c r="AD261" s="733">
        <f>0</f>
        <v>0</v>
      </c>
      <c r="AE261" s="733">
        <f>0</f>
        <v>0</v>
      </c>
      <c r="AF261" s="733">
        <f>0</f>
        <v>0</v>
      </c>
      <c r="AG261" s="733">
        <f>0</f>
        <v>0</v>
      </c>
      <c r="AH261" s="733">
        <f>0</f>
        <v>0</v>
      </c>
      <c r="AI261" s="733">
        <f>0</f>
        <v>0</v>
      </c>
      <c r="AJ261" s="733">
        <f>0</f>
        <v>0</v>
      </c>
      <c r="AK261" s="733">
        <f>0</f>
        <v>0</v>
      </c>
      <c r="AL261" s="733">
        <f>0</f>
        <v>0</v>
      </c>
      <c r="AM261" s="733">
        <f>0</f>
        <v>0</v>
      </c>
      <c r="AN261" s="733">
        <f>0</f>
        <v>0</v>
      </c>
      <c r="AO261" s="733">
        <f>0</f>
        <v>0</v>
      </c>
      <c r="AP261" s="733">
        <f>0</f>
        <v>0</v>
      </c>
      <c r="AQ261" s="733">
        <f>0</f>
        <v>0</v>
      </c>
      <c r="AR261" s="733">
        <f>0</f>
        <v>0</v>
      </c>
      <c r="AS261" s="733">
        <f>1</f>
        <v>1</v>
      </c>
      <c r="AT261" s="733">
        <f>0</f>
        <v>0</v>
      </c>
      <c r="AU261" s="733">
        <f>0</f>
        <v>0</v>
      </c>
      <c r="AV261" s="733">
        <f>0</f>
        <v>0</v>
      </c>
      <c r="AW261" s="733">
        <f>0</f>
        <v>0</v>
      </c>
      <c r="AX261" s="733">
        <f>0</f>
        <v>0</v>
      </c>
      <c r="AY261" s="733">
        <f>0</f>
        <v>0</v>
      </c>
      <c r="AZ261" s="733">
        <f>0</f>
        <v>0</v>
      </c>
      <c r="BA261" s="733">
        <f>0</f>
        <v>0</v>
      </c>
      <c r="BB261" s="733">
        <f>0</f>
        <v>0</v>
      </c>
      <c r="BC261" s="733">
        <f>0</f>
        <v>0</v>
      </c>
      <c r="BD261" s="733">
        <f>0</f>
        <v>0</v>
      </c>
      <c r="BE261" s="733">
        <f>0</f>
        <v>0</v>
      </c>
      <c r="BF261" s="733">
        <f>0</f>
        <v>0</v>
      </c>
      <c r="BG261" s="733">
        <f>0</f>
        <v>0</v>
      </c>
      <c r="BH261" s="733">
        <f>0</f>
        <v>0</v>
      </c>
      <c r="BI261" s="733">
        <f>0</f>
        <v>0</v>
      </c>
      <c r="BJ261" s="733">
        <f>0</f>
        <v>0</v>
      </c>
      <c r="BK261" s="733">
        <f>0</f>
        <v>0</v>
      </c>
      <c r="BL261" s="733">
        <f>0</f>
        <v>0</v>
      </c>
      <c r="BM261" s="733">
        <f>0</f>
        <v>0</v>
      </c>
      <c r="BN261" s="733">
        <f>0</f>
        <v>0</v>
      </c>
      <c r="BO261" s="733">
        <f>0</f>
        <v>0</v>
      </c>
      <c r="BP261" s="733">
        <f>0</f>
        <v>0</v>
      </c>
      <c r="BQ261" s="733">
        <f>0</f>
        <v>0</v>
      </c>
      <c r="BR261" s="733">
        <f>0</f>
        <v>0</v>
      </c>
      <c r="BS261" s="733">
        <f>0</f>
        <v>0</v>
      </c>
      <c r="BT261" s="733">
        <f>0</f>
        <v>0</v>
      </c>
      <c r="BU261" s="733">
        <f>0</f>
        <v>0</v>
      </c>
      <c r="BV261" s="900">
        <f>0</f>
        <v>0</v>
      </c>
      <c r="BW261" s="733">
        <f>0</f>
        <v>0</v>
      </c>
      <c r="BX261" s="733">
        <f>0</f>
        <v>0</v>
      </c>
      <c r="BY261" s="733">
        <f>0</f>
        <v>0</v>
      </c>
      <c r="BZ261" s="733">
        <f>0</f>
        <v>0</v>
      </c>
      <c r="CA261" s="900">
        <f>0</f>
        <v>0</v>
      </c>
      <c r="CB261" s="733">
        <f>0</f>
        <v>0</v>
      </c>
      <c r="CC261" s="733">
        <f>0</f>
        <v>0</v>
      </c>
      <c r="CD261" s="733">
        <f>0</f>
        <v>0</v>
      </c>
      <c r="CE261" s="733">
        <f>0</f>
        <v>0</v>
      </c>
      <c r="CF261" s="733">
        <f>0</f>
        <v>0</v>
      </c>
      <c r="CG261" s="733">
        <f>0</f>
        <v>0</v>
      </c>
      <c r="CH261" s="733">
        <f>0</f>
        <v>0</v>
      </c>
      <c r="CI261" s="733">
        <f>0</f>
        <v>0</v>
      </c>
      <c r="CJ261" s="733">
        <f>0</f>
        <v>0</v>
      </c>
      <c r="CK261" s="733">
        <f>0</f>
        <v>0</v>
      </c>
      <c r="CL261" s="785">
        <f>-Δ_atm</f>
        <v>-1</v>
      </c>
      <c r="CM261" s="733">
        <f>0</f>
        <v>0</v>
      </c>
      <c r="CN261" s="733">
        <f>0</f>
        <v>0</v>
      </c>
      <c r="CO261" s="733">
        <f>0</f>
        <v>0</v>
      </c>
      <c r="CP261" s="733">
        <f>0</f>
        <v>0</v>
      </c>
      <c r="CQ261" s="733">
        <f>0</f>
        <v>0</v>
      </c>
      <c r="CR261" s="733">
        <f>0</f>
        <v>0</v>
      </c>
      <c r="CS261" s="733">
        <f>0</f>
        <v>0</v>
      </c>
      <c r="CT261" s="733">
        <f>0</f>
        <v>0</v>
      </c>
      <c r="CU261" s="733">
        <f>0</f>
        <v>0</v>
      </c>
      <c r="CV261" s="2862">
        <f>k_LaGCH4_sur*(S_GCH4_sur_sat-S_CH4)</f>
        <v>-2.5329999999999998E-2</v>
      </c>
      <c r="CX261" s="2880">
        <f>E299*E261+F299*F261+G299*G261+H299*H261+I299*I261+J299*J261+K299*K261+L299*L261+M299*M261+N299*N261+O299*O261+P299*P261+Q299*Q261+R299*R261+S299*S261+T299*T261+U299*U261+V299*V261+W299*W261+X299*X261+Y299*Y261+Z299*Z261+AA299*AA261+AB299*AB261+AC299*AC261+AD299*AD261+AE299*AE261+AF299*AF261+AG299*AG261+AH299*AH261+AI299*AI261+AJ299*AJ261+AK299*AK261+AL299*AL261+AM299*AM261+AN299*AN261+AO299*AO261+AP299*AP261+AQ299*AQ261+AR299*AR261+AS299*AS261+AT299*AT261+AU299*AU261+AV299*AV261+AW299*AW261+AX299*AX261+AY299*AY261+AZ299*AZ261+BA299*BA261+BB299*BB261+BC299*BC261+BD299*BD261+BE299*BE261+BF299*BF261+BG299*BG261+BH299*BH261+BI299*BI261+BJ299*BJ261+BK299*BK261+BL299*BL261+BM299*BM261+BN299*BN261+BO299*BO261+BP299*BP261+BQ299*BQ261+BR299*BR261+BS299*BS261+BT299*BT261+BU299*BU261+BV299*BV261+BW299*BW261+BX299*BX261+BY299*BY261+BZ299*BZ261+CA299*CA261+CB299*CB261+CC299*CC261+CD299*CD261+CE299*CE261+CF299*CF261+CG299*CG261+CH299*CH261+CI299*CI261+CJ299*CJ261+CK299*CK261+CL299*CL261+CM299*CM261+CN299*CN261+CO299*CO261+CP299*CP261+CQ299*CQ261+CR299*CR261+CS299*CS261+CT299*CT261+CU299*CU261</f>
        <v>0</v>
      </c>
      <c r="CY261" s="2880">
        <f>E300*E261+F300*F261+G300*G261+H300*H261+I300*I261+J300*J261+K300*K261+L300*L261+M300*M261+N300*N261+O300*O261+P300*P261+Q300*Q261+R300*R261+S300*S261+T300*T261+U300*U261+V300*V261+W300*W261+X300*X261+Y300*Y261+Z300*Z261+AA300*AA261+AB300*AB261+AC300*AC261+AD300*AD261+AE300*AE261+AF300*AF261+AG300*AG261+AH300*AH261+AI300*AI261+AJ300*AJ261+AK300*AK261+AL300*AL261+AM300*AM261+AN300*AN261+AO300*AO261+AP300*AP261+AQ300*AQ261+AR300*AR261+AS300*AS261+AT300*AT261+AU300*AU261+AV300*AV261+AW300*AW261+AX300*AX261+AY300*AY261+AZ300*AZ261+BA300*BA261+BB300*BB261+BC300*BC261+BD300*BD261+BE300*BE261+BF300*BF261+BG300*BG261+BH300*BH261+BI300*BI261+BJ300*BJ261+BK300*BK261+BL300*BL261+BM300*BM261+BN300*BN261+BO300*BO261+BP300*BP261+BQ300*BQ261+BR300*BR261+BS300*BS261+BT300*BT261+BU300*BU261+BV300*BV261+BW300*BW261+BX300*BX261+BY300*BY261+BZ300*BZ261+CA300*CA261+CB300*CB261+CC300*CC261+CD300*CD261+CE300*CE261+CF300*CF261+CG300*CG261+CH300*CH261+CI300*CI261+CJ300*CJ261+CK300*CK261+CL300*CL261+CM300*CM261+CN300*CN261+CO300*CO261+CP300*CP261+CQ300*CQ261+CR300*CR261+CS300*CS261+CT300*CT261+CU300*CU261</f>
        <v>0</v>
      </c>
      <c r="CZ261" s="2881">
        <f>E301*E261+F301*F261+G301*G261+H301*H261+I301*I261+J301*J261+K301*K261+L301*L261+M301*M261+N301*N261+O301*O261+P301*P261+Q301*Q261+R301*R261+S301*S261+T301*T261+U301*U261+V301*V261+W301*W261+X301*X261+Y301*Y261+Z301*Z261+AA301*AA261+AB301*AB261+AC301*AC261+AD301*AD261+AE301*AE261+AF301*AF261+AG301*AG261+AH301*AH261+AI301*AI261+AJ301*AJ261+AK301*AK261+AL301*AL261+AM301*AM261+AN301*AN261+AO301*AO261+AP301*AP261+AQ301*AQ261+AR301*AR261+AS301*AS261+AT301*AT261+AU301*AU261+AV301*AV261+AW301*AW261+AX301*AX261+AY301*AY261+AZ301*AZ261+BA301*BA261+BB301*BB261+BC301*BC261+BD301*BD261+BE301*BE261+BF301*BF261+BG301*BG261+BH301*BH261+BI301*BI261+BJ301*BJ261+BK301*BK261+BL301*BL261+BM301*BM261+BN301*BN261+BO301*BO261+BP301*BP261+BQ301*BQ261+BR301*BR261+BS301*BS261+BT301*BT261+BU301*BU261+BV301*BV261+BW301*BW261+BX301*BX261+BY301*BY261+BZ301*BZ261+CA301*CA261+CB301*CB261+CC301*CC261+CD301*CD261+CE301*CE261+CF301*CF261+CG301*CG261+CH301*CH261+CI301*CI261+CJ301*CJ261+CK301*CK261+CL301*CL261+CM301*CM261+CN301*CN261+CO301*CO261+CP301*CP261+CQ301*CQ261+CR301*CR261+CS301*CS261+CT301*CT261+CU301*CU261</f>
        <v>0</v>
      </c>
      <c r="DA261" s="2882">
        <f>E302*E261+F302*F261+G302*G261+H302*H261+I302*I261+J302*J261+K302*K261+L302*L261+M302*M261+N302*N261+O302*O261+P302*P261+Q302*Q261+R302*R261+S302*S261+T302*T261+U302*U261+V302*V261+W302*W261+X302*X261+Y302*Y261+Z302*Z261+AA302*AA261+AB302*AB261+AC302*AC261+AD302*AD261+AE302*AE261+AF302*AF261+AG302*AG261+AH302*AH261+AI302*AI261+AJ302*AJ261+AK302*AK261+AL302*AL261+AM302*AM261+AN302*AN261+AO302*AO261+AP302*AP261+AQ302*AQ261+AR302*AR261+AS302*AS261+AT302*AT261+AU302*AU261+AV302*AV261+AW302*AW261+AX302*AX261+AY302*AY261+AZ302*AZ261+BA302*BA261+BB302*BB261+BC302*BC261+BD302*BD261+BE302*BE261+BF302*BF261+BG302*BG261+BH302*BH261+BI302*BI261+BJ302*BJ261+BK302*BK261+BL302*BL261+BM302*BM261+BN302*BN261+BO302*BO261+BP302*BP261+BQ302*BQ261+BR302*BR261+BS302*BS261+BT302*BT261+BU302*BU261+BV302*BV261+BW302*BW261+BX302*BX261+BY302*BY261+BZ302*BZ261+CA302*CA261+CB302*CB261+CC302*CC261+CD302*CD261+CE302*CE261+CF302*CF261+CG302*CG261+CH302*CH261+CI302*CI261+CJ302*CJ261+CK302*CK261+CL302*CL261+CM302*CM261+CN302*CN261+CO302*CO261+CP302*CP261+CQ302*CQ261+CR302*CR261+CS302*CS261+CT302*CT261+CU302*CU261</f>
        <v>0</v>
      </c>
      <c r="DB261" s="2882">
        <f>E303*E261+F303*F261+G303*G261+H303*H261+I303*I261+J303*J261+K303*K261+L303*L261+M303*M261+N303*N261+O303*O261+P303*P261+Q303*Q261+R303*R261+S303*S261+T303*T261+U303*U261+V303*V261+W303*W261+X303*X261+Y303*Y261+Z303*Z261+AA303*AA261+AB303*AB261+AC303*AC261+AD303*AD261+AE303*AE261+AF303*AF261+AG303*AG261+AH303*AH261+AI303*AI261+AJ303*AJ261+AK303*AK261+AL303*AL261+AM303*AM261+AN303*AN261+AO303*AO261+AP303*AP261+AQ303*AQ261+AR303*AR261+AS303*AS261+AT303*AT261+AU303*AU261+AV303*AV261+AW303*AW261+AX303*AX261+AY303*AY261+AZ303*AZ261+BA303*BA261+BB303*BB261+BC303*BC261+BD303*BD261+BE303*BE261+BF303*BF261+BG303*BG261+BH303*BH261+BI303*BI261+BJ303*BJ261+BK303*BK261+BL303*BL261+BM303*BM261+BN303*BN261+BO303*BO261+BP303*BP261+BQ303*BQ261+BR303*BR261+BS303*BS261+BT303*BT261+BU303*BU261+BV303*BV261+BW303*BW261+BX303*BX261+BY303*BY261+BZ303*BZ261+CA303*CA261+CB303*CB261+CC303*CC261+CD303*CD261+CE303*CE261+CF303*CF261+CG303*CG261+CH303*CH261+CI303*CI261+CJ303*CJ261+CK303*CK261+CL303*CL261+CM303*CM261+CN303*CN261+CO303*CO261+CP303*CP261+CQ303*CQ261+CR303*CR261+CS303*CS261+CT303*CT261+CU303*CU261</f>
        <v>0</v>
      </c>
      <c r="DC261" s="2882">
        <f>E304*E261+F304*F261+G304*G261+H304*H261+I304*I261+J304*J261+K304*K261+L304*L261+M304*M261+N304*N261+O304*O261+P304*P261+Q304*Q261+R304*R261+S304*S261+T304*T261+U304*U261+V304*V261+W304*W261+X304*X261+Y304*Y261+Z304*Z261+AA304*AA261+AB304*AB261+AC304*AC261+AD304*AD261+AE304*AE261+AF304*AF261+AG304*AG261+AH304*AH261+AI304*AI261+AJ304*AJ261+AK304*AK261+AL304*AL261+AM304*AM261+AN304*AN261+AO304*AO261+AP304*AP261+AQ304*AQ261+AR304*AR261+AS304*AS261+AT304*AT261+AU304*AU261+AV304*AV261+AW304*AW261+AX304*AX261+AY304*AY261+AZ304*AZ261+BA304*BA261+BB304*BB261+BC304*BC261+BD304*BD261+BE304*BE261+BF304*BF261+BG304*BG261+BH304*BH261+BI304*BI261+BJ304*BJ261+BK304*BK261+BL304*BL261+BM304*BM261+BN304*BN261+BO304*BO261+BP304*BP261+BQ304*BQ261+BR304*BR261+BS304*BS261+BT304*BT261+BU304*BU261+BV304*BV261+BW304*BW261+BX304*BX261+BY304*BY261+BZ304*BZ261+CA304*CA261+CB304*CB261+CC304*CC261+CD304*CD261+CE304*CE261+CF304*CF261+CG304*CG261+CH304*CH261+CI304*CI261+CJ304*CJ261+CK304*CK261+CL304*CL261+CM304*CM261+CN304*CN261+CO304*CO261+CP304*CP261+CQ304*CQ261+CR304*CR261+CS304*CS261+CT304*CT261+CU304*CU261</f>
        <v>0</v>
      </c>
      <c r="DD261" s="2882">
        <f>E305*E261+F305*F261+G305*G261+H305*H261+I305*I261+J305*J261+K305*K261+L305*L261+M305*M261+N305*N261+O305*O261+P305*P261+Q305*Q261+R305*R261+S305*S261+T305*T261+U305*U261+V305*V261+W305*W261+X305*X261+Y305*Y261+Z305*Z261+AA305*AA261+AB305*AB261+AC305*AC261+AD305*AD261+AE305*AE261+AF305*AF261+AG305*AG261+AH305*AH261+AI305*AI261+AJ305*AJ261+AK305*AK261+AL305*AL261+AM305*AM261+AN305*AN261+AO305*AO261+AP305*AP261+AQ305*AQ261+AR305*AR261+AS305*AS261+AT305*AT261+AU305*AU261+AV305*AV261+AW305*AW261+AX305*AX261+AY305*AY261+AZ305*AZ261+BA305*BA261+BB305*BB261+BC305*BC261+BD305*BD261+BE305*BE261+BF305*BF261+BG305*BG261+BH305*BH261+BI305*BI261+BJ305*BJ261+BK305*BK261+BL305*BL261+BM305*BM261+BN305*BN261+BO305*BO261+BP305*BP261+BQ305*BQ261+BR305*BR261+BS305*BS261+BT305*BT261+BU305*BU261+BV305*BV261+BW305*BW261+BX305*BX261+BY305*BY261+BZ305*BZ261+CA305*CA261+CB305*CB261+CC305*CC261+CD305*CD261+CE305*CE261+CF305*CF261+CG305*CG261+CH305*CH261+CI305*CI261+CJ305*CJ261+CK305*CK261+CL305*CL261+CM305*CM261+CN305*CN261+CO305*CO261+CP305*CP261+CQ305*CQ261+CR305*CR261+CS305*CS261+CT305*CT261+CU305*CU261</f>
        <v>0</v>
      </c>
      <c r="DE261" s="2882">
        <f>E306*E261+F306*F261+G306*G261+H306*H261+I306*I261+J306*J261+K306*K261+L306*L261+M306*M261+N306*N261+O306*O261+P306*P261+Q306*Q261+R306*R261+S306*S261+T306*T261+U306*U261+V306*V261+W306*W261+X306*X261+Y306*Y261+Z306*Z261+AA306*AA261+AB306*AB261+AC306*AC261+AD306*AD261+AE306*AE261+AF306*AF261+AG306*AG261+AH306*AH261+AI306*AI261+AJ306*AJ261+AK306*AK261+AL306*AL261+AM306*AM261+AN306*AN261+AO306*AO261+AP306*AP261+AQ306*AQ261+AR306*AR261+AS306*AS261+AT306*AT261+AU306*AU261+AV306*AV261+AW306*AW261+AX306*AX261+AY306*AY261+AZ306*AZ261+BA306*BA261+BB306*BB261+BC306*BC261+BD306*BD261+BE306*BE261+BF306*BF261+BG306*BG261+BH306*BH261+BI306*BI261+BJ306*BJ261+BK306*BK261+BL306*BL261+BM306*BM261+BN306*BN261+BO306*BO261+BP306*BP261+BQ306*BQ261+BR306*BR261+BS306*BS261+BT306*BT261+BU306*BU261+BV306*BV261+BW306*BW261+BX306*BX261+BY306*BY261+BZ306*BZ261+CA306*CA261+CB306*CB261+CC306*CC261+CD306*CD261+CE306*CE261+CF306*CF261+CG306*CG261+CH306*CH261+CI306*CI261+CJ306*CJ261+CK306*CK261+CL306*CL261+CM306*CM261+CN306*CN261+CO306*CO261+CP306*CP261+CQ306*CQ261+CR306*CR261+CS306*CS261+CT306*CT261+CU306*CU261</f>
        <v>0</v>
      </c>
      <c r="DF261" s="2882">
        <f>E307*E261+F307*F261+G307*G261+H307*H261+I307*I261+J307*J261+K307*K261+L307*L261+M307*M261+N307*N261+O307*O261+P307*P261+Q307*Q261+R307*R261+S307*S261+T307*T261+U307*U261+V307*V261+W307*W261+X307*X261+Y307*Y261+Z307*Z261+AA307*AA261+AB307*AB261+AC307*AC261+AD307*AD261+AE307*AE261+AF307*AF261+AG307*AG261+AH307*AH261+AI307*AI261+AJ307*AJ261+AK307*AK261+AL307*AL261+AM307*AM261+AN307*AN261+AO307*AO261+AP307*AP261+AQ307*AQ261+AR307*AR261+AS307*AS261+AT307*AT261+AU307*AU261+AV307*AV261+AW307*AW261+AX307*AX261+AY307*AY261+AZ307*AZ261+BA307*BA261+BB307*BB261+BC307*BC261+BD307*BD261+BE307*BE261+BF307*BF261+BG307*BG261+BH307*BH261+BI307*BI261+BJ307*BJ261+BK307*BK261+BL307*BL261+BM307*BM261+BN307*BN261+BO307*BO261+BP307*BP261+BQ307*BQ261+BR307*BR261+BS307*BS261+BT307*BT261+BU307*BU261+BV307*BV261+BW307*BW261+BX307*BX261+BY307*BY261+BZ307*BZ261+CA307*CA261+CB307*CB261+CC307*CC261+CD307*CD261+CE307*CE261+CF307*CF261+CG307*CG261+CH307*CH261+CI307*CI261+CJ307*CJ261+CK307*CK261+CL307*CL261+CM307*CM261+CN307*CN261+CO307*CO261+CP307*CP261+CQ307*CQ261+CR307*CR261+CS307*CS261+CT307*CT261+CU307*CU261</f>
        <v>0</v>
      </c>
      <c r="DG261" s="2882">
        <f>E308*E261+F308*F261+G308*G261+H308*H261+I308*I261+J308*J261+K308*K261+L308*L261+M308*M261+N308*N261+O308*O261+P308*P261+Q308*Q261+R308*R261+S308*S261+T308*T261+U308*U261+V308*V261+W308*W261+X308*X261+Y308*Y261+Z308*Z261+AA308*AA261+AB308*AB261+AC308*AC261+AD308*AD261+AE308*AE261+AF308*AF261+AG308*AG261+AH308*AH261+AI308*AI261+AJ308*AJ261+AK308*AK261+AL308*AL261+AM308*AM261+AN308*AN261+AO308*AO261+AP308*AP261+AQ308*AQ261+AR308*AR261+AS308*AS261+AT308*AT261+AU308*AU261+AV308*AV261+AW308*AW261+AX308*AX261+AY308*AY261+AZ308*AZ261+BA308*BA261+BB308*BB261+BC308*BC261+BD308*BD261+BE308*BE261+BF308*BF261+BG308*BG261+BH308*BH261+BI308*BI261+BJ308*BJ261+BK308*BK261+BL308*BL261+BM308*BM261+BN308*BN261+BO308*BO261+BP308*BP261+BQ308*BQ261+BR308*BR261+BS308*BS261+BT308*BT261+BU308*BU261+BV308*BV261+BW308*BW261+BX308*BX261+BY308*BY261+BZ308*BZ261+CA308*CA261+CB308*CB261+CC308*CC261+CD308*CD261+CE308*CE261+CF308*CF261+CG308*CG261+CH308*CH261+CI308*CI261+CJ308*CJ261+CK308*CK261+CL308*CL261+CM308*CM261+CN308*CN261+CO308*CO261+CP308*CP261+CQ308*CQ261+CR308*CR261+CS308*CS261+CT308*CT261+CU308*CU261</f>
        <v>0</v>
      </c>
      <c r="DH261" s="2882">
        <f>E309*E261+F309*F261+G309*G261+H309*H261+I309*I261+J309*J261+K309*K261+L309*L261+M309*M261+N309*N261+O309*O261+P309*P261+Q309*Q261+R309*R261+S309*S261+T309*T261+U309*U261+V309*V261+W309*W261+X309*X261+Y309*Y261+Z309*Z261+AA309*AA261+AB309*AB261+AC309*AC261+AD309*AD261+AE309*AE261+AF309*AF261+AG309*AG261+AH309*AH261+AI309*AI261+AJ309*AJ261+AK309*AK261+AL309*AL261+AM309*AM261+AN309*AN261+AO309*AO261+AP309*AP261+AQ309*AQ261+AR309*AR261+AS309*AS261+AT309*AT261+AU309*AU261+AV309*AV261+AW309*AW261+AX309*AX261+AY309*AY261+AZ309*AZ261+BA309*BA261+BB309*BB261+BC309*BC261+BD309*BD261+BE309*BE261+BF309*BF261+BG309*BG261+BH309*BH261+BI309*BI261+BJ309*BJ261+BK309*BK261+BL309*BL261+BM309*BM261+BN309*BN261+BO309*BO261+BP309*BP261+BQ309*BQ261+BR309*BR261+BS309*BS261+BT309*BT261+BU309*BU261+BV309*BV261+BW309*BW261+BX309*BX261+BY309*BY261+BZ309*BZ261+CA309*CA261+CB309*CB261+CC309*CC261+CD309*CD261+CE309*CE261+CF309*CF261+CG309*CG261+CH309*CH261+CI309*CI261+CJ309*CJ261+CK309*CK261+CL309*CL261+CM309*CM261+CN309*CN261+CO309*CO261+CP309*CP261+CQ309*CQ261+CR309*CR261+CS309*CS261+CT309*CT261+CU309*CU261</f>
        <v>0</v>
      </c>
      <c r="DI261" s="2882">
        <f>E310*E261+F310*F261+G310*G261+H310*H261+I310*I261+J310*J261+K310*K261+L310*L261+M310*M261+N310*N261+O310*O261+P310*P261+Q310*Q261+R310*R261+S310*S261+T310*T261+U310*U261+V310*V261+W310*W261+X310*X261+Y310*Y261+Z310*Z261+AA310*AA261+AB310*AB261+AC310*AC261+AD310*AD261+AE310*AE261+AF310*AF261+AG310*AG261+AH310*AH261+AI310*AI261+AJ310*AJ261+AK310*AK261+AL310*AL261+AM310*AM261+AN310*AN261+AO310*AO261+AP310*AP261+AQ310*AQ261+AR310*AR261+AS310*AS261+AT310*AT261+AU310*AU261+AV310*AV261+AW310*AW261+AX310*AX261+AY310*AY261+AZ310*AZ261+BA310*BA261+BB310*BB261+BC310*BC261+BD310*BD261+BE310*BE261+BF310*BF261+BG310*BG261+BH310*BH261+BI310*BI261+BJ310*BJ261+BK310*BK261+BL310*BL261+BM310*BM261+BN310*BN261+BO310*BO261+BP310*BP261+BQ310*BQ261+BR310*BR261+BS310*BS261+BT310*BT261+BU310*BU261+BV310*BV261+BW310*BW261+BX310*BX261+BY310*BY261+BZ310*BZ261+CA310*CA261+CB310*CB261+CC310*CC261+CD310*CD261+CE310*CE261+CF310*CF261+CG310*CG261+CH310*CH261+CI310*CI261+CJ310*CJ261+CK310*CK261+CL310*CL261+CM310*CM261+CN310*CN261+CO310*CO261+CP310*CP261+CQ310*CQ261+CR310*CR261+CS310*CS261+CT310*CT261+CU310*CU261</f>
        <v>0</v>
      </c>
    </row>
    <row r="262" spans="2:113" x14ac:dyDescent="0.45">
      <c r="B262" s="822">
        <v>103</v>
      </c>
      <c r="C262" s="822" t="s">
        <v>4012</v>
      </c>
      <c r="D262" s="787" t="s">
        <v>3197</v>
      </c>
      <c r="E262" s="733">
        <f>0</f>
        <v>0</v>
      </c>
      <c r="F262" s="733">
        <f>0</f>
        <v>0</v>
      </c>
      <c r="G262" s="733">
        <f>0</f>
        <v>0</v>
      </c>
      <c r="H262" s="733">
        <f>0</f>
        <v>0</v>
      </c>
      <c r="I262" s="733">
        <f>0</f>
        <v>0</v>
      </c>
      <c r="J262" s="733">
        <f>0</f>
        <v>0</v>
      </c>
      <c r="K262" s="733">
        <f>0</f>
        <v>0</v>
      </c>
      <c r="L262" s="733">
        <f>0</f>
        <v>0</v>
      </c>
      <c r="M262" s="733">
        <f>0</f>
        <v>0</v>
      </c>
      <c r="N262" s="733">
        <f>0</f>
        <v>0</v>
      </c>
      <c r="O262" s="733">
        <f>0</f>
        <v>0</v>
      </c>
      <c r="P262" s="733">
        <f>0</f>
        <v>0</v>
      </c>
      <c r="Q262" s="733">
        <f>0</f>
        <v>0</v>
      </c>
      <c r="R262" s="733">
        <f>0</f>
        <v>0</v>
      </c>
      <c r="S262" s="733">
        <f>0</f>
        <v>0</v>
      </c>
      <c r="T262" s="733">
        <f>0</f>
        <v>0</v>
      </c>
      <c r="U262" s="733">
        <f>0</f>
        <v>0</v>
      </c>
      <c r="V262" s="733">
        <f>0</f>
        <v>0</v>
      </c>
      <c r="W262" s="733">
        <f>0</f>
        <v>0</v>
      </c>
      <c r="X262" s="733">
        <f>0</f>
        <v>0</v>
      </c>
      <c r="Y262" s="733">
        <f>0</f>
        <v>0</v>
      </c>
      <c r="Z262" s="733">
        <f>0</f>
        <v>0</v>
      </c>
      <c r="AA262" s="733">
        <f>0</f>
        <v>0</v>
      </c>
      <c r="AB262" s="733">
        <f>0</f>
        <v>0</v>
      </c>
      <c r="AC262" s="733">
        <f>0</f>
        <v>0</v>
      </c>
      <c r="AD262" s="733">
        <f>0</f>
        <v>0</v>
      </c>
      <c r="AE262" s="733">
        <f>0</f>
        <v>0</v>
      </c>
      <c r="AF262" s="733">
        <f>0</f>
        <v>0</v>
      </c>
      <c r="AG262" s="733">
        <f>0</f>
        <v>0</v>
      </c>
      <c r="AH262" s="733">
        <f>0</f>
        <v>0</v>
      </c>
      <c r="AI262" s="733">
        <f>0</f>
        <v>0</v>
      </c>
      <c r="AJ262" s="733">
        <f>0</f>
        <v>0</v>
      </c>
      <c r="AK262" s="733">
        <f>0</f>
        <v>0</v>
      </c>
      <c r="AL262" s="733">
        <f>0</f>
        <v>0</v>
      </c>
      <c r="AM262" s="733">
        <f>0</f>
        <v>0</v>
      </c>
      <c r="AN262" s="733">
        <f>0</f>
        <v>0</v>
      </c>
      <c r="AO262" s="733">
        <f>0</f>
        <v>0</v>
      </c>
      <c r="AP262" s="733">
        <f>0</f>
        <v>0</v>
      </c>
      <c r="AQ262" s="733">
        <f>0</f>
        <v>0</v>
      </c>
      <c r="AR262" s="733">
        <f>0</f>
        <v>0</v>
      </c>
      <c r="AS262" s="733">
        <f>0</f>
        <v>0</v>
      </c>
      <c r="AT262" s="733">
        <f>1</f>
        <v>1</v>
      </c>
      <c r="AU262" s="733">
        <f>0</f>
        <v>0</v>
      </c>
      <c r="AV262" s="733">
        <f>0</f>
        <v>0</v>
      </c>
      <c r="AW262" s="733">
        <f>0</f>
        <v>0</v>
      </c>
      <c r="AX262" s="733">
        <f>0</f>
        <v>0</v>
      </c>
      <c r="AY262" s="733">
        <f>0</f>
        <v>0</v>
      </c>
      <c r="AZ262" s="733">
        <f>0</f>
        <v>0</v>
      </c>
      <c r="BA262" s="733">
        <f>0</f>
        <v>0</v>
      </c>
      <c r="BB262" s="733">
        <f>0</f>
        <v>0</v>
      </c>
      <c r="BC262" s="733">
        <f>0</f>
        <v>0</v>
      </c>
      <c r="BD262" s="733">
        <f>0</f>
        <v>0</v>
      </c>
      <c r="BE262" s="733">
        <f>0</f>
        <v>0</v>
      </c>
      <c r="BF262" s="733">
        <f>0</f>
        <v>0</v>
      </c>
      <c r="BG262" s="733">
        <f>0</f>
        <v>0</v>
      </c>
      <c r="BH262" s="733">
        <f>0</f>
        <v>0</v>
      </c>
      <c r="BI262" s="733">
        <f>0</f>
        <v>0</v>
      </c>
      <c r="BJ262" s="733">
        <f>0</f>
        <v>0</v>
      </c>
      <c r="BK262" s="733">
        <f>0</f>
        <v>0</v>
      </c>
      <c r="BL262" s="733">
        <f>0</f>
        <v>0</v>
      </c>
      <c r="BM262" s="733">
        <f>0</f>
        <v>0</v>
      </c>
      <c r="BN262" s="733">
        <f>0</f>
        <v>0</v>
      </c>
      <c r="BO262" s="733">
        <f>0</f>
        <v>0</v>
      </c>
      <c r="BP262" s="733">
        <f>0</f>
        <v>0</v>
      </c>
      <c r="BQ262" s="733">
        <f>0</f>
        <v>0</v>
      </c>
      <c r="BR262" s="733">
        <f>0</f>
        <v>0</v>
      </c>
      <c r="BS262" s="733">
        <f>0</f>
        <v>0</v>
      </c>
      <c r="BT262" s="733">
        <f>0</f>
        <v>0</v>
      </c>
      <c r="BU262" s="733">
        <f>0</f>
        <v>0</v>
      </c>
      <c r="BV262" s="900">
        <f>0</f>
        <v>0</v>
      </c>
      <c r="BW262" s="733">
        <f>0</f>
        <v>0</v>
      </c>
      <c r="BX262" s="733">
        <f>0</f>
        <v>0</v>
      </c>
      <c r="BY262" s="733">
        <f>0</f>
        <v>0</v>
      </c>
      <c r="BZ262" s="733">
        <f>0</f>
        <v>0</v>
      </c>
      <c r="CA262" s="900">
        <f>0</f>
        <v>0</v>
      </c>
      <c r="CB262" s="733">
        <f>0</f>
        <v>0</v>
      </c>
      <c r="CC262" s="733">
        <f>0</f>
        <v>0</v>
      </c>
      <c r="CD262" s="733">
        <f>0</f>
        <v>0</v>
      </c>
      <c r="CE262" s="733">
        <f>0</f>
        <v>0</v>
      </c>
      <c r="CF262" s="733">
        <f>0</f>
        <v>0</v>
      </c>
      <c r="CG262" s="733">
        <f>0</f>
        <v>0</v>
      </c>
      <c r="CH262" s="733">
        <f>0</f>
        <v>0</v>
      </c>
      <c r="CI262" s="733">
        <f>0</f>
        <v>0</v>
      </c>
      <c r="CJ262" s="733">
        <f>0</f>
        <v>0</v>
      </c>
      <c r="CK262" s="733">
        <f>0</f>
        <v>0</v>
      </c>
      <c r="CL262" s="733">
        <f>0</f>
        <v>0</v>
      </c>
      <c r="CM262" s="785">
        <f>-Δ_atm</f>
        <v>-1</v>
      </c>
      <c r="CN262" s="733">
        <f>0</f>
        <v>0</v>
      </c>
      <c r="CO262" s="733">
        <f>0</f>
        <v>0</v>
      </c>
      <c r="CP262" s="733">
        <f>0</f>
        <v>0</v>
      </c>
      <c r="CQ262" s="733">
        <f>0</f>
        <v>0</v>
      </c>
      <c r="CR262" s="733">
        <f>0</f>
        <v>0</v>
      </c>
      <c r="CS262" s="733">
        <f>0</f>
        <v>0</v>
      </c>
      <c r="CT262" s="733">
        <f>0</f>
        <v>0</v>
      </c>
      <c r="CU262" s="733">
        <f>0</f>
        <v>0</v>
      </c>
      <c r="CV262" s="2862">
        <f>k_LaGH2_sur*(S_GH2_sur_sat-S_H2)</f>
        <v>-4.4020000000000004E-2</v>
      </c>
      <c r="CX262" s="2880">
        <f>E299*E262+F299*F262+G299*G262+H299*H262+I299*I262+J299*J262+K299*K262+L299*L262+M299*M262+N299*N262+O299*O262+P299*P262+Q299*Q262+R299*R262+S299*S262+T299*T262+U299*U262+V299*V262+W299*W262+X299*X262+Y299*Y262+Z299*Z262+AA299*AA262+AB299*AB262+AC299*AC262+AD299*AD262+AE299*AE262+AF299*AF262+AG299*AG262+AH299*AH262+AI299*AI262+AJ299*AJ262+AK299*AK262+AL299*AL262+AM299*AM262+AN299*AN262+AO299*AO262+AP299*AP262+AQ299*AQ262+AR299*AR262+AS299*AS262+AT299*AT262+AU299*AU262+AV299*AV262+AW299*AW262+AX299*AX262+AY299*AY262+AZ299*AZ262+BA299*BA262+BB299*BB262+BC299*BC262+BD299*BD262+BE299*BE262+BF299*BF262+BG299*BG262+BH299*BH262+BI299*BI262+BJ299*BJ262+BK299*BK262+BL299*BL262+BM299*BM262+BN299*BN262+BO299*BO262+BP299*BP262+BQ299*BQ262+BR299*BR262+BS299*BS262+BT299*BT262+BU299*BU262+BV299*BV262+BW299*BW262+BX299*BX262+BY299*BY262+BZ299*BZ262+CA299*CA262+CB299*CB262+CC299*CC262+CD299*CD262+CE299*CE262+CF299*CF262+CG299*CG262+CH299*CH262+CI299*CI262+CJ299*CJ262+CK299*CK262+CL299*CL262+CM299*CM262+CN299*CN262+CO299*CO262+CP299*CP262+CQ299*CQ262+CR299*CR262+CS299*CS262+CT299*CT262+CU299*CU262</f>
        <v>0</v>
      </c>
      <c r="CY262" s="2880">
        <f>E300*E262+F300*F262+G300*G262+H300*H262+I300*I262+J300*J262+K300*K262+L300*L262+M300*M262+N300*N262+O300*O262+P300*P262+Q300*Q262+R300*R262+S300*S262+T300*T262+U300*U262+V300*V262+W300*W262+X300*X262+Y300*Y262+Z300*Z262+AA300*AA262+AB300*AB262+AC300*AC262+AD300*AD262+AE300*AE262+AF300*AF262+AG300*AG262+AH300*AH262+AI300*AI262+AJ300*AJ262+AK300*AK262+AL300*AL262+AM300*AM262+AN300*AN262+AO300*AO262+AP300*AP262+AQ300*AQ262+AR300*AR262+AS300*AS262+AT300*AT262+AU300*AU262+AV300*AV262+AW300*AW262+AX300*AX262+AY300*AY262+AZ300*AZ262+BA300*BA262+BB300*BB262+BC300*BC262+BD300*BD262+BE300*BE262+BF300*BF262+BG300*BG262+BH300*BH262+BI300*BI262+BJ300*BJ262+BK300*BK262+BL300*BL262+BM300*BM262+BN300*BN262+BO300*BO262+BP300*BP262+BQ300*BQ262+BR300*BR262+BS300*BS262+BT300*BT262+BU300*BU262+BV300*BV262+BW300*BW262+BX300*BX262+BY300*BY262+BZ300*BZ262+CA300*CA262+CB300*CB262+CC300*CC262+CD300*CD262+CE300*CE262+CF300*CF262+CG300*CG262+CH300*CH262+CI300*CI262+CJ300*CJ262+CK300*CK262+CL300*CL262+CM300*CM262+CN300*CN262+CO300*CO262+CP300*CP262+CQ300*CQ262+CR300*CR262+CS300*CS262+CT300*CT262+CU300*CU262</f>
        <v>0</v>
      </c>
      <c r="CZ262" s="2881">
        <f>E301*E262+F301*F262+G301*G262+H301*H262+I301*I262+J301*J262+K301*K262+L301*L262+M301*M262+N301*N262+O301*O262+P301*P262+Q301*Q262+R301*R262+S301*S262+T301*T262+U301*U262+V301*V262+W301*W262+X301*X262+Y301*Y262+Z301*Z262+AA301*AA262+AB301*AB262+AC301*AC262+AD301*AD262+AE301*AE262+AF301*AF262+AG301*AG262+AH301*AH262+AI301*AI262+AJ301*AJ262+AK301*AK262+AL301*AL262+AM301*AM262+AN301*AN262+AO301*AO262+AP301*AP262+AQ301*AQ262+AR301*AR262+AS301*AS262+AT301*AT262+AU301*AU262+AV301*AV262+AW301*AW262+AX301*AX262+AY301*AY262+AZ301*AZ262+BA301*BA262+BB301*BB262+BC301*BC262+BD301*BD262+BE301*BE262+BF301*BF262+BG301*BG262+BH301*BH262+BI301*BI262+BJ301*BJ262+BK301*BK262+BL301*BL262+BM301*BM262+BN301*BN262+BO301*BO262+BP301*BP262+BQ301*BQ262+BR301*BR262+BS301*BS262+BT301*BT262+BU301*BU262+BV301*BV262+BW301*BW262+BX301*BX262+BY301*BY262+BZ301*BZ262+CA301*CA262+CB301*CB262+CC301*CC262+CD301*CD262+CE301*CE262+CF301*CF262+CG301*CG262+CH301*CH262+CI301*CI262+CJ301*CJ262+CK301*CK262+CL301*CL262+CM301*CM262+CN301*CN262+CO301*CO262+CP301*CP262+CQ301*CQ262+CR301*CR262+CS301*CS262+CT301*CT262+CU301*CU262</f>
        <v>0</v>
      </c>
      <c r="DA262" s="2882">
        <f>E302*E262+F302*F262+G302*G262+H302*H262+I302*I262+J302*J262+K302*K262+L302*L262+M302*M262+N302*N262+O302*O262+P302*P262+Q302*Q262+R302*R262+S302*S262+T302*T262+U302*U262+V302*V262+W302*W262+X302*X262+Y302*Y262+Z302*Z262+AA302*AA262+AB302*AB262+AC302*AC262+AD302*AD262+AE302*AE262+AF302*AF262+AG302*AG262+AH302*AH262+AI302*AI262+AJ302*AJ262+AK302*AK262+AL302*AL262+AM302*AM262+AN302*AN262+AO302*AO262+AP302*AP262+AQ302*AQ262+AR302*AR262+AS302*AS262+AT302*AT262+AU302*AU262+AV302*AV262+AW302*AW262+AX302*AX262+AY302*AY262+AZ302*AZ262+BA302*BA262+BB302*BB262+BC302*BC262+BD302*BD262+BE302*BE262+BF302*BF262+BG302*BG262+BH302*BH262+BI302*BI262+BJ302*BJ262+BK302*BK262+BL302*BL262+BM302*BM262+BN302*BN262+BO302*BO262+BP302*BP262+BQ302*BQ262+BR302*BR262+BS302*BS262+BT302*BT262+BU302*BU262+BV302*BV262+BW302*BW262+BX302*BX262+BY302*BY262+BZ302*BZ262+CA302*CA262+CB302*CB262+CC302*CC262+CD302*CD262+CE302*CE262+CF302*CF262+CG302*CG262+CH302*CH262+CI302*CI262+CJ302*CJ262+CK302*CK262+CL302*CL262+CM302*CM262+CN302*CN262+CO302*CO262+CP302*CP262+CQ302*CQ262+CR302*CR262+CS302*CS262+CT302*CT262+CU302*CU262</f>
        <v>0</v>
      </c>
      <c r="DB262" s="2882">
        <f>E303*E262+F303*F262+G303*G262+H303*H262+I303*I262+J303*J262+K303*K262+L303*L262+M303*M262+N303*N262+O303*O262+P303*P262+Q303*Q262+R303*R262+S303*S262+T303*T262+U303*U262+V303*V262+W303*W262+X303*X262+Y303*Y262+Z303*Z262+AA303*AA262+AB303*AB262+AC303*AC262+AD303*AD262+AE303*AE262+AF303*AF262+AG303*AG262+AH303*AH262+AI303*AI262+AJ303*AJ262+AK303*AK262+AL303*AL262+AM303*AM262+AN303*AN262+AO303*AO262+AP303*AP262+AQ303*AQ262+AR303*AR262+AS303*AS262+AT303*AT262+AU303*AU262+AV303*AV262+AW303*AW262+AX303*AX262+AY303*AY262+AZ303*AZ262+BA303*BA262+BB303*BB262+BC303*BC262+BD303*BD262+BE303*BE262+BF303*BF262+BG303*BG262+BH303*BH262+BI303*BI262+BJ303*BJ262+BK303*BK262+BL303*BL262+BM303*BM262+BN303*BN262+BO303*BO262+BP303*BP262+BQ303*BQ262+BR303*BR262+BS303*BS262+BT303*BT262+BU303*BU262+BV303*BV262+BW303*BW262+BX303*BX262+BY303*BY262+BZ303*BZ262+CA303*CA262+CB303*CB262+CC303*CC262+CD303*CD262+CE303*CE262+CF303*CF262+CG303*CG262+CH303*CH262+CI303*CI262+CJ303*CJ262+CK303*CK262+CL303*CL262+CM303*CM262+CN303*CN262+CO303*CO262+CP303*CP262+CQ303*CQ262+CR303*CR262+CS303*CS262+CT303*CT262+CU303*CU262</f>
        <v>0</v>
      </c>
      <c r="DC262" s="2882">
        <f>E304*E262+F304*F262+G304*G262+H304*H262+I304*I262+J304*J262+K304*K262+L304*L262+M304*M262+N304*N262+O304*O262+P304*P262+Q304*Q262+R304*R262+S304*S262+T304*T262+U304*U262+V304*V262+W304*W262+X304*X262+Y304*Y262+Z304*Z262+AA304*AA262+AB304*AB262+AC304*AC262+AD304*AD262+AE304*AE262+AF304*AF262+AG304*AG262+AH304*AH262+AI304*AI262+AJ304*AJ262+AK304*AK262+AL304*AL262+AM304*AM262+AN304*AN262+AO304*AO262+AP304*AP262+AQ304*AQ262+AR304*AR262+AS304*AS262+AT304*AT262+AU304*AU262+AV304*AV262+AW304*AW262+AX304*AX262+AY304*AY262+AZ304*AZ262+BA304*BA262+BB304*BB262+BC304*BC262+BD304*BD262+BE304*BE262+BF304*BF262+BG304*BG262+BH304*BH262+BI304*BI262+BJ304*BJ262+BK304*BK262+BL304*BL262+BM304*BM262+BN304*BN262+BO304*BO262+BP304*BP262+BQ304*BQ262+BR304*BR262+BS304*BS262+BT304*BT262+BU304*BU262+BV304*BV262+BW304*BW262+BX304*BX262+BY304*BY262+BZ304*BZ262+CA304*CA262+CB304*CB262+CC304*CC262+CD304*CD262+CE304*CE262+CF304*CF262+CG304*CG262+CH304*CH262+CI304*CI262+CJ304*CJ262+CK304*CK262+CL304*CL262+CM304*CM262+CN304*CN262+CO304*CO262+CP304*CP262+CQ304*CQ262+CR304*CR262+CS304*CS262+CT304*CT262+CU304*CU262</f>
        <v>0</v>
      </c>
      <c r="DD262" s="2882">
        <f>E305*E262+F305*F262+G305*G262+H305*H262+I305*I262+J305*J262+K305*K262+L305*L262+M305*M262+N305*N262+O305*O262+P305*P262+Q305*Q262+R305*R262+S305*S262+T305*T262+U305*U262+V305*V262+W305*W262+X305*X262+Y305*Y262+Z305*Z262+AA305*AA262+AB305*AB262+AC305*AC262+AD305*AD262+AE305*AE262+AF305*AF262+AG305*AG262+AH305*AH262+AI305*AI262+AJ305*AJ262+AK305*AK262+AL305*AL262+AM305*AM262+AN305*AN262+AO305*AO262+AP305*AP262+AQ305*AQ262+AR305*AR262+AS305*AS262+AT305*AT262+AU305*AU262+AV305*AV262+AW305*AW262+AX305*AX262+AY305*AY262+AZ305*AZ262+BA305*BA262+BB305*BB262+BC305*BC262+BD305*BD262+BE305*BE262+BF305*BF262+BG305*BG262+BH305*BH262+BI305*BI262+BJ305*BJ262+BK305*BK262+BL305*BL262+BM305*BM262+BN305*BN262+BO305*BO262+BP305*BP262+BQ305*BQ262+BR305*BR262+BS305*BS262+BT305*BT262+BU305*BU262+BV305*BV262+BW305*BW262+BX305*BX262+BY305*BY262+BZ305*BZ262+CA305*CA262+CB305*CB262+CC305*CC262+CD305*CD262+CE305*CE262+CF305*CF262+CG305*CG262+CH305*CH262+CI305*CI262+CJ305*CJ262+CK305*CK262+CL305*CL262+CM305*CM262+CN305*CN262+CO305*CO262+CP305*CP262+CQ305*CQ262+CR305*CR262+CS305*CS262+CT305*CT262+CU305*CU262</f>
        <v>0</v>
      </c>
      <c r="DE262" s="2882">
        <f>E306*E262+F306*F262+G306*G262+H306*H262+I306*I262+J306*J262+K306*K262+L306*L262+M306*M262+N306*N262+O306*O262+P306*P262+Q306*Q262+R306*R262+S306*S262+T306*T262+U306*U262+V306*V262+W306*W262+X306*X262+Y306*Y262+Z306*Z262+AA306*AA262+AB306*AB262+AC306*AC262+AD306*AD262+AE306*AE262+AF306*AF262+AG306*AG262+AH306*AH262+AI306*AI262+AJ306*AJ262+AK306*AK262+AL306*AL262+AM306*AM262+AN306*AN262+AO306*AO262+AP306*AP262+AQ306*AQ262+AR306*AR262+AS306*AS262+AT306*AT262+AU306*AU262+AV306*AV262+AW306*AW262+AX306*AX262+AY306*AY262+AZ306*AZ262+BA306*BA262+BB306*BB262+BC306*BC262+BD306*BD262+BE306*BE262+BF306*BF262+BG306*BG262+BH306*BH262+BI306*BI262+BJ306*BJ262+BK306*BK262+BL306*BL262+BM306*BM262+BN306*BN262+BO306*BO262+BP306*BP262+BQ306*BQ262+BR306*BR262+BS306*BS262+BT306*BT262+BU306*BU262+BV306*BV262+BW306*BW262+BX306*BX262+BY306*BY262+BZ306*BZ262+CA306*CA262+CB306*CB262+CC306*CC262+CD306*CD262+CE306*CE262+CF306*CF262+CG306*CG262+CH306*CH262+CI306*CI262+CJ306*CJ262+CK306*CK262+CL306*CL262+CM306*CM262+CN306*CN262+CO306*CO262+CP306*CP262+CQ306*CQ262+CR306*CR262+CS306*CS262+CT306*CT262+CU306*CU262</f>
        <v>0</v>
      </c>
      <c r="DF262" s="2882">
        <f>E307*E262+F307*F262+G307*G262+H307*H262+I307*I262+J307*J262+K307*K262+L307*L262+M307*M262+N307*N262+O307*O262+P307*P262+Q307*Q262+R307*R262+S307*S262+T307*T262+U307*U262+V307*V262+W307*W262+X307*X262+Y307*Y262+Z307*Z262+AA307*AA262+AB307*AB262+AC307*AC262+AD307*AD262+AE307*AE262+AF307*AF262+AG307*AG262+AH307*AH262+AI307*AI262+AJ307*AJ262+AK307*AK262+AL307*AL262+AM307*AM262+AN307*AN262+AO307*AO262+AP307*AP262+AQ307*AQ262+AR307*AR262+AS307*AS262+AT307*AT262+AU307*AU262+AV307*AV262+AW307*AW262+AX307*AX262+AY307*AY262+AZ307*AZ262+BA307*BA262+BB307*BB262+BC307*BC262+BD307*BD262+BE307*BE262+BF307*BF262+BG307*BG262+BH307*BH262+BI307*BI262+BJ307*BJ262+BK307*BK262+BL307*BL262+BM307*BM262+BN307*BN262+BO307*BO262+BP307*BP262+BQ307*BQ262+BR307*BR262+BS307*BS262+BT307*BT262+BU307*BU262+BV307*BV262+BW307*BW262+BX307*BX262+BY307*BY262+BZ307*BZ262+CA307*CA262+CB307*CB262+CC307*CC262+CD307*CD262+CE307*CE262+CF307*CF262+CG307*CG262+CH307*CH262+CI307*CI262+CJ307*CJ262+CK307*CK262+CL307*CL262+CM307*CM262+CN307*CN262+CO307*CO262+CP307*CP262+CQ307*CQ262+CR307*CR262+CS307*CS262+CT307*CT262+CU307*CU262</f>
        <v>0</v>
      </c>
      <c r="DG262" s="2882">
        <f>E308*E262+F308*F262+G308*G262+H308*H262+I308*I262+J308*J262+K308*K262+L308*L262+M308*M262+N308*N262+O308*O262+P308*P262+Q308*Q262+R308*R262+S308*S262+T308*T262+U308*U262+V308*V262+W308*W262+X308*X262+Y308*Y262+Z308*Z262+AA308*AA262+AB308*AB262+AC308*AC262+AD308*AD262+AE308*AE262+AF308*AF262+AG308*AG262+AH308*AH262+AI308*AI262+AJ308*AJ262+AK308*AK262+AL308*AL262+AM308*AM262+AN308*AN262+AO308*AO262+AP308*AP262+AQ308*AQ262+AR308*AR262+AS308*AS262+AT308*AT262+AU308*AU262+AV308*AV262+AW308*AW262+AX308*AX262+AY308*AY262+AZ308*AZ262+BA308*BA262+BB308*BB262+BC308*BC262+BD308*BD262+BE308*BE262+BF308*BF262+BG308*BG262+BH308*BH262+BI308*BI262+BJ308*BJ262+BK308*BK262+BL308*BL262+BM308*BM262+BN308*BN262+BO308*BO262+BP308*BP262+BQ308*BQ262+BR308*BR262+BS308*BS262+BT308*BT262+BU308*BU262+BV308*BV262+BW308*BW262+BX308*BX262+BY308*BY262+BZ308*BZ262+CA308*CA262+CB308*CB262+CC308*CC262+CD308*CD262+CE308*CE262+CF308*CF262+CG308*CG262+CH308*CH262+CI308*CI262+CJ308*CJ262+CK308*CK262+CL308*CL262+CM308*CM262+CN308*CN262+CO308*CO262+CP308*CP262+CQ308*CQ262+CR308*CR262+CS308*CS262+CT308*CT262+CU308*CU262</f>
        <v>0</v>
      </c>
      <c r="DH262" s="2882">
        <f>E309*E262+F309*F262+G309*G262+H309*H262+I309*I262+J309*J262+K309*K262+L309*L262+M309*M262+N309*N262+O309*O262+P309*P262+Q309*Q262+R309*R262+S309*S262+T309*T262+U309*U262+V309*V262+W309*W262+X309*X262+Y309*Y262+Z309*Z262+AA309*AA262+AB309*AB262+AC309*AC262+AD309*AD262+AE309*AE262+AF309*AF262+AG309*AG262+AH309*AH262+AI309*AI262+AJ309*AJ262+AK309*AK262+AL309*AL262+AM309*AM262+AN309*AN262+AO309*AO262+AP309*AP262+AQ309*AQ262+AR309*AR262+AS309*AS262+AT309*AT262+AU309*AU262+AV309*AV262+AW309*AW262+AX309*AX262+AY309*AY262+AZ309*AZ262+BA309*BA262+BB309*BB262+BC309*BC262+BD309*BD262+BE309*BE262+BF309*BF262+BG309*BG262+BH309*BH262+BI309*BI262+BJ309*BJ262+BK309*BK262+BL309*BL262+BM309*BM262+BN309*BN262+BO309*BO262+BP309*BP262+BQ309*BQ262+BR309*BR262+BS309*BS262+BT309*BT262+BU309*BU262+BV309*BV262+BW309*BW262+BX309*BX262+BY309*BY262+BZ309*BZ262+CA309*CA262+CB309*CB262+CC309*CC262+CD309*CD262+CE309*CE262+CF309*CF262+CG309*CG262+CH309*CH262+CI309*CI262+CJ309*CJ262+CK309*CK262+CL309*CL262+CM309*CM262+CN309*CN262+CO309*CO262+CP309*CP262+CQ309*CQ262+CR309*CR262+CS309*CS262+CT309*CT262+CU309*CU262</f>
        <v>0</v>
      </c>
      <c r="DI262" s="2882">
        <f>E310*E262+F310*F262+G310*G262+H310*H262+I310*I262+J310*J262+K310*K262+L310*L262+M310*M262+N310*N262+O310*O262+P310*P262+Q310*Q262+R310*R262+S310*S262+T310*T262+U310*U262+V310*V262+W310*W262+X310*X262+Y310*Y262+Z310*Z262+AA310*AA262+AB310*AB262+AC310*AC262+AD310*AD262+AE310*AE262+AF310*AF262+AG310*AG262+AH310*AH262+AI310*AI262+AJ310*AJ262+AK310*AK262+AL310*AL262+AM310*AM262+AN310*AN262+AO310*AO262+AP310*AP262+AQ310*AQ262+AR310*AR262+AS310*AS262+AT310*AT262+AU310*AU262+AV310*AV262+AW310*AW262+AX310*AX262+AY310*AY262+AZ310*AZ262+BA310*BA262+BB310*BB262+BC310*BC262+BD310*BD262+BE310*BE262+BF310*BF262+BG310*BG262+BH310*BH262+BI310*BI262+BJ310*BJ262+BK310*BK262+BL310*BL262+BM310*BM262+BN310*BN262+BO310*BO262+BP310*BP262+BQ310*BQ262+BR310*BR262+BS310*BS262+BT310*BT262+BU310*BU262+BV310*BV262+BW310*BW262+BX310*BX262+BY310*BY262+BZ310*BZ262+CA310*CA262+CB310*CB262+CC310*CC262+CD310*CD262+CE310*CE262+CF310*CF262+CG310*CG262+CH310*CH262+CI310*CI262+CJ310*CJ262+CK310*CK262+CL310*CL262+CM310*CM262+CN310*CN262+CO310*CO262+CP310*CP262+CQ310*CQ262+CR310*CR262+CS310*CS262+CT310*CT262+CU310*CU262</f>
        <v>0</v>
      </c>
    </row>
    <row r="263" spans="2:113" x14ac:dyDescent="0.45">
      <c r="B263" s="822">
        <v>104</v>
      </c>
      <c r="C263" s="822" t="s">
        <v>4013</v>
      </c>
      <c r="D263" s="787" t="s">
        <v>3199</v>
      </c>
      <c r="E263" s="733">
        <f>0</f>
        <v>0</v>
      </c>
      <c r="F263" s="733">
        <f>0</f>
        <v>0</v>
      </c>
      <c r="G263" s="733">
        <f>0</f>
        <v>0</v>
      </c>
      <c r="H263" s="733">
        <f>0</f>
        <v>0</v>
      </c>
      <c r="I263" s="733">
        <f>0</f>
        <v>0</v>
      </c>
      <c r="J263" s="733">
        <f>0</f>
        <v>0</v>
      </c>
      <c r="K263" s="733">
        <f>0</f>
        <v>0</v>
      </c>
      <c r="L263" s="733">
        <f>0</f>
        <v>0</v>
      </c>
      <c r="M263" s="733">
        <f>0</f>
        <v>0</v>
      </c>
      <c r="N263" s="733">
        <f>0</f>
        <v>0</v>
      </c>
      <c r="O263" s="733">
        <f>0</f>
        <v>0</v>
      </c>
      <c r="P263" s="733">
        <f>0</f>
        <v>0</v>
      </c>
      <c r="Q263" s="733">
        <f>0</f>
        <v>0</v>
      </c>
      <c r="R263" s="733">
        <f>0</f>
        <v>0</v>
      </c>
      <c r="S263" s="733">
        <f>0</f>
        <v>0</v>
      </c>
      <c r="T263" s="733">
        <f>0</f>
        <v>0</v>
      </c>
      <c r="U263" s="733">
        <f>0</f>
        <v>0</v>
      </c>
      <c r="V263" s="733">
        <f>0</f>
        <v>0</v>
      </c>
      <c r="W263" s="733">
        <f>0</f>
        <v>0</v>
      </c>
      <c r="X263" s="733">
        <f>0</f>
        <v>0</v>
      </c>
      <c r="Y263" s="733">
        <f>0</f>
        <v>0</v>
      </c>
      <c r="Z263" s="733">
        <f>0</f>
        <v>0</v>
      </c>
      <c r="AA263" s="733">
        <f>0</f>
        <v>0</v>
      </c>
      <c r="AB263" s="733">
        <f>0</f>
        <v>0</v>
      </c>
      <c r="AC263" s="733">
        <f>0</f>
        <v>0</v>
      </c>
      <c r="AD263" s="733">
        <f>0</f>
        <v>0</v>
      </c>
      <c r="AE263" s="733">
        <f>0</f>
        <v>0</v>
      </c>
      <c r="AF263" s="733">
        <f>0</f>
        <v>0</v>
      </c>
      <c r="AG263" s="733">
        <f>0</f>
        <v>0</v>
      </c>
      <c r="AH263" s="733">
        <f>0</f>
        <v>0</v>
      </c>
      <c r="AI263" s="733">
        <f>0</f>
        <v>0</v>
      </c>
      <c r="AJ263" s="733">
        <f>0</f>
        <v>0</v>
      </c>
      <c r="AK263" s="733">
        <f>0</f>
        <v>0</v>
      </c>
      <c r="AL263" s="733">
        <f>0</f>
        <v>0</v>
      </c>
      <c r="AM263" s="733">
        <f>0</f>
        <v>0</v>
      </c>
      <c r="AN263" s="733">
        <f>0</f>
        <v>0</v>
      </c>
      <c r="AO263" s="733">
        <f>0</f>
        <v>0</v>
      </c>
      <c r="AP263" s="733">
        <f>0</f>
        <v>0</v>
      </c>
      <c r="AQ263" s="733">
        <f>0</f>
        <v>0</v>
      </c>
      <c r="AR263" s="733">
        <f>1</f>
        <v>1</v>
      </c>
      <c r="AS263" s="733">
        <f>0</f>
        <v>0</v>
      </c>
      <c r="AT263" s="733">
        <f>0</f>
        <v>0</v>
      </c>
      <c r="AU263" s="733">
        <f>0</f>
        <v>0</v>
      </c>
      <c r="AV263" s="733">
        <f>0</f>
        <v>0</v>
      </c>
      <c r="AW263" s="733">
        <f>0</f>
        <v>0</v>
      </c>
      <c r="AX263" s="733">
        <f>0</f>
        <v>0</v>
      </c>
      <c r="AY263" s="733">
        <f>0</f>
        <v>0</v>
      </c>
      <c r="AZ263" s="733">
        <f>0</f>
        <v>0</v>
      </c>
      <c r="BA263" s="733">
        <f>0</f>
        <v>0</v>
      </c>
      <c r="BB263" s="733">
        <f>0</f>
        <v>0</v>
      </c>
      <c r="BC263" s="733">
        <f>0</f>
        <v>0</v>
      </c>
      <c r="BD263" s="733">
        <f>0</f>
        <v>0</v>
      </c>
      <c r="BE263" s="733">
        <f>0</f>
        <v>0</v>
      </c>
      <c r="BF263" s="733">
        <f>0</f>
        <v>0</v>
      </c>
      <c r="BG263" s="733">
        <f>0</f>
        <v>0</v>
      </c>
      <c r="BH263" s="733">
        <f>0</f>
        <v>0</v>
      </c>
      <c r="BI263" s="733">
        <f>0</f>
        <v>0</v>
      </c>
      <c r="BJ263" s="733">
        <f>0</f>
        <v>0</v>
      </c>
      <c r="BK263" s="733">
        <f>0</f>
        <v>0</v>
      </c>
      <c r="BL263" s="733">
        <f>0</f>
        <v>0</v>
      </c>
      <c r="BM263" s="733">
        <f>0</f>
        <v>0</v>
      </c>
      <c r="BN263" s="733">
        <f>0</f>
        <v>0</v>
      </c>
      <c r="BO263" s="733">
        <f>0</f>
        <v>0</v>
      </c>
      <c r="BP263" s="733">
        <f>0</f>
        <v>0</v>
      </c>
      <c r="BQ263" s="733">
        <f>0</f>
        <v>0</v>
      </c>
      <c r="BR263" s="733">
        <f>0</f>
        <v>0</v>
      </c>
      <c r="BS263" s="733">
        <f>0</f>
        <v>0</v>
      </c>
      <c r="BT263" s="733">
        <f>0</f>
        <v>0</v>
      </c>
      <c r="BU263" s="733">
        <f>0</f>
        <v>0</v>
      </c>
      <c r="BV263" s="900">
        <f>0</f>
        <v>0</v>
      </c>
      <c r="BW263" s="733">
        <f>0</f>
        <v>0</v>
      </c>
      <c r="BX263" s="733">
        <f>0</f>
        <v>0</v>
      </c>
      <c r="BY263" s="733">
        <f>0</f>
        <v>0</v>
      </c>
      <c r="BZ263" s="733">
        <f>0</f>
        <v>0</v>
      </c>
      <c r="CA263" s="900">
        <f>0</f>
        <v>0</v>
      </c>
      <c r="CB263" s="733">
        <f>0</f>
        <v>0</v>
      </c>
      <c r="CC263" s="733">
        <f>0</f>
        <v>0</v>
      </c>
      <c r="CD263" s="733">
        <f>0</f>
        <v>0</v>
      </c>
      <c r="CE263" s="733">
        <f>0</f>
        <v>0</v>
      </c>
      <c r="CF263" s="733">
        <f>0</f>
        <v>0</v>
      </c>
      <c r="CG263" s="733">
        <f>0</f>
        <v>0</v>
      </c>
      <c r="CH263" s="733">
        <f>0</f>
        <v>0</v>
      </c>
      <c r="CI263" s="733">
        <f>0</f>
        <v>0</v>
      </c>
      <c r="CJ263" s="733">
        <f>0</f>
        <v>0</v>
      </c>
      <c r="CK263" s="733">
        <f>0</f>
        <v>0</v>
      </c>
      <c r="CL263" s="733">
        <f>0</f>
        <v>0</v>
      </c>
      <c r="CM263" s="733">
        <f>0</f>
        <v>0</v>
      </c>
      <c r="CN263" s="785">
        <f>-Δ_atm</f>
        <v>-1</v>
      </c>
      <c r="CO263" s="733">
        <f>0</f>
        <v>0</v>
      </c>
      <c r="CP263" s="733">
        <f>0</f>
        <v>0</v>
      </c>
      <c r="CQ263" s="733">
        <f>0</f>
        <v>0</v>
      </c>
      <c r="CR263" s="733">
        <f>0</f>
        <v>0</v>
      </c>
      <c r="CS263" s="733">
        <f>0</f>
        <v>0</v>
      </c>
      <c r="CT263" s="733">
        <f>0</f>
        <v>0</v>
      </c>
      <c r="CU263" s="733">
        <f>0</f>
        <v>0</v>
      </c>
      <c r="CV263" s="2862">
        <f>k_LaGO2_sur*(S_GO2_sur_sat-S_O2)</f>
        <v>24</v>
      </c>
      <c r="CX263" s="2880">
        <f>E299*E263+F299*F263+G299*G263+H299*H263+I299*I263+J299*J263+K299*K263+L299*L263+M299*M263+N299*N263+O299*O263+P299*P263+Q299*Q263+R299*R263+S299*S263+T299*T263+U299*U263+V299*V263+W299*W263+X299*X263+Y299*Y263+Z299*Z263+AA299*AA263+AB299*AB263+AC299*AC263+AD299*AD263+AE299*AE263+AF299*AF263+AG299*AG263+AH299*AH263+AI299*AI263+AJ299*AJ263+AK299*AK263+AL299*AL263+AM299*AM263+AN299*AN263+AO299*AO263+AP299*AP263+AQ299*AQ263+AR299*AR263+AS299*AS263+AT299*AT263+AU299*AU263+AV299*AV263+AW299*AW263+AX299*AX263+AY299*AY263+AZ299*AZ263+BA299*BA263+BB299*BB263+BC299*BC263+BD299*BD263+BE299*BE263+BF299*BF263+BG299*BG263+BH299*BH263+BI299*BI263+BJ299*BJ263+BK299*BK263+BL299*BL263+BM299*BM263+BN299*BN263+BO299*BO263+BP299*BP263+BQ299*BQ263+BR299*BR263+BS299*BS263+BT299*BT263+BU299*BU263+BV299*BV263+BW299*BW263+BX299*BX263+BY299*BY263+BZ299*BZ263+CA299*CA263+CB299*CB263+CC299*CC263+CD299*CD263+CE299*CE263+CF299*CF263+CG299*CG263+CH299*CH263+CI299*CI263+CJ299*CJ263+CK299*CK263+CL299*CL263+CM299*CM263+CN299*CN263+CO299*CO263+CP299*CP263+CQ299*CQ263+CR299*CR263+CS299*CS263+CT299*CT263+CU299*CU263</f>
        <v>0</v>
      </c>
      <c r="CY263" s="2880">
        <f>E300*E263+F300*F263+G300*G263+H300*H263+I300*I263+J300*J263+K300*K263+L300*L263+M300*M263+N300*N263+O300*O263+P300*P263+Q300*Q263+R300*R263+S300*S263+T300*T263+U300*U263+V300*V263+W300*W263+X300*X263+Y300*Y263+Z300*Z263+AA300*AA263+AB300*AB263+AC300*AC263+AD300*AD263+AE300*AE263+AF300*AF263+AG300*AG263+AH300*AH263+AI300*AI263+AJ300*AJ263+AK300*AK263+AL300*AL263+AM300*AM263+AN300*AN263+AO300*AO263+AP300*AP263+AQ300*AQ263+AR300*AR263+AS300*AS263+AT300*AT263+AU300*AU263+AV300*AV263+AW300*AW263+AX300*AX263+AY300*AY263+AZ300*AZ263+BA300*BA263+BB300*BB263+BC300*BC263+BD300*BD263+BE300*BE263+BF300*BF263+BG300*BG263+BH300*BH263+BI300*BI263+BJ300*BJ263+BK300*BK263+BL300*BL263+BM300*BM263+BN300*BN263+BO300*BO263+BP300*BP263+BQ300*BQ263+BR300*BR263+BS300*BS263+BT300*BT263+BU300*BU263+BV300*BV263+BW300*BW263+BX300*BX263+BY300*BY263+BZ300*BZ263+CA300*CA263+CB300*CB263+CC300*CC263+CD300*CD263+CE300*CE263+CF300*CF263+CG300*CG263+CH300*CH263+CI300*CI263+CJ300*CJ263+CK300*CK263+CL300*CL263+CM300*CM263+CN300*CN263+CO300*CO263+CP300*CP263+CQ300*CQ263+CR300*CR263+CS300*CS263+CT300*CT263+CU300*CU263</f>
        <v>0</v>
      </c>
      <c r="CZ263" s="2881">
        <f>E301*E263+F301*F263+G301*G263+H301*H263+I301*I263+J301*J263+K301*K263+L301*L263+M301*M263+N301*N263+O301*O263+P301*P263+Q301*Q263+R301*R263+S301*S263+T301*T263+U301*U263+V301*V263+W301*W263+X301*X263+Y301*Y263+Z301*Z263+AA301*AA263+AB301*AB263+AC301*AC263+AD301*AD263+AE301*AE263+AF301*AF263+AG301*AG263+AH301*AH263+AI301*AI263+AJ301*AJ263+AK301*AK263+AL301*AL263+AM301*AM263+AN301*AN263+AO301*AO263+AP301*AP263+AQ301*AQ263+AR301*AR263+AS301*AS263+AT301*AT263+AU301*AU263+AV301*AV263+AW301*AW263+AX301*AX263+AY301*AY263+AZ301*AZ263+BA301*BA263+BB301*BB263+BC301*BC263+BD301*BD263+BE301*BE263+BF301*BF263+BG301*BG263+BH301*BH263+BI301*BI263+BJ301*BJ263+BK301*BK263+BL301*BL263+BM301*BM263+BN301*BN263+BO301*BO263+BP301*BP263+BQ301*BQ263+BR301*BR263+BS301*BS263+BT301*BT263+BU301*BU263+BV301*BV263+BW301*BW263+BX301*BX263+BY301*BY263+BZ301*BZ263+CA301*CA263+CB301*CB263+CC301*CC263+CD301*CD263+CE301*CE263+CF301*CF263+CG301*CG263+CH301*CH263+CI301*CI263+CJ301*CJ263+CK301*CK263+CL301*CL263+CM301*CM263+CN301*CN263+CO301*CO263+CP301*CP263+CQ301*CQ263+CR301*CR263+CS301*CS263+CT301*CT263+CU301*CU263</f>
        <v>0</v>
      </c>
      <c r="DA263" s="2882">
        <f>E302*E263+F302*F263+G302*G263+H302*H263+I302*I263+J302*J263+K302*K263+L302*L263+M302*M263+N302*N263+O302*O263+P302*P263+Q302*Q263+R302*R263+S302*S263+T302*T263+U302*U263+V302*V263+W302*W263+X302*X263+Y302*Y263+Z302*Z263+AA302*AA263+AB302*AB263+AC302*AC263+AD302*AD263+AE302*AE263+AF302*AF263+AG302*AG263+AH302*AH263+AI302*AI263+AJ302*AJ263+AK302*AK263+AL302*AL263+AM302*AM263+AN302*AN263+AO302*AO263+AP302*AP263+AQ302*AQ263+AR302*AR263+AS302*AS263+AT302*AT263+AU302*AU263+AV302*AV263+AW302*AW263+AX302*AX263+AY302*AY263+AZ302*AZ263+BA302*BA263+BB302*BB263+BC302*BC263+BD302*BD263+BE302*BE263+BF302*BF263+BG302*BG263+BH302*BH263+BI302*BI263+BJ302*BJ263+BK302*BK263+BL302*BL263+BM302*BM263+BN302*BN263+BO302*BO263+BP302*BP263+BQ302*BQ263+BR302*BR263+BS302*BS263+BT302*BT263+BU302*BU263+BV302*BV263+BW302*BW263+BX302*BX263+BY302*BY263+BZ302*BZ263+CA302*CA263+CB302*CB263+CC302*CC263+CD302*CD263+CE302*CE263+CF302*CF263+CG302*CG263+CH302*CH263+CI302*CI263+CJ302*CJ263+CK302*CK263+CL302*CL263+CM302*CM263+CN302*CN263+CO302*CO263+CP302*CP263+CQ302*CQ263+CR302*CR263+CS302*CS263+CT302*CT263+CU302*CU263</f>
        <v>0</v>
      </c>
      <c r="DB263" s="2882">
        <f>E303*E263+F303*F263+G303*G263+H303*H263+I303*I263+J303*J263+K303*K263+L303*L263+M303*M263+N303*N263+O303*O263+P303*P263+Q303*Q263+R303*R263+S303*S263+T303*T263+U303*U263+V303*V263+W303*W263+X303*X263+Y303*Y263+Z303*Z263+AA303*AA263+AB303*AB263+AC303*AC263+AD303*AD263+AE303*AE263+AF303*AF263+AG303*AG263+AH303*AH263+AI303*AI263+AJ303*AJ263+AK303*AK263+AL303*AL263+AM303*AM263+AN303*AN263+AO303*AO263+AP303*AP263+AQ303*AQ263+AR303*AR263+AS303*AS263+AT303*AT263+AU303*AU263+AV303*AV263+AW303*AW263+AX303*AX263+AY303*AY263+AZ303*AZ263+BA303*BA263+BB303*BB263+BC303*BC263+BD303*BD263+BE303*BE263+BF303*BF263+BG303*BG263+BH303*BH263+BI303*BI263+BJ303*BJ263+BK303*BK263+BL303*BL263+BM303*BM263+BN303*BN263+BO303*BO263+BP303*BP263+BQ303*BQ263+BR303*BR263+BS303*BS263+BT303*BT263+BU303*BU263+BV303*BV263+BW303*BW263+BX303*BX263+BY303*BY263+BZ303*BZ263+CA303*CA263+CB303*CB263+CC303*CC263+CD303*CD263+CE303*CE263+CF303*CF263+CG303*CG263+CH303*CH263+CI303*CI263+CJ303*CJ263+CK303*CK263+CL303*CL263+CM303*CM263+CN303*CN263+CO303*CO263+CP303*CP263+CQ303*CQ263+CR303*CR263+CS303*CS263+CT303*CT263+CU303*CU263</f>
        <v>0</v>
      </c>
      <c r="DC263" s="2882">
        <f>E304*E263+F304*F263+G304*G263+H304*H263+I304*I263+J304*J263+K304*K263+L304*L263+M304*M263+N304*N263+O304*O263+P304*P263+Q304*Q263+R304*R263+S304*S263+T304*T263+U304*U263+V304*V263+W304*W263+X304*X263+Y304*Y263+Z304*Z263+AA304*AA263+AB304*AB263+AC304*AC263+AD304*AD263+AE304*AE263+AF304*AF263+AG304*AG263+AH304*AH263+AI304*AI263+AJ304*AJ263+AK304*AK263+AL304*AL263+AM304*AM263+AN304*AN263+AO304*AO263+AP304*AP263+AQ304*AQ263+AR304*AR263+AS304*AS263+AT304*AT263+AU304*AU263+AV304*AV263+AW304*AW263+AX304*AX263+AY304*AY263+AZ304*AZ263+BA304*BA263+BB304*BB263+BC304*BC263+BD304*BD263+BE304*BE263+BF304*BF263+BG304*BG263+BH304*BH263+BI304*BI263+BJ304*BJ263+BK304*BK263+BL304*BL263+BM304*BM263+BN304*BN263+BO304*BO263+BP304*BP263+BQ304*BQ263+BR304*BR263+BS304*BS263+BT304*BT263+BU304*BU263+BV304*BV263+BW304*BW263+BX304*BX263+BY304*BY263+BZ304*BZ263+CA304*CA263+CB304*CB263+CC304*CC263+CD304*CD263+CE304*CE263+CF304*CF263+CG304*CG263+CH304*CH263+CI304*CI263+CJ304*CJ263+CK304*CK263+CL304*CL263+CM304*CM263+CN304*CN263+CO304*CO263+CP304*CP263+CQ304*CQ263+CR304*CR263+CS304*CS263+CT304*CT263+CU304*CU263</f>
        <v>0</v>
      </c>
      <c r="DD263" s="2882">
        <f>E305*E263+F305*F263+G305*G263+H305*H263+I305*I263+J305*J263+K305*K263+L305*L263+M305*M263+N305*N263+O305*O263+P305*P263+Q305*Q263+R305*R263+S305*S263+T305*T263+U305*U263+V305*V263+W305*W263+X305*X263+Y305*Y263+Z305*Z263+AA305*AA263+AB305*AB263+AC305*AC263+AD305*AD263+AE305*AE263+AF305*AF263+AG305*AG263+AH305*AH263+AI305*AI263+AJ305*AJ263+AK305*AK263+AL305*AL263+AM305*AM263+AN305*AN263+AO305*AO263+AP305*AP263+AQ305*AQ263+AR305*AR263+AS305*AS263+AT305*AT263+AU305*AU263+AV305*AV263+AW305*AW263+AX305*AX263+AY305*AY263+AZ305*AZ263+BA305*BA263+BB305*BB263+BC305*BC263+BD305*BD263+BE305*BE263+BF305*BF263+BG305*BG263+BH305*BH263+BI305*BI263+BJ305*BJ263+BK305*BK263+BL305*BL263+BM305*BM263+BN305*BN263+BO305*BO263+BP305*BP263+BQ305*BQ263+BR305*BR263+BS305*BS263+BT305*BT263+BU305*BU263+BV305*BV263+BW305*BW263+BX305*BX263+BY305*BY263+BZ305*BZ263+CA305*CA263+CB305*CB263+CC305*CC263+CD305*CD263+CE305*CE263+CF305*CF263+CG305*CG263+CH305*CH263+CI305*CI263+CJ305*CJ263+CK305*CK263+CL305*CL263+CM305*CM263+CN305*CN263+CO305*CO263+CP305*CP263+CQ305*CQ263+CR305*CR263+CS305*CS263+CT305*CT263+CU305*CU263</f>
        <v>0</v>
      </c>
      <c r="DE263" s="2882">
        <f>E306*E263+F306*F263+G306*G263+H306*H263+I306*I263+J306*J263+K306*K263+L306*L263+M306*M263+N306*N263+O306*O263+P306*P263+Q306*Q263+R306*R263+S306*S263+T306*T263+U306*U263+V306*V263+W306*W263+X306*X263+Y306*Y263+Z306*Z263+AA306*AA263+AB306*AB263+AC306*AC263+AD306*AD263+AE306*AE263+AF306*AF263+AG306*AG263+AH306*AH263+AI306*AI263+AJ306*AJ263+AK306*AK263+AL306*AL263+AM306*AM263+AN306*AN263+AO306*AO263+AP306*AP263+AQ306*AQ263+AR306*AR263+AS306*AS263+AT306*AT263+AU306*AU263+AV306*AV263+AW306*AW263+AX306*AX263+AY306*AY263+AZ306*AZ263+BA306*BA263+BB306*BB263+BC306*BC263+BD306*BD263+BE306*BE263+BF306*BF263+BG306*BG263+BH306*BH263+BI306*BI263+BJ306*BJ263+BK306*BK263+BL306*BL263+BM306*BM263+BN306*BN263+BO306*BO263+BP306*BP263+BQ306*BQ263+BR306*BR263+BS306*BS263+BT306*BT263+BU306*BU263+BV306*BV263+BW306*BW263+BX306*BX263+BY306*BY263+BZ306*BZ263+CA306*CA263+CB306*CB263+CC306*CC263+CD306*CD263+CE306*CE263+CF306*CF263+CG306*CG263+CH306*CH263+CI306*CI263+CJ306*CJ263+CK306*CK263+CL306*CL263+CM306*CM263+CN306*CN263+CO306*CO263+CP306*CP263+CQ306*CQ263+CR306*CR263+CS306*CS263+CT306*CT263+CU306*CU263</f>
        <v>0</v>
      </c>
      <c r="DF263" s="2882">
        <f>E307*E263+F307*F263+G307*G263+H307*H263+I307*I263+J307*J263+K307*K263+L307*L263+M307*M263+N307*N263+O307*O263+P307*P263+Q307*Q263+R307*R263+S307*S263+T307*T263+U307*U263+V307*V263+W307*W263+X307*X263+Y307*Y263+Z307*Z263+AA307*AA263+AB307*AB263+AC307*AC263+AD307*AD263+AE307*AE263+AF307*AF263+AG307*AG263+AH307*AH263+AI307*AI263+AJ307*AJ263+AK307*AK263+AL307*AL263+AM307*AM263+AN307*AN263+AO307*AO263+AP307*AP263+AQ307*AQ263+AR307*AR263+AS307*AS263+AT307*AT263+AU307*AU263+AV307*AV263+AW307*AW263+AX307*AX263+AY307*AY263+AZ307*AZ263+BA307*BA263+BB307*BB263+BC307*BC263+BD307*BD263+BE307*BE263+BF307*BF263+BG307*BG263+BH307*BH263+BI307*BI263+BJ307*BJ263+BK307*BK263+BL307*BL263+BM307*BM263+BN307*BN263+BO307*BO263+BP307*BP263+BQ307*BQ263+BR307*BR263+BS307*BS263+BT307*BT263+BU307*BU263+BV307*BV263+BW307*BW263+BX307*BX263+BY307*BY263+BZ307*BZ263+CA307*CA263+CB307*CB263+CC307*CC263+CD307*CD263+CE307*CE263+CF307*CF263+CG307*CG263+CH307*CH263+CI307*CI263+CJ307*CJ263+CK307*CK263+CL307*CL263+CM307*CM263+CN307*CN263+CO307*CO263+CP307*CP263+CQ307*CQ263+CR307*CR263+CS307*CS263+CT307*CT263+CU307*CU263</f>
        <v>0</v>
      </c>
      <c r="DG263" s="2882">
        <f>E308*E263+F308*F263+G308*G263+H308*H263+I308*I263+J308*J263+K308*K263+L308*L263+M308*M263+N308*N263+O308*O263+P308*P263+Q308*Q263+R308*R263+S308*S263+T308*T263+U308*U263+V308*V263+W308*W263+X308*X263+Y308*Y263+Z308*Z263+AA308*AA263+AB308*AB263+AC308*AC263+AD308*AD263+AE308*AE263+AF308*AF263+AG308*AG263+AH308*AH263+AI308*AI263+AJ308*AJ263+AK308*AK263+AL308*AL263+AM308*AM263+AN308*AN263+AO308*AO263+AP308*AP263+AQ308*AQ263+AR308*AR263+AS308*AS263+AT308*AT263+AU308*AU263+AV308*AV263+AW308*AW263+AX308*AX263+AY308*AY263+AZ308*AZ263+BA308*BA263+BB308*BB263+BC308*BC263+BD308*BD263+BE308*BE263+BF308*BF263+BG308*BG263+BH308*BH263+BI308*BI263+BJ308*BJ263+BK308*BK263+BL308*BL263+BM308*BM263+BN308*BN263+BO308*BO263+BP308*BP263+BQ308*BQ263+BR308*BR263+BS308*BS263+BT308*BT263+BU308*BU263+BV308*BV263+BW308*BW263+BX308*BX263+BY308*BY263+BZ308*BZ263+CA308*CA263+CB308*CB263+CC308*CC263+CD308*CD263+CE308*CE263+CF308*CF263+CG308*CG263+CH308*CH263+CI308*CI263+CJ308*CJ263+CK308*CK263+CL308*CL263+CM308*CM263+CN308*CN263+CO308*CO263+CP308*CP263+CQ308*CQ263+CR308*CR263+CS308*CS263+CT308*CT263+CU308*CU263</f>
        <v>0</v>
      </c>
      <c r="DH263" s="2882">
        <f>E309*E263+F309*F263+G309*G263+H309*H263+I309*I263+J309*J263+K309*K263+L309*L263+M309*M263+N309*N263+O309*O263+P309*P263+Q309*Q263+R309*R263+S309*S263+T309*T263+U309*U263+V309*V263+W309*W263+X309*X263+Y309*Y263+Z309*Z263+AA309*AA263+AB309*AB263+AC309*AC263+AD309*AD263+AE309*AE263+AF309*AF263+AG309*AG263+AH309*AH263+AI309*AI263+AJ309*AJ263+AK309*AK263+AL309*AL263+AM309*AM263+AN309*AN263+AO309*AO263+AP309*AP263+AQ309*AQ263+AR309*AR263+AS309*AS263+AT309*AT263+AU309*AU263+AV309*AV263+AW309*AW263+AX309*AX263+AY309*AY263+AZ309*AZ263+BA309*BA263+BB309*BB263+BC309*BC263+BD309*BD263+BE309*BE263+BF309*BF263+BG309*BG263+BH309*BH263+BI309*BI263+BJ309*BJ263+BK309*BK263+BL309*BL263+BM309*BM263+BN309*BN263+BO309*BO263+BP309*BP263+BQ309*BQ263+BR309*BR263+BS309*BS263+BT309*BT263+BU309*BU263+BV309*BV263+BW309*BW263+BX309*BX263+BY309*BY263+BZ309*BZ263+CA309*CA263+CB309*CB263+CC309*CC263+CD309*CD263+CE309*CE263+CF309*CF263+CG309*CG263+CH309*CH263+CI309*CI263+CJ309*CJ263+CK309*CK263+CL309*CL263+CM309*CM263+CN309*CN263+CO309*CO263+CP309*CP263+CQ309*CQ263+CR309*CR263+CS309*CS263+CT309*CT263+CU309*CU263</f>
        <v>0</v>
      </c>
      <c r="DI263" s="2882">
        <f>E310*E263+F310*F263+G310*G263+H310*H263+I310*I263+J310*J263+K310*K263+L310*L263+M310*M263+N310*N263+O310*O263+P310*P263+Q310*Q263+R310*R263+S310*S263+T310*T263+U310*U263+V310*V263+W310*W263+X310*X263+Y310*Y263+Z310*Z263+AA310*AA263+AB310*AB263+AC310*AC263+AD310*AD263+AE310*AE263+AF310*AF263+AG310*AG263+AH310*AH263+AI310*AI263+AJ310*AJ263+AK310*AK263+AL310*AL263+AM310*AM263+AN310*AN263+AO310*AO263+AP310*AP263+AQ310*AQ263+AR310*AR263+AS310*AS263+AT310*AT263+AU310*AU263+AV310*AV263+AW310*AW263+AX310*AX263+AY310*AY263+AZ310*AZ263+BA310*BA263+BB310*BB263+BC310*BC263+BD310*BD263+BE310*BE263+BF310*BF263+BG310*BG263+BH310*BH263+BI310*BI263+BJ310*BJ263+BK310*BK263+BL310*BL263+BM310*BM263+BN310*BN263+BO310*BO263+BP310*BP263+BQ310*BQ263+BR310*BR263+BS310*BS263+BT310*BT263+BU310*BU263+BV310*BV263+BW310*BW263+BX310*BX263+BY310*BY263+BZ310*BZ263+CA310*CA263+CB310*CB263+CC310*CC263+CD310*CD263+CE310*CE263+CF310*CF263+CG310*CG263+CH310*CH263+CI310*CI263+CJ310*CJ263+CK310*CK263+CL310*CL263+CM310*CM263+CN310*CN263+CO310*CO263+CP310*CP263+CQ310*CQ263+CR310*CR263+CS310*CS263+CT310*CT263+CU310*CU263</f>
        <v>0</v>
      </c>
    </row>
    <row r="264" spans="2:113" x14ac:dyDescent="0.45">
      <c r="B264" s="822">
        <v>105</v>
      </c>
      <c r="C264" s="822" t="s">
        <v>4014</v>
      </c>
      <c r="D264" s="787" t="s">
        <v>3201</v>
      </c>
      <c r="E264" s="733">
        <f>0</f>
        <v>0</v>
      </c>
      <c r="F264" s="733">
        <f>0</f>
        <v>0</v>
      </c>
      <c r="G264" s="733">
        <f>0</f>
        <v>0</v>
      </c>
      <c r="H264" s="733">
        <f>0</f>
        <v>0</v>
      </c>
      <c r="I264" s="733">
        <f>0</f>
        <v>0</v>
      </c>
      <c r="J264" s="733">
        <f>0</f>
        <v>0</v>
      </c>
      <c r="K264" s="733">
        <f>0</f>
        <v>0</v>
      </c>
      <c r="L264" s="733">
        <f>0</f>
        <v>0</v>
      </c>
      <c r="M264" s="733">
        <f>0</f>
        <v>0</v>
      </c>
      <c r="N264" s="733">
        <f>0</f>
        <v>0</v>
      </c>
      <c r="O264" s="733">
        <f>0</f>
        <v>0</v>
      </c>
      <c r="P264" s="733">
        <f>0</f>
        <v>0</v>
      </c>
      <c r="Q264" s="733">
        <f>0</f>
        <v>0</v>
      </c>
      <c r="R264" s="733">
        <f>0</f>
        <v>0</v>
      </c>
      <c r="S264" s="733">
        <f>0</f>
        <v>0</v>
      </c>
      <c r="T264" s="733">
        <f>0</f>
        <v>0</v>
      </c>
      <c r="U264" s="733">
        <f>0</f>
        <v>0</v>
      </c>
      <c r="V264" s="733">
        <f>0</f>
        <v>0</v>
      </c>
      <c r="W264" s="733">
        <f>0</f>
        <v>0</v>
      </c>
      <c r="X264" s="733">
        <f>0</f>
        <v>0</v>
      </c>
      <c r="Y264" s="733">
        <f>0</f>
        <v>0</v>
      </c>
      <c r="Z264" s="733">
        <f>0</f>
        <v>0</v>
      </c>
      <c r="AA264" s="733">
        <f>0</f>
        <v>0</v>
      </c>
      <c r="AB264" s="733">
        <f>1</f>
        <v>1</v>
      </c>
      <c r="AC264" s="733">
        <f>0</f>
        <v>0</v>
      </c>
      <c r="AD264" s="733">
        <f>0</f>
        <v>0</v>
      </c>
      <c r="AE264" s="733">
        <f>0</f>
        <v>0</v>
      </c>
      <c r="AF264" s="733">
        <f>0</f>
        <v>0</v>
      </c>
      <c r="AG264" s="733">
        <f>0</f>
        <v>0</v>
      </c>
      <c r="AH264" s="733">
        <f>0</f>
        <v>0</v>
      </c>
      <c r="AI264" s="733">
        <f>0</f>
        <v>0</v>
      </c>
      <c r="AJ264" s="733">
        <f>0</f>
        <v>0</v>
      </c>
      <c r="AK264" s="733">
        <f>0</f>
        <v>0</v>
      </c>
      <c r="AL264" s="733">
        <f>0</f>
        <v>0</v>
      </c>
      <c r="AM264" s="733">
        <f>0</f>
        <v>0</v>
      </c>
      <c r="AN264" s="733">
        <f>0</f>
        <v>0</v>
      </c>
      <c r="AO264" s="733">
        <f>0</f>
        <v>0</v>
      </c>
      <c r="AP264" s="733">
        <f>0</f>
        <v>0</v>
      </c>
      <c r="AQ264" s="733">
        <f>0</f>
        <v>0</v>
      </c>
      <c r="AR264" s="733">
        <f>0</f>
        <v>0</v>
      </c>
      <c r="AS264" s="733">
        <f>0</f>
        <v>0</v>
      </c>
      <c r="AT264" s="733">
        <f>0</f>
        <v>0</v>
      </c>
      <c r="AU264" s="733">
        <f>0</f>
        <v>0</v>
      </c>
      <c r="AV264" s="733">
        <f>0</f>
        <v>0</v>
      </c>
      <c r="AW264" s="733">
        <f>0</f>
        <v>0</v>
      </c>
      <c r="AX264" s="733">
        <f>0</f>
        <v>0</v>
      </c>
      <c r="AY264" s="733">
        <f>0</f>
        <v>0</v>
      </c>
      <c r="AZ264" s="733">
        <f>0</f>
        <v>0</v>
      </c>
      <c r="BA264" s="733">
        <f>0</f>
        <v>0</v>
      </c>
      <c r="BB264" s="733">
        <f>0</f>
        <v>0</v>
      </c>
      <c r="BC264" s="733">
        <f>0</f>
        <v>0</v>
      </c>
      <c r="BD264" s="733">
        <f>0</f>
        <v>0</v>
      </c>
      <c r="BE264" s="733">
        <f>0</f>
        <v>0</v>
      </c>
      <c r="BF264" s="733">
        <f>0</f>
        <v>0</v>
      </c>
      <c r="BG264" s="733">
        <f>0</f>
        <v>0</v>
      </c>
      <c r="BH264" s="733">
        <f>0</f>
        <v>0</v>
      </c>
      <c r="BI264" s="733">
        <f>0</f>
        <v>0</v>
      </c>
      <c r="BJ264" s="733">
        <f>0</f>
        <v>0</v>
      </c>
      <c r="BK264" s="733">
        <f>0</f>
        <v>0</v>
      </c>
      <c r="BL264" s="733">
        <f>0</f>
        <v>0</v>
      </c>
      <c r="BM264" s="733">
        <f>0</f>
        <v>0</v>
      </c>
      <c r="BN264" s="733">
        <f>0</f>
        <v>0</v>
      </c>
      <c r="BO264" s="733">
        <f>0</f>
        <v>0</v>
      </c>
      <c r="BP264" s="733">
        <f>0</f>
        <v>0</v>
      </c>
      <c r="BQ264" s="733">
        <f>0</f>
        <v>0</v>
      </c>
      <c r="BR264" s="733">
        <f>0</f>
        <v>0</v>
      </c>
      <c r="BS264" s="733">
        <f>0</f>
        <v>0</v>
      </c>
      <c r="BT264" s="733">
        <f>0</f>
        <v>0</v>
      </c>
      <c r="BU264" s="733">
        <f>0</f>
        <v>0</v>
      </c>
      <c r="BV264" s="900">
        <f>0</f>
        <v>0</v>
      </c>
      <c r="BW264" s="733">
        <f>0</f>
        <v>0</v>
      </c>
      <c r="BX264" s="733">
        <f>0</f>
        <v>0</v>
      </c>
      <c r="BY264" s="733">
        <f>0</f>
        <v>0</v>
      </c>
      <c r="BZ264" s="733">
        <f>0</f>
        <v>0</v>
      </c>
      <c r="CA264" s="900">
        <f>0</f>
        <v>0</v>
      </c>
      <c r="CB264" s="733">
        <f>0</f>
        <v>0</v>
      </c>
      <c r="CC264" s="733">
        <f>0</f>
        <v>0</v>
      </c>
      <c r="CD264" s="733">
        <f>0</f>
        <v>0</v>
      </c>
      <c r="CE264" s="733">
        <f>0</f>
        <v>0</v>
      </c>
      <c r="CF264" s="733">
        <f>0</f>
        <v>0</v>
      </c>
      <c r="CG264" s="733">
        <f>0</f>
        <v>0</v>
      </c>
      <c r="CH264" s="733">
        <f>0</f>
        <v>0</v>
      </c>
      <c r="CI264" s="733">
        <f>0</f>
        <v>0</v>
      </c>
      <c r="CJ264" s="733">
        <f>0</f>
        <v>0</v>
      </c>
      <c r="CK264" s="733">
        <f>0</f>
        <v>0</v>
      </c>
      <c r="CL264" s="733">
        <f>0</f>
        <v>0</v>
      </c>
      <c r="CM264" s="733">
        <f>0</f>
        <v>0</v>
      </c>
      <c r="CN264" s="733">
        <f>0</f>
        <v>0</v>
      </c>
      <c r="CO264" s="785">
        <f>-Δ_atm</f>
        <v>-1</v>
      </c>
      <c r="CP264" s="733">
        <f>0</f>
        <v>0</v>
      </c>
      <c r="CQ264" s="733">
        <f>0</f>
        <v>0</v>
      </c>
      <c r="CR264" s="733">
        <f>0</f>
        <v>0</v>
      </c>
      <c r="CS264" s="733">
        <f>0</f>
        <v>0</v>
      </c>
      <c r="CT264" s="733">
        <f>0</f>
        <v>0</v>
      </c>
      <c r="CU264" s="733">
        <f>0</f>
        <v>0</v>
      </c>
      <c r="CV264" s="2862">
        <f>k_transfer_GNH3_sur</f>
        <v>0</v>
      </c>
      <c r="CX264" s="2880">
        <f>E299*E264+F299*F264+G299*G264+H299*H264+I299*I264+J299*J264+K299*K264+L299*L264+M299*M264+N299*N264+O299*O264+P299*P264+Q299*Q264+R299*R264+S299*S264+T299*T264+U299*U264+V299*V264+W299*W264+X299*X264+Y299*Y264+Z299*Z264+AA299*AA264+AB299*AB264+AC299*AC264+AD299*AD264+AE299*AE264+AF299*AF264+AG299*AG264+AH299*AH264+AI299*AI264+AJ299*AJ264+AK299*AK264+AL299*AL264+AM299*AM264+AN299*AN264+AO299*AO264+AP299*AP264+AQ299*AQ264+AR299*AR264+AS299*AS264+AT299*AT264+AU299*AU264+AV299*AV264+AW299*AW264+AX299*AX264+AY299*AY264+AZ299*AZ264+BA299*BA264+BB299*BB264+BC299*BC264+BD299*BD264+BE299*BE264+BF299*BF264+BG299*BG264+BH299*BH264+BI299*BI264+BJ299*BJ264+BK299*BK264+BL299*BL264+BM299*BM264+BN299*BN264+BO299*BO264+BP299*BP264+BQ299*BQ264+BR299*BR264+BS299*BS264+BT299*BT264+BU299*BU264+BV299*BV264+BW299*BW264+BX299*BX264+BY299*BY264+BZ299*BZ264+CA299*CA264+CB299*CB264+CC299*CC264+CD299*CD264+CE299*CE264+CF299*CF264+CG299*CG264+CH299*CH264+CI299*CI264+CJ299*CJ264+CK299*CK264+CL299*CL264+CM299*CM264+CN299*CN264+CO299*CO264+CP299*CP264+CQ299*CQ264+CR299*CR264+CS299*CS264+CT299*CT264+CU299*CU264</f>
        <v>0</v>
      </c>
      <c r="CY264" s="2880">
        <f>E300*E264+F300*F264+G300*G264+H300*H264+I300*I264+J300*J264+K300*K264+L300*L264+M300*M264+N300*N264+O300*O264+P300*P264+Q300*Q264+R300*R264+S300*S264+T300*T264+U300*U264+V300*V264+W300*W264+X300*X264+Y300*Y264+Z300*Z264+AA300*AA264+AB300*AB264+AC300*AC264+AD300*AD264+AE300*AE264+AF300*AF264+AG300*AG264+AH300*AH264+AI300*AI264+AJ300*AJ264+AK300*AK264+AL300*AL264+AM300*AM264+AN300*AN264+AO300*AO264+AP300*AP264+AQ300*AQ264+AR300*AR264+AS300*AS264+AT300*AT264+AU300*AU264+AV300*AV264+AW300*AW264+AX300*AX264+AY300*AY264+AZ300*AZ264+BA300*BA264+BB300*BB264+BC300*BC264+BD300*BD264+BE300*BE264+BF300*BF264+BG300*BG264+BH300*BH264+BI300*BI264+BJ300*BJ264+BK300*BK264+BL300*BL264+BM300*BM264+BN300*BN264+BO300*BO264+BP300*BP264+BQ300*BQ264+BR300*BR264+BS300*BS264+BT300*BT264+BU300*BU264+BV300*BV264+BW300*BW264+BX300*BX264+BY300*BY264+BZ300*BZ264+CA300*CA264+CB300*CB264+CC300*CC264+CD300*CD264+CE300*CE264+CF300*CF264+CG300*CG264+CH300*CH264+CI300*CI264+CJ300*CJ264+CK300*CK264+CL300*CL264+CM300*CM264+CN300*CN264+CO300*CO264+CP300*CP264+CQ300*CQ264+CR300*CR264+CS300*CS264+CT300*CT264+CU300*CU264</f>
        <v>0</v>
      </c>
      <c r="CZ264" s="2881">
        <f>E301*E264+F301*F264+G301*G264+H301*H264+I301*I264+J301*J264+K301*K264+L301*L264+M301*M264+N301*N264+O301*O264+P301*P264+Q301*Q264+R301*R264+S301*S264+T301*T264+U301*U264+V301*V264+W301*W264+X301*X264+Y301*Y264+Z301*Z264+AA301*AA264+AB301*AB264+AC301*AC264+AD301*AD264+AE301*AE264+AF301*AF264+AG301*AG264+AH301*AH264+AI301*AI264+AJ301*AJ264+AK301*AK264+AL301*AL264+AM301*AM264+AN301*AN264+AO301*AO264+AP301*AP264+AQ301*AQ264+AR301*AR264+AS301*AS264+AT301*AT264+AU301*AU264+AV301*AV264+AW301*AW264+AX301*AX264+AY301*AY264+AZ301*AZ264+BA301*BA264+BB301*BB264+BC301*BC264+BD301*BD264+BE301*BE264+BF301*BF264+BG301*BG264+BH301*BH264+BI301*BI264+BJ301*BJ264+BK301*BK264+BL301*BL264+BM301*BM264+BN301*BN264+BO301*BO264+BP301*BP264+BQ301*BQ264+BR301*BR264+BS301*BS264+BT301*BT264+BU301*BU264+BV301*BV264+BW301*BW264+BX301*BX264+BY301*BY264+BZ301*BZ264+CA301*CA264+CB301*CB264+CC301*CC264+CD301*CD264+CE301*CE264+CF301*CF264+CG301*CG264+CH301*CH264+CI301*CI264+CJ301*CJ264+CK301*CK264+CL301*CL264+CM301*CM264+CN301*CN264+CO301*CO264+CP301*CP264+CQ301*CQ264+CR301*CR264+CS301*CS264+CT301*CT264+CU301*CU264</f>
        <v>0</v>
      </c>
      <c r="DA264" s="2882">
        <f>E302*E264+F302*F264+G302*G264+H302*H264+I302*I264+J302*J264+K302*K264+L302*L264+M302*M264+N302*N264+O302*O264+P302*P264+Q302*Q264+R302*R264+S302*S264+T302*T264+U302*U264+V302*V264+W302*W264+X302*X264+Y302*Y264+Z302*Z264+AA302*AA264+AB302*AB264+AC302*AC264+AD302*AD264+AE302*AE264+AF302*AF264+AG302*AG264+AH302*AH264+AI302*AI264+AJ302*AJ264+AK302*AK264+AL302*AL264+AM302*AM264+AN302*AN264+AO302*AO264+AP302*AP264+AQ302*AQ264+AR302*AR264+AS302*AS264+AT302*AT264+AU302*AU264+AV302*AV264+AW302*AW264+AX302*AX264+AY302*AY264+AZ302*AZ264+BA302*BA264+BB302*BB264+BC302*BC264+BD302*BD264+BE302*BE264+BF302*BF264+BG302*BG264+BH302*BH264+BI302*BI264+BJ302*BJ264+BK302*BK264+BL302*BL264+BM302*BM264+BN302*BN264+BO302*BO264+BP302*BP264+BQ302*BQ264+BR302*BR264+BS302*BS264+BT302*BT264+BU302*BU264+BV302*BV264+BW302*BW264+BX302*BX264+BY302*BY264+BZ302*BZ264+CA302*CA264+CB302*CB264+CC302*CC264+CD302*CD264+CE302*CE264+CF302*CF264+CG302*CG264+CH302*CH264+CI302*CI264+CJ302*CJ264+CK302*CK264+CL302*CL264+CM302*CM264+CN302*CN264+CO302*CO264+CP302*CP264+CQ302*CQ264+CR302*CR264+CS302*CS264+CT302*CT264+CU302*CU264</f>
        <v>0</v>
      </c>
      <c r="DB264" s="2882">
        <f>E303*E264+F303*F264+G303*G264+H303*H264+I303*I264+J303*J264+K303*K264+L303*L264+M303*M264+N303*N264+O303*O264+P303*P264+Q303*Q264+R303*R264+S303*S264+T303*T264+U303*U264+V303*V264+W303*W264+X303*X264+Y303*Y264+Z303*Z264+AA303*AA264+AB303*AB264+AC303*AC264+AD303*AD264+AE303*AE264+AF303*AF264+AG303*AG264+AH303*AH264+AI303*AI264+AJ303*AJ264+AK303*AK264+AL303*AL264+AM303*AM264+AN303*AN264+AO303*AO264+AP303*AP264+AQ303*AQ264+AR303*AR264+AS303*AS264+AT303*AT264+AU303*AU264+AV303*AV264+AW303*AW264+AX303*AX264+AY303*AY264+AZ303*AZ264+BA303*BA264+BB303*BB264+BC303*BC264+BD303*BD264+BE303*BE264+BF303*BF264+BG303*BG264+BH303*BH264+BI303*BI264+BJ303*BJ264+BK303*BK264+BL303*BL264+BM303*BM264+BN303*BN264+BO303*BO264+BP303*BP264+BQ303*BQ264+BR303*BR264+BS303*BS264+BT303*BT264+BU303*BU264+BV303*BV264+BW303*BW264+BX303*BX264+BY303*BY264+BZ303*BZ264+CA303*CA264+CB303*CB264+CC303*CC264+CD303*CD264+CE303*CE264+CF303*CF264+CG303*CG264+CH303*CH264+CI303*CI264+CJ303*CJ264+CK303*CK264+CL303*CL264+CM303*CM264+CN303*CN264+CO303*CO264+CP303*CP264+CQ303*CQ264+CR303*CR264+CS303*CS264+CT303*CT264+CU303*CU264</f>
        <v>0</v>
      </c>
      <c r="DC264" s="2882">
        <f>E304*E264+F304*F264+G304*G264+H304*H264+I304*I264+J304*J264+K304*K264+L304*L264+M304*M264+N304*N264+O304*O264+P304*P264+Q304*Q264+R304*R264+S304*S264+T304*T264+U304*U264+V304*V264+W304*W264+X304*X264+Y304*Y264+Z304*Z264+AA304*AA264+AB304*AB264+AC304*AC264+AD304*AD264+AE304*AE264+AF304*AF264+AG304*AG264+AH304*AH264+AI304*AI264+AJ304*AJ264+AK304*AK264+AL304*AL264+AM304*AM264+AN304*AN264+AO304*AO264+AP304*AP264+AQ304*AQ264+AR304*AR264+AS304*AS264+AT304*AT264+AU304*AU264+AV304*AV264+AW304*AW264+AX304*AX264+AY304*AY264+AZ304*AZ264+BA304*BA264+BB304*BB264+BC304*BC264+BD304*BD264+BE304*BE264+BF304*BF264+BG304*BG264+BH304*BH264+BI304*BI264+BJ304*BJ264+BK304*BK264+BL304*BL264+BM304*BM264+BN304*BN264+BO304*BO264+BP304*BP264+BQ304*BQ264+BR304*BR264+BS304*BS264+BT304*BT264+BU304*BU264+BV304*BV264+BW304*BW264+BX304*BX264+BY304*BY264+BZ304*BZ264+CA304*CA264+CB304*CB264+CC304*CC264+CD304*CD264+CE304*CE264+CF304*CF264+CG304*CG264+CH304*CH264+CI304*CI264+CJ304*CJ264+CK304*CK264+CL304*CL264+CM304*CM264+CN304*CN264+CO304*CO264+CP304*CP264+CQ304*CQ264+CR304*CR264+CS304*CS264+CT304*CT264+CU304*CU264</f>
        <v>0</v>
      </c>
      <c r="DD264" s="2882">
        <f>E305*E264+F305*F264+G305*G264+H305*H264+I305*I264+J305*J264+K305*K264+L305*L264+M305*M264+N305*N264+O305*O264+P305*P264+Q305*Q264+R305*R264+S305*S264+T305*T264+U305*U264+V305*V264+W305*W264+X305*X264+Y305*Y264+Z305*Z264+AA305*AA264+AB305*AB264+AC305*AC264+AD305*AD264+AE305*AE264+AF305*AF264+AG305*AG264+AH305*AH264+AI305*AI264+AJ305*AJ264+AK305*AK264+AL305*AL264+AM305*AM264+AN305*AN264+AO305*AO264+AP305*AP264+AQ305*AQ264+AR305*AR264+AS305*AS264+AT305*AT264+AU305*AU264+AV305*AV264+AW305*AW264+AX305*AX264+AY305*AY264+AZ305*AZ264+BA305*BA264+BB305*BB264+BC305*BC264+BD305*BD264+BE305*BE264+BF305*BF264+BG305*BG264+BH305*BH264+BI305*BI264+BJ305*BJ264+BK305*BK264+BL305*BL264+BM305*BM264+BN305*BN264+BO305*BO264+BP305*BP264+BQ305*BQ264+BR305*BR264+BS305*BS264+BT305*BT264+BU305*BU264+BV305*BV264+BW305*BW264+BX305*BX264+BY305*BY264+BZ305*BZ264+CA305*CA264+CB305*CB264+CC305*CC264+CD305*CD264+CE305*CE264+CF305*CF264+CG305*CG264+CH305*CH264+CI305*CI264+CJ305*CJ264+CK305*CK264+CL305*CL264+CM305*CM264+CN305*CN264+CO305*CO264+CP305*CP264+CQ305*CQ264+CR305*CR264+CS305*CS264+CT305*CT264+CU305*CU264</f>
        <v>0</v>
      </c>
      <c r="DE264" s="2882">
        <f>E306*E264+F306*F264+G306*G264+H306*H264+I306*I264+J306*J264+K306*K264+L306*L264+M306*M264+N306*N264+O306*O264+P306*P264+Q306*Q264+R306*R264+S306*S264+T306*T264+U306*U264+V306*V264+W306*W264+X306*X264+Y306*Y264+Z306*Z264+AA306*AA264+AB306*AB264+AC306*AC264+AD306*AD264+AE306*AE264+AF306*AF264+AG306*AG264+AH306*AH264+AI306*AI264+AJ306*AJ264+AK306*AK264+AL306*AL264+AM306*AM264+AN306*AN264+AO306*AO264+AP306*AP264+AQ306*AQ264+AR306*AR264+AS306*AS264+AT306*AT264+AU306*AU264+AV306*AV264+AW306*AW264+AX306*AX264+AY306*AY264+AZ306*AZ264+BA306*BA264+BB306*BB264+BC306*BC264+BD306*BD264+BE306*BE264+BF306*BF264+BG306*BG264+BH306*BH264+BI306*BI264+BJ306*BJ264+BK306*BK264+BL306*BL264+BM306*BM264+BN306*BN264+BO306*BO264+BP306*BP264+BQ306*BQ264+BR306*BR264+BS306*BS264+BT306*BT264+BU306*BU264+BV306*BV264+BW306*BW264+BX306*BX264+BY306*BY264+BZ306*BZ264+CA306*CA264+CB306*CB264+CC306*CC264+CD306*CD264+CE306*CE264+CF306*CF264+CG306*CG264+CH306*CH264+CI306*CI264+CJ306*CJ264+CK306*CK264+CL306*CL264+CM306*CM264+CN306*CN264+CO306*CO264+CP306*CP264+CQ306*CQ264+CR306*CR264+CS306*CS264+CT306*CT264+CU306*CU264</f>
        <v>0</v>
      </c>
      <c r="DF264" s="2882">
        <f>E307*E264+F307*F264+G307*G264+H307*H264+I307*I264+J307*J264+K307*K264+L307*L264+M307*M264+N307*N264+O307*O264+P307*P264+Q307*Q264+R307*R264+S307*S264+T307*T264+U307*U264+V307*V264+W307*W264+X307*X264+Y307*Y264+Z307*Z264+AA307*AA264+AB307*AB264+AC307*AC264+AD307*AD264+AE307*AE264+AF307*AF264+AG307*AG264+AH307*AH264+AI307*AI264+AJ307*AJ264+AK307*AK264+AL307*AL264+AM307*AM264+AN307*AN264+AO307*AO264+AP307*AP264+AQ307*AQ264+AR307*AR264+AS307*AS264+AT307*AT264+AU307*AU264+AV307*AV264+AW307*AW264+AX307*AX264+AY307*AY264+AZ307*AZ264+BA307*BA264+BB307*BB264+BC307*BC264+BD307*BD264+BE307*BE264+BF307*BF264+BG307*BG264+BH307*BH264+BI307*BI264+BJ307*BJ264+BK307*BK264+BL307*BL264+BM307*BM264+BN307*BN264+BO307*BO264+BP307*BP264+BQ307*BQ264+BR307*BR264+BS307*BS264+BT307*BT264+BU307*BU264+BV307*BV264+BW307*BW264+BX307*BX264+BY307*BY264+BZ307*BZ264+CA307*CA264+CB307*CB264+CC307*CC264+CD307*CD264+CE307*CE264+CF307*CF264+CG307*CG264+CH307*CH264+CI307*CI264+CJ307*CJ264+CK307*CK264+CL307*CL264+CM307*CM264+CN307*CN264+CO307*CO264+CP307*CP264+CQ307*CQ264+CR307*CR264+CS307*CS264+CT307*CT264+CU307*CU264</f>
        <v>0</v>
      </c>
      <c r="DG264" s="2882">
        <f>E308*E264+F308*F264+G308*G264+H308*H264+I308*I264+J308*J264+K308*K264+L308*L264+M308*M264+N308*N264+O308*O264+P308*P264+Q308*Q264+R308*R264+S308*S264+T308*T264+U308*U264+V308*V264+W308*W264+X308*X264+Y308*Y264+Z308*Z264+AA308*AA264+AB308*AB264+AC308*AC264+AD308*AD264+AE308*AE264+AF308*AF264+AG308*AG264+AH308*AH264+AI308*AI264+AJ308*AJ264+AK308*AK264+AL308*AL264+AM308*AM264+AN308*AN264+AO308*AO264+AP308*AP264+AQ308*AQ264+AR308*AR264+AS308*AS264+AT308*AT264+AU308*AU264+AV308*AV264+AW308*AW264+AX308*AX264+AY308*AY264+AZ308*AZ264+BA308*BA264+BB308*BB264+BC308*BC264+BD308*BD264+BE308*BE264+BF308*BF264+BG308*BG264+BH308*BH264+BI308*BI264+BJ308*BJ264+BK308*BK264+BL308*BL264+BM308*BM264+BN308*BN264+BO308*BO264+BP308*BP264+BQ308*BQ264+BR308*BR264+BS308*BS264+BT308*BT264+BU308*BU264+BV308*BV264+BW308*BW264+BX308*BX264+BY308*BY264+BZ308*BZ264+CA308*CA264+CB308*CB264+CC308*CC264+CD308*CD264+CE308*CE264+CF308*CF264+CG308*CG264+CH308*CH264+CI308*CI264+CJ308*CJ264+CK308*CK264+CL308*CL264+CM308*CM264+CN308*CN264+CO308*CO264+CP308*CP264+CQ308*CQ264+CR308*CR264+CS308*CS264+CT308*CT264+CU308*CU264</f>
        <v>0</v>
      </c>
      <c r="DH264" s="2882">
        <f>E309*E264+F309*F264+G309*G264+H309*H264+I309*I264+J309*J264+K309*K264+L309*L264+M309*M264+N309*N264+O309*O264+P309*P264+Q309*Q264+R309*R264+S309*S264+T309*T264+U309*U264+V309*V264+W309*W264+X309*X264+Y309*Y264+Z309*Z264+AA309*AA264+AB309*AB264+AC309*AC264+AD309*AD264+AE309*AE264+AF309*AF264+AG309*AG264+AH309*AH264+AI309*AI264+AJ309*AJ264+AK309*AK264+AL309*AL264+AM309*AM264+AN309*AN264+AO309*AO264+AP309*AP264+AQ309*AQ264+AR309*AR264+AS309*AS264+AT309*AT264+AU309*AU264+AV309*AV264+AW309*AW264+AX309*AX264+AY309*AY264+AZ309*AZ264+BA309*BA264+BB309*BB264+BC309*BC264+BD309*BD264+BE309*BE264+BF309*BF264+BG309*BG264+BH309*BH264+BI309*BI264+BJ309*BJ264+BK309*BK264+BL309*BL264+BM309*BM264+BN309*BN264+BO309*BO264+BP309*BP264+BQ309*BQ264+BR309*BR264+BS309*BS264+BT309*BT264+BU309*BU264+BV309*BV264+BW309*BW264+BX309*BX264+BY309*BY264+BZ309*BZ264+CA309*CA264+CB309*CB264+CC309*CC264+CD309*CD264+CE309*CE264+CF309*CF264+CG309*CG264+CH309*CH264+CI309*CI264+CJ309*CJ264+CK309*CK264+CL309*CL264+CM309*CM264+CN309*CN264+CO309*CO264+CP309*CP264+CQ309*CQ264+CR309*CR264+CS309*CS264+CT309*CT264+CU309*CU264</f>
        <v>0</v>
      </c>
      <c r="DI264" s="2882">
        <f>E310*E264+F310*F264+G310*G264+H310*H264+I310*I264+J310*J264+K310*K264+L310*L264+M310*M264+N310*N264+O310*O264+P310*P264+Q310*Q264+R310*R264+S310*S264+T310*T264+U310*U264+V310*V264+W310*W264+X310*X264+Y310*Y264+Z310*Z264+AA310*AA264+AB310*AB264+AC310*AC264+AD310*AD264+AE310*AE264+AF310*AF264+AG310*AG264+AH310*AH264+AI310*AI264+AJ310*AJ264+AK310*AK264+AL310*AL264+AM310*AM264+AN310*AN264+AO310*AO264+AP310*AP264+AQ310*AQ264+AR310*AR264+AS310*AS264+AT310*AT264+AU310*AU264+AV310*AV264+AW310*AW264+AX310*AX264+AY310*AY264+AZ310*AZ264+BA310*BA264+BB310*BB264+BC310*BC264+BD310*BD264+BE310*BE264+BF310*BF264+BG310*BG264+BH310*BH264+BI310*BI264+BJ310*BJ264+BK310*BK264+BL310*BL264+BM310*BM264+BN310*BN264+BO310*BO264+BP310*BP264+BQ310*BQ264+BR310*BR264+BS310*BS264+BT310*BT264+BU310*BU264+BV310*BV264+BW310*BW264+BX310*BX264+BY310*BY264+BZ310*BZ264+CA310*CA264+CB310*CB264+CC310*CC264+CD310*CD264+CE310*CE264+CF310*CF264+CG310*CG264+CH310*CH264+CI310*CI264+CJ310*CJ264+CK310*CK264+CL310*CL264+CM310*CM264+CN310*CN264+CO310*CO264+CP310*CP264+CQ310*CQ264+CR310*CR264+CS310*CS264+CT310*CT264+CU310*CU264</f>
        <v>0</v>
      </c>
    </row>
    <row r="265" spans="2:113" x14ac:dyDescent="0.45">
      <c r="B265" s="2219">
        <v>106</v>
      </c>
      <c r="C265" s="2219" t="s">
        <v>4015</v>
      </c>
      <c r="D265" s="2220" t="s">
        <v>3764</v>
      </c>
      <c r="E265" s="666">
        <f>0</f>
        <v>0</v>
      </c>
      <c r="F265" s="666">
        <f>0</f>
        <v>0</v>
      </c>
      <c r="G265" s="666">
        <f>0</f>
        <v>0</v>
      </c>
      <c r="H265" s="666">
        <f>0</f>
        <v>0</v>
      </c>
      <c r="I265" s="666">
        <f>0</f>
        <v>0</v>
      </c>
      <c r="J265" s="666">
        <f>0</f>
        <v>0</v>
      </c>
      <c r="K265" s="666">
        <f>0</f>
        <v>0</v>
      </c>
      <c r="L265" s="666">
        <f>0</f>
        <v>0</v>
      </c>
      <c r="M265" s="666">
        <f>0</f>
        <v>0</v>
      </c>
      <c r="N265" s="666">
        <f>0</f>
        <v>0</v>
      </c>
      <c r="O265" s="666">
        <f>0</f>
        <v>0</v>
      </c>
      <c r="P265" s="666">
        <f>0</f>
        <v>0</v>
      </c>
      <c r="Q265" s="666">
        <f>0</f>
        <v>0</v>
      </c>
      <c r="R265" s="666">
        <f>0</f>
        <v>0</v>
      </c>
      <c r="S265" s="666">
        <f>0</f>
        <v>0</v>
      </c>
      <c r="T265" s="666">
        <f>0</f>
        <v>0</v>
      </c>
      <c r="U265" s="666">
        <f>0</f>
        <v>0</v>
      </c>
      <c r="V265" s="666">
        <f>0</f>
        <v>0</v>
      </c>
      <c r="W265" s="666">
        <f>0</f>
        <v>0</v>
      </c>
      <c r="X265" s="666">
        <f>0</f>
        <v>0</v>
      </c>
      <c r="Y265" s="2551">
        <f>0</f>
        <v>0</v>
      </c>
      <c r="Z265" s="2551">
        <f>0</f>
        <v>0</v>
      </c>
      <c r="AA265" s="2551">
        <f>0</f>
        <v>0</v>
      </c>
      <c r="AB265" s="666">
        <f>0</f>
        <v>0</v>
      </c>
      <c r="AC265" s="666">
        <f>0</f>
        <v>0</v>
      </c>
      <c r="AD265" s="666">
        <f>0</f>
        <v>0</v>
      </c>
      <c r="AE265" s="666">
        <f>0</f>
        <v>0</v>
      </c>
      <c r="AF265" s="733">
        <f>S_NO_AOB/S_NO</f>
        <v>0.33333333333333337</v>
      </c>
      <c r="AG265" s="733">
        <f>S_NO_OHO/S_NO</f>
        <v>0.66666666666666674</v>
      </c>
      <c r="AH265" s="666">
        <f>0</f>
        <v>0</v>
      </c>
      <c r="AI265" s="666">
        <f>0</f>
        <v>0</v>
      </c>
      <c r="AJ265" s="666">
        <f>0</f>
        <v>0</v>
      </c>
      <c r="AK265" s="666">
        <f>0</f>
        <v>0</v>
      </c>
      <c r="AL265" s="666">
        <f>0</f>
        <v>0</v>
      </c>
      <c r="AM265" s="666">
        <f>0</f>
        <v>0</v>
      </c>
      <c r="AN265" s="666">
        <f>0</f>
        <v>0</v>
      </c>
      <c r="AO265" s="666">
        <f>0</f>
        <v>0</v>
      </c>
      <c r="AP265" s="666">
        <f>0</f>
        <v>0</v>
      </c>
      <c r="AQ265" s="666">
        <f>0</f>
        <v>0</v>
      </c>
      <c r="AR265" s="666">
        <f>0</f>
        <v>0</v>
      </c>
      <c r="AS265" s="666">
        <f>0</f>
        <v>0</v>
      </c>
      <c r="AT265" s="666">
        <f>0</f>
        <v>0</v>
      </c>
      <c r="AU265" s="666">
        <f>0</f>
        <v>0</v>
      </c>
      <c r="AV265" s="666">
        <f>0</f>
        <v>0</v>
      </c>
      <c r="AW265" s="666">
        <f>0</f>
        <v>0</v>
      </c>
      <c r="AX265" s="666">
        <f>0</f>
        <v>0</v>
      </c>
      <c r="AY265" s="666">
        <f>0</f>
        <v>0</v>
      </c>
      <c r="AZ265" s="666">
        <f>0</f>
        <v>0</v>
      </c>
      <c r="BA265" s="666">
        <f>0</f>
        <v>0</v>
      </c>
      <c r="BB265" s="2551">
        <f>0</f>
        <v>0</v>
      </c>
      <c r="BC265" s="2551">
        <f>0</f>
        <v>0</v>
      </c>
      <c r="BD265" s="2551">
        <f>0</f>
        <v>0</v>
      </c>
      <c r="BE265" s="666">
        <f>0</f>
        <v>0</v>
      </c>
      <c r="BF265" s="666">
        <f>0</f>
        <v>0</v>
      </c>
      <c r="BG265" s="666">
        <f>0</f>
        <v>0</v>
      </c>
      <c r="BH265" s="666">
        <f>0</f>
        <v>0</v>
      </c>
      <c r="BI265" s="666">
        <f>0</f>
        <v>0</v>
      </c>
      <c r="BJ265" s="666">
        <f>0</f>
        <v>0</v>
      </c>
      <c r="BK265" s="666">
        <f>0</f>
        <v>0</v>
      </c>
      <c r="BL265" s="666">
        <f>0</f>
        <v>0</v>
      </c>
      <c r="BM265" s="666">
        <f>0</f>
        <v>0</v>
      </c>
      <c r="BN265" s="666">
        <f>0</f>
        <v>0</v>
      </c>
      <c r="BO265" s="666">
        <f>0</f>
        <v>0</v>
      </c>
      <c r="BP265" s="666">
        <f>0</f>
        <v>0</v>
      </c>
      <c r="BQ265" s="666">
        <f>0</f>
        <v>0</v>
      </c>
      <c r="BR265" s="666">
        <f>0</f>
        <v>0</v>
      </c>
      <c r="BS265" s="666">
        <f>0</f>
        <v>0</v>
      </c>
      <c r="BT265" s="666">
        <f>0</f>
        <v>0</v>
      </c>
      <c r="BU265" s="666">
        <f>0</f>
        <v>0</v>
      </c>
      <c r="BV265" s="666">
        <f>0</f>
        <v>0</v>
      </c>
      <c r="BW265" s="666">
        <f>0</f>
        <v>0</v>
      </c>
      <c r="BX265" s="666">
        <f>0</f>
        <v>0</v>
      </c>
      <c r="BY265" s="2551">
        <f>0</f>
        <v>0</v>
      </c>
      <c r="BZ265" s="666">
        <f>0</f>
        <v>0</v>
      </c>
      <c r="CA265" s="666">
        <f>0</f>
        <v>0</v>
      </c>
      <c r="CB265" s="666">
        <f>0</f>
        <v>0</v>
      </c>
      <c r="CC265" s="666">
        <f>0</f>
        <v>0</v>
      </c>
      <c r="CD265" s="666">
        <f>0</f>
        <v>0</v>
      </c>
      <c r="CE265" s="666">
        <f>0</f>
        <v>0</v>
      </c>
      <c r="CF265" s="666">
        <f>0</f>
        <v>0</v>
      </c>
      <c r="CG265" s="666">
        <f>0</f>
        <v>0</v>
      </c>
      <c r="CH265" s="666">
        <f>0</f>
        <v>0</v>
      </c>
      <c r="CI265" s="666">
        <f>0</f>
        <v>0</v>
      </c>
      <c r="CJ265" s="2551">
        <f>0</f>
        <v>0</v>
      </c>
      <c r="CK265" s="666">
        <f>0</f>
        <v>0</v>
      </c>
      <c r="CL265" s="666">
        <f>0</f>
        <v>0</v>
      </c>
      <c r="CM265" s="666">
        <f>0</f>
        <v>0</v>
      </c>
      <c r="CN265" s="666">
        <f>0</f>
        <v>0</v>
      </c>
      <c r="CO265" s="667">
        <f>0</f>
        <v>0</v>
      </c>
      <c r="CP265" s="785">
        <f>-Δ_atm</f>
        <v>-1</v>
      </c>
      <c r="CQ265" s="666">
        <f>0</f>
        <v>0</v>
      </c>
      <c r="CR265" s="666">
        <f>0</f>
        <v>0</v>
      </c>
      <c r="CS265" s="2551">
        <f>0</f>
        <v>0</v>
      </c>
      <c r="CT265" s="2551">
        <f>0</f>
        <v>0</v>
      </c>
      <c r="CU265" s="2551">
        <f>0</f>
        <v>0</v>
      </c>
      <c r="CV265" s="2862">
        <f>k_LaGNO_sur*(S_GNO_sur_sat-S_NO)</f>
        <v>40.868099999999998</v>
      </c>
      <c r="CX265" s="2880">
        <f>E299*E265+F299*F265+G299*G265+H299*H265+I299*I265+J299*J265+K299*K265+L299*L265+M299*M265+N299*N265+O299*O265+P299*P265+Q299*Q265+R299*R265+S299*S265+T299*T265+U299*U265+V299*V265+W299*W265+X299*X265+Y299*Y265+Z299*Z265+AA299*AA265+AB299*AB265+AC299*AC265+AD299*AD265+AE299*AE265+AF299*AF265+AG299*AG265+AH299*AH265+AI299*AI265+AJ299*AJ265+AK299*AK265+AL299*AL265+AM299*AM265+AN299*AN265+AO299*AO265+AP299*AP265+AQ299*AQ265+AR299*AR265+AS299*AS265+AT299*AT265+AU299*AU265+AV299*AV265+AW299*AW265+AX299*AX265+AY299*AY265+AZ299*AZ265+BA299*BA265+BB299*BB265+BC299*BC265+BD299*BD265+BE299*BE265+BF299*BF265+BG299*BG265+BH299*BH265+BI299*BI265+BJ299*BJ265+BK299*BK265+BL299*BL265+BM299*BM265+BN299*BN265+BO299*BO265+BP299*BP265+BQ299*BQ265+BR299*BR265+BS299*BS265+BT299*BT265+BU299*BU265+BV299*BV265+BW299*BW265+BX299*BX265+BY299*BY265+BZ299*BZ265+CA299*CA265+CB299*CB265+CC299*CC265+CD299*CD265+CE299*CE265+CF299*CF265+CG299*CG265+CH299*CH265+CI299*CI265+CJ299*CJ265+CK299*CK265+CL299*CL265+CM299*CM265+CN299*CN265+CO299*CO265+CP299*CP265+CQ299*CQ265+CR299*CR265+CS299*CS265+CT299*CT265+CU299*CU265</f>
        <v>-4.4408920985006262E-16</v>
      </c>
      <c r="CY265" s="2880">
        <f>E300*E265+F300*F265+G300*G265+H300*H265+I300*I265+J300*J265+K300*K265+L300*L265+M300*M265+N300*N265+O300*O265+P300*P265+Q300*Q265+R300*R265+S300*S265+T300*T265+U300*U265+V300*V265+W300*W265+X300*X265+Y300*Y265+Z300*Z265+AA300*AA265+AB300*AB265+AC300*AC265+AD300*AD265+AE300*AE265+AF300*AF265+AG300*AG265+AH300*AH265+AI300*AI265+AJ300*AJ265+AK300*AK265+AL300*AL265+AM300*AM265+AN300*AN265+AO300*AO265+AP300*AP265+AQ300*AQ265+AR300*AR265+AS300*AS265+AT300*AT265+AU300*AU265+AV300*AV265+AW300*AW265+AX300*AX265+AY300*AY265+AZ300*AZ265+BA300*BA265+BB300*BB265+BC300*BC265+BD300*BD265+BE300*BE265+BF300*BF265+BG300*BG265+BH300*BH265+BI300*BI265+BJ300*BJ265+BK300*BK265+BL300*BL265+BM300*BM265+BN300*BN265+BO300*BO265+BP300*BP265+BQ300*BQ265+BR300*BR265+BS300*BS265+BT300*BT265+BU300*BU265+BV300*BV265+BW300*BW265+BX300*BX265+BY300*BY265+BZ300*BZ265+CA300*CA265+CB300*CB265+CC300*CC265+CD300*CD265+CE300*CE265+CF300*CF265+CG300*CG265+CH300*CH265+CI300*CI265+CJ300*CJ265+CK300*CK265+CL300*CL265+CM300*CM265+CN300*CN265+CO300*CO265+CP300*CP265+CQ300*CQ265+CR300*CR265+CS300*CS265+CT300*CT265+CU300*CU265</f>
        <v>0</v>
      </c>
      <c r="CZ265" s="2881">
        <f>E301*E265+F301*F265+G301*G265+H301*H265+I301*I265+J301*J265+K301*K265+L301*L265+M301*M265+N301*N265+O301*O265+P301*P265+Q301*Q265+R301*R265+S301*S265+T301*T265+U301*U265+V301*V265+W301*W265+X301*X265+Y301*Y265+Z301*Z265+AA301*AA265+AB301*AB265+AC301*AC265+AD301*AD265+AE301*AE265+AF301*AF265+AG301*AG265+AH301*AH265+AI301*AI265+AJ301*AJ265+AK301*AK265+AL301*AL265+AM301*AM265+AN301*AN265+AO301*AO265+AP301*AP265+AQ301*AQ265+AR301*AR265+AS301*AS265+AT301*AT265+AU301*AU265+AV301*AV265+AW301*AW265+AX301*AX265+AY301*AY265+AZ301*AZ265+BA301*BA265+BB301*BB265+BC301*BC265+BD301*BD265+BE301*BE265+BF301*BF265+BG301*BG265+BH301*BH265+BI301*BI265+BJ301*BJ265+BK301*BK265+BL301*BL265+BM301*BM265+BN301*BN265+BO301*BO265+BP301*BP265+BQ301*BQ265+BR301*BR265+BS301*BS265+BT301*BT265+BU301*BU265+BV301*BV265+BW301*BW265+BX301*BX265+BY301*BY265+BZ301*BZ265+CA301*CA265+CB301*CB265+CC301*CC265+CD301*CD265+CE301*CE265+CF301*CF265+CG301*CG265+CH301*CH265+CI301*CI265+CJ301*CJ265+CK301*CK265+CL301*CL265+CM301*CM265+CN301*CN265+CO301*CO265+CP301*CP265+CQ301*CQ265+CR301*CR265+CS301*CS265+CT301*CT265+CU301*CU265</f>
        <v>0</v>
      </c>
      <c r="DA265" s="2882">
        <f>E302*E265+F302*F265+G302*G265+H302*H265+I302*I265+J302*J265+K302*K265+L302*L265+M302*M265+N302*N265+O302*O265+P302*P265+Q302*Q265+R302*R265+S302*S265+T302*T265+U302*U265+V302*V265+W302*W265+X302*X265+Y302*Y265+Z302*Z265+AA302*AA265+AB302*AB265+AC302*AC265+AD302*AD265+AE302*AE265+AF302*AF265+AG302*AG265+AH302*AH265+AI302*AI265+AJ302*AJ265+AK302*AK265+AL302*AL265+AM302*AM265+AN302*AN265+AO302*AO265+AP302*AP265+AQ302*AQ265+AR302*AR265+AS302*AS265+AT302*AT265+AU302*AU265+AV302*AV265+AW302*AW265+AX302*AX265+AY302*AY265+AZ302*AZ265+BA302*BA265+BB302*BB265+BC302*BC265+BD302*BD265+BE302*BE265+BF302*BF265+BG302*BG265+BH302*BH265+BI302*BI265+BJ302*BJ265+BK302*BK265+BL302*BL265+BM302*BM265+BN302*BN265+BO302*BO265+BP302*BP265+BQ302*BQ265+BR302*BR265+BS302*BS265+BT302*BT265+BU302*BU265+BV302*BV265+BW302*BW265+BX302*BX265+BY302*BY265+BZ302*BZ265+CA302*CA265+CB302*CB265+CC302*CC265+CD302*CD265+CE302*CE265+CF302*CF265+CG302*CG265+CH302*CH265+CI302*CI265+CJ302*CJ265+CK302*CK265+CL302*CL265+CM302*CM265+CN302*CN265+CO302*CO265+CP302*CP265+CQ302*CQ265+CR302*CR265+CS302*CS265+CT302*CT265+CU302*CU265</f>
        <v>0</v>
      </c>
      <c r="DB265" s="2882">
        <f>E303*E265+F303*F265+G303*G265+H303*H265+I303*I265+J303*J265+K303*K265+L303*L265+M303*M265+N303*N265+O303*O265+P303*P265+Q303*Q265+R303*R265+S303*S265+T303*T265+U303*U265+V303*V265+W303*W265+X303*X265+Y303*Y265+Z303*Z265+AA303*AA265+AB303*AB265+AC303*AC265+AD303*AD265+AE303*AE265+AF303*AF265+AG303*AG265+AH303*AH265+AI303*AI265+AJ303*AJ265+AK303*AK265+AL303*AL265+AM303*AM265+AN303*AN265+AO303*AO265+AP303*AP265+AQ303*AQ265+AR303*AR265+AS303*AS265+AT303*AT265+AU303*AU265+AV303*AV265+AW303*AW265+AX303*AX265+AY303*AY265+AZ303*AZ265+BA303*BA265+BB303*BB265+BC303*BC265+BD303*BD265+BE303*BE265+BF303*BF265+BG303*BG265+BH303*BH265+BI303*BI265+BJ303*BJ265+BK303*BK265+BL303*BL265+BM303*BM265+BN303*BN265+BO303*BO265+BP303*BP265+BQ303*BQ265+BR303*BR265+BS303*BS265+BT303*BT265+BU303*BU265+BV303*BV265+BW303*BW265+BX303*BX265+BY303*BY265+BZ303*BZ265+CA303*CA265+CB303*CB265+CC303*CC265+CD303*CD265+CE303*CE265+CF303*CF265+CG303*CG265+CH303*CH265+CI303*CI265+CJ303*CJ265+CK303*CK265+CL303*CL265+CM303*CM265+CN303*CN265+CO303*CO265+CP303*CP265+CQ303*CQ265+CR303*CR265+CS303*CS265+CT303*CT265+CU303*CU265</f>
        <v>0</v>
      </c>
      <c r="DC265" s="2882">
        <f>E304*E265+F304*F265+G304*G265+H304*H265+I304*I265+J304*J265+K304*K265+L304*L265+M304*M265+N304*N265+O304*O265+P304*P265+Q304*Q265+R304*R265+S304*S265+T304*T265+U304*U265+V304*V265+W304*W265+X304*X265+Y304*Y265+Z304*Z265+AA304*AA265+AB304*AB265+AC304*AC265+AD304*AD265+AE304*AE265+AF304*AF265+AG304*AG265+AH304*AH265+AI304*AI265+AJ304*AJ265+AK304*AK265+AL304*AL265+AM304*AM265+AN304*AN265+AO304*AO265+AP304*AP265+AQ304*AQ265+AR304*AR265+AS304*AS265+AT304*AT265+AU304*AU265+AV304*AV265+AW304*AW265+AX304*AX265+AY304*AY265+AZ304*AZ265+BA304*BA265+BB304*BB265+BC304*BC265+BD304*BD265+BE304*BE265+BF304*BF265+BG304*BG265+BH304*BH265+BI304*BI265+BJ304*BJ265+BK304*BK265+BL304*BL265+BM304*BM265+BN304*BN265+BO304*BO265+BP304*BP265+BQ304*BQ265+BR304*BR265+BS304*BS265+BT304*BT265+BU304*BU265+BV304*BV265+BW304*BW265+BX304*BX265+BY304*BY265+BZ304*BZ265+CA304*CA265+CB304*CB265+CC304*CC265+CD304*CD265+CE304*CE265+CF304*CF265+CG304*CG265+CH304*CH265+CI304*CI265+CJ304*CJ265+CK304*CK265+CL304*CL265+CM304*CM265+CN304*CN265+CO304*CO265+CP304*CP265+CQ304*CQ265+CR304*CR265+CS304*CS265+CT304*CT265+CU304*CU265</f>
        <v>0</v>
      </c>
      <c r="DD265" s="2882">
        <f>E305*E265+F305*F265+G305*G265+H305*H265+I305*I265+J305*J265+K305*K265+L305*L265+M305*M265+N305*N265+O305*O265+P305*P265+Q305*Q265+R305*R265+S305*S265+T305*T265+U305*U265+V305*V265+W305*W265+X305*X265+Y305*Y265+Z305*Z265+AA305*AA265+AB305*AB265+AC305*AC265+AD305*AD265+AE305*AE265+AF305*AF265+AG305*AG265+AH305*AH265+AI305*AI265+AJ305*AJ265+AK305*AK265+AL305*AL265+AM305*AM265+AN305*AN265+AO305*AO265+AP305*AP265+AQ305*AQ265+AR305*AR265+AS305*AS265+AT305*AT265+AU305*AU265+AV305*AV265+AW305*AW265+AX305*AX265+AY305*AY265+AZ305*AZ265+BA305*BA265+BB305*BB265+BC305*BC265+BD305*BD265+BE305*BE265+BF305*BF265+BG305*BG265+BH305*BH265+BI305*BI265+BJ305*BJ265+BK305*BK265+BL305*BL265+BM305*BM265+BN305*BN265+BO305*BO265+BP305*BP265+BQ305*BQ265+BR305*BR265+BS305*BS265+BT305*BT265+BU305*BU265+BV305*BV265+BW305*BW265+BX305*BX265+BY305*BY265+BZ305*BZ265+CA305*CA265+CB305*CB265+CC305*CC265+CD305*CD265+CE305*CE265+CF305*CF265+CG305*CG265+CH305*CH265+CI305*CI265+CJ305*CJ265+CK305*CK265+CL305*CL265+CM305*CM265+CN305*CN265+CO305*CO265+CP305*CP265+CQ305*CQ265+CR305*CR265+CS305*CS265+CT305*CT265+CU305*CU265</f>
        <v>0</v>
      </c>
      <c r="DE265" s="2882">
        <f>E306*E265+F306*F265+G306*G265+H306*H265+I306*I265+J306*J265+K306*K265+L306*L265+M306*M265+N306*N265+O306*O265+P306*P265+Q306*Q265+R306*R265+S306*S265+T306*T265+U306*U265+V306*V265+W306*W265+X306*X265+Y306*Y265+Z306*Z265+AA306*AA265+AB306*AB265+AC306*AC265+AD306*AD265+AE306*AE265+AF306*AF265+AG306*AG265+AH306*AH265+AI306*AI265+AJ306*AJ265+AK306*AK265+AL306*AL265+AM306*AM265+AN306*AN265+AO306*AO265+AP306*AP265+AQ306*AQ265+AR306*AR265+AS306*AS265+AT306*AT265+AU306*AU265+AV306*AV265+AW306*AW265+AX306*AX265+AY306*AY265+AZ306*AZ265+BA306*BA265+BB306*BB265+BC306*BC265+BD306*BD265+BE306*BE265+BF306*BF265+BG306*BG265+BH306*BH265+BI306*BI265+BJ306*BJ265+BK306*BK265+BL306*BL265+BM306*BM265+BN306*BN265+BO306*BO265+BP306*BP265+BQ306*BQ265+BR306*BR265+BS306*BS265+BT306*BT265+BU306*BU265+BV306*BV265+BW306*BW265+BX306*BX265+BY306*BY265+BZ306*BZ265+CA306*CA265+CB306*CB265+CC306*CC265+CD306*CD265+CE306*CE265+CF306*CF265+CG306*CG265+CH306*CH265+CI306*CI265+CJ306*CJ265+CK306*CK265+CL306*CL265+CM306*CM265+CN306*CN265+CO306*CO265+CP306*CP265+CQ306*CQ265+CR306*CR265+CS306*CS265+CT306*CT265+CU306*CU265</f>
        <v>0</v>
      </c>
      <c r="DF265" s="2882">
        <f>E307*E265+F307*F265+G307*G265+H307*H265+I307*I265+J307*J265+K307*K265+L307*L265+M307*M265+N307*N265+O307*O265+P307*P265+Q307*Q265+R307*R265+S307*S265+T307*T265+U307*U265+V307*V265+W307*W265+X307*X265+Y307*Y265+Z307*Z265+AA307*AA265+AB307*AB265+AC307*AC265+AD307*AD265+AE307*AE265+AF307*AF265+AG307*AG265+AH307*AH265+AI307*AI265+AJ307*AJ265+AK307*AK265+AL307*AL265+AM307*AM265+AN307*AN265+AO307*AO265+AP307*AP265+AQ307*AQ265+AR307*AR265+AS307*AS265+AT307*AT265+AU307*AU265+AV307*AV265+AW307*AW265+AX307*AX265+AY307*AY265+AZ307*AZ265+BA307*BA265+BB307*BB265+BC307*BC265+BD307*BD265+BE307*BE265+BF307*BF265+BG307*BG265+BH307*BH265+BI307*BI265+BJ307*BJ265+BK307*BK265+BL307*BL265+BM307*BM265+BN307*BN265+BO307*BO265+BP307*BP265+BQ307*BQ265+BR307*BR265+BS307*BS265+BT307*BT265+BU307*BU265+BV307*BV265+BW307*BW265+BX307*BX265+BY307*BY265+BZ307*BZ265+CA307*CA265+CB307*CB265+CC307*CC265+CD307*CD265+CE307*CE265+CF307*CF265+CG307*CG265+CH307*CH265+CI307*CI265+CJ307*CJ265+CK307*CK265+CL307*CL265+CM307*CM265+CN307*CN265+CO307*CO265+CP307*CP265+CQ307*CQ265+CR307*CR265+CS307*CS265+CT307*CT265+CU307*CU265</f>
        <v>0</v>
      </c>
      <c r="DG265" s="2882">
        <f>E308*E265+F308*F265+G308*G265+H308*H265+I308*I265+J308*J265+K308*K265+L308*L265+M308*M265+N308*N265+O308*O265+P308*P265+Q308*Q265+R308*R265+S308*S265+T308*T265+U308*U265+V308*V265+W308*W265+X308*X265+Y308*Y265+Z308*Z265+AA308*AA265+AB308*AB265+AC308*AC265+AD308*AD265+AE308*AE265+AF308*AF265+AG308*AG265+AH308*AH265+AI308*AI265+AJ308*AJ265+AK308*AK265+AL308*AL265+AM308*AM265+AN308*AN265+AO308*AO265+AP308*AP265+AQ308*AQ265+AR308*AR265+AS308*AS265+AT308*AT265+AU308*AU265+AV308*AV265+AW308*AW265+AX308*AX265+AY308*AY265+AZ308*AZ265+BA308*BA265+BB308*BB265+BC308*BC265+BD308*BD265+BE308*BE265+BF308*BF265+BG308*BG265+BH308*BH265+BI308*BI265+BJ308*BJ265+BK308*BK265+BL308*BL265+BM308*BM265+BN308*BN265+BO308*BO265+BP308*BP265+BQ308*BQ265+BR308*BR265+BS308*BS265+BT308*BT265+BU308*BU265+BV308*BV265+BW308*BW265+BX308*BX265+BY308*BY265+BZ308*BZ265+CA308*CA265+CB308*CB265+CC308*CC265+CD308*CD265+CE308*CE265+CF308*CF265+CG308*CG265+CH308*CH265+CI308*CI265+CJ308*CJ265+CK308*CK265+CL308*CL265+CM308*CM265+CN308*CN265+CO308*CO265+CP308*CP265+CQ308*CQ265+CR308*CR265+CS308*CS265+CT308*CT265+CU308*CU265</f>
        <v>0</v>
      </c>
      <c r="DH265" s="2882">
        <f>E309*E265+F309*F265+G309*G265+H309*H265+I309*I265+J309*J265+K309*K265+L309*L265+M309*M265+N309*N265+O309*O265+P309*P265+Q309*Q265+R309*R265+S309*S265+T309*T265+U309*U265+V309*V265+W309*W265+X309*X265+Y309*Y265+Z309*Z265+AA309*AA265+AB309*AB265+AC309*AC265+AD309*AD265+AE309*AE265+AF309*AF265+AG309*AG265+AH309*AH265+AI309*AI265+AJ309*AJ265+AK309*AK265+AL309*AL265+AM309*AM265+AN309*AN265+AO309*AO265+AP309*AP265+AQ309*AQ265+AR309*AR265+AS309*AS265+AT309*AT265+AU309*AU265+AV309*AV265+AW309*AW265+AX309*AX265+AY309*AY265+AZ309*AZ265+BA309*BA265+BB309*BB265+BC309*BC265+BD309*BD265+BE309*BE265+BF309*BF265+BG309*BG265+BH309*BH265+BI309*BI265+BJ309*BJ265+BK309*BK265+BL309*BL265+BM309*BM265+BN309*BN265+BO309*BO265+BP309*BP265+BQ309*BQ265+BR309*BR265+BS309*BS265+BT309*BT265+BU309*BU265+BV309*BV265+BW309*BW265+BX309*BX265+BY309*BY265+BZ309*BZ265+CA309*CA265+CB309*CB265+CC309*CC265+CD309*CD265+CE309*CE265+CF309*CF265+CG309*CG265+CH309*CH265+CI309*CI265+CJ309*CJ265+CK309*CK265+CL309*CL265+CM309*CM265+CN309*CN265+CO309*CO265+CP309*CP265+CQ309*CQ265+CR309*CR265+CS309*CS265+CT309*CT265+CU309*CU265</f>
        <v>0</v>
      </c>
      <c r="DI265" s="2882">
        <f>E310*E265+F310*F265+G310*G265+H310*H265+I310*I265+J310*J265+K310*K265+L310*L265+M310*M265+N310*N265+O310*O265+P310*P265+Q310*Q265+R310*R265+S310*S265+T310*T265+U310*U265+V310*V265+W310*W265+X310*X265+Y310*Y265+Z310*Z265+AA310*AA265+AB310*AB265+AC310*AC265+AD310*AD265+AE310*AE265+AF310*AF265+AG310*AG265+AH310*AH265+AI310*AI265+AJ310*AJ265+AK310*AK265+AL310*AL265+AM310*AM265+AN310*AN265+AO310*AO265+AP310*AP265+AQ310*AQ265+AR310*AR265+AS310*AS265+AT310*AT265+AU310*AU265+AV310*AV265+AW310*AW265+AX310*AX265+AY310*AY265+AZ310*AZ265+BA310*BA265+BB310*BB265+BC310*BC265+BD310*BD265+BE310*BE265+BF310*BF265+BG310*BG265+BH310*BH265+BI310*BI265+BJ310*BJ265+BK310*BK265+BL310*BL265+BM310*BM265+BN310*BN265+BO310*BO265+BP310*BP265+BQ310*BQ265+BR310*BR265+BS310*BS265+BT310*BT265+BU310*BU265+BV310*BV265+BW310*BW265+BX310*BX265+BY310*BY265+BZ310*BZ265+CA310*CA265+CB310*CB265+CC310*CC265+CD310*CD265+CE310*CE265+CF310*CF265+CG310*CG265+CH310*CH265+CI310*CI265+CJ310*CJ265+CK310*CK265+CL310*CL265+CM310*CM265+CN310*CN265+CO310*CO265+CP310*CP265+CQ310*CQ265+CR310*CR265+CS310*CS265+CT310*CT265+CU310*CU265</f>
        <v>0</v>
      </c>
    </row>
    <row r="266" spans="2:113" x14ac:dyDescent="0.45">
      <c r="B266" s="2219">
        <v>107</v>
      </c>
      <c r="C266" s="2219" t="s">
        <v>4903</v>
      </c>
      <c r="D266" s="2220" t="s">
        <v>3765</v>
      </c>
      <c r="E266" s="666">
        <f>0</f>
        <v>0</v>
      </c>
      <c r="F266" s="666">
        <f>0</f>
        <v>0</v>
      </c>
      <c r="G266" s="666">
        <f>0</f>
        <v>0</v>
      </c>
      <c r="H266" s="666">
        <f>0</f>
        <v>0</v>
      </c>
      <c r="I266" s="666">
        <f>0</f>
        <v>0</v>
      </c>
      <c r="J266" s="666">
        <f>0</f>
        <v>0</v>
      </c>
      <c r="K266" s="666">
        <f>0</f>
        <v>0</v>
      </c>
      <c r="L266" s="666">
        <f>0</f>
        <v>0</v>
      </c>
      <c r="M266" s="666">
        <f>0</f>
        <v>0</v>
      </c>
      <c r="N266" s="666">
        <f>0</f>
        <v>0</v>
      </c>
      <c r="O266" s="666">
        <f>0</f>
        <v>0</v>
      </c>
      <c r="P266" s="666">
        <f>0</f>
        <v>0</v>
      </c>
      <c r="Q266" s="666">
        <f>0</f>
        <v>0</v>
      </c>
      <c r="R266" s="666">
        <f>0</f>
        <v>0</v>
      </c>
      <c r="S266" s="666">
        <f>0</f>
        <v>0</v>
      </c>
      <c r="T266" s="666">
        <f>0</f>
        <v>0</v>
      </c>
      <c r="U266" s="666">
        <f>0</f>
        <v>0</v>
      </c>
      <c r="V266" s="666">
        <f>0</f>
        <v>0</v>
      </c>
      <c r="W266" s="666">
        <f>0</f>
        <v>0</v>
      </c>
      <c r="X266" s="666">
        <f>0</f>
        <v>0</v>
      </c>
      <c r="Y266" s="2551">
        <f>0</f>
        <v>0</v>
      </c>
      <c r="Z266" s="2551">
        <f>0</f>
        <v>0</v>
      </c>
      <c r="AA266" s="2551">
        <f>0</f>
        <v>0</v>
      </c>
      <c r="AB266" s="666">
        <f>0</f>
        <v>0</v>
      </c>
      <c r="AC266" s="666">
        <f>0</f>
        <v>0</v>
      </c>
      <c r="AD266" s="666">
        <f>0</f>
        <v>0</v>
      </c>
      <c r="AE266" s="666">
        <f>0</f>
        <v>0</v>
      </c>
      <c r="AF266" s="733">
        <f>0</f>
        <v>0</v>
      </c>
      <c r="AG266" s="733">
        <f>0</f>
        <v>0</v>
      </c>
      <c r="AH266" s="666">
        <f>1</f>
        <v>1</v>
      </c>
      <c r="AI266" s="666">
        <f>0</f>
        <v>0</v>
      </c>
      <c r="AJ266" s="666">
        <f>0</f>
        <v>0</v>
      </c>
      <c r="AK266" s="666">
        <f>0</f>
        <v>0</v>
      </c>
      <c r="AL266" s="666">
        <f>0</f>
        <v>0</v>
      </c>
      <c r="AM266" s="666">
        <f>0</f>
        <v>0</v>
      </c>
      <c r="AN266" s="666">
        <f>0</f>
        <v>0</v>
      </c>
      <c r="AO266" s="666">
        <f>0</f>
        <v>0</v>
      </c>
      <c r="AP266" s="666">
        <f>0</f>
        <v>0</v>
      </c>
      <c r="AQ266" s="666">
        <f>0</f>
        <v>0</v>
      </c>
      <c r="AR266" s="666">
        <f>0</f>
        <v>0</v>
      </c>
      <c r="AS266" s="666">
        <f>0</f>
        <v>0</v>
      </c>
      <c r="AT266" s="666">
        <f>0</f>
        <v>0</v>
      </c>
      <c r="AU266" s="666">
        <f>0</f>
        <v>0</v>
      </c>
      <c r="AV266" s="666">
        <f>0</f>
        <v>0</v>
      </c>
      <c r="AW266" s="666">
        <f>0</f>
        <v>0</v>
      </c>
      <c r="AX266" s="666">
        <f>0</f>
        <v>0</v>
      </c>
      <c r="AY266" s="666">
        <f>0</f>
        <v>0</v>
      </c>
      <c r="AZ266" s="666">
        <f>0</f>
        <v>0</v>
      </c>
      <c r="BA266" s="666">
        <f>0</f>
        <v>0</v>
      </c>
      <c r="BB266" s="2551">
        <f>0</f>
        <v>0</v>
      </c>
      <c r="BC266" s="2551">
        <f>0</f>
        <v>0</v>
      </c>
      <c r="BD266" s="2551">
        <f>0</f>
        <v>0</v>
      </c>
      <c r="BE266" s="666">
        <f>0</f>
        <v>0</v>
      </c>
      <c r="BF266" s="666">
        <f>0</f>
        <v>0</v>
      </c>
      <c r="BG266" s="666">
        <f>0</f>
        <v>0</v>
      </c>
      <c r="BH266" s="666">
        <f>0</f>
        <v>0</v>
      </c>
      <c r="BI266" s="666">
        <f>0</f>
        <v>0</v>
      </c>
      <c r="BJ266" s="666">
        <f>0</f>
        <v>0</v>
      </c>
      <c r="BK266" s="666">
        <f>0</f>
        <v>0</v>
      </c>
      <c r="BL266" s="666">
        <f>0</f>
        <v>0</v>
      </c>
      <c r="BM266" s="666">
        <f>0</f>
        <v>0</v>
      </c>
      <c r="BN266" s="666">
        <f>0</f>
        <v>0</v>
      </c>
      <c r="BO266" s="666">
        <f>0</f>
        <v>0</v>
      </c>
      <c r="BP266" s="666">
        <f>0</f>
        <v>0</v>
      </c>
      <c r="BQ266" s="666">
        <f>0</f>
        <v>0</v>
      </c>
      <c r="BR266" s="666">
        <f>0</f>
        <v>0</v>
      </c>
      <c r="BS266" s="666">
        <f>0</f>
        <v>0</v>
      </c>
      <c r="BT266" s="666">
        <f>0</f>
        <v>0</v>
      </c>
      <c r="BU266" s="666">
        <f>0</f>
        <v>0</v>
      </c>
      <c r="BV266" s="666">
        <f>0</f>
        <v>0</v>
      </c>
      <c r="BW266" s="666">
        <f>0</f>
        <v>0</v>
      </c>
      <c r="BX266" s="666">
        <f>0</f>
        <v>0</v>
      </c>
      <c r="BY266" s="2551">
        <f>0</f>
        <v>0</v>
      </c>
      <c r="BZ266" s="666">
        <f>0</f>
        <v>0</v>
      </c>
      <c r="CA266" s="666">
        <f>0</f>
        <v>0</v>
      </c>
      <c r="CB266" s="666">
        <f>0</f>
        <v>0</v>
      </c>
      <c r="CC266" s="666">
        <f>0</f>
        <v>0</v>
      </c>
      <c r="CD266" s="666">
        <f>0</f>
        <v>0</v>
      </c>
      <c r="CE266" s="666">
        <f>0</f>
        <v>0</v>
      </c>
      <c r="CF266" s="666">
        <f>0</f>
        <v>0</v>
      </c>
      <c r="CG266" s="666">
        <f>0</f>
        <v>0</v>
      </c>
      <c r="CH266" s="666">
        <f>0</f>
        <v>0</v>
      </c>
      <c r="CI266" s="666">
        <f>0</f>
        <v>0</v>
      </c>
      <c r="CJ266" s="2551">
        <f>0</f>
        <v>0</v>
      </c>
      <c r="CK266" s="666">
        <f>0</f>
        <v>0</v>
      </c>
      <c r="CL266" s="666">
        <f>0</f>
        <v>0</v>
      </c>
      <c r="CM266" s="666">
        <f>0</f>
        <v>0</v>
      </c>
      <c r="CN266" s="666">
        <f>0</f>
        <v>0</v>
      </c>
      <c r="CO266" s="667">
        <f>0</f>
        <v>0</v>
      </c>
      <c r="CP266" s="666">
        <f>0</f>
        <v>0</v>
      </c>
      <c r="CQ266" s="785">
        <f>-Δ_atm</f>
        <v>-1</v>
      </c>
      <c r="CR266" s="666">
        <f>0</f>
        <v>0</v>
      </c>
      <c r="CS266" s="2551">
        <f>0</f>
        <v>0</v>
      </c>
      <c r="CT266" s="2551">
        <f>0</f>
        <v>0</v>
      </c>
      <c r="CU266" s="2551">
        <f>0</f>
        <v>0</v>
      </c>
      <c r="CV266" s="2862">
        <f>k_LaGN2O_sur*(S_GN2O_sur_sat-S_N2O)</f>
        <v>40.922699999999999</v>
      </c>
      <c r="CX266" s="2880">
        <f>E299*E266+F299*F266+G299*G266+H299*H266+I299*I266+J299*J266+K299*K266+L299*L266+M299*M266+N299*N266+O299*O266+P299*P266+Q299*Q266+R299*R266+S299*S266+T299*T266+U299*U266+V299*V266+W299*W266+X299*X266+Y299*Y266+Z299*Z266+AA299*AA266+AB299*AB266+AC299*AC266+AD299*AD266+AE299*AE266+AF299*AF266+AG299*AG266+AH299*AH266+AI299*AI266+AJ299*AJ266+AK299*AK266+AL299*AL266+AM299*AM266+AN299*AN266+AO299*AO266+AP299*AP266+AQ299*AQ266+AR299*AR266+AS299*AS266+AT299*AT266+AU299*AU266+AV299*AV266+AW299*AW266+AX299*AX266+AY299*AY266+AZ299*AZ266+BA299*BA266+BB299*BB266+BC299*BC266+BD299*BD266+BE299*BE266+BF299*BF266+BG299*BG266+BH299*BH266+BI299*BI266+BJ299*BJ266+BK299*BK266+BL299*BL266+BM299*BM266+BN299*BN266+BO299*BO266+BP299*BP266+BQ299*BQ266+BR299*BR266+BS299*BS266+BT299*BT266+BU299*BU266+BV299*BV266+BW299*BW266+BX299*BX266+BY299*BY266+BZ299*BZ266+CA299*CA266+CB299*CB266+CC299*CC266+CD299*CD266+CE299*CE266+CF299*CF266+CG299*CG266+CH299*CH266+CI299*CI266+CJ299*CJ266+CK299*CK266+CL299*CL266+CM299*CM266+CN299*CN266+CO299*CO266+CP299*CP266+CQ299*CQ266+CR299*CR266+CS299*CS266+CT299*CT266+CU299*CU266</f>
        <v>0</v>
      </c>
      <c r="CY266" s="2880">
        <f>E300*E266+F300*F266+G300*G266+H300*H266+I300*I266+J300*J266+K300*K266+L300*L266+M300*M266+N300*N266+O300*O266+P300*P266+Q300*Q266+R300*R266+S300*S266+T300*T266+U300*U266+V300*V266+W300*W266+X300*X266+Y300*Y266+Z300*Z266+AA300*AA266+AB300*AB266+AC300*AC266+AD300*AD266+AE300*AE266+AF300*AF266+AG300*AG266+AH300*AH266+AI300*AI266+AJ300*AJ266+AK300*AK266+AL300*AL266+AM300*AM266+AN300*AN266+AO300*AO266+AP300*AP266+AQ300*AQ266+AR300*AR266+AS300*AS266+AT300*AT266+AU300*AU266+AV300*AV266+AW300*AW266+AX300*AX266+AY300*AY266+AZ300*AZ266+BA300*BA266+BB300*BB266+BC300*BC266+BD300*BD266+BE300*BE266+BF300*BF266+BG300*BG266+BH300*BH266+BI300*BI266+BJ300*BJ266+BK300*BK266+BL300*BL266+BM300*BM266+BN300*BN266+BO300*BO266+BP300*BP266+BQ300*BQ266+BR300*BR266+BS300*BS266+BT300*BT266+BU300*BU266+BV300*BV266+BW300*BW266+BX300*BX266+BY300*BY266+BZ300*BZ266+CA300*CA266+CB300*CB266+CC300*CC266+CD300*CD266+CE300*CE266+CF300*CF266+CG300*CG266+CH300*CH266+CI300*CI266+CJ300*CJ266+CK300*CK266+CL300*CL266+CM300*CM266+CN300*CN266+CO300*CO266+CP300*CP266+CQ300*CQ266+CR300*CR266+CS300*CS266+CT300*CT266+CU300*CU266</f>
        <v>0</v>
      </c>
      <c r="CZ266" s="2881">
        <f>E301*E266+F301*F266+G301*G266+H301*H266+I301*I266+J301*J266+K301*K266+L301*L266+M301*M266+N301*N266+O301*O266+P301*P266+Q301*Q266+R301*R266+S301*S266+T301*T266+U301*U266+V301*V266+W301*W266+X301*X266+Y301*Y266+Z301*Z266+AA301*AA266+AB301*AB266+AC301*AC266+AD301*AD266+AE301*AE266+AF301*AF266+AG301*AG266+AH301*AH266+AI301*AI266+AJ301*AJ266+AK301*AK266+AL301*AL266+AM301*AM266+AN301*AN266+AO301*AO266+AP301*AP266+AQ301*AQ266+AR301*AR266+AS301*AS266+AT301*AT266+AU301*AU266+AV301*AV266+AW301*AW266+AX301*AX266+AY301*AY266+AZ301*AZ266+BA301*BA266+BB301*BB266+BC301*BC266+BD301*BD266+BE301*BE266+BF301*BF266+BG301*BG266+BH301*BH266+BI301*BI266+BJ301*BJ266+BK301*BK266+BL301*BL266+BM301*BM266+BN301*BN266+BO301*BO266+BP301*BP266+BQ301*BQ266+BR301*BR266+BS301*BS266+BT301*BT266+BU301*BU266+BV301*BV266+BW301*BW266+BX301*BX266+BY301*BY266+BZ301*BZ266+CA301*CA266+CB301*CB266+CC301*CC266+CD301*CD266+CE301*CE266+CF301*CF266+CG301*CG266+CH301*CH266+CI301*CI266+CJ301*CJ266+CK301*CK266+CL301*CL266+CM301*CM266+CN301*CN266+CO301*CO266+CP301*CP266+CQ301*CQ266+CR301*CR266+CS301*CS266+CT301*CT266+CU301*CU266</f>
        <v>0</v>
      </c>
      <c r="DA266" s="2882">
        <f>E302*E266+F302*F266+G302*G266+H302*H266+I302*I266+J302*J266+K302*K266+L302*L266+M302*M266+N302*N266+O302*O266+P302*P266+Q302*Q266+R302*R266+S302*S266+T302*T266+U302*U266+V302*V266+W302*W266+X302*X266+Y302*Y266+Z302*Z266+AA302*AA266+AB302*AB266+AC302*AC266+AD302*AD266+AE302*AE266+AF302*AF266+AG302*AG266+AH302*AH266+AI302*AI266+AJ302*AJ266+AK302*AK266+AL302*AL266+AM302*AM266+AN302*AN266+AO302*AO266+AP302*AP266+AQ302*AQ266+AR302*AR266+AS302*AS266+AT302*AT266+AU302*AU266+AV302*AV266+AW302*AW266+AX302*AX266+AY302*AY266+AZ302*AZ266+BA302*BA266+BB302*BB266+BC302*BC266+BD302*BD266+BE302*BE266+BF302*BF266+BG302*BG266+BH302*BH266+BI302*BI266+BJ302*BJ266+BK302*BK266+BL302*BL266+BM302*BM266+BN302*BN266+BO302*BO266+BP302*BP266+BQ302*BQ266+BR302*BR266+BS302*BS266+BT302*BT266+BU302*BU266+BV302*BV266+BW302*BW266+BX302*BX266+BY302*BY266+BZ302*BZ266+CA302*CA266+CB302*CB266+CC302*CC266+CD302*CD266+CE302*CE266+CF302*CF266+CG302*CG266+CH302*CH266+CI302*CI266+CJ302*CJ266+CK302*CK266+CL302*CL266+CM302*CM266+CN302*CN266+CO302*CO266+CP302*CP266+CQ302*CQ266+CR302*CR266+CS302*CS266+CT302*CT266+CU302*CU266</f>
        <v>0</v>
      </c>
      <c r="DB266" s="2882">
        <f>E303*E266+F303*F266+G303*G266+H303*H266+I303*I266+J303*J266+K303*K266+L303*L266+M303*M266+N303*N266+O303*O266+P303*P266+Q303*Q266+R303*R266+S303*S266+T303*T266+U303*U266+V303*V266+W303*W266+X303*X266+Y303*Y266+Z303*Z266+AA303*AA266+AB303*AB266+AC303*AC266+AD303*AD266+AE303*AE266+AF303*AF266+AG303*AG266+AH303*AH266+AI303*AI266+AJ303*AJ266+AK303*AK266+AL303*AL266+AM303*AM266+AN303*AN266+AO303*AO266+AP303*AP266+AQ303*AQ266+AR303*AR266+AS303*AS266+AT303*AT266+AU303*AU266+AV303*AV266+AW303*AW266+AX303*AX266+AY303*AY266+AZ303*AZ266+BA303*BA266+BB303*BB266+BC303*BC266+BD303*BD266+BE303*BE266+BF303*BF266+BG303*BG266+BH303*BH266+BI303*BI266+BJ303*BJ266+BK303*BK266+BL303*BL266+BM303*BM266+BN303*BN266+BO303*BO266+BP303*BP266+BQ303*BQ266+BR303*BR266+BS303*BS266+BT303*BT266+BU303*BU266+BV303*BV266+BW303*BW266+BX303*BX266+BY303*BY266+BZ303*BZ266+CA303*CA266+CB303*CB266+CC303*CC266+CD303*CD266+CE303*CE266+CF303*CF266+CG303*CG266+CH303*CH266+CI303*CI266+CJ303*CJ266+CK303*CK266+CL303*CL266+CM303*CM266+CN303*CN266+CO303*CO266+CP303*CP266+CQ303*CQ266+CR303*CR266+CS303*CS266+CT303*CT266+CU303*CU266</f>
        <v>0</v>
      </c>
      <c r="DC266" s="2882">
        <f>E304*E266+F304*F266+G304*G266+H304*H266+I304*I266+J304*J266+K304*K266+L304*L266+M304*M266+N304*N266+O304*O266+P304*P266+Q304*Q266+R304*R266+S304*S266+T304*T266+U304*U266+V304*V266+W304*W266+X304*X266+Y304*Y266+Z304*Z266+AA304*AA266+AB304*AB266+AC304*AC266+AD304*AD266+AE304*AE266+AF304*AF266+AG304*AG266+AH304*AH266+AI304*AI266+AJ304*AJ266+AK304*AK266+AL304*AL266+AM304*AM266+AN304*AN266+AO304*AO266+AP304*AP266+AQ304*AQ266+AR304*AR266+AS304*AS266+AT304*AT266+AU304*AU266+AV304*AV266+AW304*AW266+AX304*AX266+AY304*AY266+AZ304*AZ266+BA304*BA266+BB304*BB266+BC304*BC266+BD304*BD266+BE304*BE266+BF304*BF266+BG304*BG266+BH304*BH266+BI304*BI266+BJ304*BJ266+BK304*BK266+BL304*BL266+BM304*BM266+BN304*BN266+BO304*BO266+BP304*BP266+BQ304*BQ266+BR304*BR266+BS304*BS266+BT304*BT266+BU304*BU266+BV304*BV266+BW304*BW266+BX304*BX266+BY304*BY266+BZ304*BZ266+CA304*CA266+CB304*CB266+CC304*CC266+CD304*CD266+CE304*CE266+CF304*CF266+CG304*CG266+CH304*CH266+CI304*CI266+CJ304*CJ266+CK304*CK266+CL304*CL266+CM304*CM266+CN304*CN266+CO304*CO266+CP304*CP266+CQ304*CQ266+CR304*CR266+CS304*CS266+CT304*CT266+CU304*CU266</f>
        <v>0</v>
      </c>
      <c r="DD266" s="2882">
        <f>E305*E266+F305*F266+G305*G266+H305*H266+I305*I266+J305*J266+K305*K266+L305*L266+M305*M266+N305*N266+O305*O266+P305*P266+Q305*Q266+R305*R266+S305*S266+T305*T266+U305*U266+V305*V266+W305*W266+X305*X266+Y305*Y266+Z305*Z266+AA305*AA266+AB305*AB266+AC305*AC266+AD305*AD266+AE305*AE266+AF305*AF266+AG305*AG266+AH305*AH266+AI305*AI266+AJ305*AJ266+AK305*AK266+AL305*AL266+AM305*AM266+AN305*AN266+AO305*AO266+AP305*AP266+AQ305*AQ266+AR305*AR266+AS305*AS266+AT305*AT266+AU305*AU266+AV305*AV266+AW305*AW266+AX305*AX266+AY305*AY266+AZ305*AZ266+BA305*BA266+BB305*BB266+BC305*BC266+BD305*BD266+BE305*BE266+BF305*BF266+BG305*BG266+BH305*BH266+BI305*BI266+BJ305*BJ266+BK305*BK266+BL305*BL266+BM305*BM266+BN305*BN266+BO305*BO266+BP305*BP266+BQ305*BQ266+BR305*BR266+BS305*BS266+BT305*BT266+BU305*BU266+BV305*BV266+BW305*BW266+BX305*BX266+BY305*BY266+BZ305*BZ266+CA305*CA266+CB305*CB266+CC305*CC266+CD305*CD266+CE305*CE266+CF305*CF266+CG305*CG266+CH305*CH266+CI305*CI266+CJ305*CJ266+CK305*CK266+CL305*CL266+CM305*CM266+CN305*CN266+CO305*CO266+CP305*CP266+CQ305*CQ266+CR305*CR266+CS305*CS266+CT305*CT266+CU305*CU266</f>
        <v>0</v>
      </c>
      <c r="DE266" s="2882">
        <f>E306*E266+F306*F266+G306*G266+H306*H266+I306*I266+J306*J266+K306*K266+L306*L266+M306*M266+N306*N266+O306*O266+P306*P266+Q306*Q266+R306*R266+S306*S266+T306*T266+U306*U266+V306*V266+W306*W266+X306*X266+Y306*Y266+Z306*Z266+AA306*AA266+AB306*AB266+AC306*AC266+AD306*AD266+AE306*AE266+AF306*AF266+AG306*AG266+AH306*AH266+AI306*AI266+AJ306*AJ266+AK306*AK266+AL306*AL266+AM306*AM266+AN306*AN266+AO306*AO266+AP306*AP266+AQ306*AQ266+AR306*AR266+AS306*AS266+AT306*AT266+AU306*AU266+AV306*AV266+AW306*AW266+AX306*AX266+AY306*AY266+AZ306*AZ266+BA306*BA266+BB306*BB266+BC306*BC266+BD306*BD266+BE306*BE266+BF306*BF266+BG306*BG266+BH306*BH266+BI306*BI266+BJ306*BJ266+BK306*BK266+BL306*BL266+BM306*BM266+BN306*BN266+BO306*BO266+BP306*BP266+BQ306*BQ266+BR306*BR266+BS306*BS266+BT306*BT266+BU306*BU266+BV306*BV266+BW306*BW266+BX306*BX266+BY306*BY266+BZ306*BZ266+CA306*CA266+CB306*CB266+CC306*CC266+CD306*CD266+CE306*CE266+CF306*CF266+CG306*CG266+CH306*CH266+CI306*CI266+CJ306*CJ266+CK306*CK266+CL306*CL266+CM306*CM266+CN306*CN266+CO306*CO266+CP306*CP266+CQ306*CQ266+CR306*CR266+CS306*CS266+CT306*CT266+CU306*CU266</f>
        <v>0</v>
      </c>
      <c r="DF266" s="2882">
        <f>E307*E266+F307*F266+G307*G266+H307*H266+I307*I266+J307*J266+K307*K266+L307*L266+M307*M266+N307*N266+O307*O266+P307*P266+Q307*Q266+R307*R266+S307*S266+T307*T266+U307*U266+V307*V266+W307*W266+X307*X266+Y307*Y266+Z307*Z266+AA307*AA266+AB307*AB266+AC307*AC266+AD307*AD266+AE307*AE266+AF307*AF266+AG307*AG266+AH307*AH266+AI307*AI266+AJ307*AJ266+AK307*AK266+AL307*AL266+AM307*AM266+AN307*AN266+AO307*AO266+AP307*AP266+AQ307*AQ266+AR307*AR266+AS307*AS266+AT307*AT266+AU307*AU266+AV307*AV266+AW307*AW266+AX307*AX266+AY307*AY266+AZ307*AZ266+BA307*BA266+BB307*BB266+BC307*BC266+BD307*BD266+BE307*BE266+BF307*BF266+BG307*BG266+BH307*BH266+BI307*BI266+BJ307*BJ266+BK307*BK266+BL307*BL266+BM307*BM266+BN307*BN266+BO307*BO266+BP307*BP266+BQ307*BQ266+BR307*BR266+BS307*BS266+BT307*BT266+BU307*BU266+BV307*BV266+BW307*BW266+BX307*BX266+BY307*BY266+BZ307*BZ266+CA307*CA266+CB307*CB266+CC307*CC266+CD307*CD266+CE307*CE266+CF307*CF266+CG307*CG266+CH307*CH266+CI307*CI266+CJ307*CJ266+CK307*CK266+CL307*CL266+CM307*CM266+CN307*CN266+CO307*CO266+CP307*CP266+CQ307*CQ266+CR307*CR266+CS307*CS266+CT307*CT266+CU307*CU266</f>
        <v>0</v>
      </c>
      <c r="DG266" s="2882">
        <f>E308*E266+F308*F266+G308*G266+H308*H266+I308*I266+J308*J266+K308*K266+L308*L266+M308*M266+N308*N266+O308*O266+P308*P266+Q308*Q266+R308*R266+S308*S266+T308*T266+U308*U266+V308*V266+W308*W266+X308*X266+Y308*Y266+Z308*Z266+AA308*AA266+AB308*AB266+AC308*AC266+AD308*AD266+AE308*AE266+AF308*AF266+AG308*AG266+AH308*AH266+AI308*AI266+AJ308*AJ266+AK308*AK266+AL308*AL266+AM308*AM266+AN308*AN266+AO308*AO266+AP308*AP266+AQ308*AQ266+AR308*AR266+AS308*AS266+AT308*AT266+AU308*AU266+AV308*AV266+AW308*AW266+AX308*AX266+AY308*AY266+AZ308*AZ266+BA308*BA266+BB308*BB266+BC308*BC266+BD308*BD266+BE308*BE266+BF308*BF266+BG308*BG266+BH308*BH266+BI308*BI266+BJ308*BJ266+BK308*BK266+BL308*BL266+BM308*BM266+BN308*BN266+BO308*BO266+BP308*BP266+BQ308*BQ266+BR308*BR266+BS308*BS266+BT308*BT266+BU308*BU266+BV308*BV266+BW308*BW266+BX308*BX266+BY308*BY266+BZ308*BZ266+CA308*CA266+CB308*CB266+CC308*CC266+CD308*CD266+CE308*CE266+CF308*CF266+CG308*CG266+CH308*CH266+CI308*CI266+CJ308*CJ266+CK308*CK266+CL308*CL266+CM308*CM266+CN308*CN266+CO308*CO266+CP308*CP266+CQ308*CQ266+CR308*CR266+CS308*CS266+CT308*CT266+CU308*CU266</f>
        <v>0</v>
      </c>
      <c r="DH266" s="2882">
        <f>E309*E266+F309*F266+G309*G266+H309*H266+I309*I266+J309*J266+K309*K266+L309*L266+M309*M266+N309*N266+O309*O266+P309*P266+Q309*Q266+R309*R266+S309*S266+T309*T266+U309*U266+V309*V266+W309*W266+X309*X266+Y309*Y266+Z309*Z266+AA309*AA266+AB309*AB266+AC309*AC266+AD309*AD266+AE309*AE266+AF309*AF266+AG309*AG266+AH309*AH266+AI309*AI266+AJ309*AJ266+AK309*AK266+AL309*AL266+AM309*AM266+AN309*AN266+AO309*AO266+AP309*AP266+AQ309*AQ266+AR309*AR266+AS309*AS266+AT309*AT266+AU309*AU266+AV309*AV266+AW309*AW266+AX309*AX266+AY309*AY266+AZ309*AZ266+BA309*BA266+BB309*BB266+BC309*BC266+BD309*BD266+BE309*BE266+BF309*BF266+BG309*BG266+BH309*BH266+BI309*BI266+BJ309*BJ266+BK309*BK266+BL309*BL266+BM309*BM266+BN309*BN266+BO309*BO266+BP309*BP266+BQ309*BQ266+BR309*BR266+BS309*BS266+BT309*BT266+BU309*BU266+BV309*BV266+BW309*BW266+BX309*BX266+BY309*BY266+BZ309*BZ266+CA309*CA266+CB309*CB266+CC309*CC266+CD309*CD266+CE309*CE266+CF309*CF266+CG309*CG266+CH309*CH266+CI309*CI266+CJ309*CJ266+CK309*CK266+CL309*CL266+CM309*CM266+CN309*CN266+CO309*CO266+CP309*CP266+CQ309*CQ266+CR309*CR266+CS309*CS266+CT309*CT266+CU309*CU266</f>
        <v>0</v>
      </c>
      <c r="DI266" s="2882">
        <f>E310*E266+F310*F266+G310*G266+H310*H266+I310*I266+J310*J266+K310*K266+L310*L266+M310*M266+N310*N266+O310*O266+P310*P266+Q310*Q266+R310*R266+S310*S266+T310*T266+U310*U266+V310*V266+W310*W266+X310*X266+Y310*Y266+Z310*Z266+AA310*AA266+AB310*AB266+AC310*AC266+AD310*AD266+AE310*AE266+AF310*AF266+AG310*AG266+AH310*AH266+AI310*AI266+AJ310*AJ266+AK310*AK266+AL310*AL266+AM310*AM266+AN310*AN266+AO310*AO266+AP310*AP266+AQ310*AQ266+AR310*AR266+AS310*AS266+AT310*AT266+AU310*AU266+AV310*AV266+AW310*AW266+AX310*AX266+AY310*AY266+AZ310*AZ266+BA310*BA266+BB310*BB266+BC310*BC266+BD310*BD266+BE310*BE266+BF310*BF266+BG310*BG266+BH310*BH266+BI310*BI266+BJ310*BJ266+BK310*BK266+BL310*BL266+BM310*BM266+BN310*BN266+BO310*BO266+BP310*BP266+BQ310*BQ266+BR310*BR266+BS310*BS266+BT310*BT266+BU310*BU266+BV310*BV266+BW310*BW266+BX310*BX266+BY310*BY266+BZ310*BZ266+CA310*CA266+CB310*CB266+CC310*CC266+CD310*CD266+CE310*CE266+CF310*CF266+CG310*CG266+CH310*CH266+CI310*CI266+CJ310*CJ266+CK310*CK266+CL310*CL266+CM310*CM266+CN310*CN266+CO310*CO266+CP310*CP266+CQ310*CQ266+CR310*CR266+CS310*CS266+CT310*CT266+CU310*CU266</f>
        <v>0</v>
      </c>
    </row>
    <row r="267" spans="2:113" ht="14.65" thickBot="1" x14ac:dyDescent="0.5">
      <c r="B267" s="2221">
        <v>108</v>
      </c>
      <c r="C267" s="2221" t="s">
        <v>4904</v>
      </c>
      <c r="D267" s="2222" t="s">
        <v>3203</v>
      </c>
      <c r="E267" s="510">
        <f>0</f>
        <v>0</v>
      </c>
      <c r="F267" s="510">
        <f>0</f>
        <v>0</v>
      </c>
      <c r="G267" s="510">
        <f>0</f>
        <v>0</v>
      </c>
      <c r="H267" s="510">
        <f>0</f>
        <v>0</v>
      </c>
      <c r="I267" s="510">
        <f>0</f>
        <v>0</v>
      </c>
      <c r="J267" s="510">
        <f>0</f>
        <v>0</v>
      </c>
      <c r="K267" s="510">
        <f>0</f>
        <v>0</v>
      </c>
      <c r="L267" s="510">
        <f>0</f>
        <v>0</v>
      </c>
      <c r="M267" s="510">
        <f>0</f>
        <v>0</v>
      </c>
      <c r="N267" s="510">
        <f>0</f>
        <v>0</v>
      </c>
      <c r="O267" s="510">
        <f>0</f>
        <v>0</v>
      </c>
      <c r="P267" s="510">
        <f>0</f>
        <v>0</v>
      </c>
      <c r="Q267" s="510">
        <f>0</f>
        <v>0</v>
      </c>
      <c r="R267" s="510">
        <f>0</f>
        <v>0</v>
      </c>
      <c r="S267" s="510">
        <f>0</f>
        <v>0</v>
      </c>
      <c r="T267" s="510">
        <f>0</f>
        <v>0</v>
      </c>
      <c r="U267" s="510">
        <f>0</f>
        <v>0</v>
      </c>
      <c r="V267" s="510">
        <f>0</f>
        <v>0</v>
      </c>
      <c r="W267" s="510">
        <f>0</f>
        <v>0</v>
      </c>
      <c r="X267" s="510">
        <f>0</f>
        <v>0</v>
      </c>
      <c r="Y267" s="2552">
        <f>0</f>
        <v>0</v>
      </c>
      <c r="Z267" s="2552">
        <f>0</f>
        <v>0</v>
      </c>
      <c r="AA267" s="2552">
        <f>0</f>
        <v>0</v>
      </c>
      <c r="AB267" s="510">
        <f>0</f>
        <v>0</v>
      </c>
      <c r="AC267" s="510">
        <f>0</f>
        <v>0</v>
      </c>
      <c r="AD267" s="510">
        <f>0</f>
        <v>0</v>
      </c>
      <c r="AE267" s="510">
        <f>0</f>
        <v>0</v>
      </c>
      <c r="AF267" s="510">
        <f>0</f>
        <v>0</v>
      </c>
      <c r="AG267" s="510">
        <f>0</f>
        <v>0</v>
      </c>
      <c r="AH267" s="510">
        <f>0</f>
        <v>0</v>
      </c>
      <c r="AI267" s="510">
        <f>1</f>
        <v>1</v>
      </c>
      <c r="AJ267" s="510">
        <f>0</f>
        <v>0</v>
      </c>
      <c r="AK267" s="510">
        <f>0</f>
        <v>0</v>
      </c>
      <c r="AL267" s="510">
        <f>0</f>
        <v>0</v>
      </c>
      <c r="AM267" s="510">
        <f>0</f>
        <v>0</v>
      </c>
      <c r="AN267" s="510">
        <f>0</f>
        <v>0</v>
      </c>
      <c r="AO267" s="510">
        <f>0</f>
        <v>0</v>
      </c>
      <c r="AP267" s="510">
        <f>0</f>
        <v>0</v>
      </c>
      <c r="AQ267" s="510">
        <f>0</f>
        <v>0</v>
      </c>
      <c r="AR267" s="510">
        <f>0</f>
        <v>0</v>
      </c>
      <c r="AS267" s="510">
        <f>0</f>
        <v>0</v>
      </c>
      <c r="AT267" s="510">
        <f>0</f>
        <v>0</v>
      </c>
      <c r="AU267" s="510">
        <f>0</f>
        <v>0</v>
      </c>
      <c r="AV267" s="510">
        <f>0</f>
        <v>0</v>
      </c>
      <c r="AW267" s="510">
        <f>0</f>
        <v>0</v>
      </c>
      <c r="AX267" s="510">
        <f>0</f>
        <v>0</v>
      </c>
      <c r="AY267" s="510">
        <f>0</f>
        <v>0</v>
      </c>
      <c r="AZ267" s="510">
        <f>0</f>
        <v>0</v>
      </c>
      <c r="BA267" s="510">
        <f>0</f>
        <v>0</v>
      </c>
      <c r="BB267" s="2552">
        <f>0</f>
        <v>0</v>
      </c>
      <c r="BC267" s="2552">
        <f>0</f>
        <v>0</v>
      </c>
      <c r="BD267" s="2552">
        <f>0</f>
        <v>0</v>
      </c>
      <c r="BE267" s="510">
        <f>0</f>
        <v>0</v>
      </c>
      <c r="BF267" s="510">
        <f>0</f>
        <v>0</v>
      </c>
      <c r="BG267" s="510">
        <f>0</f>
        <v>0</v>
      </c>
      <c r="BH267" s="510">
        <f>0</f>
        <v>0</v>
      </c>
      <c r="BI267" s="510">
        <f>0</f>
        <v>0</v>
      </c>
      <c r="BJ267" s="510">
        <f>0</f>
        <v>0</v>
      </c>
      <c r="BK267" s="510">
        <f>0</f>
        <v>0</v>
      </c>
      <c r="BL267" s="510">
        <f>0</f>
        <v>0</v>
      </c>
      <c r="BM267" s="510">
        <f>0</f>
        <v>0</v>
      </c>
      <c r="BN267" s="510">
        <f>0</f>
        <v>0</v>
      </c>
      <c r="BO267" s="510">
        <f>0</f>
        <v>0</v>
      </c>
      <c r="BP267" s="510">
        <f>0</f>
        <v>0</v>
      </c>
      <c r="BQ267" s="510">
        <f>0</f>
        <v>0</v>
      </c>
      <c r="BR267" s="510">
        <f>0</f>
        <v>0</v>
      </c>
      <c r="BS267" s="510">
        <f>0</f>
        <v>0</v>
      </c>
      <c r="BT267" s="510">
        <f>0</f>
        <v>0</v>
      </c>
      <c r="BU267" s="510">
        <f>0</f>
        <v>0</v>
      </c>
      <c r="BV267" s="510">
        <f>0</f>
        <v>0</v>
      </c>
      <c r="BW267" s="510">
        <f>0</f>
        <v>0</v>
      </c>
      <c r="BX267" s="510">
        <f>0</f>
        <v>0</v>
      </c>
      <c r="BY267" s="2552">
        <f>0</f>
        <v>0</v>
      </c>
      <c r="BZ267" s="510">
        <f>0</f>
        <v>0</v>
      </c>
      <c r="CA267" s="510">
        <f>0</f>
        <v>0</v>
      </c>
      <c r="CB267" s="510">
        <f>0</f>
        <v>0</v>
      </c>
      <c r="CC267" s="510">
        <f>0</f>
        <v>0</v>
      </c>
      <c r="CD267" s="510">
        <f>0</f>
        <v>0</v>
      </c>
      <c r="CE267" s="510">
        <f>0</f>
        <v>0</v>
      </c>
      <c r="CF267" s="510">
        <f>0</f>
        <v>0</v>
      </c>
      <c r="CG267" s="510">
        <f>0</f>
        <v>0</v>
      </c>
      <c r="CH267" s="510">
        <f>0</f>
        <v>0</v>
      </c>
      <c r="CI267" s="510">
        <f>0</f>
        <v>0</v>
      </c>
      <c r="CJ267" s="2552">
        <f>0</f>
        <v>0</v>
      </c>
      <c r="CK267" s="510">
        <f>0</f>
        <v>0</v>
      </c>
      <c r="CL267" s="510">
        <f>0</f>
        <v>0</v>
      </c>
      <c r="CM267" s="510">
        <f>0</f>
        <v>0</v>
      </c>
      <c r="CN267" s="510">
        <f>0</f>
        <v>0</v>
      </c>
      <c r="CO267" s="510">
        <f>0</f>
        <v>0</v>
      </c>
      <c r="CP267" s="510">
        <f>0</f>
        <v>0</v>
      </c>
      <c r="CQ267" s="510">
        <f>0</f>
        <v>0</v>
      </c>
      <c r="CR267" s="511">
        <f>-Δ_atm</f>
        <v>-1</v>
      </c>
      <c r="CS267" s="2567">
        <f>0</f>
        <v>0</v>
      </c>
      <c r="CT267" s="2567">
        <f>0</f>
        <v>0</v>
      </c>
      <c r="CU267" s="2827">
        <f>0</f>
        <v>0</v>
      </c>
      <c r="CV267" s="2872">
        <f>k_LaGN2_sur*(S_GN2_sur_sat-S_N2)</f>
        <v>-8.19</v>
      </c>
      <c r="CX267" s="2880">
        <f>E299*E267+F299*F267+G299*G267+H299*H267+I299*I267+J299*J267+K299*K267+L299*L267+M299*M267+N299*N267+O299*O267+P299*P267+Q299*Q267+R299*R267+S299*S267+T299*T267+U299*U267+V299*V267+W299*W267+X299*X267+Y299*Y267+Z299*Z267+AA299*AA267+AB299*AB267+AC299*AC267+AD299*AD267+AE299*AE267+AF299*AF267+AG299*AG267+AH299*AH267+AI299*AI267+AJ299*AJ267+AK299*AK267+AL299*AL267+AM299*AM267+AN299*AN267+AO299*AO267+AP299*AP267+AQ299*AQ267+AR299*AR267+AS299*AS267+AT299*AT267+AU299*AU267+AV299*AV267+AW299*AW267+AX299*AX267+AY299*AY267+AZ299*AZ267+BA299*BA267+BB299*BB267+BC299*BC267+BD299*BD267+BE299*BE267+BF299*BF267+BG299*BG267+BH299*BH267+BI299*BI267+BJ299*BJ267+BK299*BK267+BL299*BL267+BM299*BM267+BN299*BN267+BO299*BO267+BP299*BP267+BQ299*BQ267+BR299*BR267+BS299*BS267+BT299*BT267+BU299*BU267+BV299*BV267+BW299*BW267+BX299*BX267+BY299*BY267+BZ299*BZ267+CA299*CA267+CB299*CB267+CC299*CC267+CD299*CD267+CE299*CE267+CF299*CF267+CG299*CG267+CH299*CH267+CI299*CI267+CJ299*CJ267+CK299*CK267+CL299*CL267+CM299*CM267+CN299*CN267+CO299*CO267+CP299*CP267+CQ299*CQ267+CR299*CR267+CS299*CS267+CT299*CT267+CU299*CU267</f>
        <v>0</v>
      </c>
      <c r="CY267" s="2880">
        <f>E300*E267+F300*F267+G300*G267+H300*H267+I300*I267+J300*J267+K300*K267+L300*L267+M300*M267+N300*N267+O300*O267+P300*P267+Q300*Q267+R300*R267+S300*S267+T300*T267+U300*U267+V300*V267+W300*W267+X300*X267+Y300*Y267+Z300*Z267+AA300*AA267+AB300*AB267+AC300*AC267+AD300*AD267+AE300*AE267+AF300*AF267+AG300*AG267+AH300*AH267+AI300*AI267+AJ300*AJ267+AK300*AK267+AL300*AL267+AM300*AM267+AN300*AN267+AO300*AO267+AP300*AP267+AQ300*AQ267+AR300*AR267+AS300*AS267+AT300*AT267+AU300*AU267+AV300*AV267+AW300*AW267+AX300*AX267+AY300*AY267+AZ300*AZ267+BA300*BA267+BB300*BB267+BC300*BC267+BD300*BD267+BE300*BE267+BF300*BF267+BG300*BG267+BH300*BH267+BI300*BI267+BJ300*BJ267+BK300*BK267+BL300*BL267+BM300*BM267+BN300*BN267+BO300*BO267+BP300*BP267+BQ300*BQ267+BR300*BR267+BS300*BS267+BT300*BT267+BU300*BU267+BV300*BV267+BW300*BW267+BX300*BX267+BY300*BY267+BZ300*BZ267+CA300*CA267+CB300*CB267+CC300*CC267+CD300*CD267+CE300*CE267+CF300*CF267+CG300*CG267+CH300*CH267+CI300*CI267+CJ300*CJ267+CK300*CK267+CL300*CL267+CM300*CM267+CN300*CN267+CO300*CO267+CP300*CP267+CQ300*CQ267+CR300*CR267+CS300*CS267+CT300*CT267+CU300*CU267</f>
        <v>0</v>
      </c>
      <c r="CZ267" s="2881">
        <f>E301*E267+F301*F267+G301*G267+H301*H267+I301*I267+J301*J267+K301*K267+L301*L267+M301*M267+N301*N267+O301*O267+P301*P267+Q301*Q267+R301*R267+S301*S267+T301*T267+U301*U267+V301*V267+W301*W267+X301*X267+Y301*Y267+Z301*Z267+AA301*AA267+AB301*AB267+AC301*AC267+AD301*AD267+AE301*AE267+AF301*AF267+AG301*AG267+AH301*AH267+AI301*AI267+AJ301*AJ267+AK301*AK267+AL301*AL267+AM301*AM267+AN301*AN267+AO301*AO267+AP301*AP267+AQ301*AQ267+AR301*AR267+AS301*AS267+AT301*AT267+AU301*AU267+AV301*AV267+AW301*AW267+AX301*AX267+AY301*AY267+AZ301*AZ267+BA301*BA267+BB301*BB267+BC301*BC267+BD301*BD267+BE301*BE267+BF301*BF267+BG301*BG267+BH301*BH267+BI301*BI267+BJ301*BJ267+BK301*BK267+BL301*BL267+BM301*BM267+BN301*BN267+BO301*BO267+BP301*BP267+BQ301*BQ267+BR301*BR267+BS301*BS267+BT301*BT267+BU301*BU267+BV301*BV267+BW301*BW267+BX301*BX267+BY301*BY267+BZ301*BZ267+CA301*CA267+CB301*CB267+CC301*CC267+CD301*CD267+CE301*CE267+CF301*CF267+CG301*CG267+CH301*CH267+CI301*CI267+CJ301*CJ267+CK301*CK267+CL301*CL267+CM301*CM267+CN301*CN267+CO301*CO267+CP301*CP267+CQ301*CQ267+CR301*CR267+CS301*CS267+CT301*CT267+CU301*CU267</f>
        <v>0</v>
      </c>
      <c r="DA267" s="2882">
        <f>E302*E267+F302*F267+G302*G267+H302*H267+I302*I267+J302*J267+K302*K267+L302*L267+M302*M267+N302*N267+O302*O267+P302*P267+Q302*Q267+R302*R267+S302*S267+T302*T267+U302*U267+V302*V267+W302*W267+X302*X267+Y302*Y267+Z302*Z267+AA302*AA267+AB302*AB267+AC302*AC267+AD302*AD267+AE302*AE267+AF302*AF267+AG302*AG267+AH302*AH267+AI302*AI267+AJ302*AJ267+AK302*AK267+AL302*AL267+AM302*AM267+AN302*AN267+AO302*AO267+AP302*AP267+AQ302*AQ267+AR302*AR267+AS302*AS267+AT302*AT267+AU302*AU267+AV302*AV267+AW302*AW267+AX302*AX267+AY302*AY267+AZ302*AZ267+BA302*BA267+BB302*BB267+BC302*BC267+BD302*BD267+BE302*BE267+BF302*BF267+BG302*BG267+BH302*BH267+BI302*BI267+BJ302*BJ267+BK302*BK267+BL302*BL267+BM302*BM267+BN302*BN267+BO302*BO267+BP302*BP267+BQ302*BQ267+BR302*BR267+BS302*BS267+BT302*BT267+BU302*BU267+BV302*BV267+BW302*BW267+BX302*BX267+BY302*BY267+BZ302*BZ267+CA302*CA267+CB302*CB267+CC302*CC267+CD302*CD267+CE302*CE267+CF302*CF267+CG302*CG267+CH302*CH267+CI302*CI267+CJ302*CJ267+CK302*CK267+CL302*CL267+CM302*CM267+CN302*CN267+CO302*CO267+CP302*CP267+CQ302*CQ267+CR302*CR267+CS302*CS267+CT302*CT267+CU302*CU267</f>
        <v>0</v>
      </c>
      <c r="DB267" s="2882">
        <f>E303*E267+F303*F267+G303*G267+H303*H267+I303*I267+J303*J267+K303*K267+L303*L267+M303*M267+N303*N267+O303*O267+P303*P267+Q303*Q267+R303*R267+S303*S267+T303*T267+U303*U267+V303*V267+W303*W267+X303*X267+Y303*Y267+Z303*Z267+AA303*AA267+AB303*AB267+AC303*AC267+AD303*AD267+AE303*AE267+AF303*AF267+AG303*AG267+AH303*AH267+AI303*AI267+AJ303*AJ267+AK303*AK267+AL303*AL267+AM303*AM267+AN303*AN267+AO303*AO267+AP303*AP267+AQ303*AQ267+AR303*AR267+AS303*AS267+AT303*AT267+AU303*AU267+AV303*AV267+AW303*AW267+AX303*AX267+AY303*AY267+AZ303*AZ267+BA303*BA267+BB303*BB267+BC303*BC267+BD303*BD267+BE303*BE267+BF303*BF267+BG303*BG267+BH303*BH267+BI303*BI267+BJ303*BJ267+BK303*BK267+BL303*BL267+BM303*BM267+BN303*BN267+BO303*BO267+BP303*BP267+BQ303*BQ267+BR303*BR267+BS303*BS267+BT303*BT267+BU303*BU267+BV303*BV267+BW303*BW267+BX303*BX267+BY303*BY267+BZ303*BZ267+CA303*CA267+CB303*CB267+CC303*CC267+CD303*CD267+CE303*CE267+CF303*CF267+CG303*CG267+CH303*CH267+CI303*CI267+CJ303*CJ267+CK303*CK267+CL303*CL267+CM303*CM267+CN303*CN267+CO303*CO267+CP303*CP267+CQ303*CQ267+CR303*CR267+CS303*CS267+CT303*CT267+CU303*CU267</f>
        <v>0</v>
      </c>
      <c r="DC267" s="2882">
        <f>E304*E267+F304*F267+G304*G267+H304*H267+I304*I267+J304*J267+K304*K267+L304*L267+M304*M267+N304*N267+O304*O267+P304*P267+Q304*Q267+R304*R267+S304*S267+T304*T267+U304*U267+V304*V267+W304*W267+X304*X267+Y304*Y267+Z304*Z267+AA304*AA267+AB304*AB267+AC304*AC267+AD304*AD267+AE304*AE267+AF304*AF267+AG304*AG267+AH304*AH267+AI304*AI267+AJ304*AJ267+AK304*AK267+AL304*AL267+AM304*AM267+AN304*AN267+AO304*AO267+AP304*AP267+AQ304*AQ267+AR304*AR267+AS304*AS267+AT304*AT267+AU304*AU267+AV304*AV267+AW304*AW267+AX304*AX267+AY304*AY267+AZ304*AZ267+BA304*BA267+BB304*BB267+BC304*BC267+BD304*BD267+BE304*BE267+BF304*BF267+BG304*BG267+BH304*BH267+BI304*BI267+BJ304*BJ267+BK304*BK267+BL304*BL267+BM304*BM267+BN304*BN267+BO304*BO267+BP304*BP267+BQ304*BQ267+BR304*BR267+BS304*BS267+BT304*BT267+BU304*BU267+BV304*BV267+BW304*BW267+BX304*BX267+BY304*BY267+BZ304*BZ267+CA304*CA267+CB304*CB267+CC304*CC267+CD304*CD267+CE304*CE267+CF304*CF267+CG304*CG267+CH304*CH267+CI304*CI267+CJ304*CJ267+CK304*CK267+CL304*CL267+CM304*CM267+CN304*CN267+CO304*CO267+CP304*CP267+CQ304*CQ267+CR304*CR267+CS304*CS267+CT304*CT267+CU304*CU267</f>
        <v>0</v>
      </c>
      <c r="DD267" s="2882">
        <f>E305*E267+F305*F267+G305*G267+H305*H267+I305*I267+J305*J267+K305*K267+L305*L267+M305*M267+N305*N267+O305*O267+P305*P267+Q305*Q267+R305*R267+S305*S267+T305*T267+U305*U267+V305*V267+W305*W267+X305*X267+Y305*Y267+Z305*Z267+AA305*AA267+AB305*AB267+AC305*AC267+AD305*AD267+AE305*AE267+AF305*AF267+AG305*AG267+AH305*AH267+AI305*AI267+AJ305*AJ267+AK305*AK267+AL305*AL267+AM305*AM267+AN305*AN267+AO305*AO267+AP305*AP267+AQ305*AQ267+AR305*AR267+AS305*AS267+AT305*AT267+AU305*AU267+AV305*AV267+AW305*AW267+AX305*AX267+AY305*AY267+AZ305*AZ267+BA305*BA267+BB305*BB267+BC305*BC267+BD305*BD267+BE305*BE267+BF305*BF267+BG305*BG267+BH305*BH267+BI305*BI267+BJ305*BJ267+BK305*BK267+BL305*BL267+BM305*BM267+BN305*BN267+BO305*BO267+BP305*BP267+BQ305*BQ267+BR305*BR267+BS305*BS267+BT305*BT267+BU305*BU267+BV305*BV267+BW305*BW267+BX305*BX267+BY305*BY267+BZ305*BZ267+CA305*CA267+CB305*CB267+CC305*CC267+CD305*CD267+CE305*CE267+CF305*CF267+CG305*CG267+CH305*CH267+CI305*CI267+CJ305*CJ267+CK305*CK267+CL305*CL267+CM305*CM267+CN305*CN267+CO305*CO267+CP305*CP267+CQ305*CQ267+CR305*CR267+CS305*CS267+CT305*CT267+CU305*CU267</f>
        <v>0</v>
      </c>
      <c r="DE267" s="2882">
        <f>E306*E267+F306*F267+G306*G267+H306*H267+I306*I267+J306*J267+K306*K267+L306*L267+M306*M267+N306*N267+O306*O267+P306*P267+Q306*Q267+R306*R267+S306*S267+T306*T267+U306*U267+V306*V267+W306*W267+X306*X267+Y306*Y267+Z306*Z267+AA306*AA267+AB306*AB267+AC306*AC267+AD306*AD267+AE306*AE267+AF306*AF267+AG306*AG267+AH306*AH267+AI306*AI267+AJ306*AJ267+AK306*AK267+AL306*AL267+AM306*AM267+AN306*AN267+AO306*AO267+AP306*AP267+AQ306*AQ267+AR306*AR267+AS306*AS267+AT306*AT267+AU306*AU267+AV306*AV267+AW306*AW267+AX306*AX267+AY306*AY267+AZ306*AZ267+BA306*BA267+BB306*BB267+BC306*BC267+BD306*BD267+BE306*BE267+BF306*BF267+BG306*BG267+BH306*BH267+BI306*BI267+BJ306*BJ267+BK306*BK267+BL306*BL267+BM306*BM267+BN306*BN267+BO306*BO267+BP306*BP267+BQ306*BQ267+BR306*BR267+BS306*BS267+BT306*BT267+BU306*BU267+BV306*BV267+BW306*BW267+BX306*BX267+BY306*BY267+BZ306*BZ267+CA306*CA267+CB306*CB267+CC306*CC267+CD306*CD267+CE306*CE267+CF306*CF267+CG306*CG267+CH306*CH267+CI306*CI267+CJ306*CJ267+CK306*CK267+CL306*CL267+CM306*CM267+CN306*CN267+CO306*CO267+CP306*CP267+CQ306*CQ267+CR306*CR267+CS306*CS267+CT306*CT267+CU306*CU267</f>
        <v>0</v>
      </c>
      <c r="DF267" s="2882">
        <f>E307*E267+F307*F267+G307*G267+H307*H267+I307*I267+J307*J267+K307*K267+L307*L267+M307*M267+N307*N267+O307*O267+P307*P267+Q307*Q267+R307*R267+S307*S267+T307*T267+U307*U267+V307*V267+W307*W267+X307*X267+Y307*Y267+Z307*Z267+AA307*AA267+AB307*AB267+AC307*AC267+AD307*AD267+AE307*AE267+AF307*AF267+AG307*AG267+AH307*AH267+AI307*AI267+AJ307*AJ267+AK307*AK267+AL307*AL267+AM307*AM267+AN307*AN267+AO307*AO267+AP307*AP267+AQ307*AQ267+AR307*AR267+AS307*AS267+AT307*AT267+AU307*AU267+AV307*AV267+AW307*AW267+AX307*AX267+AY307*AY267+AZ307*AZ267+BA307*BA267+BB307*BB267+BC307*BC267+BD307*BD267+BE307*BE267+BF307*BF267+BG307*BG267+BH307*BH267+BI307*BI267+BJ307*BJ267+BK307*BK267+BL307*BL267+BM307*BM267+BN307*BN267+BO307*BO267+BP307*BP267+BQ307*BQ267+BR307*BR267+BS307*BS267+BT307*BT267+BU307*BU267+BV307*BV267+BW307*BW267+BX307*BX267+BY307*BY267+BZ307*BZ267+CA307*CA267+CB307*CB267+CC307*CC267+CD307*CD267+CE307*CE267+CF307*CF267+CG307*CG267+CH307*CH267+CI307*CI267+CJ307*CJ267+CK307*CK267+CL307*CL267+CM307*CM267+CN307*CN267+CO307*CO267+CP307*CP267+CQ307*CQ267+CR307*CR267+CS307*CS267+CT307*CT267+CU307*CU267</f>
        <v>0</v>
      </c>
      <c r="DG267" s="2882">
        <f>E308*E267+F308*F267+G308*G267+H308*H267+I308*I267+J308*J267+K308*K267+L308*L267+M308*M267+N308*N267+O308*O267+P308*P267+Q308*Q267+R308*R267+S308*S267+T308*T267+U308*U267+V308*V267+W308*W267+X308*X267+Y308*Y267+Z308*Z267+AA308*AA267+AB308*AB267+AC308*AC267+AD308*AD267+AE308*AE267+AF308*AF267+AG308*AG267+AH308*AH267+AI308*AI267+AJ308*AJ267+AK308*AK267+AL308*AL267+AM308*AM267+AN308*AN267+AO308*AO267+AP308*AP267+AQ308*AQ267+AR308*AR267+AS308*AS267+AT308*AT267+AU308*AU267+AV308*AV267+AW308*AW267+AX308*AX267+AY308*AY267+AZ308*AZ267+BA308*BA267+BB308*BB267+BC308*BC267+BD308*BD267+BE308*BE267+BF308*BF267+BG308*BG267+BH308*BH267+BI308*BI267+BJ308*BJ267+BK308*BK267+BL308*BL267+BM308*BM267+BN308*BN267+BO308*BO267+BP308*BP267+BQ308*BQ267+BR308*BR267+BS308*BS267+BT308*BT267+BU308*BU267+BV308*BV267+BW308*BW267+BX308*BX267+BY308*BY267+BZ308*BZ267+CA308*CA267+CB308*CB267+CC308*CC267+CD308*CD267+CE308*CE267+CF308*CF267+CG308*CG267+CH308*CH267+CI308*CI267+CJ308*CJ267+CK308*CK267+CL308*CL267+CM308*CM267+CN308*CN267+CO308*CO267+CP308*CP267+CQ308*CQ267+CR308*CR267+CS308*CS267+CT308*CT267+CU308*CU267</f>
        <v>0</v>
      </c>
      <c r="DH267" s="2882">
        <f>E309*E267+F309*F267+G309*G267+H309*H267+I309*I267+J309*J267+K309*K267+L309*L267+M309*M267+N309*N267+O309*O267+P309*P267+Q309*Q267+R309*R267+S309*S267+T309*T267+U309*U267+V309*V267+W309*W267+X309*X267+Y309*Y267+Z309*Z267+AA309*AA267+AB309*AB267+AC309*AC267+AD309*AD267+AE309*AE267+AF309*AF267+AG309*AG267+AH309*AH267+AI309*AI267+AJ309*AJ267+AK309*AK267+AL309*AL267+AM309*AM267+AN309*AN267+AO309*AO267+AP309*AP267+AQ309*AQ267+AR309*AR267+AS309*AS267+AT309*AT267+AU309*AU267+AV309*AV267+AW309*AW267+AX309*AX267+AY309*AY267+AZ309*AZ267+BA309*BA267+BB309*BB267+BC309*BC267+BD309*BD267+BE309*BE267+BF309*BF267+BG309*BG267+BH309*BH267+BI309*BI267+BJ309*BJ267+BK309*BK267+BL309*BL267+BM309*BM267+BN309*BN267+BO309*BO267+BP309*BP267+BQ309*BQ267+BR309*BR267+BS309*BS267+BT309*BT267+BU309*BU267+BV309*BV267+BW309*BW267+BX309*BX267+BY309*BY267+BZ309*BZ267+CA309*CA267+CB309*CB267+CC309*CC267+CD309*CD267+CE309*CE267+CF309*CF267+CG309*CG267+CH309*CH267+CI309*CI267+CJ309*CJ267+CK309*CK267+CL309*CL267+CM309*CM267+CN309*CN267+CO309*CO267+CP309*CP267+CQ309*CQ267+CR309*CR267+CS309*CS267+CT309*CT267+CU309*CU267</f>
        <v>0</v>
      </c>
      <c r="DI267" s="2882">
        <f>E310*E267+F310*F267+G310*G267+H310*H267+I310*I267+J310*J267+K310*K267+L310*L267+M310*M267+N310*N267+O310*O267+P310*P267+Q310*Q267+R310*R267+S310*S267+T310*T267+U310*U267+V310*V267+W310*W267+X310*X267+Y310*Y267+Z310*Z267+AA310*AA267+AB310*AB267+AC310*AC267+AD310*AD267+AE310*AE267+AF310*AF267+AG310*AG267+AH310*AH267+AI310*AI267+AJ310*AJ267+AK310*AK267+AL310*AL267+AM310*AM267+AN310*AN267+AO310*AO267+AP310*AP267+AQ310*AQ267+AR310*AR267+AS310*AS267+AT310*AT267+AU310*AU267+AV310*AV267+AW310*AW267+AX310*AX267+AY310*AY267+AZ310*AZ267+BA310*BA267+BB310*BB267+BC310*BC267+BD310*BD267+BE310*BE267+BF310*BF267+BG310*BG267+BH310*BH267+BI310*BI267+BJ310*BJ267+BK310*BK267+BL310*BL267+BM310*BM267+BN310*BN267+BO310*BO267+BP310*BP267+BQ310*BQ267+BR310*BR267+BS310*BS267+BT310*BT267+BU310*BU267+BV310*BV267+BW310*BW267+BX310*BX267+BY310*BY267+BZ310*BZ267+CA310*CA267+CB310*CB267+CC310*CC267+CD310*CD267+CE310*CE267+CF310*CF267+CG310*CG267+CH310*CH267+CI310*CI267+CJ310*CJ267+CK310*CK267+CL310*CL267+CM310*CM267+CN310*CN267+CO310*CO267+CP310*CP267+CQ310*CQ267+CR310*CR267+CS310*CS267+CT310*CT267+CU310*CU267</f>
        <v>0</v>
      </c>
    </row>
    <row r="268" spans="2:113" x14ac:dyDescent="0.45">
      <c r="B268" s="2219">
        <v>109</v>
      </c>
      <c r="C268" s="2219" t="s">
        <v>5792</v>
      </c>
      <c r="D268" s="787" t="s">
        <v>5497</v>
      </c>
      <c r="E268" s="733">
        <f>0</f>
        <v>0</v>
      </c>
      <c r="F268" s="733">
        <f>0</f>
        <v>0</v>
      </c>
      <c r="G268" s="733">
        <f>0</f>
        <v>0</v>
      </c>
      <c r="H268" s="733">
        <f>0</f>
        <v>0</v>
      </c>
      <c r="I268" s="733">
        <f>0</f>
        <v>0</v>
      </c>
      <c r="J268" s="733">
        <f>0</f>
        <v>0</v>
      </c>
      <c r="K268" s="733">
        <f>0</f>
        <v>0</v>
      </c>
      <c r="L268" s="733">
        <f>0</f>
        <v>0</v>
      </c>
      <c r="M268" s="733">
        <f>0</f>
        <v>0</v>
      </c>
      <c r="N268" s="733">
        <f>0</f>
        <v>0</v>
      </c>
      <c r="O268" s="733">
        <f>0</f>
        <v>0</v>
      </c>
      <c r="P268" s="733">
        <f>0</f>
        <v>0</v>
      </c>
      <c r="Q268" s="785">
        <f>0</f>
        <v>0</v>
      </c>
      <c r="R268" s="733">
        <f>0</f>
        <v>0</v>
      </c>
      <c r="S268" s="733">
        <f>0</f>
        <v>0</v>
      </c>
      <c r="T268" s="733">
        <f>0</f>
        <v>0</v>
      </c>
      <c r="U268" s="733">
        <f>0</f>
        <v>0</v>
      </c>
      <c r="V268" s="733">
        <f>0</f>
        <v>0</v>
      </c>
      <c r="W268" s="733">
        <f>0</f>
        <v>0</v>
      </c>
      <c r="X268" s="733">
        <f>0</f>
        <v>0</v>
      </c>
      <c r="Y268" s="733">
        <f>0</f>
        <v>0</v>
      </c>
      <c r="Z268" s="733">
        <f>0</f>
        <v>0</v>
      </c>
      <c r="AA268" s="733">
        <f>0</f>
        <v>0</v>
      </c>
      <c r="AB268" s="733">
        <f>0</f>
        <v>0</v>
      </c>
      <c r="AC268" s="733">
        <f>0</f>
        <v>0</v>
      </c>
      <c r="AD268" s="733">
        <f>0</f>
        <v>0</v>
      </c>
      <c r="AE268" s="733">
        <f>0</f>
        <v>0</v>
      </c>
      <c r="AF268" s="733">
        <f>0</f>
        <v>0</v>
      </c>
      <c r="AG268" s="733">
        <f>0</f>
        <v>0</v>
      </c>
      <c r="AH268" s="733">
        <f>0</f>
        <v>0</v>
      </c>
      <c r="AI268" s="733">
        <f>0</f>
        <v>0</v>
      </c>
      <c r="AJ268" s="733">
        <f>0</f>
        <v>0</v>
      </c>
      <c r="AK268" s="733">
        <f>0</f>
        <v>0</v>
      </c>
      <c r="AL268" s="733">
        <f>0</f>
        <v>0</v>
      </c>
      <c r="AM268" s="733">
        <f>0</f>
        <v>0</v>
      </c>
      <c r="AN268" s="733">
        <f>0</f>
        <v>0</v>
      </c>
      <c r="AO268" s="733">
        <f>0</f>
        <v>0</v>
      </c>
      <c r="AP268" s="733">
        <f>0</f>
        <v>0</v>
      </c>
      <c r="AQ268" s="733">
        <f>0</f>
        <v>0</v>
      </c>
      <c r="AR268" s="733">
        <f>0</f>
        <v>0</v>
      </c>
      <c r="AS268" s="733">
        <f>0</f>
        <v>0</v>
      </c>
      <c r="AT268" s="733">
        <f>0</f>
        <v>0</v>
      </c>
      <c r="AU268" s="733">
        <f>0</f>
        <v>0</v>
      </c>
      <c r="AV268" s="733">
        <f>0</f>
        <v>0</v>
      </c>
      <c r="AW268" s="733">
        <f>0</f>
        <v>0</v>
      </c>
      <c r="AX268" s="733">
        <f>0</f>
        <v>0</v>
      </c>
      <c r="AY268" s="733">
        <f>0</f>
        <v>0</v>
      </c>
      <c r="AZ268" s="733">
        <f>0</f>
        <v>0</v>
      </c>
      <c r="BA268" s="733">
        <f>0</f>
        <v>0</v>
      </c>
      <c r="BB268" s="733">
        <f>1</f>
        <v>1</v>
      </c>
      <c r="BC268" s="733">
        <f>0</f>
        <v>0</v>
      </c>
      <c r="BD268" s="733">
        <f>0</f>
        <v>0</v>
      </c>
      <c r="BE268" s="785">
        <f>0</f>
        <v>0</v>
      </c>
      <c r="BF268" s="785">
        <f>0</f>
        <v>0</v>
      </c>
      <c r="BG268" s="785">
        <f>0</f>
        <v>0</v>
      </c>
      <c r="BH268" s="785">
        <f>0</f>
        <v>0</v>
      </c>
      <c r="BI268" s="785">
        <f>0</f>
        <v>0</v>
      </c>
      <c r="BJ268" s="785">
        <f>0</f>
        <v>0</v>
      </c>
      <c r="BK268" s="785">
        <f>0</f>
        <v>0</v>
      </c>
      <c r="BL268" s="785">
        <f>0</f>
        <v>0</v>
      </c>
      <c r="BM268" s="785">
        <f>0</f>
        <v>0</v>
      </c>
      <c r="BN268" s="785">
        <f>0</f>
        <v>0</v>
      </c>
      <c r="BO268" s="785">
        <f>0</f>
        <v>0</v>
      </c>
      <c r="BP268" s="785">
        <f>0</f>
        <v>0</v>
      </c>
      <c r="BQ268" s="785">
        <f>0</f>
        <v>0</v>
      </c>
      <c r="BR268" s="785">
        <f>0</f>
        <v>0</v>
      </c>
      <c r="BS268" s="785">
        <f>0</f>
        <v>0</v>
      </c>
      <c r="BT268" s="785">
        <f>0</f>
        <v>0</v>
      </c>
      <c r="BU268" s="785">
        <f>0</f>
        <v>0</v>
      </c>
      <c r="BV268" s="785">
        <f>0</f>
        <v>0</v>
      </c>
      <c r="BW268" s="785">
        <f>0</f>
        <v>0</v>
      </c>
      <c r="BX268" s="785">
        <f>0</f>
        <v>0</v>
      </c>
      <c r="BY268" s="785">
        <f>0</f>
        <v>0</v>
      </c>
      <c r="BZ268" s="785">
        <f>0</f>
        <v>0</v>
      </c>
      <c r="CA268" s="785">
        <f>0</f>
        <v>0</v>
      </c>
      <c r="CB268" s="785">
        <f>0</f>
        <v>0</v>
      </c>
      <c r="CC268" s="785">
        <f>0</f>
        <v>0</v>
      </c>
      <c r="CD268" s="785">
        <f>0</f>
        <v>0</v>
      </c>
      <c r="CE268" s="785">
        <f>0</f>
        <v>0</v>
      </c>
      <c r="CF268" s="785">
        <f>0</f>
        <v>0</v>
      </c>
      <c r="CG268" s="785">
        <f>0</f>
        <v>0</v>
      </c>
      <c r="CH268" s="785">
        <f>0</f>
        <v>0</v>
      </c>
      <c r="CI268" s="785">
        <f>0</f>
        <v>0</v>
      </c>
      <c r="CJ268" s="785">
        <f>0</f>
        <v>0</v>
      </c>
      <c r="CK268" s="785">
        <f>0</f>
        <v>0</v>
      </c>
      <c r="CL268" s="785">
        <f>0</f>
        <v>0</v>
      </c>
      <c r="CM268" s="785">
        <f>0</f>
        <v>0</v>
      </c>
      <c r="CN268" s="785">
        <f>0</f>
        <v>0</v>
      </c>
      <c r="CO268" s="785">
        <f>0</f>
        <v>0</v>
      </c>
      <c r="CP268" s="785">
        <f>0</f>
        <v>0</v>
      </c>
      <c r="CQ268" s="785">
        <f>0</f>
        <v>0</v>
      </c>
      <c r="CR268" s="785">
        <f>0</f>
        <v>0</v>
      </c>
      <c r="CS268" s="785">
        <f>-Δ_atm</f>
        <v>-1</v>
      </c>
      <c r="CT268" s="785">
        <f>0</f>
        <v>0</v>
      </c>
      <c r="CU268" s="785">
        <f>0</f>
        <v>0</v>
      </c>
      <c r="CV268" s="2862">
        <f>k_transfer_GH2S_sur</f>
        <v>8592.4931369141996</v>
      </c>
      <c r="CX268" s="2880">
        <f>E299*E268+F299*F268+G299*G268+H299*H268+I299*I268+J299*J268+K299*K268+L299*L268+M299*M268+N299*N268+O299*O268+P299*P268+Q299*Q268+R299*R268+S299*S268+T299*T268+U299*U268+V299*V268+W299*W268+X299*X268+Y299*Y268+Z299*Z268+AA299*AA268+AB299*AB268+AC299*AC268+AD299*AD268+AE299*AE268+AF299*AF268+AG299*AG268+AH299*AH268+AI299*AI268+AJ299*AJ268+AK299*AK268+AL299*AL268+AM299*AM268+AN299*AN268+AO299*AO268+AP299*AP268+AQ299*AQ268+AR299*AR268+AS299*AS268+AT299*AT268+AU299*AU268+AV299*AV268+AW299*AW268+AX299*AX268+AY299*AY268+AZ299*AZ268+BA299*BA268+BB299*BB268+BC299*BC268+BD299*BD268+BE299*BE268+BF299*BF268+BG299*BG268+BH299*BH268+BI299*BI268+BJ299*BJ268+BK299*BK268+BL299*BL268+BM299*BM268+BN299*BN268+BO299*BO268+BP299*BP268+BQ299*BQ268+BR299*BR268+BS299*BS268+BT299*BT268+BU299*BU268+BV299*BV268+BW299*BW268+BX299*BX268+BY299*BY268+BZ299*BZ268+CA299*CA268+CB299*CB268+CC299*CC268+CD299*CD268+CE299*CE268+CF299*CF268+CG299*CG268+CH299*CH268+CI299*CI268+CJ299*CJ268+CK299*CK268+CL299*CL268+CM299*CM268+CN299*CN268+CO299*CO268+CP299*CP268+CQ299*CQ268+CR299*CR268+CS299*CS268+CT299*CT268+CU299*CU268</f>
        <v>0</v>
      </c>
      <c r="CY268" s="2880">
        <f>E300*E268+F300*F268+G300*G268+H300*H268+I300*I268+J300*J268+K300*K268+L300*L268+M300*M268+N300*N268+O300*O268+P300*P268+Q300*Q268+R300*R268+S300*S268+T300*T268+U300*U268+V300*V268+W300*W268+X300*X268+Y300*Y268+Z300*Z268+AA300*AA268+AB300*AB268+AC300*AC268+AD300*AD268+AE300*AE268+AF300*AF268+AG300*AG268+AH300*AH268+AI300*AI268+AJ300*AJ268+AK300*AK268+AL300*AL268+AM300*AM268+AN300*AN268+AO300*AO268+AP300*AP268+AQ300*AQ268+AR300*AR268+AS300*AS268+AT300*AT268+AU300*AU268+AV300*AV268+AW300*AW268+AX300*AX268+AY300*AY268+AZ300*AZ268+BA300*BA268+BB300*BB268+BC300*BC268+BD300*BD268+BE300*BE268+BF300*BF268+BG300*BG268+BH300*BH268+BI300*BI268+BJ300*BJ268+BK300*BK268+BL300*BL268+BM300*BM268+BN300*BN268+BO300*BO268+BP300*BP268+BQ300*BQ268+BR300*BR268+BS300*BS268+BT300*BT268+BU300*BU268+BV300*BV268+BW300*BW268+BX300*BX268+BY300*BY268+BZ300*BZ268+CA300*CA268+CB300*CB268+CC300*CC268+CD300*CD268+CE300*CE268+CF300*CF268+CG300*CG268+CH300*CH268+CI300*CI268+CJ300*CJ268+CK300*CK268+CL300*CL268+CM300*CM268+CN300*CN268+CO300*CO268+CP300*CP268+CQ300*CQ268+CR300*CR268+CS300*CS268+CT300*CT268+CU300*CU268</f>
        <v>0</v>
      </c>
      <c r="CZ268" s="2881">
        <f>E301*E268+F301*F268+G301*G268+H301*H268+I301*I268+J301*J268+K301*K268+L301*L268+M301*M268+N301*N268+O301*O268+P301*P268+Q301*Q268+R301*R268+S301*S268+T301*T268+U301*U268+V301*V268+W301*W268+X301*X268+Y301*Y268+Z301*Z268+AA301*AA268+AB301*AB268+AC301*AC268+AD301*AD268+AE301*AE268+AF301*AF268+AG301*AG268+AH301*AH268+AI301*AI268+AJ301*AJ268+AK301*AK268+AL301*AL268+AM301*AM268+AN301*AN268+AO301*AO268+AP301*AP268+AQ301*AQ268+AR301*AR268+AS301*AS268+AT301*AT268+AU301*AU268+AV301*AV268+AW301*AW268+AX301*AX268+AY301*AY268+AZ301*AZ268+BA301*BA268+BB301*BB268+BC301*BC268+BD301*BD268+BE301*BE268+BF301*BF268+BG301*BG268+BH301*BH268+BI301*BI268+BJ301*BJ268+BK301*BK268+BL301*BL268+BM301*BM268+BN301*BN268+BO301*BO268+BP301*BP268+BQ301*BQ268+BR301*BR268+BS301*BS268+BT301*BT268+BU301*BU268+BV301*BV268+BW301*BW268+BX301*BX268+BY301*BY268+BZ301*BZ268+CA301*CA268+CB301*CB268+CC301*CC268+CD301*CD268+CE301*CE268+CF301*CF268+CG301*CG268+CH301*CH268+CI301*CI268+CJ301*CJ268+CK301*CK268+CL301*CL268+CM301*CM268+CN301*CN268+CO301*CO268+CP301*CP268+CQ301*CQ268+CR301*CR268+CS301*CS268+CT301*CT268+CU301*CU268</f>
        <v>0</v>
      </c>
      <c r="DA268" s="2882">
        <f>E302*E268+F302*F268+G302*G268+H302*H268+I302*I268+J302*J268+K302*K268+L302*L268+M302*M268+N302*N268+O302*O268+P302*P268+Q302*Q268+R302*R268+S302*S268+T302*T268+U302*U268+V302*V268+W302*W268+X302*X268+Y302*Y268+Z302*Z268+AA302*AA268+AB302*AB268+AC302*AC268+AD302*AD268+AE302*AE268+AF302*AF268+AG302*AG268+AH302*AH268+AI302*AI268+AJ302*AJ268+AK302*AK268+AL302*AL268+AM302*AM268+AN302*AN268+AO302*AO268+AP302*AP268+AQ302*AQ268+AR302*AR268+AS302*AS268+AT302*AT268+AU302*AU268+AV302*AV268+AW302*AW268+AX302*AX268+AY302*AY268+AZ302*AZ268+BA302*BA268+BB302*BB268+BC302*BC268+BD302*BD268+BE302*BE268+BF302*BF268+BG302*BG268+BH302*BH268+BI302*BI268+BJ302*BJ268+BK302*BK268+BL302*BL268+BM302*BM268+BN302*BN268+BO302*BO268+BP302*BP268+BQ302*BQ268+BR302*BR268+BS302*BS268+BT302*BT268+BU302*BU268+BV302*BV268+BW302*BW268+BX302*BX268+BY302*BY268+BZ302*BZ268+CA302*CA268+CB302*CB268+CC302*CC268+CD302*CD268+CE302*CE268+CF302*CF268+CG302*CG268+CH302*CH268+CI302*CI268+CJ302*CJ268+CK302*CK268+CL302*CL268+CM302*CM268+CN302*CN268+CO302*CO268+CP302*CP268+CQ302*CQ268+CR302*CR268+CS302*CS268+CT302*CT268+CU302*CU268</f>
        <v>0</v>
      </c>
      <c r="DB268" s="2882">
        <f>E303*E268+F303*F268+G303*G268+H303*H268+I303*I268+J303*J268+K303*K268+L303*L268+M303*M268+N303*N268+O303*O268+P303*P268+Q303*Q268+R303*R268+S303*S268+T303*T268+U303*U268+V303*V268+W303*W268+X303*X268+Y303*Y268+Z303*Z268+AA303*AA268+AB303*AB268+AC303*AC268+AD303*AD268+AE303*AE268+AF303*AF268+AG303*AG268+AH303*AH268+AI303*AI268+AJ303*AJ268+AK303*AK268+AL303*AL268+AM303*AM268+AN303*AN268+AO303*AO268+AP303*AP268+AQ303*AQ268+AR303*AR268+AS303*AS268+AT303*AT268+AU303*AU268+AV303*AV268+AW303*AW268+AX303*AX268+AY303*AY268+AZ303*AZ268+BA303*BA268+BB303*BB268+BC303*BC268+BD303*BD268+BE303*BE268+BF303*BF268+BG303*BG268+BH303*BH268+BI303*BI268+BJ303*BJ268+BK303*BK268+BL303*BL268+BM303*BM268+BN303*BN268+BO303*BO268+BP303*BP268+BQ303*BQ268+BR303*BR268+BS303*BS268+BT303*BT268+BU303*BU268+BV303*BV268+BW303*BW268+BX303*BX268+BY303*BY268+BZ303*BZ268+CA303*CA268+CB303*CB268+CC303*CC268+CD303*CD268+CE303*CE268+CF303*CF268+CG303*CG268+CH303*CH268+CI303*CI268+CJ303*CJ268+CK303*CK268+CL303*CL268+CM303*CM268+CN303*CN268+CO303*CO268+CP303*CP268+CQ303*CQ268+CR303*CR268+CS303*CS268+CT303*CT268+CU303*CU268</f>
        <v>0</v>
      </c>
      <c r="DC268" s="2882">
        <f>E304*E268+F304*F268+G304*G268+H304*H268+I304*I268+J304*J268+K304*K268+L304*L268+M304*M268+N304*N268+O304*O268+P304*P268+Q304*Q268+R304*R268+S304*S268+T304*T268+U304*U268+V304*V268+W304*W268+X304*X268+Y304*Y268+Z304*Z268+AA304*AA268+AB304*AB268+AC304*AC268+AD304*AD268+AE304*AE268+AF304*AF268+AG304*AG268+AH304*AH268+AI304*AI268+AJ304*AJ268+AK304*AK268+AL304*AL268+AM304*AM268+AN304*AN268+AO304*AO268+AP304*AP268+AQ304*AQ268+AR304*AR268+AS304*AS268+AT304*AT268+AU304*AU268+AV304*AV268+AW304*AW268+AX304*AX268+AY304*AY268+AZ304*AZ268+BA304*BA268+BB304*BB268+BC304*BC268+BD304*BD268+BE304*BE268+BF304*BF268+BG304*BG268+BH304*BH268+BI304*BI268+BJ304*BJ268+BK304*BK268+BL304*BL268+BM304*BM268+BN304*BN268+BO304*BO268+BP304*BP268+BQ304*BQ268+BR304*BR268+BS304*BS268+BT304*BT268+BU304*BU268+BV304*BV268+BW304*BW268+BX304*BX268+BY304*BY268+BZ304*BZ268+CA304*CA268+CB304*CB268+CC304*CC268+CD304*CD268+CE304*CE268+CF304*CF268+CG304*CG268+CH304*CH268+CI304*CI268+CJ304*CJ268+CK304*CK268+CL304*CL268+CM304*CM268+CN304*CN268+CO304*CO268+CP304*CP268+CQ304*CQ268+CR304*CR268+CS304*CS268+CT304*CT268+CU304*CU268</f>
        <v>0</v>
      </c>
      <c r="DD268" s="2882">
        <f>E305*E268+F305*F268+G305*G268+H305*H268+I305*I268+J305*J268+K305*K268+L305*L268+M305*M268+N305*N268+O305*O268+P305*P268+Q305*Q268+R305*R268+S305*S268+T305*T268+U305*U268+V305*V268+W305*W268+X305*X268+Y305*Y268+Z305*Z268+AA305*AA268+AB305*AB268+AC305*AC268+AD305*AD268+AE305*AE268+AF305*AF268+AG305*AG268+AH305*AH268+AI305*AI268+AJ305*AJ268+AK305*AK268+AL305*AL268+AM305*AM268+AN305*AN268+AO305*AO268+AP305*AP268+AQ305*AQ268+AR305*AR268+AS305*AS268+AT305*AT268+AU305*AU268+AV305*AV268+AW305*AW268+AX305*AX268+AY305*AY268+AZ305*AZ268+BA305*BA268+BB305*BB268+BC305*BC268+BD305*BD268+BE305*BE268+BF305*BF268+BG305*BG268+BH305*BH268+BI305*BI268+BJ305*BJ268+BK305*BK268+BL305*BL268+BM305*BM268+BN305*BN268+BO305*BO268+BP305*BP268+BQ305*BQ268+BR305*BR268+BS305*BS268+BT305*BT268+BU305*BU268+BV305*BV268+BW305*BW268+BX305*BX268+BY305*BY268+BZ305*BZ268+CA305*CA268+CB305*CB268+CC305*CC268+CD305*CD268+CE305*CE268+CF305*CF268+CG305*CG268+CH305*CH268+CI305*CI268+CJ305*CJ268+CK305*CK268+CL305*CL268+CM305*CM268+CN305*CN268+CO305*CO268+CP305*CP268+CQ305*CQ268+CR305*CR268+CS305*CS268+CT305*CT268+CU305*CU268</f>
        <v>0</v>
      </c>
      <c r="DE268" s="2882">
        <f>E306*E268+F306*F268+G306*G268+H306*H268+I306*I268+J306*J268+K306*K268+L306*L268+M306*M268+N306*N268+O306*O268+P306*P268+Q306*Q268+R306*R268+S306*S268+T306*T268+U306*U268+V306*V268+W306*W268+X306*X268+Y306*Y268+Z306*Z268+AA306*AA268+AB306*AB268+AC306*AC268+AD306*AD268+AE306*AE268+AF306*AF268+AG306*AG268+AH306*AH268+AI306*AI268+AJ306*AJ268+AK306*AK268+AL306*AL268+AM306*AM268+AN306*AN268+AO306*AO268+AP306*AP268+AQ306*AQ268+AR306*AR268+AS306*AS268+AT306*AT268+AU306*AU268+AV306*AV268+AW306*AW268+AX306*AX268+AY306*AY268+AZ306*AZ268+BA306*BA268+BB306*BB268+BC306*BC268+BD306*BD268+BE306*BE268+BF306*BF268+BG306*BG268+BH306*BH268+BI306*BI268+BJ306*BJ268+BK306*BK268+BL306*BL268+BM306*BM268+BN306*BN268+BO306*BO268+BP306*BP268+BQ306*BQ268+BR306*BR268+BS306*BS268+BT306*BT268+BU306*BU268+BV306*BV268+BW306*BW268+BX306*BX268+BY306*BY268+BZ306*BZ268+CA306*CA268+CB306*CB268+CC306*CC268+CD306*CD268+CE306*CE268+CF306*CF268+CG306*CG268+CH306*CH268+CI306*CI268+CJ306*CJ268+CK306*CK268+CL306*CL268+CM306*CM268+CN306*CN268+CO306*CO268+CP306*CP268+CQ306*CQ268+CR306*CR268+CS306*CS268+CT306*CT268+CU306*CU268</f>
        <v>0</v>
      </c>
      <c r="DF268" s="2882">
        <f>E307*E268+F307*F268+G307*G268+H307*H268+I307*I268+J307*J268+K307*K268+L307*L268+M307*M268+N307*N268+O307*O268+P307*P268+Q307*Q268+R307*R268+S307*S268+T307*T268+U307*U268+V307*V268+W307*W268+X307*X268+Y307*Y268+Z307*Z268+AA307*AA268+AB307*AB268+AC307*AC268+AD307*AD268+AE307*AE268+AF307*AF268+AG307*AG268+AH307*AH268+AI307*AI268+AJ307*AJ268+AK307*AK268+AL307*AL268+AM307*AM268+AN307*AN268+AO307*AO268+AP307*AP268+AQ307*AQ268+AR307*AR268+AS307*AS268+AT307*AT268+AU307*AU268+AV307*AV268+AW307*AW268+AX307*AX268+AY307*AY268+AZ307*AZ268+BA307*BA268+BB307*BB268+BC307*BC268+BD307*BD268+BE307*BE268+BF307*BF268+BG307*BG268+BH307*BH268+BI307*BI268+BJ307*BJ268+BK307*BK268+BL307*BL268+BM307*BM268+BN307*BN268+BO307*BO268+BP307*BP268+BQ307*BQ268+BR307*BR268+BS307*BS268+BT307*BT268+BU307*BU268+BV307*BV268+BW307*BW268+BX307*BX268+BY307*BY268+BZ307*BZ268+CA307*CA268+CB307*CB268+CC307*CC268+CD307*CD268+CE307*CE268+CF307*CF268+CG307*CG268+CH307*CH268+CI307*CI268+CJ307*CJ268+CK307*CK268+CL307*CL268+CM307*CM268+CN307*CN268+CO307*CO268+CP307*CP268+CQ307*CQ268+CR307*CR268+CS307*CS268+CT307*CT268+CU307*CU268</f>
        <v>0</v>
      </c>
      <c r="DG268" s="2882">
        <f>E308*E268+F308*F268+G308*G268+H308*H268+I308*I268+J308*J268+K308*K268+L308*L268+M308*M268+N308*N268+O308*O268+P308*P268+Q308*Q268+R308*R268+S308*S268+T308*T268+U308*U268+V308*V268+W308*W268+X308*X268+Y308*Y268+Z308*Z268+AA308*AA268+AB308*AB268+AC308*AC268+AD308*AD268+AE308*AE268+AF308*AF268+AG308*AG268+AH308*AH268+AI308*AI268+AJ308*AJ268+AK308*AK268+AL308*AL268+AM308*AM268+AN308*AN268+AO308*AO268+AP308*AP268+AQ308*AQ268+AR308*AR268+AS308*AS268+AT308*AT268+AU308*AU268+AV308*AV268+AW308*AW268+AX308*AX268+AY308*AY268+AZ308*AZ268+BA308*BA268+BB308*BB268+BC308*BC268+BD308*BD268+BE308*BE268+BF308*BF268+BG308*BG268+BH308*BH268+BI308*BI268+BJ308*BJ268+BK308*BK268+BL308*BL268+BM308*BM268+BN308*BN268+BO308*BO268+BP308*BP268+BQ308*BQ268+BR308*BR268+BS308*BS268+BT308*BT268+BU308*BU268+BV308*BV268+BW308*BW268+BX308*BX268+BY308*BY268+BZ308*BZ268+CA308*CA268+CB308*CB268+CC308*CC268+CD308*CD268+CE308*CE268+CF308*CF268+CG308*CG268+CH308*CH268+CI308*CI268+CJ308*CJ268+CK308*CK268+CL308*CL268+CM308*CM268+CN308*CN268+CO308*CO268+CP308*CP268+CQ308*CQ268+CR308*CR268+CS308*CS268+CT308*CT268+CU308*CU268</f>
        <v>0</v>
      </c>
      <c r="DH268" s="2882">
        <f>E309*E268+F309*F268+G309*G268+H309*H268+I309*I268+J309*J268+K309*K268+L309*L268+M309*M268+N309*N268+O309*O268+P309*P268+Q309*Q268+R309*R268+S309*S268+T309*T268+U309*U268+V309*V268+W309*W268+X309*X268+Y309*Y268+Z309*Z268+AA309*AA268+AB309*AB268+AC309*AC268+AD309*AD268+AE309*AE268+AF309*AF268+AG309*AG268+AH309*AH268+AI309*AI268+AJ309*AJ268+AK309*AK268+AL309*AL268+AM309*AM268+AN309*AN268+AO309*AO268+AP309*AP268+AQ309*AQ268+AR309*AR268+AS309*AS268+AT309*AT268+AU309*AU268+AV309*AV268+AW309*AW268+AX309*AX268+AY309*AY268+AZ309*AZ268+BA309*BA268+BB309*BB268+BC309*BC268+BD309*BD268+BE309*BE268+BF309*BF268+BG309*BG268+BH309*BH268+BI309*BI268+BJ309*BJ268+BK309*BK268+BL309*BL268+BM309*BM268+BN309*BN268+BO309*BO268+BP309*BP268+BQ309*BQ268+BR309*BR268+BS309*BS268+BT309*BT268+BU309*BU268+BV309*BV268+BW309*BW268+BX309*BX268+BY309*BY268+BZ309*BZ268+CA309*CA268+CB309*CB268+CC309*CC268+CD309*CD268+CE309*CE268+CF309*CF268+CG309*CG268+CH309*CH268+CI309*CI268+CJ309*CJ268+CK309*CK268+CL309*CL268+CM309*CM268+CN309*CN268+CO309*CO268+CP309*CP268+CQ309*CQ268+CR309*CR268+CS309*CS268+CT309*CT268+CU309*CU268</f>
        <v>0</v>
      </c>
      <c r="DI268" s="2882">
        <f>E310*E268+F310*F268+G310*G268+H310*H268+I310*I268+J310*J268+K310*K268+L310*L268+M310*M268+N310*N268+O310*O268+P310*P268+Q310*Q268+R310*R268+S310*S268+T310*T268+U310*U268+V310*V268+W310*W268+X310*X268+Y310*Y268+Z310*Z268+AA310*AA268+AB310*AB268+AC310*AC268+AD310*AD268+AE310*AE268+AF310*AF268+AG310*AG268+AH310*AH268+AI310*AI268+AJ310*AJ268+AK310*AK268+AL310*AL268+AM310*AM268+AN310*AN268+AO310*AO268+AP310*AP268+AQ310*AQ268+AR310*AR268+AS310*AS268+AT310*AT268+AU310*AU268+AV310*AV268+AW310*AW268+AX310*AX268+AY310*AY268+AZ310*AZ268+BA310*BA268+BB310*BB268+BC310*BC268+BD310*BD268+BE310*BE268+BF310*BF268+BG310*BG268+BH310*BH268+BI310*BI268+BJ310*BJ268+BK310*BK268+BL310*BL268+BM310*BM268+BN310*BN268+BO310*BO268+BP310*BP268+BQ310*BQ268+BR310*BR268+BS310*BS268+BT310*BT268+BU310*BU268+BV310*BV268+BW310*BW268+BX310*BX268+BY310*BY268+BZ310*BZ268+CA310*CA268+CB310*CB268+CC310*CC268+CD310*CD268+CE310*CE268+CF310*CF268+CG310*CG268+CH310*CH268+CI310*CI268+CJ310*CJ268+CK310*CK268+CL310*CL268+CM310*CM268+CN310*CN268+CO310*CO268+CP310*CP268+CQ310*CQ268+CR310*CR268+CS310*CS268+CT310*CT268+CU310*CU268</f>
        <v>0</v>
      </c>
    </row>
    <row r="269" spans="2:113" ht="14.65" thickBot="1" x14ac:dyDescent="0.5">
      <c r="B269" s="2221">
        <v>110</v>
      </c>
      <c r="C269" s="2221" t="s">
        <v>5793</v>
      </c>
      <c r="D269" s="2603" t="s">
        <v>5500</v>
      </c>
      <c r="E269" s="2604">
        <f>0</f>
        <v>0</v>
      </c>
      <c r="F269" s="2604">
        <f>0</f>
        <v>0</v>
      </c>
      <c r="G269" s="2604">
        <f>0</f>
        <v>0</v>
      </c>
      <c r="H269" s="2604">
        <f>0</f>
        <v>0</v>
      </c>
      <c r="I269" s="2604">
        <f>0</f>
        <v>0</v>
      </c>
      <c r="J269" s="2604">
        <f>0</f>
        <v>0</v>
      </c>
      <c r="K269" s="2604">
        <f>0</f>
        <v>0</v>
      </c>
      <c r="L269" s="2604">
        <f>0</f>
        <v>0</v>
      </c>
      <c r="M269" s="2604">
        <f>0</f>
        <v>0</v>
      </c>
      <c r="N269" s="2604">
        <f>0</f>
        <v>0</v>
      </c>
      <c r="O269" s="2604">
        <f>0</f>
        <v>0</v>
      </c>
      <c r="P269" s="2604">
        <f>0</f>
        <v>0</v>
      </c>
      <c r="Q269" s="2605">
        <f>0</f>
        <v>0</v>
      </c>
      <c r="R269" s="2604">
        <f>0</f>
        <v>0</v>
      </c>
      <c r="S269" s="2604">
        <f>0</f>
        <v>0</v>
      </c>
      <c r="T269" s="2604">
        <f>0</f>
        <v>0</v>
      </c>
      <c r="U269" s="2604">
        <f>0</f>
        <v>0</v>
      </c>
      <c r="V269" s="2604">
        <f>0</f>
        <v>0</v>
      </c>
      <c r="W269" s="2604">
        <f>0</f>
        <v>0</v>
      </c>
      <c r="X269" s="2604">
        <f>0</f>
        <v>0</v>
      </c>
      <c r="Y269" s="2604">
        <f>0</f>
        <v>0</v>
      </c>
      <c r="Z269" s="2604">
        <f>0</f>
        <v>0</v>
      </c>
      <c r="AA269" s="2604">
        <f>0</f>
        <v>0</v>
      </c>
      <c r="AB269" s="2604">
        <f>0</f>
        <v>0</v>
      </c>
      <c r="AC269" s="2604">
        <f>0</f>
        <v>0</v>
      </c>
      <c r="AD269" s="2604">
        <f>0</f>
        <v>0</v>
      </c>
      <c r="AE269" s="2604">
        <f>0</f>
        <v>0</v>
      </c>
      <c r="AF269" s="2604">
        <f>0</f>
        <v>0</v>
      </c>
      <c r="AG269" s="2604">
        <f>0</f>
        <v>0</v>
      </c>
      <c r="AH269" s="2604">
        <f>0</f>
        <v>0</v>
      </c>
      <c r="AI269" s="2604">
        <f>0</f>
        <v>0</v>
      </c>
      <c r="AJ269" s="2604">
        <f>0</f>
        <v>0</v>
      </c>
      <c r="AK269" s="2604">
        <f>0</f>
        <v>0</v>
      </c>
      <c r="AL269" s="2604">
        <f>0</f>
        <v>0</v>
      </c>
      <c r="AM269" s="2604">
        <f>0</f>
        <v>0</v>
      </c>
      <c r="AN269" s="2604">
        <f>0</f>
        <v>0</v>
      </c>
      <c r="AO269" s="2604">
        <f>0</f>
        <v>0</v>
      </c>
      <c r="AP269" s="2604">
        <f>0</f>
        <v>0</v>
      </c>
      <c r="AQ269" s="2604">
        <f>0</f>
        <v>0</v>
      </c>
      <c r="AR269" s="2604">
        <f>0</f>
        <v>0</v>
      </c>
      <c r="AS269" s="2604">
        <f>0</f>
        <v>0</v>
      </c>
      <c r="AT269" s="2604">
        <f>0</f>
        <v>0</v>
      </c>
      <c r="AU269" s="2604">
        <f>0</f>
        <v>0</v>
      </c>
      <c r="AV269" s="2604">
        <f>0</f>
        <v>0</v>
      </c>
      <c r="AW269" s="2604">
        <f>0</f>
        <v>0</v>
      </c>
      <c r="AX269" s="2604">
        <f>0</f>
        <v>0</v>
      </c>
      <c r="AY269" s="2604">
        <f>0</f>
        <v>0</v>
      </c>
      <c r="AZ269" s="2604">
        <f>0</f>
        <v>0</v>
      </c>
      <c r="BA269" s="2604">
        <f>0</f>
        <v>0</v>
      </c>
      <c r="BB269" s="2604">
        <f>0</f>
        <v>0</v>
      </c>
      <c r="BC269" s="2604">
        <f>0</f>
        <v>0</v>
      </c>
      <c r="BD269" s="2604">
        <f>0</f>
        <v>0</v>
      </c>
      <c r="BE269" s="2605">
        <f>0</f>
        <v>0</v>
      </c>
      <c r="BF269" s="2605">
        <f>0</f>
        <v>0</v>
      </c>
      <c r="BG269" s="2605">
        <f>0</f>
        <v>0</v>
      </c>
      <c r="BH269" s="2605">
        <f>0</f>
        <v>0</v>
      </c>
      <c r="BI269" s="2605">
        <f>0</f>
        <v>0</v>
      </c>
      <c r="BJ269" s="2605">
        <f>0</f>
        <v>0</v>
      </c>
      <c r="BK269" s="2605">
        <f>0</f>
        <v>0</v>
      </c>
      <c r="BL269" s="2605">
        <f>0</f>
        <v>0</v>
      </c>
      <c r="BM269" s="2605">
        <f>0</f>
        <v>0</v>
      </c>
      <c r="BN269" s="2605">
        <f>0</f>
        <v>0</v>
      </c>
      <c r="BO269" s="2605">
        <f>0</f>
        <v>0</v>
      </c>
      <c r="BP269" s="2605">
        <f>0</f>
        <v>0</v>
      </c>
      <c r="BQ269" s="2605">
        <f>0</f>
        <v>0</v>
      </c>
      <c r="BR269" s="2605">
        <f>0</f>
        <v>0</v>
      </c>
      <c r="BS269" s="2605">
        <f>0</f>
        <v>0</v>
      </c>
      <c r="BT269" s="2605">
        <f>0</f>
        <v>0</v>
      </c>
      <c r="BU269" s="2605">
        <f>0</f>
        <v>0</v>
      </c>
      <c r="BV269" s="2605">
        <f>0</f>
        <v>0</v>
      </c>
      <c r="BW269" s="2605">
        <f>0</f>
        <v>0</v>
      </c>
      <c r="BX269" s="2605">
        <f>0</f>
        <v>0</v>
      </c>
      <c r="BY269" s="2605">
        <f>0</f>
        <v>0</v>
      </c>
      <c r="BZ269" s="2605">
        <f>0</f>
        <v>0</v>
      </c>
      <c r="CA269" s="2605">
        <f>0</f>
        <v>0</v>
      </c>
      <c r="CB269" s="2605">
        <f>0</f>
        <v>0</v>
      </c>
      <c r="CC269" s="2605">
        <f>0</f>
        <v>0</v>
      </c>
      <c r="CD269" s="2605">
        <f>0</f>
        <v>0</v>
      </c>
      <c r="CE269" s="2605">
        <f>0</f>
        <v>0</v>
      </c>
      <c r="CF269" s="2605">
        <f>0</f>
        <v>0</v>
      </c>
      <c r="CG269" s="2605">
        <f>0</f>
        <v>0</v>
      </c>
      <c r="CH269" s="2605">
        <f>0</f>
        <v>0</v>
      </c>
      <c r="CI269" s="2605">
        <f>0</f>
        <v>0</v>
      </c>
      <c r="CJ269" s="2605">
        <f>0</f>
        <v>0</v>
      </c>
      <c r="CK269" s="2605">
        <f>0</f>
        <v>0</v>
      </c>
      <c r="CL269" s="2605">
        <f>0</f>
        <v>0</v>
      </c>
      <c r="CM269" s="2605">
        <f>0</f>
        <v>0</v>
      </c>
      <c r="CN269" s="2605">
        <f>0</f>
        <v>0</v>
      </c>
      <c r="CO269" s="2605">
        <f>0</f>
        <v>0</v>
      </c>
      <c r="CP269" s="2605">
        <f>0</f>
        <v>0</v>
      </c>
      <c r="CQ269" s="2605">
        <f>0</f>
        <v>0</v>
      </c>
      <c r="CR269" s="2605">
        <f>0</f>
        <v>0</v>
      </c>
      <c r="CS269" s="2605">
        <f>0</f>
        <v>0</v>
      </c>
      <c r="CT269" s="2605">
        <f>1</f>
        <v>1</v>
      </c>
      <c r="CU269" s="2605">
        <f>0</f>
        <v>0</v>
      </c>
      <c r="CV269" s="2873">
        <f>q_MM_PROD*X_BIO*((1-S_MM_index)/(K_scaling+1-S_MM_index))*M_satTKNB_KTKNB*M_inhSNO2_KNO2_OHO*M_inhSNO3_KNO3_OHO*M_inhSO2_KO2_OHO</f>
        <v>0</v>
      </c>
      <c r="CX269" s="2880">
        <f>E299*E269+F299*F269+G299*G269+H299*H269+I299*I269+J299*J269+K299*K269+L299*L269+M299*M269+N299*N269+O299*O269+P299*P269+Q299*Q269+R299*R269+S299*S269+T299*T269+U299*U269+V299*V269+W299*W269+X299*X269+Y299*Y269+Z299*Z269+AA299*AA269+AB299*AB269+AC299*AC269+AD299*AD269+AE299*AE269+AF299*AF269+AG299*AG269+AH299*AH269+AI299*AI269+AJ299*AJ269+AK299*AK269+AL299*AL269+AM299*AM269+AN299*AN269+AO299*AO269+AP299*AP269+AQ299*AQ269+AR299*AR269+AS299*AS269+AT299*AT269+AU299*AU269+AV299*AV269+AW299*AW269+AX299*AX269+AY299*AY269+AZ299*AZ269+BA299*BA269+BB299*BB269+BC299*BC269+BD299*BD269+BE299*BE269+BF299*BF269+BG299*BG269+BH299*BH269+BI299*BI269+BJ299*BJ269+BK299*BK269+BL299*BL269+BM299*BM269+BN299*BN269+BO299*BO269+BP299*BP269+BQ299*BQ269+BR299*BR269+BS299*BS269+BT299*BT269+BU299*BU269+BV299*BV269+BW299*BW269+BX299*BX269+BY299*BY269+BZ299*BZ269+CA299*CA269+CB299*CB269+CC299*CC269+CD299*CD269+CE299*CE269+CF299*CF269+CG299*CG269+CH299*CH269+CI299*CI269+CJ299*CJ269+CK299*CK269+CL299*CL269+CM299*CM269+CN299*CN269+CO299*CO269+CP299*CP269+CQ299*CQ269+CR299*CR269+CS299*CS269+CT299*CT269+CU299*CU269</f>
        <v>0</v>
      </c>
      <c r="CY269" s="2880">
        <f>E300*E269+F300*F269+G300*G269+H300*H269+I300*I269+J300*J269+K300*K269+L300*L269+M300*M269+N300*N269+O300*O269+P300*P269+Q300*Q269+R300*R269+S300*S269+T300*T269+U300*U269+V300*V269+W300*W269+X300*X269+Y300*Y269+Z300*Z269+AA300*AA269+AB300*AB269+AC300*AC269+AD300*AD269+AE300*AE269+AF300*AF269+AG300*AG269+AH300*AH269+AI300*AI269+AJ300*AJ269+AK300*AK269+AL300*AL269+AM300*AM269+AN300*AN269+AO300*AO269+AP300*AP269+AQ300*AQ269+AR300*AR269+AS300*AS269+AT300*AT269+AU300*AU269+AV300*AV269+AW300*AW269+AX300*AX269+AY300*AY269+AZ300*AZ269+BA300*BA269+BB300*BB269+BC300*BC269+BD300*BD269+BE300*BE269+BF300*BF269+BG300*BG269+BH300*BH269+BI300*BI269+BJ300*BJ269+BK300*BK269+BL300*BL269+BM300*BM269+BN300*BN269+BO300*BO269+BP300*BP269+BQ300*BQ269+BR300*BR269+BS300*BS269+BT300*BT269+BU300*BU269+BV300*BV269+BW300*BW269+BX300*BX269+BY300*BY269+BZ300*BZ269+CA300*CA269+CB300*CB269+CC300*CC269+CD300*CD269+CE300*CE269+CF300*CF269+CG300*CG269+CH300*CH269+CI300*CI269+CJ300*CJ269+CK300*CK269+CL300*CL269+CM300*CM269+CN300*CN269+CO300*CO269+CP300*CP269+CQ300*CQ269+CR300*CR269+CS300*CS269+CT300*CT269+CU300*CU269</f>
        <v>0</v>
      </c>
      <c r="CZ269" s="2881">
        <f>E301*E269+F301*F269+G301*G269+H301*H269+I301*I269+J301*J269+K301*K269+L301*L269+M301*M269+N301*N269+O301*O269+P301*P269+Q301*Q269+R301*R269+S301*S269+T301*T269+U301*U269+V301*V269+W301*W269+X301*X269+Y301*Y269+Z301*Z269+AA301*AA269+AB301*AB269+AC301*AC269+AD301*AD269+AE301*AE269+AF301*AF269+AG301*AG269+AH301*AH269+AI301*AI269+AJ301*AJ269+AK301*AK269+AL301*AL269+AM301*AM269+AN301*AN269+AO301*AO269+AP301*AP269+AQ301*AQ269+AR301*AR269+AS301*AS269+AT301*AT269+AU301*AU269+AV301*AV269+AW301*AW269+AX301*AX269+AY301*AY269+AZ301*AZ269+BA301*BA269+BB301*BB269+BC301*BC269+BD301*BD269+BE301*BE269+BF301*BF269+BG301*BG269+BH301*BH269+BI301*BI269+BJ301*BJ269+BK301*BK269+BL301*BL269+BM301*BM269+BN301*BN269+BO301*BO269+BP301*BP269+BQ301*BQ269+BR301*BR269+BS301*BS269+BT301*BT269+BU301*BU269+BV301*BV269+BW301*BW269+BX301*BX269+BY301*BY269+BZ301*BZ269+CA301*CA269+CB301*CB269+CC301*CC269+CD301*CD269+CE301*CE269+CF301*CF269+CG301*CG269+CH301*CH269+CI301*CI269+CJ301*CJ269+CK301*CK269+CL301*CL269+CM301*CM269+CN301*CN269+CO301*CO269+CP301*CP269+CQ301*CQ269+CR301*CR269+CS301*CS269+CT301*CT269+CU301*CU269</f>
        <v>0</v>
      </c>
      <c r="DA269" s="2882">
        <f>E302*E269+F302*F269+G302*G269+H302*H269+I302*I269+J302*J269+K302*K269+L302*L269+M302*M269+N302*N269+O302*O269+P302*P269+Q302*Q269+R302*R269+S302*S269+T302*T269+U302*U269+V302*V269+W302*W269+X302*X269+Y302*Y269+Z302*Z269+AA302*AA269+AB302*AB269+AC302*AC269+AD302*AD269+AE302*AE269+AF302*AF269+AG302*AG269+AH302*AH269+AI302*AI269+AJ302*AJ269+AK302*AK269+AL302*AL269+AM302*AM269+AN302*AN269+AO302*AO269+AP302*AP269+AQ302*AQ269+AR302*AR269+AS302*AS269+AT302*AT269+AU302*AU269+AV302*AV269+AW302*AW269+AX302*AX269+AY302*AY269+AZ302*AZ269+BA302*BA269+BB302*BB269+BC302*BC269+BD302*BD269+BE302*BE269+BF302*BF269+BG302*BG269+BH302*BH269+BI302*BI269+BJ302*BJ269+BK302*BK269+BL302*BL269+BM302*BM269+BN302*BN269+BO302*BO269+BP302*BP269+BQ302*BQ269+BR302*BR269+BS302*BS269+BT302*BT269+BU302*BU269+BV302*BV269+BW302*BW269+BX302*BX269+BY302*BY269+BZ302*BZ269+CA302*CA269+CB302*CB269+CC302*CC269+CD302*CD269+CE302*CE269+CF302*CF269+CG302*CG269+CH302*CH269+CI302*CI269+CJ302*CJ269+CK302*CK269+CL302*CL269+CM302*CM269+CN302*CN269+CO302*CO269+CP302*CP269+CQ302*CQ269+CR302*CR269+CS302*CS269+CT302*CT269+CU302*CU269</f>
        <v>0</v>
      </c>
      <c r="DB269" s="2882">
        <f>E303*E269+F303*F269+G303*G269+H303*H269+I303*I269+J303*J269+K303*K269+L303*L269+M303*M269+N303*N269+O303*O269+P303*P269+Q303*Q269+R303*R269+S303*S269+T303*T269+U303*U269+V303*V269+W303*W269+X303*X269+Y303*Y269+Z303*Z269+AA303*AA269+AB303*AB269+AC303*AC269+AD303*AD269+AE303*AE269+AF303*AF269+AG303*AG269+AH303*AH269+AI303*AI269+AJ303*AJ269+AK303*AK269+AL303*AL269+AM303*AM269+AN303*AN269+AO303*AO269+AP303*AP269+AQ303*AQ269+AR303*AR269+AS303*AS269+AT303*AT269+AU303*AU269+AV303*AV269+AW303*AW269+AX303*AX269+AY303*AY269+AZ303*AZ269+BA303*BA269+BB303*BB269+BC303*BC269+BD303*BD269+BE303*BE269+BF303*BF269+BG303*BG269+BH303*BH269+BI303*BI269+BJ303*BJ269+BK303*BK269+BL303*BL269+BM303*BM269+BN303*BN269+BO303*BO269+BP303*BP269+BQ303*BQ269+BR303*BR269+BS303*BS269+BT303*BT269+BU303*BU269+BV303*BV269+BW303*BW269+BX303*BX269+BY303*BY269+BZ303*BZ269+CA303*CA269+CB303*CB269+CC303*CC269+CD303*CD269+CE303*CE269+CF303*CF269+CG303*CG269+CH303*CH269+CI303*CI269+CJ303*CJ269+CK303*CK269+CL303*CL269+CM303*CM269+CN303*CN269+CO303*CO269+CP303*CP269+CQ303*CQ269+CR303*CR269+CS303*CS269+CT303*CT269+CU303*CU269</f>
        <v>0</v>
      </c>
      <c r="DC269" s="2882">
        <f>E304*E269+F304*F269+G304*G269+H304*H269+I304*I269+J304*J269+K304*K269+L304*L269+M304*M269+N304*N269+O304*O269+P304*P269+Q304*Q269+R304*R269+S304*S269+T304*T269+U304*U269+V304*V269+W304*W269+X304*X269+Y304*Y269+Z304*Z269+AA304*AA269+AB304*AB269+AC304*AC269+AD304*AD269+AE304*AE269+AF304*AF269+AG304*AG269+AH304*AH269+AI304*AI269+AJ304*AJ269+AK304*AK269+AL304*AL269+AM304*AM269+AN304*AN269+AO304*AO269+AP304*AP269+AQ304*AQ269+AR304*AR269+AS304*AS269+AT304*AT269+AU304*AU269+AV304*AV269+AW304*AW269+AX304*AX269+AY304*AY269+AZ304*AZ269+BA304*BA269+BB304*BB269+BC304*BC269+BD304*BD269+BE304*BE269+BF304*BF269+BG304*BG269+BH304*BH269+BI304*BI269+BJ304*BJ269+BK304*BK269+BL304*BL269+BM304*BM269+BN304*BN269+BO304*BO269+BP304*BP269+BQ304*BQ269+BR304*BR269+BS304*BS269+BT304*BT269+BU304*BU269+BV304*BV269+BW304*BW269+BX304*BX269+BY304*BY269+BZ304*BZ269+CA304*CA269+CB304*CB269+CC304*CC269+CD304*CD269+CE304*CE269+CF304*CF269+CG304*CG269+CH304*CH269+CI304*CI269+CJ304*CJ269+CK304*CK269+CL304*CL269+CM304*CM269+CN304*CN269+CO304*CO269+CP304*CP269+CQ304*CQ269+CR304*CR269+CS304*CS269+CT304*CT269+CU304*CU269</f>
        <v>0</v>
      </c>
      <c r="DD269" s="2882">
        <f>E305*E269+F305*F269+G305*G269+H305*H269+I305*I269+J305*J269+K305*K269+L305*L269+M305*M269+N305*N269+O305*O269+P305*P269+Q305*Q269+R305*R269+S305*S269+T305*T269+U305*U269+V305*V269+W305*W269+X305*X269+Y305*Y269+Z305*Z269+AA305*AA269+AB305*AB269+AC305*AC269+AD305*AD269+AE305*AE269+AF305*AF269+AG305*AG269+AH305*AH269+AI305*AI269+AJ305*AJ269+AK305*AK269+AL305*AL269+AM305*AM269+AN305*AN269+AO305*AO269+AP305*AP269+AQ305*AQ269+AR305*AR269+AS305*AS269+AT305*AT269+AU305*AU269+AV305*AV269+AW305*AW269+AX305*AX269+AY305*AY269+AZ305*AZ269+BA305*BA269+BB305*BB269+BC305*BC269+BD305*BD269+BE305*BE269+BF305*BF269+BG305*BG269+BH305*BH269+BI305*BI269+BJ305*BJ269+BK305*BK269+BL305*BL269+BM305*BM269+BN305*BN269+BO305*BO269+BP305*BP269+BQ305*BQ269+BR305*BR269+BS305*BS269+BT305*BT269+BU305*BU269+BV305*BV269+BW305*BW269+BX305*BX269+BY305*BY269+BZ305*BZ269+CA305*CA269+CB305*CB269+CC305*CC269+CD305*CD269+CE305*CE269+CF305*CF269+CG305*CG269+CH305*CH269+CI305*CI269+CJ305*CJ269+CK305*CK269+CL305*CL269+CM305*CM269+CN305*CN269+CO305*CO269+CP305*CP269+CQ305*CQ269+CR305*CR269+CS305*CS269+CT305*CT269+CU305*CU269</f>
        <v>0</v>
      </c>
      <c r="DE269" s="2882">
        <f>E306*E269+F306*F269+G306*G269+H306*H269+I306*I269+J306*J269+K306*K269+L306*L269+M306*M269+N306*N269+O306*O269+P306*P269+Q306*Q269+R306*R269+S306*S269+T306*T269+U306*U269+V306*V269+W306*W269+X306*X269+Y306*Y269+Z306*Z269+AA306*AA269+AB306*AB269+AC306*AC269+AD306*AD269+AE306*AE269+AF306*AF269+AG306*AG269+AH306*AH269+AI306*AI269+AJ306*AJ269+AK306*AK269+AL306*AL269+AM306*AM269+AN306*AN269+AO306*AO269+AP306*AP269+AQ306*AQ269+AR306*AR269+AS306*AS269+AT306*AT269+AU306*AU269+AV306*AV269+AW306*AW269+AX306*AX269+AY306*AY269+AZ306*AZ269+BA306*BA269+BB306*BB269+BC306*BC269+BD306*BD269+BE306*BE269+BF306*BF269+BG306*BG269+BH306*BH269+BI306*BI269+BJ306*BJ269+BK306*BK269+BL306*BL269+BM306*BM269+BN306*BN269+BO306*BO269+BP306*BP269+BQ306*BQ269+BR306*BR269+BS306*BS269+BT306*BT269+BU306*BU269+BV306*BV269+BW306*BW269+BX306*BX269+BY306*BY269+BZ306*BZ269+CA306*CA269+CB306*CB269+CC306*CC269+CD306*CD269+CE306*CE269+CF306*CF269+CG306*CG269+CH306*CH269+CI306*CI269+CJ306*CJ269+CK306*CK269+CL306*CL269+CM306*CM269+CN306*CN269+CO306*CO269+CP306*CP269+CQ306*CQ269+CR306*CR269+CS306*CS269+CT306*CT269+CU306*CU269</f>
        <v>0</v>
      </c>
      <c r="DF269" s="2882">
        <f>E307*E269+F307*F269+G307*G269+H307*H269+I307*I269+J307*J269+K307*K269+L307*L269+M307*M269+N307*N269+O307*O269+P307*P269+Q307*Q269+R307*R269+S307*S269+T307*T269+U307*U269+V307*V269+W307*W269+X307*X269+Y307*Y269+Z307*Z269+AA307*AA269+AB307*AB269+AC307*AC269+AD307*AD269+AE307*AE269+AF307*AF269+AG307*AG269+AH307*AH269+AI307*AI269+AJ307*AJ269+AK307*AK269+AL307*AL269+AM307*AM269+AN307*AN269+AO307*AO269+AP307*AP269+AQ307*AQ269+AR307*AR269+AS307*AS269+AT307*AT269+AU307*AU269+AV307*AV269+AW307*AW269+AX307*AX269+AY307*AY269+AZ307*AZ269+BA307*BA269+BB307*BB269+BC307*BC269+BD307*BD269+BE307*BE269+BF307*BF269+BG307*BG269+BH307*BH269+BI307*BI269+BJ307*BJ269+BK307*BK269+BL307*BL269+BM307*BM269+BN307*BN269+BO307*BO269+BP307*BP269+BQ307*BQ269+BR307*BR269+BS307*BS269+BT307*BT269+BU307*BU269+BV307*BV269+BW307*BW269+BX307*BX269+BY307*BY269+BZ307*BZ269+CA307*CA269+CB307*CB269+CC307*CC269+CD307*CD269+CE307*CE269+CF307*CF269+CG307*CG269+CH307*CH269+CI307*CI269+CJ307*CJ269+CK307*CK269+CL307*CL269+CM307*CM269+CN307*CN269+CO307*CO269+CP307*CP269+CQ307*CQ269+CR307*CR269+CS307*CS269+CT307*CT269+CU307*CU269</f>
        <v>0</v>
      </c>
      <c r="DG269" s="2882">
        <f>E308*E269+F308*F269+G308*G269+H308*H269+I308*I269+J308*J269+K308*K269+L308*L269+M308*M269+N308*N269+O308*O269+P308*P269+Q308*Q269+R308*R269+S308*S269+T308*T269+U308*U269+V308*V269+W308*W269+X308*X269+Y308*Y269+Z308*Z269+AA308*AA269+AB308*AB269+AC308*AC269+AD308*AD269+AE308*AE269+AF308*AF269+AG308*AG269+AH308*AH269+AI308*AI269+AJ308*AJ269+AK308*AK269+AL308*AL269+AM308*AM269+AN308*AN269+AO308*AO269+AP308*AP269+AQ308*AQ269+AR308*AR269+AS308*AS269+AT308*AT269+AU308*AU269+AV308*AV269+AW308*AW269+AX308*AX269+AY308*AY269+AZ308*AZ269+BA308*BA269+BB308*BB269+BC308*BC269+BD308*BD269+BE308*BE269+BF308*BF269+BG308*BG269+BH308*BH269+BI308*BI269+BJ308*BJ269+BK308*BK269+BL308*BL269+BM308*BM269+BN308*BN269+BO308*BO269+BP308*BP269+BQ308*BQ269+BR308*BR269+BS308*BS269+BT308*BT269+BU308*BU269+BV308*BV269+BW308*BW269+BX308*BX269+BY308*BY269+BZ308*BZ269+CA308*CA269+CB308*CB269+CC308*CC269+CD308*CD269+CE308*CE269+CF308*CF269+CG308*CG269+CH308*CH269+CI308*CI269+CJ308*CJ269+CK308*CK269+CL308*CL269+CM308*CM269+CN308*CN269+CO308*CO269+CP308*CP269+CQ308*CQ269+CR308*CR269+CS308*CS269+CT308*CT269+CU308*CU269</f>
        <v>0</v>
      </c>
      <c r="DH269" s="2882">
        <f>E309*E269+F309*F269+G309*G269+H309*H269+I309*I269+J309*J269+K309*K269+L309*L269+M309*M269+N309*N269+O309*O269+P309*P269+Q309*Q269+R309*R269+S309*S269+T309*T269+U309*U269+V309*V269+W309*W269+X309*X269+Y309*Y269+Z309*Z269+AA309*AA269+AB309*AB269+AC309*AC269+AD309*AD269+AE309*AE269+AF309*AF269+AG309*AG269+AH309*AH269+AI309*AI269+AJ309*AJ269+AK309*AK269+AL309*AL269+AM309*AM269+AN309*AN269+AO309*AO269+AP309*AP269+AQ309*AQ269+AR309*AR269+AS309*AS269+AT309*AT269+AU309*AU269+AV309*AV269+AW309*AW269+AX309*AX269+AY309*AY269+AZ309*AZ269+BA309*BA269+BB309*BB269+BC309*BC269+BD309*BD269+BE309*BE269+BF309*BF269+BG309*BG269+BH309*BH269+BI309*BI269+BJ309*BJ269+BK309*BK269+BL309*BL269+BM309*BM269+BN309*BN269+BO309*BO269+BP309*BP269+BQ309*BQ269+BR309*BR269+BS309*BS269+BT309*BT269+BU309*BU269+BV309*BV269+BW309*BW269+BX309*BX269+BY309*BY269+BZ309*BZ269+CA309*CA269+CB309*CB269+CC309*CC269+CD309*CD269+CE309*CE269+CF309*CF269+CG309*CG269+CH309*CH269+CI309*CI269+CJ309*CJ269+CK309*CK269+CL309*CL269+CM309*CM269+CN309*CN269+CO309*CO269+CP309*CP269+CQ309*CQ269+CR309*CR269+CS309*CS269+CT309*CT269+CU309*CU269</f>
        <v>0</v>
      </c>
      <c r="DI269" s="2882">
        <f>E310*E269+F310*F269+G310*G269+H310*H269+I310*I269+J310*J269+K310*K269+L310*L269+M310*M269+N310*N269+O310*O269+P310*P269+Q310*Q269+R310*R269+S310*S269+T310*T269+U310*U269+V310*V269+W310*W269+X310*X269+Y310*Y269+Z310*Z269+AA310*AA269+AB310*AB269+AC310*AC269+AD310*AD269+AE310*AE269+AF310*AF269+AG310*AG269+AH310*AH269+AI310*AI269+AJ310*AJ269+AK310*AK269+AL310*AL269+AM310*AM269+AN310*AN269+AO310*AO269+AP310*AP269+AQ310*AQ269+AR310*AR269+AS310*AS269+AT310*AT269+AU310*AU269+AV310*AV269+AW310*AW269+AX310*AX269+AY310*AY269+AZ310*AZ269+BA310*BA269+BB310*BB269+BC310*BC269+BD310*BD269+BE310*BE269+BF310*BF269+BG310*BG269+BH310*BH269+BI310*BI269+BJ310*BJ269+BK310*BK269+BL310*BL269+BM310*BM269+BN310*BN269+BO310*BO269+BP310*BP269+BQ310*BQ269+BR310*BR269+BS310*BS269+BT310*BT269+BU310*BU269+BV310*BV269+BW310*BW269+BX310*BX269+BY310*BY269+BZ310*BZ269+CA310*CA269+CB310*CB269+CC310*CC269+CD310*CD269+CE310*CE269+CF310*CF269+CG310*CG269+CH310*CH269+CI310*CI269+CJ310*CJ269+CK310*CK269+CL310*CL269+CM310*CM269+CN310*CN269+CO310*CO269+CP310*CP269+CQ310*CQ269+CR310*CR269+CS310*CS269+CT310*CT269+CU310*CU269</f>
        <v>0</v>
      </c>
    </row>
    <row r="270" spans="2:113" x14ac:dyDescent="0.45">
      <c r="B270" s="2219">
        <v>111</v>
      </c>
      <c r="C270" s="2219" t="s">
        <v>5493</v>
      </c>
      <c r="D270" s="2603" t="s">
        <v>5503</v>
      </c>
      <c r="E270" s="2604">
        <f>0</f>
        <v>0</v>
      </c>
      <c r="F270" s="2604">
        <f>0</f>
        <v>0</v>
      </c>
      <c r="G270" s="2604">
        <f>0</f>
        <v>0</v>
      </c>
      <c r="H270" s="2604">
        <f>0</f>
        <v>0</v>
      </c>
      <c r="I270" s="2604">
        <f>0</f>
        <v>0</v>
      </c>
      <c r="J270" s="2604">
        <f>0</f>
        <v>0</v>
      </c>
      <c r="K270" s="2604">
        <f>0</f>
        <v>0</v>
      </c>
      <c r="L270" s="2604">
        <f>0</f>
        <v>0</v>
      </c>
      <c r="M270" s="2604">
        <f>0</f>
        <v>0</v>
      </c>
      <c r="N270" s="2604">
        <f>0</f>
        <v>0</v>
      </c>
      <c r="O270" s="2604">
        <f>0</f>
        <v>0</v>
      </c>
      <c r="P270" s="2604">
        <f>0</f>
        <v>0</v>
      </c>
      <c r="Q270" s="2605">
        <f>0</f>
        <v>0</v>
      </c>
      <c r="R270" s="2604">
        <f>0</f>
        <v>0</v>
      </c>
      <c r="S270" s="2604">
        <f>0</f>
        <v>0</v>
      </c>
      <c r="T270" s="2604">
        <f>0</f>
        <v>0</v>
      </c>
      <c r="U270" s="2604">
        <f>0</f>
        <v>0</v>
      </c>
      <c r="V270" s="2604">
        <f>0</f>
        <v>0</v>
      </c>
      <c r="W270" s="2604">
        <f>0</f>
        <v>0</v>
      </c>
      <c r="X270" s="2604">
        <f>0</f>
        <v>0</v>
      </c>
      <c r="Y270" s="2604">
        <f>0</f>
        <v>0</v>
      </c>
      <c r="Z270" s="2604">
        <f>0</f>
        <v>0</v>
      </c>
      <c r="AA270" s="2604">
        <f>0</f>
        <v>0</v>
      </c>
      <c r="AB270" s="2604">
        <f>0</f>
        <v>0</v>
      </c>
      <c r="AC270" s="2604">
        <f>0</f>
        <v>0</v>
      </c>
      <c r="AD270" s="2604">
        <f>0</f>
        <v>0</v>
      </c>
      <c r="AE270" s="2604">
        <f>0</f>
        <v>0</v>
      </c>
      <c r="AF270" s="2604">
        <f>0</f>
        <v>0</v>
      </c>
      <c r="AG270" s="2604">
        <f>0</f>
        <v>0</v>
      </c>
      <c r="AH270" s="2604">
        <f>0</f>
        <v>0</v>
      </c>
      <c r="AI270" s="2604">
        <f>0</f>
        <v>0</v>
      </c>
      <c r="AJ270" s="2604">
        <f>0</f>
        <v>0</v>
      </c>
      <c r="AK270" s="2604">
        <f>0</f>
        <v>0</v>
      </c>
      <c r="AL270" s="2604">
        <f>0</f>
        <v>0</v>
      </c>
      <c r="AM270" s="2604">
        <f>0</f>
        <v>0</v>
      </c>
      <c r="AN270" s="2604">
        <f>0</f>
        <v>0</v>
      </c>
      <c r="AO270" s="2604">
        <f>0</f>
        <v>0</v>
      </c>
      <c r="AP270" s="2604">
        <f>0</f>
        <v>0</v>
      </c>
      <c r="AQ270" s="2604">
        <f>0</f>
        <v>0</v>
      </c>
      <c r="AR270" s="2604">
        <f>0</f>
        <v>0</v>
      </c>
      <c r="AS270" s="2604">
        <f>0</f>
        <v>0</v>
      </c>
      <c r="AT270" s="2604">
        <f>0</f>
        <v>0</v>
      </c>
      <c r="AU270" s="2604">
        <f>0</f>
        <v>0</v>
      </c>
      <c r="AV270" s="2604">
        <f>0</f>
        <v>0</v>
      </c>
      <c r="AW270" s="2604">
        <f>0</f>
        <v>0</v>
      </c>
      <c r="AX270" s="2604">
        <f>0</f>
        <v>0</v>
      </c>
      <c r="AY270" s="2604">
        <f>0</f>
        <v>0</v>
      </c>
      <c r="AZ270" s="2604">
        <f>0</f>
        <v>0</v>
      </c>
      <c r="BA270" s="2604">
        <f>0</f>
        <v>0</v>
      </c>
      <c r="BB270" s="2604">
        <f>0</f>
        <v>0</v>
      </c>
      <c r="BC270" s="2604">
        <f>0</f>
        <v>0</v>
      </c>
      <c r="BD270" s="2604">
        <f>0</f>
        <v>0</v>
      </c>
      <c r="BE270" s="2605">
        <f>0</f>
        <v>0</v>
      </c>
      <c r="BF270" s="2605">
        <f>0</f>
        <v>0</v>
      </c>
      <c r="BG270" s="2605">
        <f>0</f>
        <v>0</v>
      </c>
      <c r="BH270" s="2605">
        <f>0</f>
        <v>0</v>
      </c>
      <c r="BI270" s="2605">
        <f>0</f>
        <v>0</v>
      </c>
      <c r="BJ270" s="2605">
        <f>0</f>
        <v>0</v>
      </c>
      <c r="BK270" s="2605">
        <f>0</f>
        <v>0</v>
      </c>
      <c r="BL270" s="2605">
        <f>0</f>
        <v>0</v>
      </c>
      <c r="BM270" s="2605">
        <f>0</f>
        <v>0</v>
      </c>
      <c r="BN270" s="2605">
        <f>0</f>
        <v>0</v>
      </c>
      <c r="BO270" s="2605">
        <f>0</f>
        <v>0</v>
      </c>
      <c r="BP270" s="2605">
        <f>0</f>
        <v>0</v>
      </c>
      <c r="BQ270" s="2605">
        <f>0</f>
        <v>0</v>
      </c>
      <c r="BR270" s="2605">
        <f>0</f>
        <v>0</v>
      </c>
      <c r="BS270" s="2605">
        <f>0</f>
        <v>0</v>
      </c>
      <c r="BT270" s="2605">
        <f>0</f>
        <v>0</v>
      </c>
      <c r="BU270" s="2605">
        <f>0</f>
        <v>0</v>
      </c>
      <c r="BV270" s="2605">
        <f>0</f>
        <v>0</v>
      </c>
      <c r="BW270" s="2605">
        <f>0</f>
        <v>0</v>
      </c>
      <c r="BX270" s="2605">
        <f>0</f>
        <v>0</v>
      </c>
      <c r="BY270" s="2605">
        <f>0</f>
        <v>0</v>
      </c>
      <c r="BZ270" s="2605">
        <f>0</f>
        <v>0</v>
      </c>
      <c r="CA270" s="2605">
        <f>0</f>
        <v>0</v>
      </c>
      <c r="CB270" s="2605">
        <f>0</f>
        <v>0</v>
      </c>
      <c r="CC270" s="2605">
        <f>0</f>
        <v>0</v>
      </c>
      <c r="CD270" s="2605">
        <f>0</f>
        <v>0</v>
      </c>
      <c r="CE270" s="2605">
        <f>0</f>
        <v>0</v>
      </c>
      <c r="CF270" s="2605">
        <f>0</f>
        <v>0</v>
      </c>
      <c r="CG270" s="2605">
        <f>0</f>
        <v>0</v>
      </c>
      <c r="CH270" s="2605">
        <f>0</f>
        <v>0</v>
      </c>
      <c r="CI270" s="2605">
        <f>0</f>
        <v>0</v>
      </c>
      <c r="CJ270" s="2605">
        <f>0</f>
        <v>0</v>
      </c>
      <c r="CK270" s="2605">
        <f>0</f>
        <v>0</v>
      </c>
      <c r="CL270" s="2605">
        <f>0</f>
        <v>0</v>
      </c>
      <c r="CM270" s="2605">
        <f>0</f>
        <v>0</v>
      </c>
      <c r="CN270" s="2605">
        <f>0</f>
        <v>0</v>
      </c>
      <c r="CO270" s="2605">
        <f>0</f>
        <v>0</v>
      </c>
      <c r="CP270" s="2605">
        <f>0</f>
        <v>0</v>
      </c>
      <c r="CQ270" s="2605">
        <f>0</f>
        <v>0</v>
      </c>
      <c r="CR270" s="2605">
        <f>0</f>
        <v>0</v>
      </c>
      <c r="CS270" s="2605">
        <f>0</f>
        <v>0</v>
      </c>
      <c r="CT270" s="2605">
        <f>-1</f>
        <v>-1</v>
      </c>
      <c r="CU270" s="2605">
        <f>0</f>
        <v>0</v>
      </c>
      <c r="CV270" s="2873">
        <f>q_MM_DEGR*X_AMETO*(K_scaling/(K_scaling+1-S_MM_index))*L_oginhORP_MM</f>
        <v>0</v>
      </c>
      <c r="CX270" s="2880">
        <f>E299*E270+F299*F270+G299*G270+H299*H270+I299*I270+J299*J270+K299*K270+L299*L270+M299*M270+N299*N270+O299*O270+P299*P270+Q299*Q270+R299*R270+S299*S270+T299*T270+U299*U270+V299*V270+W299*W270+X299*X270+Y299*Y270+Z299*Z270+AA299*AA270+AB299*AB270+AC299*AC270+AD299*AD270+AE299*AE270+AF299*AF270+AG299*AG270+AH299*AH270+AI299*AI270+AJ299*AJ270+AK299*AK270+AL299*AL270+AM299*AM270+AN299*AN270+AO299*AO270+AP299*AP270+AQ299*AQ270+AR299*AR270+AS299*AS270+AT299*AT270+AU299*AU270+AV299*AV270+AW299*AW270+AX299*AX270+AY299*AY270+AZ299*AZ270+BA299*BA270+BB299*BB270+BC299*BC270+BD299*BD270+BE299*BE270+BF299*BF270+BG299*BG270+BH299*BH270+BI299*BI270+BJ299*BJ270+BK299*BK270+BL299*BL270+BM299*BM270+BN299*BN270+BO299*BO270+BP299*BP270+BQ299*BQ270+BR299*BR270+BS299*BS270+BT299*BT270+BU299*BU270+BV299*BV270+BW299*BW270+BX299*BX270+BY299*BY270+BZ299*BZ270+CA299*CA270+CB299*CB270+CC299*CC270+CD299*CD270+CE299*CE270+CF299*CF270+CG299*CG270+CH299*CH270+CI299*CI270+CJ299*CJ270+CK299*CK270+CL299*CL270+CM299*CM270+CN299*CN270+CO299*CO270+CP299*CP270+CQ299*CQ270+CR299*CR270+CS299*CS270+CT299*CT270+CU299*CU270</f>
        <v>0</v>
      </c>
      <c r="CY270" s="2880">
        <f>E300*E270+F300*F270+G300*G270+H300*H270+I300*I270+J300*J270+K300*K270+L300*L270+M300*M270+N300*N270+O300*O270+P300*P270+Q300*Q270+R300*R270+S300*S270+T300*T270+U300*U270+V300*V270+W300*W270+X300*X270+Y300*Y270+Z300*Z270+AA300*AA270+AB300*AB270+AC300*AC270+AD300*AD270+AE300*AE270+AF300*AF270+AG300*AG270+AH300*AH270+AI300*AI270+AJ300*AJ270+AK300*AK270+AL300*AL270+AM300*AM270+AN300*AN270+AO300*AO270+AP300*AP270+AQ300*AQ270+AR300*AR270+AS300*AS270+AT300*AT270+AU300*AU270+AV300*AV270+AW300*AW270+AX300*AX270+AY300*AY270+AZ300*AZ270+BA300*BA270+BB300*BB270+BC300*BC270+BD300*BD270+BE300*BE270+BF300*BF270+BG300*BG270+BH300*BH270+BI300*BI270+BJ300*BJ270+BK300*BK270+BL300*BL270+BM300*BM270+BN300*BN270+BO300*BO270+BP300*BP270+BQ300*BQ270+BR300*BR270+BS300*BS270+BT300*BT270+BU300*BU270+BV300*BV270+BW300*BW270+BX300*BX270+BY300*BY270+BZ300*BZ270+CA300*CA270+CB300*CB270+CC300*CC270+CD300*CD270+CE300*CE270+CF300*CF270+CG300*CG270+CH300*CH270+CI300*CI270+CJ300*CJ270+CK300*CK270+CL300*CL270+CM300*CM270+CN300*CN270+CO300*CO270+CP300*CP270+CQ300*CQ270+CR300*CR270+CS300*CS270+CT300*CT270+CU300*CU270</f>
        <v>0</v>
      </c>
      <c r="CZ270" s="2881">
        <f>E301*E270+F301*F270+G301*G270+H301*H270+I301*I270+J301*J270+K301*K270+L301*L270+M301*M270+N301*N270+O301*O270+P301*P270+Q301*Q270+R301*R270+S301*S270+T301*T270+U301*U270+V301*V270+W301*W270+X301*X270+Y301*Y270+Z301*Z270+AA301*AA270+AB301*AB270+AC301*AC270+AD301*AD270+AE301*AE270+AF301*AF270+AG301*AG270+AH301*AH270+AI301*AI270+AJ301*AJ270+AK301*AK270+AL301*AL270+AM301*AM270+AN301*AN270+AO301*AO270+AP301*AP270+AQ301*AQ270+AR301*AR270+AS301*AS270+AT301*AT270+AU301*AU270+AV301*AV270+AW301*AW270+AX301*AX270+AY301*AY270+AZ301*AZ270+BA301*BA270+BB301*BB270+BC301*BC270+BD301*BD270+BE301*BE270+BF301*BF270+BG301*BG270+BH301*BH270+BI301*BI270+BJ301*BJ270+BK301*BK270+BL301*BL270+BM301*BM270+BN301*BN270+BO301*BO270+BP301*BP270+BQ301*BQ270+BR301*BR270+BS301*BS270+BT301*BT270+BU301*BU270+BV301*BV270+BW301*BW270+BX301*BX270+BY301*BY270+BZ301*BZ270+CA301*CA270+CB301*CB270+CC301*CC270+CD301*CD270+CE301*CE270+CF301*CF270+CG301*CG270+CH301*CH270+CI301*CI270+CJ301*CJ270+CK301*CK270+CL301*CL270+CM301*CM270+CN301*CN270+CO301*CO270+CP301*CP270+CQ301*CQ270+CR301*CR270+CS301*CS270+CT301*CT270+CU301*CU270</f>
        <v>0</v>
      </c>
      <c r="DA270" s="2882">
        <f>E302*E270+F302*F270+G302*G270+H302*H270+I302*I270+J302*J270+K302*K270+L302*L270+M302*M270+N302*N270+O302*O270+P302*P270+Q302*Q270+R302*R270+S302*S270+T302*T270+U302*U270+V302*V270+W302*W270+X302*X270+Y302*Y270+Z302*Z270+AA302*AA270+AB302*AB270+AC302*AC270+AD302*AD270+AE302*AE270+AF302*AF270+AG302*AG270+AH302*AH270+AI302*AI270+AJ302*AJ270+AK302*AK270+AL302*AL270+AM302*AM270+AN302*AN270+AO302*AO270+AP302*AP270+AQ302*AQ270+AR302*AR270+AS302*AS270+AT302*AT270+AU302*AU270+AV302*AV270+AW302*AW270+AX302*AX270+AY302*AY270+AZ302*AZ270+BA302*BA270+BB302*BB270+BC302*BC270+BD302*BD270+BE302*BE270+BF302*BF270+BG302*BG270+BH302*BH270+BI302*BI270+BJ302*BJ270+BK302*BK270+BL302*BL270+BM302*BM270+BN302*BN270+BO302*BO270+BP302*BP270+BQ302*BQ270+BR302*BR270+BS302*BS270+BT302*BT270+BU302*BU270+BV302*BV270+BW302*BW270+BX302*BX270+BY302*BY270+BZ302*BZ270+CA302*CA270+CB302*CB270+CC302*CC270+CD302*CD270+CE302*CE270+CF302*CF270+CG302*CG270+CH302*CH270+CI302*CI270+CJ302*CJ270+CK302*CK270+CL302*CL270+CM302*CM270+CN302*CN270+CO302*CO270+CP302*CP270+CQ302*CQ270+CR302*CR270+CS302*CS270+CT302*CT270+CU302*CU270</f>
        <v>0</v>
      </c>
      <c r="DB270" s="2882">
        <f>E303*E270+F303*F270+G303*G270+H303*H270+I303*I270+J303*J270+K303*K270+L303*L270+M303*M270+N303*N270+O303*O270+P303*P270+Q303*Q270+R303*R270+S303*S270+T303*T270+U303*U270+V303*V270+W303*W270+X303*X270+Y303*Y270+Z303*Z270+AA303*AA270+AB303*AB270+AC303*AC270+AD303*AD270+AE303*AE270+AF303*AF270+AG303*AG270+AH303*AH270+AI303*AI270+AJ303*AJ270+AK303*AK270+AL303*AL270+AM303*AM270+AN303*AN270+AO303*AO270+AP303*AP270+AQ303*AQ270+AR303*AR270+AS303*AS270+AT303*AT270+AU303*AU270+AV303*AV270+AW303*AW270+AX303*AX270+AY303*AY270+AZ303*AZ270+BA303*BA270+BB303*BB270+BC303*BC270+BD303*BD270+BE303*BE270+BF303*BF270+BG303*BG270+BH303*BH270+BI303*BI270+BJ303*BJ270+BK303*BK270+BL303*BL270+BM303*BM270+BN303*BN270+BO303*BO270+BP303*BP270+BQ303*BQ270+BR303*BR270+BS303*BS270+BT303*BT270+BU303*BU270+BV303*BV270+BW303*BW270+BX303*BX270+BY303*BY270+BZ303*BZ270+CA303*CA270+CB303*CB270+CC303*CC270+CD303*CD270+CE303*CE270+CF303*CF270+CG303*CG270+CH303*CH270+CI303*CI270+CJ303*CJ270+CK303*CK270+CL303*CL270+CM303*CM270+CN303*CN270+CO303*CO270+CP303*CP270+CQ303*CQ270+CR303*CR270+CS303*CS270+CT303*CT270+CU303*CU270</f>
        <v>0</v>
      </c>
      <c r="DC270" s="2882">
        <f>E304*E270+F304*F270+G304*G270+H304*H270+I304*I270+J304*J270+K304*K270+L304*L270+M304*M270+N304*N270+O304*O270+P304*P270+Q304*Q270+R304*R270+S304*S270+T304*T270+U304*U270+V304*V270+W304*W270+X304*X270+Y304*Y270+Z304*Z270+AA304*AA270+AB304*AB270+AC304*AC270+AD304*AD270+AE304*AE270+AF304*AF270+AG304*AG270+AH304*AH270+AI304*AI270+AJ304*AJ270+AK304*AK270+AL304*AL270+AM304*AM270+AN304*AN270+AO304*AO270+AP304*AP270+AQ304*AQ270+AR304*AR270+AS304*AS270+AT304*AT270+AU304*AU270+AV304*AV270+AW304*AW270+AX304*AX270+AY304*AY270+AZ304*AZ270+BA304*BA270+BB304*BB270+BC304*BC270+BD304*BD270+BE304*BE270+BF304*BF270+BG304*BG270+BH304*BH270+BI304*BI270+BJ304*BJ270+BK304*BK270+BL304*BL270+BM304*BM270+BN304*BN270+BO304*BO270+BP304*BP270+BQ304*BQ270+BR304*BR270+BS304*BS270+BT304*BT270+BU304*BU270+BV304*BV270+BW304*BW270+BX304*BX270+BY304*BY270+BZ304*BZ270+CA304*CA270+CB304*CB270+CC304*CC270+CD304*CD270+CE304*CE270+CF304*CF270+CG304*CG270+CH304*CH270+CI304*CI270+CJ304*CJ270+CK304*CK270+CL304*CL270+CM304*CM270+CN304*CN270+CO304*CO270+CP304*CP270+CQ304*CQ270+CR304*CR270+CS304*CS270+CT304*CT270+CU304*CU270</f>
        <v>0</v>
      </c>
      <c r="DD270" s="2882">
        <f>E305*E270+F305*F270+G305*G270+H305*H270+I305*I270+J305*J270+K305*K270+L305*L270+M305*M270+N305*N270+O305*O270+P305*P270+Q305*Q270+R305*R270+S305*S270+T305*T270+U305*U270+V305*V270+W305*W270+X305*X270+Y305*Y270+Z305*Z270+AA305*AA270+AB305*AB270+AC305*AC270+AD305*AD270+AE305*AE270+AF305*AF270+AG305*AG270+AH305*AH270+AI305*AI270+AJ305*AJ270+AK305*AK270+AL305*AL270+AM305*AM270+AN305*AN270+AO305*AO270+AP305*AP270+AQ305*AQ270+AR305*AR270+AS305*AS270+AT305*AT270+AU305*AU270+AV305*AV270+AW305*AW270+AX305*AX270+AY305*AY270+AZ305*AZ270+BA305*BA270+BB305*BB270+BC305*BC270+BD305*BD270+BE305*BE270+BF305*BF270+BG305*BG270+BH305*BH270+BI305*BI270+BJ305*BJ270+BK305*BK270+BL305*BL270+BM305*BM270+BN305*BN270+BO305*BO270+BP305*BP270+BQ305*BQ270+BR305*BR270+BS305*BS270+BT305*BT270+BU305*BU270+BV305*BV270+BW305*BW270+BX305*BX270+BY305*BY270+BZ305*BZ270+CA305*CA270+CB305*CB270+CC305*CC270+CD305*CD270+CE305*CE270+CF305*CF270+CG305*CG270+CH305*CH270+CI305*CI270+CJ305*CJ270+CK305*CK270+CL305*CL270+CM305*CM270+CN305*CN270+CO305*CO270+CP305*CP270+CQ305*CQ270+CR305*CR270+CS305*CS270+CT305*CT270+CU305*CU270</f>
        <v>0</v>
      </c>
      <c r="DE270" s="2882">
        <f>E306*E270+F306*F270+G306*G270+H306*H270+I306*I270+J306*J270+K306*K270+L306*L270+M306*M270+N306*N270+O306*O270+P306*P270+Q306*Q270+R306*R270+S306*S270+T306*T270+U306*U270+V306*V270+W306*W270+X306*X270+Y306*Y270+Z306*Z270+AA306*AA270+AB306*AB270+AC306*AC270+AD306*AD270+AE306*AE270+AF306*AF270+AG306*AG270+AH306*AH270+AI306*AI270+AJ306*AJ270+AK306*AK270+AL306*AL270+AM306*AM270+AN306*AN270+AO306*AO270+AP306*AP270+AQ306*AQ270+AR306*AR270+AS306*AS270+AT306*AT270+AU306*AU270+AV306*AV270+AW306*AW270+AX306*AX270+AY306*AY270+AZ306*AZ270+BA306*BA270+BB306*BB270+BC306*BC270+BD306*BD270+BE306*BE270+BF306*BF270+BG306*BG270+BH306*BH270+BI306*BI270+BJ306*BJ270+BK306*BK270+BL306*BL270+BM306*BM270+BN306*BN270+BO306*BO270+BP306*BP270+BQ306*BQ270+BR306*BR270+BS306*BS270+BT306*BT270+BU306*BU270+BV306*BV270+BW306*BW270+BX306*BX270+BY306*BY270+BZ306*BZ270+CA306*CA270+CB306*CB270+CC306*CC270+CD306*CD270+CE306*CE270+CF306*CF270+CG306*CG270+CH306*CH270+CI306*CI270+CJ306*CJ270+CK306*CK270+CL306*CL270+CM306*CM270+CN306*CN270+CO306*CO270+CP306*CP270+CQ306*CQ270+CR306*CR270+CS306*CS270+CT306*CT270+CU306*CU270</f>
        <v>0</v>
      </c>
      <c r="DF270" s="2882">
        <f>E307*E270+F307*F270+G307*G270+H307*H270+I307*I270+J307*J270+K307*K270+L307*L270+M307*M270+N307*N270+O307*O270+P307*P270+Q307*Q270+R307*R270+S307*S270+T307*T270+U307*U270+V307*V270+W307*W270+X307*X270+Y307*Y270+Z307*Z270+AA307*AA270+AB307*AB270+AC307*AC270+AD307*AD270+AE307*AE270+AF307*AF270+AG307*AG270+AH307*AH270+AI307*AI270+AJ307*AJ270+AK307*AK270+AL307*AL270+AM307*AM270+AN307*AN270+AO307*AO270+AP307*AP270+AQ307*AQ270+AR307*AR270+AS307*AS270+AT307*AT270+AU307*AU270+AV307*AV270+AW307*AW270+AX307*AX270+AY307*AY270+AZ307*AZ270+BA307*BA270+BB307*BB270+BC307*BC270+BD307*BD270+BE307*BE270+BF307*BF270+BG307*BG270+BH307*BH270+BI307*BI270+BJ307*BJ270+BK307*BK270+BL307*BL270+BM307*BM270+BN307*BN270+BO307*BO270+BP307*BP270+BQ307*BQ270+BR307*BR270+BS307*BS270+BT307*BT270+BU307*BU270+BV307*BV270+BW307*BW270+BX307*BX270+BY307*BY270+BZ307*BZ270+CA307*CA270+CB307*CB270+CC307*CC270+CD307*CD270+CE307*CE270+CF307*CF270+CG307*CG270+CH307*CH270+CI307*CI270+CJ307*CJ270+CK307*CK270+CL307*CL270+CM307*CM270+CN307*CN270+CO307*CO270+CP307*CP270+CQ307*CQ270+CR307*CR270+CS307*CS270+CT307*CT270+CU307*CU270</f>
        <v>0</v>
      </c>
      <c r="DG270" s="2882">
        <f>E308*E270+F308*F270+G308*G270+H308*H270+I308*I270+J308*J270+K308*K270+L308*L270+M308*M270+N308*N270+O308*O270+P308*P270+Q308*Q270+R308*R270+S308*S270+T308*T270+U308*U270+V308*V270+W308*W270+X308*X270+Y308*Y270+Z308*Z270+AA308*AA270+AB308*AB270+AC308*AC270+AD308*AD270+AE308*AE270+AF308*AF270+AG308*AG270+AH308*AH270+AI308*AI270+AJ308*AJ270+AK308*AK270+AL308*AL270+AM308*AM270+AN308*AN270+AO308*AO270+AP308*AP270+AQ308*AQ270+AR308*AR270+AS308*AS270+AT308*AT270+AU308*AU270+AV308*AV270+AW308*AW270+AX308*AX270+AY308*AY270+AZ308*AZ270+BA308*BA270+BB308*BB270+BC308*BC270+BD308*BD270+BE308*BE270+BF308*BF270+BG308*BG270+BH308*BH270+BI308*BI270+BJ308*BJ270+BK308*BK270+BL308*BL270+BM308*BM270+BN308*BN270+BO308*BO270+BP308*BP270+BQ308*BQ270+BR308*BR270+BS308*BS270+BT308*BT270+BU308*BU270+BV308*BV270+BW308*BW270+BX308*BX270+BY308*BY270+BZ308*BZ270+CA308*CA270+CB308*CB270+CC308*CC270+CD308*CD270+CE308*CE270+CF308*CF270+CG308*CG270+CH308*CH270+CI308*CI270+CJ308*CJ270+CK308*CK270+CL308*CL270+CM308*CM270+CN308*CN270+CO308*CO270+CP308*CP270+CQ308*CQ270+CR308*CR270+CS308*CS270+CT308*CT270+CU308*CU270</f>
        <v>0</v>
      </c>
      <c r="DH270" s="2882">
        <f>E309*E270+F309*F270+G309*G270+H309*H270+I309*I270+J309*J270+K309*K270+L309*L270+M309*M270+N309*N270+O309*O270+P309*P270+Q309*Q270+R309*R270+S309*S270+T309*T270+U309*U270+V309*V270+W309*W270+X309*X270+Y309*Y270+Z309*Z270+AA309*AA270+AB309*AB270+AC309*AC270+AD309*AD270+AE309*AE270+AF309*AF270+AG309*AG270+AH309*AH270+AI309*AI270+AJ309*AJ270+AK309*AK270+AL309*AL270+AM309*AM270+AN309*AN270+AO309*AO270+AP309*AP270+AQ309*AQ270+AR309*AR270+AS309*AS270+AT309*AT270+AU309*AU270+AV309*AV270+AW309*AW270+AX309*AX270+AY309*AY270+AZ309*AZ270+BA309*BA270+BB309*BB270+BC309*BC270+BD309*BD270+BE309*BE270+BF309*BF270+BG309*BG270+BH309*BH270+BI309*BI270+BJ309*BJ270+BK309*BK270+BL309*BL270+BM309*BM270+BN309*BN270+BO309*BO270+BP309*BP270+BQ309*BQ270+BR309*BR270+BS309*BS270+BT309*BT270+BU309*BU270+BV309*BV270+BW309*BW270+BX309*BX270+BY309*BY270+BZ309*BZ270+CA309*CA270+CB309*CB270+CC309*CC270+CD309*CD270+CE309*CE270+CF309*CF270+CG309*CG270+CH309*CH270+CI309*CI270+CJ309*CJ270+CK309*CK270+CL309*CL270+CM309*CM270+CN309*CN270+CO309*CO270+CP309*CP270+CQ309*CQ270+CR309*CR270+CS309*CS270+CT309*CT270+CU309*CU270</f>
        <v>0</v>
      </c>
      <c r="DI270" s="2882">
        <f>E310*E270+F310*F270+G310*G270+H310*H270+I310*I270+J310*J270+K310*K270+L310*L270+M310*M270+N310*N270+O310*O270+P310*P270+Q310*Q270+R310*R270+S310*S270+T310*T270+U310*U270+V310*V270+W310*W270+X310*X270+Y310*Y270+Z310*Z270+AA310*AA270+AB310*AB270+AC310*AC270+AD310*AD270+AE310*AE270+AF310*AF270+AG310*AG270+AH310*AH270+AI310*AI270+AJ310*AJ270+AK310*AK270+AL310*AL270+AM310*AM270+AN310*AN270+AO310*AO270+AP310*AP270+AQ310*AQ270+AR310*AR270+AS310*AS270+AT310*AT270+AU310*AU270+AV310*AV270+AW310*AW270+AX310*AX270+AY310*AY270+AZ310*AZ270+BA310*BA270+BB310*BB270+BC310*BC270+BD310*BD270+BE310*BE270+BF310*BF270+BG310*BG270+BH310*BH270+BI310*BI270+BJ310*BJ270+BK310*BK270+BL310*BL270+BM310*BM270+BN310*BN270+BO310*BO270+BP310*BP270+BQ310*BQ270+BR310*BR270+BS310*BS270+BT310*BT270+BU310*BU270+BV310*BV270+BW310*BW270+BX310*BX270+BY310*BY270+BZ310*BZ270+CA310*CA270+CB310*CB270+CC310*CC270+CD310*CD270+CE310*CE270+CF310*CF270+CG310*CG270+CH310*CH270+CI310*CI270+CJ310*CJ270+CK310*CK270+CL310*CL270+CM310*CM270+CN310*CN270+CO310*CO270+CP310*CP270+CQ310*CQ270+CR310*CR270+CS310*CS270+CT310*CT270+CU310*CU270</f>
        <v>0</v>
      </c>
    </row>
    <row r="271" spans="2:113" ht="14.65" thickBot="1" x14ac:dyDescent="0.5">
      <c r="B271" s="2221">
        <v>112</v>
      </c>
      <c r="C271" s="2221" t="s">
        <v>5794</v>
      </c>
      <c r="D271" s="2608" t="s">
        <v>5506</v>
      </c>
      <c r="E271" s="2609">
        <f>0</f>
        <v>0</v>
      </c>
      <c r="F271" s="2609">
        <f>0</f>
        <v>0</v>
      </c>
      <c r="G271" s="2609">
        <f>0</f>
        <v>0</v>
      </c>
      <c r="H271" s="2609">
        <f>0</f>
        <v>0</v>
      </c>
      <c r="I271" s="2609">
        <f>0</f>
        <v>0</v>
      </c>
      <c r="J271" s="2609">
        <f>0</f>
        <v>0</v>
      </c>
      <c r="K271" s="2609">
        <f>0</f>
        <v>0</v>
      </c>
      <c r="L271" s="2609">
        <f>0</f>
        <v>0</v>
      </c>
      <c r="M271" s="2609">
        <f>0</f>
        <v>0</v>
      </c>
      <c r="N271" s="2609">
        <f>0</f>
        <v>0</v>
      </c>
      <c r="O271" s="2609">
        <f>0</f>
        <v>0</v>
      </c>
      <c r="P271" s="2609">
        <f>0</f>
        <v>0</v>
      </c>
      <c r="Q271" s="2610">
        <f>0</f>
        <v>0</v>
      </c>
      <c r="R271" s="2609">
        <f>0</f>
        <v>0</v>
      </c>
      <c r="S271" s="2609">
        <f>0</f>
        <v>0</v>
      </c>
      <c r="T271" s="2609">
        <f>0</f>
        <v>0</v>
      </c>
      <c r="U271" s="2609">
        <f>0</f>
        <v>0</v>
      </c>
      <c r="V271" s="2609">
        <f>0</f>
        <v>0</v>
      </c>
      <c r="W271" s="2609">
        <f>0</f>
        <v>0</v>
      </c>
      <c r="X271" s="2609">
        <f>0</f>
        <v>0</v>
      </c>
      <c r="Y271" s="2609">
        <f>0</f>
        <v>0</v>
      </c>
      <c r="Z271" s="2609">
        <f>0</f>
        <v>0</v>
      </c>
      <c r="AA271" s="2609">
        <f>0</f>
        <v>0</v>
      </c>
      <c r="AB271" s="2609">
        <f>0</f>
        <v>0</v>
      </c>
      <c r="AC271" s="2609">
        <f>0</f>
        <v>0</v>
      </c>
      <c r="AD271" s="2609">
        <f>0</f>
        <v>0</v>
      </c>
      <c r="AE271" s="2609">
        <f>0</f>
        <v>0</v>
      </c>
      <c r="AF271" s="2609">
        <f>0</f>
        <v>0</v>
      </c>
      <c r="AG271" s="2609">
        <f>0</f>
        <v>0</v>
      </c>
      <c r="AH271" s="2609">
        <f>0</f>
        <v>0</v>
      </c>
      <c r="AI271" s="2609">
        <f>0</f>
        <v>0</v>
      </c>
      <c r="AJ271" s="2609">
        <f>0</f>
        <v>0</v>
      </c>
      <c r="AK271" s="2609">
        <f>0</f>
        <v>0</v>
      </c>
      <c r="AL271" s="2609">
        <f>0</f>
        <v>0</v>
      </c>
      <c r="AM271" s="2609">
        <f>0</f>
        <v>0</v>
      </c>
      <c r="AN271" s="2609">
        <f>0</f>
        <v>0</v>
      </c>
      <c r="AO271" s="2609">
        <f>0</f>
        <v>0</v>
      </c>
      <c r="AP271" s="2609">
        <f>0</f>
        <v>0</v>
      </c>
      <c r="AQ271" s="2609">
        <f>0</f>
        <v>0</v>
      </c>
      <c r="AR271" s="2609">
        <f>0</f>
        <v>0</v>
      </c>
      <c r="AS271" s="2609">
        <f>0</f>
        <v>0</v>
      </c>
      <c r="AT271" s="2609">
        <f>0</f>
        <v>0</v>
      </c>
      <c r="AU271" s="2609">
        <f>0</f>
        <v>0</v>
      </c>
      <c r="AV271" s="2609">
        <f>0</f>
        <v>0</v>
      </c>
      <c r="AW271" s="2609">
        <f>0</f>
        <v>0</v>
      </c>
      <c r="AX271" s="2609">
        <f>0</f>
        <v>0</v>
      </c>
      <c r="AY271" s="2609">
        <f>0</f>
        <v>0</v>
      </c>
      <c r="AZ271" s="2609">
        <f>0</f>
        <v>0</v>
      </c>
      <c r="BA271" s="2609">
        <f>0</f>
        <v>0</v>
      </c>
      <c r="BB271" s="2609">
        <f>0</f>
        <v>0</v>
      </c>
      <c r="BC271" s="2609">
        <f>0</f>
        <v>0</v>
      </c>
      <c r="BD271" s="2609">
        <f>0</f>
        <v>0</v>
      </c>
      <c r="BE271" s="2610">
        <f>0</f>
        <v>0</v>
      </c>
      <c r="BF271" s="2610">
        <f>0</f>
        <v>0</v>
      </c>
      <c r="BG271" s="2610">
        <f>0</f>
        <v>0</v>
      </c>
      <c r="BH271" s="2610">
        <f>0</f>
        <v>0</v>
      </c>
      <c r="BI271" s="2610">
        <f>0</f>
        <v>0</v>
      </c>
      <c r="BJ271" s="2610">
        <f>0</f>
        <v>0</v>
      </c>
      <c r="BK271" s="2610">
        <f>0</f>
        <v>0</v>
      </c>
      <c r="BL271" s="2610">
        <f>0</f>
        <v>0</v>
      </c>
      <c r="BM271" s="2610">
        <f>0</f>
        <v>0</v>
      </c>
      <c r="BN271" s="2610">
        <f>0</f>
        <v>0</v>
      </c>
      <c r="BO271" s="2610">
        <f>0</f>
        <v>0</v>
      </c>
      <c r="BP271" s="2610">
        <f>0</f>
        <v>0</v>
      </c>
      <c r="BQ271" s="2610">
        <f>0</f>
        <v>0</v>
      </c>
      <c r="BR271" s="2610">
        <f>0</f>
        <v>0</v>
      </c>
      <c r="BS271" s="2610">
        <f>0</f>
        <v>0</v>
      </c>
      <c r="BT271" s="2610">
        <f>0</f>
        <v>0</v>
      </c>
      <c r="BU271" s="2610">
        <f>0</f>
        <v>0</v>
      </c>
      <c r="BV271" s="2610">
        <f>0</f>
        <v>0</v>
      </c>
      <c r="BW271" s="2610">
        <f>0</f>
        <v>0</v>
      </c>
      <c r="BX271" s="2610">
        <f>0</f>
        <v>0</v>
      </c>
      <c r="BY271" s="2610">
        <f>0</f>
        <v>0</v>
      </c>
      <c r="BZ271" s="2610">
        <f>0</f>
        <v>0</v>
      </c>
      <c r="CA271" s="2610">
        <f>0</f>
        <v>0</v>
      </c>
      <c r="CB271" s="2610">
        <f>0</f>
        <v>0</v>
      </c>
      <c r="CC271" s="2610">
        <f>0</f>
        <v>0</v>
      </c>
      <c r="CD271" s="2610">
        <f>0</f>
        <v>0</v>
      </c>
      <c r="CE271" s="2610">
        <f>0</f>
        <v>0</v>
      </c>
      <c r="CF271" s="2610">
        <f>0</f>
        <v>0</v>
      </c>
      <c r="CG271" s="2610">
        <f>0</f>
        <v>0</v>
      </c>
      <c r="CH271" s="2610">
        <f>0</f>
        <v>0</v>
      </c>
      <c r="CI271" s="2610">
        <f>0</f>
        <v>0</v>
      </c>
      <c r="CJ271" s="2610">
        <f>0</f>
        <v>0</v>
      </c>
      <c r="CK271" s="2610">
        <f>0</f>
        <v>0</v>
      </c>
      <c r="CL271" s="2610">
        <f>0</f>
        <v>0</v>
      </c>
      <c r="CM271" s="2610">
        <f>0</f>
        <v>0</v>
      </c>
      <c r="CN271" s="2610">
        <f>0</f>
        <v>0</v>
      </c>
      <c r="CO271" s="2610">
        <f>0</f>
        <v>0</v>
      </c>
      <c r="CP271" s="2610">
        <f>0</f>
        <v>0</v>
      </c>
      <c r="CQ271" s="2610">
        <f>0</f>
        <v>0</v>
      </c>
      <c r="CR271" s="2610">
        <f>0</f>
        <v>0</v>
      </c>
      <c r="CS271" s="2610">
        <f>0</f>
        <v>0</v>
      </c>
      <c r="CT271" s="2610">
        <f>-1</f>
        <v>-1</v>
      </c>
      <c r="CU271" s="2828">
        <f>0</f>
        <v>0</v>
      </c>
      <c r="CV271" s="2874" t="e">
        <f ca="1">k_transfer_MM*S_MM_index*(v_93_GCO2*r_93+v_94_GCH4*r_94+v_95_GH2*r_95+v_96_GO2*r_96+v_97_GNH3*r_97+v_100_GN2*r_100+v_133_GH2S*_xlfn.SINGLE(r_133))</f>
        <v>#NAME?</v>
      </c>
      <c r="CX271" s="2880">
        <f>E299*E271+F299*F271+G299*G271+H299*H271+I299*I271+J299*J271+K299*K271+L299*L271+M299*M271+N299*N271+O299*O271+P299*P271+Q299*Q271+R299*R271+S299*S271+T299*T271+U299*U271+V299*V271+W299*W271+X299*X271+Y299*Y271+Z299*Z271+AA299*AA271+AB299*AB271+AC299*AC271+AD299*AD271+AE299*AE271+AF299*AF271+AG299*AG271+AH299*AH271+AI299*AI271+AJ299*AJ271+AK299*AK271+AL299*AL271+AM299*AM271+AN299*AN271+AO299*AO271+AP299*AP271+AQ299*AQ271+AR299*AR271+AS299*AS271+AT299*AT271+AU299*AU271+AV299*AV271+AW299*AW271+AX299*AX271+AY299*AY271+AZ299*AZ271+BA299*BA271+BB299*BB271+BC299*BC271+BD299*BD271+BE299*BE271+BF299*BF271+BG299*BG271+BH299*BH271+BI299*BI271+BJ299*BJ271+BK299*BK271+BL299*BL271+BM299*BM271+BN299*BN271+BO299*BO271+BP299*BP271+BQ299*BQ271+BR299*BR271+BS299*BS271+BT299*BT271+BU299*BU271+BV299*BV271+BW299*BW271+BX299*BX271+BY299*BY271+BZ299*BZ271+CA299*CA271+CB299*CB271+CC299*CC271+CD299*CD271+CE299*CE271+CF299*CF271+CG299*CG271+CH299*CH271+CI299*CI271+CJ299*CJ271+CK299*CK271+CL299*CL271+CM299*CM271+CN299*CN271+CO299*CO271+CP299*CP271+CQ299*CQ271+CR299*CR271+CS299*CS271+CT299*CT271+CU299*CU271</f>
        <v>0</v>
      </c>
      <c r="CY271" s="2880">
        <f>E300*E271+F300*F271+G300*G271+H300*H271+I300*I271+J300*J271+K300*K271+L300*L271+M300*M271+N300*N271+O300*O271+P300*P271+Q300*Q271+R300*R271+S300*S271+T300*T271+U300*U271+V300*V271+W300*W271+X300*X271+Y300*Y271+Z300*Z271+AA300*AA271+AB300*AB271+AC300*AC271+AD300*AD271+AE300*AE271+AF300*AF271+AG300*AG271+AH300*AH271+AI300*AI271+AJ300*AJ271+AK300*AK271+AL300*AL271+AM300*AM271+AN300*AN271+AO300*AO271+AP300*AP271+AQ300*AQ271+AR300*AR271+AS300*AS271+AT300*AT271+AU300*AU271+AV300*AV271+AW300*AW271+AX300*AX271+AY300*AY271+AZ300*AZ271+BA300*BA271+BB300*BB271+BC300*BC271+BD300*BD271+BE300*BE271+BF300*BF271+BG300*BG271+BH300*BH271+BI300*BI271+BJ300*BJ271+BK300*BK271+BL300*BL271+BM300*BM271+BN300*BN271+BO300*BO271+BP300*BP271+BQ300*BQ271+BR300*BR271+BS300*BS271+BT300*BT271+BU300*BU271+BV300*BV271+BW300*BW271+BX300*BX271+BY300*BY271+BZ300*BZ271+CA300*CA271+CB300*CB271+CC300*CC271+CD300*CD271+CE300*CE271+CF300*CF271+CG300*CG271+CH300*CH271+CI300*CI271+CJ300*CJ271+CK300*CK271+CL300*CL271+CM300*CM271+CN300*CN271+CO300*CO271+CP300*CP271+CQ300*CQ271+CR300*CR271+CS300*CS271+CT300*CT271+CU300*CU271</f>
        <v>0</v>
      </c>
      <c r="CZ271" s="2881">
        <f>E301*E271+F301*F271+G301*G271+H301*H271+I301*I271+J301*J271+K301*K271+L301*L271+M301*M271+N301*N271+O301*O271+P301*P271+Q301*Q271+R301*R271+S301*S271+T301*T271+U301*U271+V301*V271+W301*W271+X301*X271+Y301*Y271+Z301*Z271+AA301*AA271+AB301*AB271+AC301*AC271+AD301*AD271+AE301*AE271+AF301*AF271+AG301*AG271+AH301*AH271+AI301*AI271+AJ301*AJ271+AK301*AK271+AL301*AL271+AM301*AM271+AN301*AN271+AO301*AO271+AP301*AP271+AQ301*AQ271+AR301*AR271+AS301*AS271+AT301*AT271+AU301*AU271+AV301*AV271+AW301*AW271+AX301*AX271+AY301*AY271+AZ301*AZ271+BA301*BA271+BB301*BB271+BC301*BC271+BD301*BD271+BE301*BE271+BF301*BF271+BG301*BG271+BH301*BH271+BI301*BI271+BJ301*BJ271+BK301*BK271+BL301*BL271+BM301*BM271+BN301*BN271+BO301*BO271+BP301*BP271+BQ301*BQ271+BR301*BR271+BS301*BS271+BT301*BT271+BU301*BU271+BV301*BV271+BW301*BW271+BX301*BX271+BY301*BY271+BZ301*BZ271+CA301*CA271+CB301*CB271+CC301*CC271+CD301*CD271+CE301*CE271+CF301*CF271+CG301*CG271+CH301*CH271+CI301*CI271+CJ301*CJ271+CK301*CK271+CL301*CL271+CM301*CM271+CN301*CN271+CO301*CO271+CP301*CP271+CQ301*CQ271+CR301*CR271+CS301*CS271+CT301*CT271+CU301*CU271</f>
        <v>0</v>
      </c>
      <c r="DA271" s="2882">
        <f>E302*E271+F302*F271+G302*G271+H302*H271+I302*I271+J302*J271+K302*K271+L302*L271+M302*M271+N302*N271+O302*O271+P302*P271+Q302*Q271+R302*R271+S302*S271+T302*T271+U302*U271+V302*V271+W302*W271+X302*X271+Y302*Y271+Z302*Z271+AA302*AA271+AB302*AB271+AC302*AC271+AD302*AD271+AE302*AE271+AF302*AF271+AG302*AG271+AH302*AH271+AI302*AI271+AJ302*AJ271+AK302*AK271+AL302*AL271+AM302*AM271+AN302*AN271+AO302*AO271+AP302*AP271+AQ302*AQ271+AR302*AR271+AS302*AS271+AT302*AT271+AU302*AU271+AV302*AV271+AW302*AW271+AX302*AX271+AY302*AY271+AZ302*AZ271+BA302*BA271+BB302*BB271+BC302*BC271+BD302*BD271+BE302*BE271+BF302*BF271+BG302*BG271+BH302*BH271+BI302*BI271+BJ302*BJ271+BK302*BK271+BL302*BL271+BM302*BM271+BN302*BN271+BO302*BO271+BP302*BP271+BQ302*BQ271+BR302*BR271+BS302*BS271+BT302*BT271+BU302*BU271+BV302*BV271+BW302*BW271+BX302*BX271+BY302*BY271+BZ302*BZ271+CA302*CA271+CB302*CB271+CC302*CC271+CD302*CD271+CE302*CE271+CF302*CF271+CG302*CG271+CH302*CH271+CI302*CI271+CJ302*CJ271+CK302*CK271+CL302*CL271+CM302*CM271+CN302*CN271+CO302*CO271+CP302*CP271+CQ302*CQ271+CR302*CR271+CS302*CS271+CT302*CT271+CU302*CU271</f>
        <v>0</v>
      </c>
      <c r="DB271" s="2882">
        <f>E303*E271+F303*F271+G303*G271+H303*H271+I303*I271+J303*J271+K303*K271+L303*L271+M303*M271+N303*N271+O303*O271+P303*P271+Q303*Q271+R303*R271+S303*S271+T303*T271+U303*U271+V303*V271+W303*W271+X303*X271+Y303*Y271+Z303*Z271+AA303*AA271+AB303*AB271+AC303*AC271+AD303*AD271+AE303*AE271+AF303*AF271+AG303*AG271+AH303*AH271+AI303*AI271+AJ303*AJ271+AK303*AK271+AL303*AL271+AM303*AM271+AN303*AN271+AO303*AO271+AP303*AP271+AQ303*AQ271+AR303*AR271+AS303*AS271+AT303*AT271+AU303*AU271+AV303*AV271+AW303*AW271+AX303*AX271+AY303*AY271+AZ303*AZ271+BA303*BA271+BB303*BB271+BC303*BC271+BD303*BD271+BE303*BE271+BF303*BF271+BG303*BG271+BH303*BH271+BI303*BI271+BJ303*BJ271+BK303*BK271+BL303*BL271+BM303*BM271+BN303*BN271+BO303*BO271+BP303*BP271+BQ303*BQ271+BR303*BR271+BS303*BS271+BT303*BT271+BU303*BU271+BV303*BV271+BW303*BW271+BX303*BX271+BY303*BY271+BZ303*BZ271+CA303*CA271+CB303*CB271+CC303*CC271+CD303*CD271+CE303*CE271+CF303*CF271+CG303*CG271+CH303*CH271+CI303*CI271+CJ303*CJ271+CK303*CK271+CL303*CL271+CM303*CM271+CN303*CN271+CO303*CO271+CP303*CP271+CQ303*CQ271+CR303*CR271+CS303*CS271+CT303*CT271+CU303*CU271</f>
        <v>0</v>
      </c>
      <c r="DC271" s="2882">
        <f>E304*E271+F304*F271+G304*G271+H304*H271+I304*I271+J304*J271+K304*K271+L304*L271+M304*M271+N304*N271+O304*O271+P304*P271+Q304*Q271+R304*R271+S304*S271+T304*T271+U304*U271+V304*V271+W304*W271+X304*X271+Y304*Y271+Z304*Z271+AA304*AA271+AB304*AB271+AC304*AC271+AD304*AD271+AE304*AE271+AF304*AF271+AG304*AG271+AH304*AH271+AI304*AI271+AJ304*AJ271+AK304*AK271+AL304*AL271+AM304*AM271+AN304*AN271+AO304*AO271+AP304*AP271+AQ304*AQ271+AR304*AR271+AS304*AS271+AT304*AT271+AU304*AU271+AV304*AV271+AW304*AW271+AX304*AX271+AY304*AY271+AZ304*AZ271+BA304*BA271+BB304*BB271+BC304*BC271+BD304*BD271+BE304*BE271+BF304*BF271+BG304*BG271+BH304*BH271+BI304*BI271+BJ304*BJ271+BK304*BK271+BL304*BL271+BM304*BM271+BN304*BN271+BO304*BO271+BP304*BP271+BQ304*BQ271+BR304*BR271+BS304*BS271+BT304*BT271+BU304*BU271+BV304*BV271+BW304*BW271+BX304*BX271+BY304*BY271+BZ304*BZ271+CA304*CA271+CB304*CB271+CC304*CC271+CD304*CD271+CE304*CE271+CF304*CF271+CG304*CG271+CH304*CH271+CI304*CI271+CJ304*CJ271+CK304*CK271+CL304*CL271+CM304*CM271+CN304*CN271+CO304*CO271+CP304*CP271+CQ304*CQ271+CR304*CR271+CS304*CS271+CT304*CT271+CU304*CU271</f>
        <v>0</v>
      </c>
      <c r="DD271" s="2882">
        <f>E305*E271+F305*F271+G305*G271+H305*H271+I305*I271+J305*J271+K305*K271+L305*L271+M305*M271+N305*N271+O305*O271+P305*P271+Q305*Q271+R305*R271+S305*S271+T305*T271+U305*U271+V305*V271+W305*W271+X305*X271+Y305*Y271+Z305*Z271+AA305*AA271+AB305*AB271+AC305*AC271+AD305*AD271+AE305*AE271+AF305*AF271+AG305*AG271+AH305*AH271+AI305*AI271+AJ305*AJ271+AK305*AK271+AL305*AL271+AM305*AM271+AN305*AN271+AO305*AO271+AP305*AP271+AQ305*AQ271+AR305*AR271+AS305*AS271+AT305*AT271+AU305*AU271+AV305*AV271+AW305*AW271+AX305*AX271+AY305*AY271+AZ305*AZ271+BA305*BA271+BB305*BB271+BC305*BC271+BD305*BD271+BE305*BE271+BF305*BF271+BG305*BG271+BH305*BH271+BI305*BI271+BJ305*BJ271+BK305*BK271+BL305*BL271+BM305*BM271+BN305*BN271+BO305*BO271+BP305*BP271+BQ305*BQ271+BR305*BR271+BS305*BS271+BT305*BT271+BU305*BU271+BV305*BV271+BW305*BW271+BX305*BX271+BY305*BY271+BZ305*BZ271+CA305*CA271+CB305*CB271+CC305*CC271+CD305*CD271+CE305*CE271+CF305*CF271+CG305*CG271+CH305*CH271+CI305*CI271+CJ305*CJ271+CK305*CK271+CL305*CL271+CM305*CM271+CN305*CN271+CO305*CO271+CP305*CP271+CQ305*CQ271+CR305*CR271+CS305*CS271+CT305*CT271+CU305*CU271</f>
        <v>0</v>
      </c>
      <c r="DE271" s="2882">
        <f>E306*E271+F306*F271+G306*G271+H306*H271+I306*I271+J306*J271+K306*K271+L306*L271+M306*M271+N306*N271+O306*O271+P306*P271+Q306*Q271+R306*R271+S306*S271+T306*T271+U306*U271+V306*V271+W306*W271+X306*X271+Y306*Y271+Z306*Z271+AA306*AA271+AB306*AB271+AC306*AC271+AD306*AD271+AE306*AE271+AF306*AF271+AG306*AG271+AH306*AH271+AI306*AI271+AJ306*AJ271+AK306*AK271+AL306*AL271+AM306*AM271+AN306*AN271+AO306*AO271+AP306*AP271+AQ306*AQ271+AR306*AR271+AS306*AS271+AT306*AT271+AU306*AU271+AV306*AV271+AW306*AW271+AX306*AX271+AY306*AY271+AZ306*AZ271+BA306*BA271+BB306*BB271+BC306*BC271+BD306*BD271+BE306*BE271+BF306*BF271+BG306*BG271+BH306*BH271+BI306*BI271+BJ306*BJ271+BK306*BK271+BL306*BL271+BM306*BM271+BN306*BN271+BO306*BO271+BP306*BP271+BQ306*BQ271+BR306*BR271+BS306*BS271+BT306*BT271+BU306*BU271+BV306*BV271+BW306*BW271+BX306*BX271+BY306*BY271+BZ306*BZ271+CA306*CA271+CB306*CB271+CC306*CC271+CD306*CD271+CE306*CE271+CF306*CF271+CG306*CG271+CH306*CH271+CI306*CI271+CJ306*CJ271+CK306*CK271+CL306*CL271+CM306*CM271+CN306*CN271+CO306*CO271+CP306*CP271+CQ306*CQ271+CR306*CR271+CS306*CS271+CT306*CT271+CU306*CU271</f>
        <v>0</v>
      </c>
      <c r="DF271" s="2882">
        <f>E307*E271+F307*F271+G307*G271+H307*H271+I307*I271+J307*J271+K307*K271+L307*L271+M307*M271+N307*N271+O307*O271+P307*P271+Q307*Q271+R307*R271+S307*S271+T307*T271+U307*U271+V307*V271+W307*W271+X307*X271+Y307*Y271+Z307*Z271+AA307*AA271+AB307*AB271+AC307*AC271+AD307*AD271+AE307*AE271+AF307*AF271+AG307*AG271+AH307*AH271+AI307*AI271+AJ307*AJ271+AK307*AK271+AL307*AL271+AM307*AM271+AN307*AN271+AO307*AO271+AP307*AP271+AQ307*AQ271+AR307*AR271+AS307*AS271+AT307*AT271+AU307*AU271+AV307*AV271+AW307*AW271+AX307*AX271+AY307*AY271+AZ307*AZ271+BA307*BA271+BB307*BB271+BC307*BC271+BD307*BD271+BE307*BE271+BF307*BF271+BG307*BG271+BH307*BH271+BI307*BI271+BJ307*BJ271+BK307*BK271+BL307*BL271+BM307*BM271+BN307*BN271+BO307*BO271+BP307*BP271+BQ307*BQ271+BR307*BR271+BS307*BS271+BT307*BT271+BU307*BU271+BV307*BV271+BW307*BW271+BX307*BX271+BY307*BY271+BZ307*BZ271+CA307*CA271+CB307*CB271+CC307*CC271+CD307*CD271+CE307*CE271+CF307*CF271+CG307*CG271+CH307*CH271+CI307*CI271+CJ307*CJ271+CK307*CK271+CL307*CL271+CM307*CM271+CN307*CN271+CO307*CO271+CP307*CP271+CQ307*CQ271+CR307*CR271+CS307*CS271+CT307*CT271+CU307*CU271</f>
        <v>0</v>
      </c>
      <c r="DG271" s="2882">
        <f>E308*E271+F308*F271+G308*G271+H308*H271+I308*I271+J308*J271+K308*K271+L308*L271+M308*M271+N308*N271+O308*O271+P308*P271+Q308*Q271+R308*R271+S308*S271+T308*T271+U308*U271+V308*V271+W308*W271+X308*X271+Y308*Y271+Z308*Z271+AA308*AA271+AB308*AB271+AC308*AC271+AD308*AD271+AE308*AE271+AF308*AF271+AG308*AG271+AH308*AH271+AI308*AI271+AJ308*AJ271+AK308*AK271+AL308*AL271+AM308*AM271+AN308*AN271+AO308*AO271+AP308*AP271+AQ308*AQ271+AR308*AR271+AS308*AS271+AT308*AT271+AU308*AU271+AV308*AV271+AW308*AW271+AX308*AX271+AY308*AY271+AZ308*AZ271+BA308*BA271+BB308*BB271+BC308*BC271+BD308*BD271+BE308*BE271+BF308*BF271+BG308*BG271+BH308*BH271+BI308*BI271+BJ308*BJ271+BK308*BK271+BL308*BL271+BM308*BM271+BN308*BN271+BO308*BO271+BP308*BP271+BQ308*BQ271+BR308*BR271+BS308*BS271+BT308*BT271+BU308*BU271+BV308*BV271+BW308*BW271+BX308*BX271+BY308*BY271+BZ308*BZ271+CA308*CA271+CB308*CB271+CC308*CC271+CD308*CD271+CE308*CE271+CF308*CF271+CG308*CG271+CH308*CH271+CI308*CI271+CJ308*CJ271+CK308*CK271+CL308*CL271+CM308*CM271+CN308*CN271+CO308*CO271+CP308*CP271+CQ308*CQ271+CR308*CR271+CS308*CS271+CT308*CT271+CU308*CU271</f>
        <v>0</v>
      </c>
      <c r="DH271" s="2882">
        <f>E309*E271+F309*F271+G309*G271+H309*H271+I309*I271+J309*J271+K309*K271+L309*L271+M309*M271+N309*N271+O309*O271+P309*P271+Q309*Q271+R309*R271+S309*S271+T309*T271+U309*U271+V309*V271+W309*W271+X309*X271+Y309*Y271+Z309*Z271+AA309*AA271+AB309*AB271+AC309*AC271+AD309*AD271+AE309*AE271+AF309*AF271+AG309*AG271+AH309*AH271+AI309*AI271+AJ309*AJ271+AK309*AK271+AL309*AL271+AM309*AM271+AN309*AN271+AO309*AO271+AP309*AP271+AQ309*AQ271+AR309*AR271+AS309*AS271+AT309*AT271+AU309*AU271+AV309*AV271+AW309*AW271+AX309*AX271+AY309*AY271+AZ309*AZ271+BA309*BA271+BB309*BB271+BC309*BC271+BD309*BD271+BE309*BE271+BF309*BF271+BG309*BG271+BH309*BH271+BI309*BI271+BJ309*BJ271+BK309*BK271+BL309*BL271+BM309*BM271+BN309*BN271+BO309*BO271+BP309*BP271+BQ309*BQ271+BR309*BR271+BS309*BS271+BT309*BT271+BU309*BU271+BV309*BV271+BW309*BW271+BX309*BX271+BY309*BY271+BZ309*BZ271+CA309*CA271+CB309*CB271+CC309*CC271+CD309*CD271+CE309*CE271+CF309*CF271+CG309*CG271+CH309*CH271+CI309*CI271+CJ309*CJ271+CK309*CK271+CL309*CL271+CM309*CM271+CN309*CN271+CO309*CO271+CP309*CP271+CQ309*CQ271+CR309*CR271+CS309*CS271+CT309*CT271+CU309*CU271</f>
        <v>0</v>
      </c>
      <c r="DI271" s="2882">
        <f>E310*E271+F310*F271+G310*G271+H310*H271+I310*I271+J310*J271+K310*K271+L310*L271+M310*M271+N310*N271+O310*O271+P310*P271+Q310*Q271+R310*R271+S310*S271+T310*T271+U310*U271+V310*V271+W310*W271+X310*X271+Y310*Y271+Z310*Z271+AA310*AA271+AB310*AB271+AC310*AC271+AD310*AD271+AE310*AE271+AF310*AF271+AG310*AG271+AH310*AH271+AI310*AI271+AJ310*AJ271+AK310*AK271+AL310*AL271+AM310*AM271+AN310*AN271+AO310*AO271+AP310*AP271+AQ310*AQ271+AR310*AR271+AS310*AS271+AT310*AT271+AU310*AU271+AV310*AV271+AW310*AW271+AX310*AX271+AY310*AY271+AZ310*AZ271+BA310*BA271+BB310*BB271+BC310*BC271+BD310*BD271+BE310*BE271+BF310*BF271+BG310*BG271+BH310*BH271+BI310*BI271+BJ310*BJ271+BK310*BK271+BL310*BL271+BM310*BM271+BN310*BN271+BO310*BO271+BP310*BP271+BQ310*BQ271+BR310*BR271+BS310*BS271+BT310*BT271+BU310*BU271+BV310*BV271+BW310*BW271+BX310*BX271+BY310*BY271+BZ310*BZ271+CA310*CA271+CB310*CB271+CC310*CC271+CD310*CD271+CE310*CE271+CF310*CF271+CG310*CG271+CH310*CH271+CI310*CI271+CJ310*CJ271+CK310*CK271+CL310*CL271+CM310*CM271+CN310*CN271+CO310*CO271+CP310*CP271+CQ310*CQ271+CR310*CR271+CS310*CS271+CT310*CT271+CU310*CU271</f>
        <v>0</v>
      </c>
    </row>
    <row r="272" spans="2:113" ht="15.75" x14ac:dyDescent="0.45">
      <c r="B272" s="2219">
        <v>113</v>
      </c>
      <c r="C272" s="2219" t="s">
        <v>5795</v>
      </c>
      <c r="D272" s="2573" t="s">
        <v>5416</v>
      </c>
      <c r="E272" s="2574">
        <f>-1/Y_ASRO</f>
        <v>-28.571428571428569</v>
      </c>
      <c r="F272" s="2575">
        <f>0</f>
        <v>0</v>
      </c>
      <c r="G272" s="2575">
        <f>0</f>
        <v>0</v>
      </c>
      <c r="H272" s="2575">
        <f>0</f>
        <v>0</v>
      </c>
      <c r="I272" s="2575">
        <f>0</f>
        <v>0</v>
      </c>
      <c r="J272" s="2575">
        <f>0</f>
        <v>0</v>
      </c>
      <c r="K272" s="2575">
        <f>0</f>
        <v>0</v>
      </c>
      <c r="L272" s="2575">
        <f>0</f>
        <v>0</v>
      </c>
      <c r="M272" s="2575">
        <f>0</f>
        <v>0</v>
      </c>
      <c r="N272" s="2575">
        <f>0</f>
        <v>0</v>
      </c>
      <c r="O272" s="2575">
        <f>0</f>
        <v>0</v>
      </c>
      <c r="P272" s="2575">
        <f>0</f>
        <v>0</v>
      </c>
      <c r="Q272" s="2576">
        <f>0</f>
        <v>0</v>
      </c>
      <c r="R272" s="2575">
        <f>0</f>
        <v>0</v>
      </c>
      <c r="S272" s="2575">
        <f>0</f>
        <v>0</v>
      </c>
      <c r="T272" s="2575">
        <f>0</f>
        <v>0</v>
      </c>
      <c r="U272" s="2575">
        <f>0</f>
        <v>0</v>
      </c>
      <c r="V272" s="2575">
        <f>0</f>
        <v>0</v>
      </c>
      <c r="W272" s="2575">
        <f>0</f>
        <v>0</v>
      </c>
      <c r="X272" s="2575">
        <f>0</f>
        <v>0</v>
      </c>
      <c r="Y272" s="2575">
        <f>1</f>
        <v>1</v>
      </c>
      <c r="Z272" s="2575">
        <f>0</f>
        <v>0</v>
      </c>
      <c r="AA272" s="2575">
        <f>0</f>
        <v>0</v>
      </c>
      <c r="AB272" s="2574">
        <f>-i_N_BIO</f>
        <v>-7.0000000000000007E-2</v>
      </c>
      <c r="AC272" s="2574">
        <f>0</f>
        <v>0</v>
      </c>
      <c r="AD272" s="2575">
        <f>0</f>
        <v>0</v>
      </c>
      <c r="AE272" s="2575">
        <f>0</f>
        <v>0</v>
      </c>
      <c r="AF272" s="2575">
        <f>0</f>
        <v>0</v>
      </c>
      <c r="AG272" s="2575">
        <f>0</f>
        <v>0</v>
      </c>
      <c r="AH272" s="2575">
        <f>0</f>
        <v>0</v>
      </c>
      <c r="AI272" s="2575">
        <f>0</f>
        <v>0</v>
      </c>
      <c r="AJ272" s="2575">
        <f>0</f>
        <v>0</v>
      </c>
      <c r="AK272" s="2575">
        <f>0</f>
        <v>0</v>
      </c>
      <c r="AL272" s="2575">
        <f>0</f>
        <v>0</v>
      </c>
      <c r="AM272" s="2574">
        <f>-i_P_BIO</f>
        <v>-0.02</v>
      </c>
      <c r="AN272" s="2575">
        <f>0</f>
        <v>0</v>
      </c>
      <c r="AO272" s="2575">
        <f>0</f>
        <v>0</v>
      </c>
      <c r="AP272" s="2575">
        <f>0</f>
        <v>0</v>
      </c>
      <c r="AQ272" s="2575">
        <f>0</f>
        <v>0</v>
      </c>
      <c r="AR272" s="2575">
        <f>0</f>
        <v>0</v>
      </c>
      <c r="AS272" s="2575">
        <f>0</f>
        <v>0</v>
      </c>
      <c r="AT272" s="2575">
        <f>0</f>
        <v>0</v>
      </c>
      <c r="AU272" s="2576">
        <f>i_CIT_VFA/Y_ASRO-i_CIT_BIO</f>
        <v>10.362285714285713</v>
      </c>
      <c r="AV272" s="2575">
        <f>i_INORG</f>
        <v>0.11</v>
      </c>
      <c r="AW272" s="2575">
        <f>-i_INORG*(1-i_Ca_INORG*(A_MCa+2*A_MCl)/A_MCa-i_Mg_INORG*(A_MMg+2*A_MCl)/A_MMg)*f_Na</f>
        <v>-2.8804303582798466E-2</v>
      </c>
      <c r="AX272" s="2575">
        <f>-i_INORG*(i_Ca_INORG*(2*A_MCl)/A_MCa+i_Mg_INORG*(2*A_MCl)/A_MMg)-i_INORG*(1-i_Ca_INORG*(A_MCa+2*A_MCl)/A_MCa-i_Mg_INORG*(A_MMg+2*A_MCl)/A_MMg)*(1-f_Na)</f>
        <v>-7.0195696417201539E-2</v>
      </c>
      <c r="AY272" s="2575">
        <f>-i_INORG*i_Ca_INORG</f>
        <v>-5.5000000000000005E-3</v>
      </c>
      <c r="AZ272" s="2575">
        <f>-i_INORG*i_Mg_INORG</f>
        <v>-5.5000000000000005E-3</v>
      </c>
      <c r="BA272" s="2575">
        <f>0</f>
        <v>0</v>
      </c>
      <c r="BB272" s="2577">
        <f>(1-Y_ASRO)/(E_EQH2S*Y_ASRO)</f>
        <v>13.814234551652827</v>
      </c>
      <c r="BC272" s="2578">
        <f>-(1-Y_ASRO)/(E_EQH2S*Y_ASRO)-i_S_BIO</f>
        <v>-13.824234551652827</v>
      </c>
      <c r="BD272" s="2579">
        <f>0</f>
        <v>0</v>
      </c>
      <c r="BE272" s="2575">
        <f>0</f>
        <v>0</v>
      </c>
      <c r="BF272" s="2575">
        <f>0</f>
        <v>0</v>
      </c>
      <c r="BG272" s="2575">
        <f>0</f>
        <v>0</v>
      </c>
      <c r="BH272" s="2575">
        <f>0</f>
        <v>0</v>
      </c>
      <c r="BI272" s="2575">
        <f>0</f>
        <v>0</v>
      </c>
      <c r="BJ272" s="2575">
        <f>0</f>
        <v>0</v>
      </c>
      <c r="BK272" s="2575">
        <f>0</f>
        <v>0</v>
      </c>
      <c r="BL272" s="2575">
        <f>0</f>
        <v>0</v>
      </c>
      <c r="BM272" s="2575">
        <f>0</f>
        <v>0</v>
      </c>
      <c r="BN272" s="2575">
        <f>0</f>
        <v>0</v>
      </c>
      <c r="BO272" s="2575">
        <f>0</f>
        <v>0</v>
      </c>
      <c r="BP272" s="2575">
        <f>0</f>
        <v>0</v>
      </c>
      <c r="BQ272" s="2575">
        <f>0</f>
        <v>0</v>
      </c>
      <c r="BR272" s="2575">
        <f>0</f>
        <v>0</v>
      </c>
      <c r="BS272" s="2575">
        <f>0</f>
        <v>0</v>
      </c>
      <c r="BT272" s="2575">
        <f>0</f>
        <v>0</v>
      </c>
      <c r="BU272" s="2575">
        <f>0</f>
        <v>0</v>
      </c>
      <c r="BV272" s="2575">
        <f>0</f>
        <v>0</v>
      </c>
      <c r="BW272" s="2575">
        <f>0</f>
        <v>0</v>
      </c>
      <c r="BX272" s="2575">
        <f>0</f>
        <v>0</v>
      </c>
      <c r="BY272" s="2575">
        <f>0</f>
        <v>0</v>
      </c>
      <c r="BZ272" s="2575">
        <f>0</f>
        <v>0</v>
      </c>
      <c r="CA272" s="2575">
        <f>0</f>
        <v>0</v>
      </c>
      <c r="CB272" s="2575">
        <f>0</f>
        <v>0</v>
      </c>
      <c r="CC272" s="2575">
        <f>0</f>
        <v>0</v>
      </c>
      <c r="CD272" s="2575">
        <f>0</f>
        <v>0</v>
      </c>
      <c r="CE272" s="2575">
        <f>0</f>
        <v>0</v>
      </c>
      <c r="CF272" s="2575">
        <f>0</f>
        <v>0</v>
      </c>
      <c r="CG272" s="2575">
        <f>0</f>
        <v>0</v>
      </c>
      <c r="CH272" s="2575">
        <f>0</f>
        <v>0</v>
      </c>
      <c r="CI272" s="2575">
        <f>0</f>
        <v>0</v>
      </c>
      <c r="CJ272" s="2575">
        <f>0</f>
        <v>0</v>
      </c>
      <c r="CK272" s="2575">
        <f>0</f>
        <v>0</v>
      </c>
      <c r="CL272" s="2575">
        <f>0</f>
        <v>0</v>
      </c>
      <c r="CM272" s="2575">
        <f>0</f>
        <v>0</v>
      </c>
      <c r="CN272" s="2575">
        <f>0</f>
        <v>0</v>
      </c>
      <c r="CO272" s="2575">
        <f>0</f>
        <v>0</v>
      </c>
      <c r="CP272" s="2575">
        <f>0</f>
        <v>0</v>
      </c>
      <c r="CQ272" s="2575">
        <f>0</f>
        <v>0</v>
      </c>
      <c r="CR272" s="2575">
        <f>0</f>
        <v>0</v>
      </c>
      <c r="CS272" s="2575">
        <f>0</f>
        <v>0</v>
      </c>
      <c r="CT272" s="2575">
        <f>0</f>
        <v>0</v>
      </c>
      <c r="CU272" s="2575">
        <f>0</f>
        <v>0</v>
      </c>
      <c r="CV272" s="2875">
        <f>µ_ASRO_T*X_ASRO*M_satSVFA_KVFA_ASRO*M_satSO4_KSO4_ASRO*M_satSNHx_KNHx_BIO*M_satSPO4_KPO4_BIO*M_satSCAT_KCAT*M_satSAN_KAN*M_satSCa_KCa*M_satSMg_KMg*M_inhH2S_KiH2S_ASRO*M_inhSNOx_KNOx_ASRO*M_inhSO2_KiO2_ASRO*B_ellinhpH</f>
        <v>6.6250651564571305E-9</v>
      </c>
      <c r="CX272" s="2880">
        <f>E299*E272+F299*F272+G299*G272+H299*H272+I299*I272+J299*J272+K299*K272+L299*L272+M299*M272+N299*N272+O299*O272+P299*P272+Q299*Q272+R299*R272+S299*S272+T299*T272+U299*U272+V299*V272+W299*W272+X299*X272+Y299*Y272+Z299*Z272+AA299*AA272+AB299*AB272+AC299*AC272+AD299*AD272+AE299*AE272+AF299*AF272+AG299*AG272+AH299*AH272+AI299*AI272+AJ299*AJ272+AK299*AK272+AL299*AL272+AM299*AM272+AN299*AN272+AO299*AO272+AP299*AP272+AQ299*AQ272+AR299*AR272+AS299*AS272+AT299*AT272+AU299*AU272+AV299*AV272+AW299*AW272+AX299*AX272+AY299*AY272+AZ299*AZ272+BA299*BA272+BB299*BB272+BC299*BC272+BD299*BD272+BE299*BE272+BF299*BF272+BG299*BG272+BH299*BH272+BI299*BI272+BJ299*BJ272+BK299*BK272+BL299*BL272+BM299*BM272+BN299*BN272+BO299*BO272+BP299*BP272+BQ299*BQ272+BR299*BR272+BS299*BS272+BT299*BT272+BU299*BU272+BV299*BV272+BW299*BW272+BX299*BX272+BY299*BY272+BZ299*BZ272+CA299*CA272+CB299*CB272+CC299*CC272+CD299*CD272+CE299*CE272+CF299*CF272+CG299*CG272+CH299*CH272+CI299*CI272+CJ299*CJ272+CK299*CK272+CL299*CL272+CM299*CM272+CN299*CN272+CO299*CO272+CP299*CP272+CQ299*CQ272+CR299*CR272+CS299*CS272+CT299*CT272+CU299*CU272</f>
        <v>-3.5527136788005009E-15</v>
      </c>
      <c r="CY272" s="2880">
        <f>E300*E272+F300*F272+G300*G272+H300*H272+I300*I272+J300*J272+K300*K272+L300*L272+M300*M272+N300*N272+O300*O272+P300*P272+Q300*Q272+R300*R272+S300*S272+T300*T272+U300*U272+V300*V272+W300*W272+X300*X272+Y300*Y272+Z300*Z272+AA300*AA272+AB300*AB272+AC300*AC272+AD300*AD272+AE300*AE272+AF300*AF272+AG300*AG272+AH300*AH272+AI300*AI272+AJ300*AJ272+AK300*AK272+AL300*AL272+AM300*AM272+AN300*AN272+AO300*AO272+AP300*AP272+AQ300*AQ272+AR300*AR272+AS300*AS272+AT300*AT272+AU300*AU272+AV300*AV272+AW300*AW272+AX300*AX272+AY300*AY272+AZ300*AZ272+BA300*BA272+BB300*BB272+BC300*BC272+BD300*BD272+BE300*BE272+BF300*BF272+BG300*BG272+BH300*BH272+BI300*BI272+BJ300*BJ272+BK300*BK272+BL300*BL272+BM300*BM272+BN300*BN272+BO300*BO272+BP300*BP272+BQ300*BQ272+BR300*BR272+BS300*BS272+BT300*BT272+BU300*BU272+BV300*BV272+BW300*BW272+BX300*BX272+BY300*BY272+BZ300*BZ272+CA300*CA272+CB300*CB272+CC300*CC272+CD300*CD272+CE300*CE272+CF300*CF272+CG300*CG272+CH300*CH272+CI300*CI272+CJ300*CJ272+CK300*CK272+CL300*CL272+CM300*CM272+CN300*CN272+CO300*CO272+CP300*CP272+CQ300*CQ272+CR300*CR272+CS300*CS272+CT300*CT272+CU300*CU272</f>
        <v>0</v>
      </c>
      <c r="CZ272" s="2881">
        <f>E301*E272+F301*F272+G301*G272+H301*H272+I301*I272+J301*J272+K301*K272+L301*L272+M301*M272+N301*N272+O301*O272+P301*P272+Q301*Q272+R301*R272+S301*S272+T301*T272+U301*U272+V301*V272+W301*W272+X301*X272+Y301*Y272+Z301*Z272+AA301*AA272+AB301*AB272+AC301*AC272+AD301*AD272+AE301*AE272+AF301*AF272+AG301*AG272+AH301*AH272+AI301*AI272+AJ301*AJ272+AK301*AK272+AL301*AL272+AM301*AM272+AN301*AN272+AO301*AO272+AP301*AP272+AQ301*AQ272+AR301*AR272+AS301*AS272+AT301*AT272+AU301*AU272+AV301*AV272+AW301*AW272+AX301*AX272+AY301*AY272+AZ301*AZ272+BA301*BA272+BB301*BB272+BC301*BC272+BD301*BD272+BE301*BE272+BF301*BF272+BG301*BG272+BH301*BH272+BI301*BI272+BJ301*BJ272+BK301*BK272+BL301*BL272+BM301*BM272+BN301*BN272+BO301*BO272+BP301*BP272+BQ301*BQ272+BR301*BR272+BS301*BS272+BT301*BT272+BU301*BU272+BV301*BV272+BW301*BW272+BX301*BX272+BY301*BY272+BZ301*BZ272+CA301*CA272+CB301*CB272+CC301*CC272+CD301*CD272+CE301*CE272+CF301*CF272+CG301*CG272+CH301*CH272+CI301*CI272+CJ301*CJ272+CK301*CK272+CL301*CL272+CM301*CM272+CN301*CN272+CO301*CO272+CP301*CP272+CQ301*CQ272+CR301*CR272+CS301*CS272+CT301*CT272+CU301*CU272</f>
        <v>0</v>
      </c>
      <c r="DA272" s="2882">
        <f>E302*E272+F302*F272+G302*G272+H302*H272+I302*I272+J302*J272+K302*K272+L302*L272+M302*M272+N302*N272+O302*O272+P302*P272+Q302*Q272+R302*R272+S302*S272+T302*T272+U302*U272+V302*V272+W302*W272+X302*X272+Y302*Y272+Z302*Z272+AA302*AA272+AB302*AB272+AC302*AC272+AD302*AD272+AE302*AE272+AF302*AF272+AG302*AG272+AH302*AH272+AI302*AI272+AJ302*AJ272+AK302*AK272+AL302*AL272+AM302*AM272+AN302*AN272+AO302*AO272+AP302*AP272+AQ302*AQ272+AR302*AR272+AS302*AS272+AT302*AT272+AU302*AU272+AV302*AV272+AW302*AW272+AX302*AX272+AY302*AY272+AZ302*AZ272+BA302*BA272+BB302*BB272+BC302*BC272+BD302*BD272+BE302*BE272+BF302*BF272+BG302*BG272+BH302*BH272+BI302*BI272+BJ302*BJ272+BK302*BK272+BL302*BL272+BM302*BM272+BN302*BN272+BO302*BO272+BP302*BP272+BQ302*BQ272+BR302*BR272+BS302*BS272+BT302*BT272+BU302*BU272+BV302*BV272+BW302*BW272+BX302*BX272+BY302*BY272+BZ302*BZ272+CA302*CA272+CB302*CB272+CC302*CC272+CD302*CD272+CE302*CE272+CF302*CF272+CG302*CG272+CH302*CH272+CI302*CI272+CJ302*CJ272+CK302*CK272+CL302*CL272+CM302*CM272+CN302*CN272+CO302*CO272+CP302*CP272+CQ302*CQ272+CR302*CR272+CS302*CS272+CT302*CT272+CU302*CU272</f>
        <v>0</v>
      </c>
      <c r="DB272" s="2882">
        <f>E303*E272+F303*F272+G303*G272+H303*H272+I303*I272+J303*J272+K303*K272+L303*L272+M303*M272+N303*N272+O303*O272+P303*P272+Q303*Q272+R303*R272+S303*S272+T303*T272+U303*U272+V303*V272+W303*W272+X303*X272+Y303*Y272+Z303*Z272+AA303*AA272+AB303*AB272+AC303*AC272+AD303*AD272+AE303*AE272+AF303*AF272+AG303*AG272+AH303*AH272+AI303*AI272+AJ303*AJ272+AK303*AK272+AL303*AL272+AM303*AM272+AN303*AN272+AO303*AO272+AP303*AP272+AQ303*AQ272+AR303*AR272+AS303*AS272+AT303*AT272+AU303*AU272+AV303*AV272+AW303*AW272+AX303*AX272+AY303*AY272+AZ303*AZ272+BA303*BA272+BB303*BB272+BC303*BC272+BD303*BD272+BE303*BE272+BF303*BF272+BG303*BG272+BH303*BH272+BI303*BI272+BJ303*BJ272+BK303*BK272+BL303*BL272+BM303*BM272+BN303*BN272+BO303*BO272+BP303*BP272+BQ303*BQ272+BR303*BR272+BS303*BS272+BT303*BT272+BU303*BU272+BV303*BV272+BW303*BW272+BX303*BX272+BY303*BY272+BZ303*BZ272+CA303*CA272+CB303*CB272+CC303*CC272+CD303*CD272+CE303*CE272+CF303*CF272+CG303*CG272+CH303*CH272+CI303*CI272+CJ303*CJ272+CK303*CK272+CL303*CL272+CM303*CM272+CN303*CN272+CO303*CO272+CP303*CP272+CQ303*CQ272+CR303*CR272+CS303*CS272+CT303*CT272+CU303*CU272</f>
        <v>0</v>
      </c>
      <c r="DC272" s="2882">
        <f>E304*E272+F304*F272+G304*G272+H304*H272+I304*I272+J304*J272+K304*K272+L304*L272+M304*M272+N304*N272+O304*O272+P304*P272+Q304*Q272+R304*R272+S304*S272+T304*T272+U304*U272+V304*V272+W304*W272+X304*X272+Y304*Y272+Z304*Z272+AA304*AA272+AB304*AB272+AC304*AC272+AD304*AD272+AE304*AE272+AF304*AF272+AG304*AG272+AH304*AH272+AI304*AI272+AJ304*AJ272+AK304*AK272+AL304*AL272+AM304*AM272+AN304*AN272+AO304*AO272+AP304*AP272+AQ304*AQ272+AR304*AR272+AS304*AS272+AT304*AT272+AU304*AU272+AV304*AV272+AW304*AW272+AX304*AX272+AY304*AY272+AZ304*AZ272+BA304*BA272+BB304*BB272+BC304*BC272+BD304*BD272+BE304*BE272+BF304*BF272+BG304*BG272+BH304*BH272+BI304*BI272+BJ304*BJ272+BK304*BK272+BL304*BL272+BM304*BM272+BN304*BN272+BO304*BO272+BP304*BP272+BQ304*BQ272+BR304*BR272+BS304*BS272+BT304*BT272+BU304*BU272+BV304*BV272+BW304*BW272+BX304*BX272+BY304*BY272+BZ304*BZ272+CA304*CA272+CB304*CB272+CC304*CC272+CD304*CD272+CE304*CE272+CF304*CF272+CG304*CG272+CH304*CH272+CI304*CI272+CJ304*CJ272+CK304*CK272+CL304*CL272+CM304*CM272+CN304*CN272+CO304*CO272+CP304*CP272+CQ304*CQ272+CR304*CR272+CS304*CS272+CT304*CT272+CU304*CU272</f>
        <v>0</v>
      </c>
      <c r="DD272" s="2882">
        <f>E305*E272+F305*F272+G305*G272+H305*H272+I305*I272+J305*J272+K305*K272+L305*L272+M305*M272+N305*N272+O305*O272+P305*P272+Q305*Q272+R305*R272+S305*S272+T305*T272+U305*U272+V305*V272+W305*W272+X305*X272+Y305*Y272+Z305*Z272+AA305*AA272+AB305*AB272+AC305*AC272+AD305*AD272+AE305*AE272+AF305*AF272+AG305*AG272+AH305*AH272+AI305*AI272+AJ305*AJ272+AK305*AK272+AL305*AL272+AM305*AM272+AN305*AN272+AO305*AO272+AP305*AP272+AQ305*AQ272+AR305*AR272+AS305*AS272+AT305*AT272+AU305*AU272+AV305*AV272+AW305*AW272+AX305*AX272+AY305*AY272+AZ305*AZ272+BA305*BA272+BB305*BB272+BC305*BC272+BD305*BD272+BE305*BE272+BF305*BF272+BG305*BG272+BH305*BH272+BI305*BI272+BJ305*BJ272+BK305*BK272+BL305*BL272+BM305*BM272+BN305*BN272+BO305*BO272+BP305*BP272+BQ305*BQ272+BR305*BR272+BS305*BS272+BT305*BT272+BU305*BU272+BV305*BV272+BW305*BW272+BX305*BX272+BY305*BY272+BZ305*BZ272+CA305*CA272+CB305*CB272+CC305*CC272+CD305*CD272+CE305*CE272+CF305*CF272+CG305*CG272+CH305*CH272+CI305*CI272+CJ305*CJ272+CK305*CK272+CL305*CL272+CM305*CM272+CN305*CN272+CO305*CO272+CP305*CP272+CQ305*CQ272+CR305*CR272+CS305*CS272+CT305*CT272+CU305*CU272</f>
        <v>0</v>
      </c>
      <c r="DE272" s="2882">
        <f>E306*E272+F306*F272+G306*G272+H306*H272+I306*I272+J306*J272+K306*K272+L306*L272+M306*M272+N306*N272+O306*O272+P306*P272+Q306*Q272+R306*R272+S306*S272+T306*T272+U306*U272+V306*V272+W306*W272+X306*X272+Y306*Y272+Z306*Z272+AA306*AA272+AB306*AB272+AC306*AC272+AD306*AD272+AE306*AE272+AF306*AF272+AG306*AG272+AH306*AH272+AI306*AI272+AJ306*AJ272+AK306*AK272+AL306*AL272+AM306*AM272+AN306*AN272+AO306*AO272+AP306*AP272+AQ306*AQ272+AR306*AR272+AS306*AS272+AT306*AT272+AU306*AU272+AV306*AV272+AW306*AW272+AX306*AX272+AY306*AY272+AZ306*AZ272+BA306*BA272+BB306*BB272+BC306*BC272+BD306*BD272+BE306*BE272+BF306*BF272+BG306*BG272+BH306*BH272+BI306*BI272+BJ306*BJ272+BK306*BK272+BL306*BL272+BM306*BM272+BN306*BN272+BO306*BO272+BP306*BP272+BQ306*BQ272+BR306*BR272+BS306*BS272+BT306*BT272+BU306*BU272+BV306*BV272+BW306*BW272+BX306*BX272+BY306*BY272+BZ306*BZ272+CA306*CA272+CB306*CB272+CC306*CC272+CD306*CD272+CE306*CE272+CF306*CF272+CG306*CG272+CH306*CH272+CI306*CI272+CJ306*CJ272+CK306*CK272+CL306*CL272+CM306*CM272+CN306*CN272+CO306*CO272+CP306*CP272+CQ306*CQ272+CR306*CR272+CS306*CS272+CT306*CT272+CU306*CU272</f>
        <v>0</v>
      </c>
      <c r="DF272" s="2882">
        <f>E307*E272+F307*F272+G307*G272+H307*H272+I307*I272+J307*J272+K307*K272+L307*L272+M307*M272+N307*N272+O307*O272+P307*P272+Q307*Q272+R307*R272+S307*S272+T307*T272+U307*U272+V307*V272+W307*W272+X307*X272+Y307*Y272+Z307*Z272+AA307*AA272+AB307*AB272+AC307*AC272+AD307*AD272+AE307*AE272+AF307*AF272+AG307*AG272+AH307*AH272+AI307*AI272+AJ307*AJ272+AK307*AK272+AL307*AL272+AM307*AM272+AN307*AN272+AO307*AO272+AP307*AP272+AQ307*AQ272+AR307*AR272+AS307*AS272+AT307*AT272+AU307*AU272+AV307*AV272+AW307*AW272+AX307*AX272+AY307*AY272+AZ307*AZ272+BA307*BA272+BB307*BB272+BC307*BC272+BD307*BD272+BE307*BE272+BF307*BF272+BG307*BG272+BH307*BH272+BI307*BI272+BJ307*BJ272+BK307*BK272+BL307*BL272+BM307*BM272+BN307*BN272+BO307*BO272+BP307*BP272+BQ307*BQ272+BR307*BR272+BS307*BS272+BT307*BT272+BU307*BU272+BV307*BV272+BW307*BW272+BX307*BX272+BY307*BY272+BZ307*BZ272+CA307*CA272+CB307*CB272+CC307*CC272+CD307*CD272+CE307*CE272+CF307*CF272+CG307*CG272+CH307*CH272+CI307*CI272+CJ307*CJ272+CK307*CK272+CL307*CL272+CM307*CM272+CN307*CN272+CO307*CO272+CP307*CP272+CQ307*CQ272+CR307*CR272+CS307*CS272+CT307*CT272+CU307*CU272</f>
        <v>0</v>
      </c>
      <c r="DG272" s="2882">
        <f>E308*E272+F308*F272+G308*G272+H308*H272+I308*I272+J308*J272+K308*K272+L308*L272+M308*M272+N308*N272+O308*O272+P308*P272+Q308*Q272+R308*R272+S308*S272+T308*T272+U308*U272+V308*V272+W308*W272+X308*X272+Y308*Y272+Z308*Z272+AA308*AA272+AB308*AB272+AC308*AC272+AD308*AD272+AE308*AE272+AF308*AF272+AG308*AG272+AH308*AH272+AI308*AI272+AJ308*AJ272+AK308*AK272+AL308*AL272+AM308*AM272+AN308*AN272+AO308*AO272+AP308*AP272+AQ308*AQ272+AR308*AR272+AS308*AS272+AT308*AT272+AU308*AU272+AV308*AV272+AW308*AW272+AX308*AX272+AY308*AY272+AZ308*AZ272+BA308*BA272+BB308*BB272+BC308*BC272+BD308*BD272+BE308*BE272+BF308*BF272+BG308*BG272+BH308*BH272+BI308*BI272+BJ308*BJ272+BK308*BK272+BL308*BL272+BM308*BM272+BN308*BN272+BO308*BO272+BP308*BP272+BQ308*BQ272+BR308*BR272+BS308*BS272+BT308*BT272+BU308*BU272+BV308*BV272+BW308*BW272+BX308*BX272+BY308*BY272+BZ308*BZ272+CA308*CA272+CB308*CB272+CC308*CC272+CD308*CD272+CE308*CE272+CF308*CF272+CG308*CG272+CH308*CH272+CI308*CI272+CJ308*CJ272+CK308*CK272+CL308*CL272+CM308*CM272+CN308*CN272+CO308*CO272+CP308*CP272+CQ308*CQ272+CR308*CR272+CS308*CS272+CT308*CT272+CU308*CU272</f>
        <v>0</v>
      </c>
      <c r="DH272" s="2882">
        <f>E309*E272+F309*F272+G309*G272+H309*H272+I309*I272+J309*J272+K309*K272+L309*L272+M309*M272+N309*N272+O309*O272+P309*P272+Q309*Q272+R309*R272+S309*S272+T309*T272+U309*U272+V309*V272+W309*W272+X309*X272+Y309*Y272+Z309*Z272+AA309*AA272+AB309*AB272+AC309*AC272+AD309*AD272+AE309*AE272+AF309*AF272+AG309*AG272+AH309*AH272+AI309*AI272+AJ309*AJ272+AK309*AK272+AL309*AL272+AM309*AM272+AN309*AN272+AO309*AO272+AP309*AP272+AQ309*AQ272+AR309*AR272+AS309*AS272+AT309*AT272+AU309*AU272+AV309*AV272+AW309*AW272+AX309*AX272+AY309*AY272+AZ309*AZ272+BA309*BA272+BB309*BB272+BC309*BC272+BD309*BD272+BE309*BE272+BF309*BF272+BG309*BG272+BH309*BH272+BI309*BI272+BJ309*BJ272+BK309*BK272+BL309*BL272+BM309*BM272+BN309*BN272+BO309*BO272+BP309*BP272+BQ309*BQ272+BR309*BR272+BS309*BS272+BT309*BT272+BU309*BU272+BV309*BV272+BW309*BW272+BX309*BX272+BY309*BY272+BZ309*BZ272+CA309*CA272+CB309*CB272+CC309*CC272+CD309*CD272+CE309*CE272+CF309*CF272+CG309*CG272+CH309*CH272+CI309*CI272+CJ309*CJ272+CK309*CK272+CL309*CL272+CM309*CM272+CN309*CN272+CO309*CO272+CP309*CP272+CQ309*CQ272+CR309*CR272+CS309*CS272+CT309*CT272+CU309*CU272</f>
        <v>0</v>
      </c>
      <c r="DI272" s="2882">
        <f>E310*E272+F310*F272+G310*G272+H310*H272+I310*I272+J310*J272+K310*K272+L310*L272+M310*M272+N310*N272+O310*O272+P310*P272+Q310*Q272+R310*R272+S310*S272+T310*T272+U310*U272+V310*V272+W310*W272+X310*X272+Y310*Y272+Z310*Z272+AA310*AA272+AB310*AB272+AC310*AC272+AD310*AD272+AE310*AE272+AF310*AF272+AG310*AG272+AH310*AH272+AI310*AI272+AJ310*AJ272+AK310*AK272+AL310*AL272+AM310*AM272+AN310*AN272+AO310*AO272+AP310*AP272+AQ310*AQ272+AR310*AR272+AS310*AS272+AT310*AT272+AU310*AU272+AV310*AV272+AW310*AW272+AX310*AX272+AY310*AY272+AZ310*AZ272+BA310*BA272+BB310*BB272+BC310*BC272+BD310*BD272+BE310*BE272+BF310*BF272+BG310*BG272+BH310*BH272+BI310*BI272+BJ310*BJ272+BK310*BK272+BL310*BL272+BM310*BM272+BN310*BN272+BO310*BO272+BP310*BP272+BQ310*BQ272+BR310*BR272+BS310*BS272+BT310*BT272+BU310*BU272+BV310*BV272+BW310*BW272+BX310*BX272+BY310*BY272+BZ310*BZ272+CA310*CA272+CB310*CB272+CC310*CC272+CD310*CD272+CE310*CE272+CF310*CF272+CG310*CG272+CH310*CH272+CI310*CI272+CJ310*CJ272+CK310*CK272+CL310*CL272+CM310*CM272+CN310*CN272+CO310*CO272+CP310*CP272+CQ310*CQ272+CR310*CR272+CS310*CS272+CT310*CT272+CU310*CU272</f>
        <v>0</v>
      </c>
    </row>
    <row r="273" spans="2:113" ht="14.65" thickBot="1" x14ac:dyDescent="0.5">
      <c r="B273" s="2221">
        <v>114</v>
      </c>
      <c r="C273" s="2221" t="s">
        <v>5796</v>
      </c>
      <c r="D273" s="2573" t="s">
        <v>5422</v>
      </c>
      <c r="E273" s="2575">
        <f>0</f>
        <v>0</v>
      </c>
      <c r="F273" s="2575">
        <f>0</f>
        <v>0</v>
      </c>
      <c r="G273" s="2575">
        <f>0</f>
        <v>0</v>
      </c>
      <c r="H273" s="2575">
        <f>0</f>
        <v>0</v>
      </c>
      <c r="I273" s="2575">
        <f>1-f_E</f>
        <v>0.92</v>
      </c>
      <c r="J273" s="2575">
        <f>0</f>
        <v>0</v>
      </c>
      <c r="K273" s="2575">
        <f>0</f>
        <v>0</v>
      </c>
      <c r="L273" s="2575">
        <f>0</f>
        <v>0</v>
      </c>
      <c r="M273" s="2575">
        <f>0</f>
        <v>0</v>
      </c>
      <c r="N273" s="2575">
        <f>0</f>
        <v>0</v>
      </c>
      <c r="O273" s="2575">
        <f>f_E</f>
        <v>0.08</v>
      </c>
      <c r="P273" s="2575">
        <f>0</f>
        <v>0</v>
      </c>
      <c r="Q273" s="2576">
        <f>0</f>
        <v>0</v>
      </c>
      <c r="R273" s="2575">
        <f>0</f>
        <v>0</v>
      </c>
      <c r="S273" s="2575">
        <f>0</f>
        <v>0</v>
      </c>
      <c r="T273" s="2575">
        <f>0</f>
        <v>0</v>
      </c>
      <c r="U273" s="2575">
        <f>0</f>
        <v>0</v>
      </c>
      <c r="V273" s="2575">
        <f>0</f>
        <v>0</v>
      </c>
      <c r="W273" s="2575">
        <f>0</f>
        <v>0</v>
      </c>
      <c r="X273" s="2575">
        <f>0</f>
        <v>0</v>
      </c>
      <c r="Y273" s="2576">
        <f>-1</f>
        <v>-1</v>
      </c>
      <c r="Z273" s="2575">
        <f>0</f>
        <v>0</v>
      </c>
      <c r="AA273" s="2575">
        <f>0</f>
        <v>0</v>
      </c>
      <c r="AB273" s="2574">
        <f>-f_E*(i_N_XE-i_N_BIO)</f>
        <v>8.0000000000000069E-4</v>
      </c>
      <c r="AC273" s="2574">
        <f>0</f>
        <v>0</v>
      </c>
      <c r="AD273" s="2575">
        <f>0</f>
        <v>0</v>
      </c>
      <c r="AE273" s="2575">
        <f>0</f>
        <v>0</v>
      </c>
      <c r="AF273" s="2575">
        <f>0</f>
        <v>0</v>
      </c>
      <c r="AG273" s="2575">
        <f>0</f>
        <v>0</v>
      </c>
      <c r="AH273" s="2575">
        <f>0</f>
        <v>0</v>
      </c>
      <c r="AI273" s="2575">
        <f>0</f>
        <v>0</v>
      </c>
      <c r="AJ273" s="2575">
        <f>0</f>
        <v>0</v>
      </c>
      <c r="AK273" s="2575">
        <f>(1-f_E)*i_N_BIO</f>
        <v>6.4400000000000013E-2</v>
      </c>
      <c r="AL273" s="2575">
        <f>0</f>
        <v>0</v>
      </c>
      <c r="AM273" s="2574">
        <f>0</f>
        <v>0</v>
      </c>
      <c r="AN273" s="2575">
        <f>0</f>
        <v>0</v>
      </c>
      <c r="AO273" s="2575">
        <f>0</f>
        <v>0</v>
      </c>
      <c r="AP273" s="2575">
        <f>(1-f_E)*i_P_BIO</f>
        <v>1.84E-2</v>
      </c>
      <c r="AQ273" s="2575">
        <f>0</f>
        <v>0</v>
      </c>
      <c r="AR273" s="2575">
        <f>0</f>
        <v>0</v>
      </c>
      <c r="AS273" s="2575">
        <f>0</f>
        <v>0</v>
      </c>
      <c r="AT273" s="2579">
        <f>0</f>
        <v>0</v>
      </c>
      <c r="AU273" s="2575">
        <f>(1-f_E)*(i_CIT_BIO-i_CIT_SB)</f>
        <v>6.0720000000000003E-2</v>
      </c>
      <c r="AV273" s="2575">
        <f>-i_INORG</f>
        <v>-0.11</v>
      </c>
      <c r="AW273" s="2575">
        <f>i_INORG*(1-i_Ca_INORG*(A_MCa+2*A_MCl)/A_MCa-i_Mg_INORG*(A_MMg+2*A_MCl)/A_MMg)*f_Na</f>
        <v>2.8804303582798466E-2</v>
      </c>
      <c r="AX273" s="2575">
        <f>i_INORG*(i_Ca_INORG*(2*A_MCl)/A_MCa+i_Mg_INORG*(2*A_MCl)/A_MMg)+i_INORG*(1-i_Ca_INORG*(A_MCa+2*A_MCl)/A_MCa-i_Mg_INORG*(A_MMg+2*A_MCl)/A_MMg)*(1-f_Na)</f>
        <v>7.0195696417201539E-2</v>
      </c>
      <c r="AY273" s="2575">
        <f>i_INORG*i_Ca_INORG</f>
        <v>5.5000000000000005E-3</v>
      </c>
      <c r="AZ273" s="2575">
        <f>i_INORG*i_Mg_INORG</f>
        <v>5.5000000000000005E-3</v>
      </c>
      <c r="BA273" s="2575">
        <f>0</f>
        <v>0</v>
      </c>
      <c r="BB273" s="2577">
        <f>0</f>
        <v>0</v>
      </c>
      <c r="BC273" s="2578">
        <f>(1-f_E)*i_S_BIO-(1-f_E)*i_S_XB</f>
        <v>7.8200000000000006E-3</v>
      </c>
      <c r="BD273" s="2579">
        <f>0</f>
        <v>0</v>
      </c>
      <c r="BE273" s="2575">
        <f>0</f>
        <v>0</v>
      </c>
      <c r="BF273" s="2575">
        <f>0</f>
        <v>0</v>
      </c>
      <c r="BG273" s="2575">
        <f>0</f>
        <v>0</v>
      </c>
      <c r="BH273" s="2575">
        <f>0</f>
        <v>0</v>
      </c>
      <c r="BI273" s="2575">
        <f>0</f>
        <v>0</v>
      </c>
      <c r="BJ273" s="2575">
        <f>0</f>
        <v>0</v>
      </c>
      <c r="BK273" s="2575">
        <f>0</f>
        <v>0</v>
      </c>
      <c r="BL273" s="2575">
        <f>0</f>
        <v>0</v>
      </c>
      <c r="BM273" s="2575">
        <f>0</f>
        <v>0</v>
      </c>
      <c r="BN273" s="2575">
        <f>0</f>
        <v>0</v>
      </c>
      <c r="BO273" s="2575">
        <f>0</f>
        <v>0</v>
      </c>
      <c r="BP273" s="2575">
        <f>0</f>
        <v>0</v>
      </c>
      <c r="BQ273" s="2575">
        <f>0</f>
        <v>0</v>
      </c>
      <c r="BR273" s="2575">
        <f>0</f>
        <v>0</v>
      </c>
      <c r="BS273" s="2575">
        <f>0</f>
        <v>0</v>
      </c>
      <c r="BT273" s="2575">
        <f>0</f>
        <v>0</v>
      </c>
      <c r="BU273" s="2575">
        <f>0</f>
        <v>0</v>
      </c>
      <c r="BV273" s="2575">
        <f>0</f>
        <v>0</v>
      </c>
      <c r="BW273" s="2575">
        <f>0</f>
        <v>0</v>
      </c>
      <c r="BX273" s="2575">
        <f>0</f>
        <v>0</v>
      </c>
      <c r="BY273" s="2575">
        <f>0</f>
        <v>0</v>
      </c>
      <c r="BZ273" s="2575">
        <f>0</f>
        <v>0</v>
      </c>
      <c r="CA273" s="2575">
        <f>0</f>
        <v>0</v>
      </c>
      <c r="CB273" s="2575">
        <f>0</f>
        <v>0</v>
      </c>
      <c r="CC273" s="2575">
        <f>0</f>
        <v>0</v>
      </c>
      <c r="CD273" s="2575">
        <f>0</f>
        <v>0</v>
      </c>
      <c r="CE273" s="2575">
        <f>0</f>
        <v>0</v>
      </c>
      <c r="CF273" s="2575">
        <f>0</f>
        <v>0</v>
      </c>
      <c r="CG273" s="2575">
        <f>0</f>
        <v>0</v>
      </c>
      <c r="CH273" s="2575">
        <f>0</f>
        <v>0</v>
      </c>
      <c r="CI273" s="2575">
        <f>0</f>
        <v>0</v>
      </c>
      <c r="CJ273" s="2575">
        <f>0</f>
        <v>0</v>
      </c>
      <c r="CK273" s="2575">
        <f>0</f>
        <v>0</v>
      </c>
      <c r="CL273" s="2575">
        <f>0</f>
        <v>0</v>
      </c>
      <c r="CM273" s="2575">
        <f>0</f>
        <v>0</v>
      </c>
      <c r="CN273" s="2575">
        <f>0</f>
        <v>0</v>
      </c>
      <c r="CO273" s="2575">
        <f>0</f>
        <v>0</v>
      </c>
      <c r="CP273" s="2575">
        <f>0</f>
        <v>0</v>
      </c>
      <c r="CQ273" s="2575">
        <f>0</f>
        <v>0</v>
      </c>
      <c r="CR273" s="2575">
        <f>0</f>
        <v>0</v>
      </c>
      <c r="CS273" s="2575">
        <f>0</f>
        <v>0</v>
      </c>
      <c r="CT273" s="2575">
        <f>0</f>
        <v>0</v>
      </c>
      <c r="CU273" s="2575">
        <f>0</f>
        <v>0</v>
      </c>
      <c r="CV273" s="2875">
        <f>b_ASRO_T*X_ASRO*(M_satSO2_KiO2_ASRO+M_satSNOx_KNOx_ASRO*M_inhSO2_KiO2_ASRO)</f>
        <v>5.998579209093062E-2</v>
      </c>
      <c r="CX273" s="2880">
        <f>E299*E273+F299*F273+G299*G273+H299*H273+I299*I273+J299*J273+K299*K273+L299*L273+M299*M273+N299*N273+O299*O273+P299*P273+Q299*Q273+R299*R273+S299*S273+T299*T273+U299*U273+V299*V273+W299*W273+X299*X273+Y299*Y273+Z299*Z273+AA299*AA273+AB299*AB273+AC299*AC273+AD299*AD273+AE299*AE273+AF299*AF273+AG299*AG273+AH299*AH273+AI299*AI273+AJ299*AJ273+AK299*AK273+AL299*AL273+AM299*AM273+AN299*AN273+AO299*AO273+AP299*AP273+AQ299*AQ273+AR299*AR273+AS299*AS273+AT299*AT273+AU299*AU273+AV299*AV273+AW299*AW273+AX299*AX273+AY299*AY273+AZ299*AZ273+BA299*BA273+BB299*BB273+BC299*BC273+BD299*BD273+BE299*BE273+BF299*BF273+BG299*BG273+BH299*BH273+BI299*BI273+BJ299*BJ273+BK299*BK273+BL299*BL273+BM299*BM273+BN299*BN273+BO299*BO273+BP299*BP273+BQ299*BQ273+BR299*BR273+BS299*BS273+BT299*BT273+BU299*BU273+BV299*BV273+BW299*BW273+BX299*BX273+BY299*BY273+BZ299*BZ273+CA299*CA273+CB299*CB273+CC299*CC273+CD299*CD273+CE299*CE273+CF299*CF273+CG299*CG273+CH299*CH273+CI299*CI273+CJ299*CJ273+CK299*CK273+CL299*CL273+CM299*CM273+CN299*CN273+CO299*CO273+CP299*CP273+CQ299*CQ273+CR299*CR273+CS299*CS273+CT299*CT273+CU299*CU273</f>
        <v>0</v>
      </c>
      <c r="CY273" s="2880">
        <f>E300*E273+F300*F273+G300*G273+H300*H273+I300*I273+J300*J273+K300*K273+L300*L273+M300*M273+N300*N273+O300*O273+P300*P273+Q300*Q273+R300*R273+S300*S273+T300*T273+U300*U273+V300*V273+W300*W273+X300*X273+Y300*Y273+Z300*Z273+AA300*AA273+AB300*AB273+AC300*AC273+AD300*AD273+AE300*AE273+AF300*AF273+AG300*AG273+AH300*AH273+AI300*AI273+AJ300*AJ273+AK300*AK273+AL300*AL273+AM300*AM273+AN300*AN273+AO300*AO273+AP300*AP273+AQ300*AQ273+AR300*AR273+AS300*AS273+AT300*AT273+AU300*AU273+AV300*AV273+AW300*AW273+AX300*AX273+AY300*AY273+AZ300*AZ273+BA300*BA273+BB300*BB273+BC300*BC273+BD300*BD273+BE300*BE273+BF300*BF273+BG300*BG273+BH300*BH273+BI300*BI273+BJ300*BJ273+BK300*BK273+BL300*BL273+BM300*BM273+BN300*BN273+BO300*BO273+BP300*BP273+BQ300*BQ273+BR300*BR273+BS300*BS273+BT300*BT273+BU300*BU273+BV300*BV273+BW300*BW273+BX300*BX273+BY300*BY273+BZ300*BZ273+CA300*CA273+CB300*CB273+CC300*CC273+CD300*CD273+CE300*CE273+CF300*CF273+CG300*CG273+CH300*CH273+CI300*CI273+CJ300*CJ273+CK300*CK273+CL300*CL273+CM300*CM273+CN300*CN273+CO300*CO273+CP300*CP273+CQ300*CQ273+CR300*CR273+CS300*CS273+CT300*CT273+CU300*CU273</f>
        <v>6.9388939039072284E-18</v>
      </c>
      <c r="CZ273" s="2881">
        <f>E301*E273+F301*F273+G301*G273+H301*H273+I301*I273+J301*J273+K301*K273+L301*L273+M301*M273+N301*N273+O301*O273+P301*P273+Q301*Q273+R301*R273+S301*S273+T301*T273+U301*U273+V301*V273+W301*W273+X301*X273+Y301*Y273+Z301*Z273+AA301*AA273+AB301*AB273+AC301*AC273+AD301*AD273+AE301*AE273+AF301*AF273+AG301*AG273+AH301*AH273+AI301*AI273+AJ301*AJ273+AK301*AK273+AL301*AL273+AM301*AM273+AN301*AN273+AO301*AO273+AP301*AP273+AQ301*AQ273+AR301*AR273+AS301*AS273+AT301*AT273+AU301*AU273+AV301*AV273+AW301*AW273+AX301*AX273+AY301*AY273+AZ301*AZ273+BA301*BA273+BB301*BB273+BC301*BC273+BD301*BD273+BE301*BE273+BF301*BF273+BG301*BG273+BH301*BH273+BI301*BI273+BJ301*BJ273+BK301*BK273+BL301*BL273+BM301*BM273+BN301*BN273+BO301*BO273+BP301*BP273+BQ301*BQ273+BR301*BR273+BS301*BS273+BT301*BT273+BU301*BU273+BV301*BV273+BW301*BW273+BX301*BX273+BY301*BY273+BZ301*BZ273+CA301*CA273+CB301*CB273+CC301*CC273+CD301*CD273+CE301*CE273+CF301*CF273+CG301*CG273+CH301*CH273+CI301*CI273+CJ301*CJ273+CK301*CK273+CL301*CL273+CM301*CM273+CN301*CN273+CO301*CO273+CP301*CP273+CQ301*CQ273+CR301*CR273+CS301*CS273+CT301*CT273+CU301*CU273</f>
        <v>0</v>
      </c>
      <c r="DA273" s="2882">
        <f>E302*E273+F302*F273+G302*G273+H302*H273+I302*I273+J302*J273+K302*K273+L302*L273+M302*M273+N302*N273+O302*O273+P302*P273+Q302*Q273+R302*R273+S302*S273+T302*T273+U302*U273+V302*V273+W302*W273+X302*X273+Y302*Y273+Z302*Z273+AA302*AA273+AB302*AB273+AC302*AC273+AD302*AD273+AE302*AE273+AF302*AF273+AG302*AG273+AH302*AH273+AI302*AI273+AJ302*AJ273+AK302*AK273+AL302*AL273+AM302*AM273+AN302*AN273+AO302*AO273+AP302*AP273+AQ302*AQ273+AR302*AR273+AS302*AS273+AT302*AT273+AU302*AU273+AV302*AV273+AW302*AW273+AX302*AX273+AY302*AY273+AZ302*AZ273+BA302*BA273+BB302*BB273+BC302*BC273+BD302*BD273+BE302*BE273+BF302*BF273+BG302*BG273+BH302*BH273+BI302*BI273+BJ302*BJ273+BK302*BK273+BL302*BL273+BM302*BM273+BN302*BN273+BO302*BO273+BP302*BP273+BQ302*BQ273+BR302*BR273+BS302*BS273+BT302*BT273+BU302*BU273+BV302*BV273+BW302*BW273+BX302*BX273+BY302*BY273+BZ302*BZ273+CA302*CA273+CB302*CB273+CC302*CC273+CD302*CD273+CE302*CE273+CF302*CF273+CG302*CG273+CH302*CH273+CI302*CI273+CJ302*CJ273+CK302*CK273+CL302*CL273+CM302*CM273+CN302*CN273+CO302*CO273+CP302*CP273+CQ302*CQ273+CR302*CR273+CS302*CS273+CT302*CT273+CU302*CU273</f>
        <v>0</v>
      </c>
      <c r="DB273" s="2882">
        <f>E303*E273+F303*F273+G303*G273+H303*H273+I303*I273+J303*J273+K303*K273+L303*L273+M303*M273+N303*N273+O303*O273+P303*P273+Q303*Q273+R303*R273+S303*S273+T303*T273+U303*U273+V303*V273+W303*W273+X303*X273+Y303*Y273+Z303*Z273+AA303*AA273+AB303*AB273+AC303*AC273+AD303*AD273+AE303*AE273+AF303*AF273+AG303*AG273+AH303*AH273+AI303*AI273+AJ303*AJ273+AK303*AK273+AL303*AL273+AM303*AM273+AN303*AN273+AO303*AO273+AP303*AP273+AQ303*AQ273+AR303*AR273+AS303*AS273+AT303*AT273+AU303*AU273+AV303*AV273+AW303*AW273+AX303*AX273+AY303*AY273+AZ303*AZ273+BA303*BA273+BB303*BB273+BC303*BC273+BD303*BD273+BE303*BE273+BF303*BF273+BG303*BG273+BH303*BH273+BI303*BI273+BJ303*BJ273+BK303*BK273+BL303*BL273+BM303*BM273+BN303*BN273+BO303*BO273+BP303*BP273+BQ303*BQ273+BR303*BR273+BS303*BS273+BT303*BT273+BU303*BU273+BV303*BV273+BW303*BW273+BX303*BX273+BY303*BY273+BZ303*BZ273+CA303*CA273+CB303*CB273+CC303*CC273+CD303*CD273+CE303*CE273+CF303*CF273+CG303*CG273+CH303*CH273+CI303*CI273+CJ303*CJ273+CK303*CK273+CL303*CL273+CM303*CM273+CN303*CN273+CO303*CO273+CP303*CP273+CQ303*CQ273+CR303*CR273+CS303*CS273+CT303*CT273+CU303*CU273</f>
        <v>0</v>
      </c>
      <c r="DC273" s="2882">
        <f>E304*E273+F304*F273+G304*G273+H304*H273+I304*I273+J304*J273+K304*K273+L304*L273+M304*M273+N304*N273+O304*O273+P304*P273+Q304*Q273+R304*R273+S304*S273+T304*T273+U304*U273+V304*V273+W304*W273+X304*X273+Y304*Y273+Z304*Z273+AA304*AA273+AB304*AB273+AC304*AC273+AD304*AD273+AE304*AE273+AF304*AF273+AG304*AG273+AH304*AH273+AI304*AI273+AJ304*AJ273+AK304*AK273+AL304*AL273+AM304*AM273+AN304*AN273+AO304*AO273+AP304*AP273+AQ304*AQ273+AR304*AR273+AS304*AS273+AT304*AT273+AU304*AU273+AV304*AV273+AW304*AW273+AX304*AX273+AY304*AY273+AZ304*AZ273+BA304*BA273+BB304*BB273+BC304*BC273+BD304*BD273+BE304*BE273+BF304*BF273+BG304*BG273+BH304*BH273+BI304*BI273+BJ304*BJ273+BK304*BK273+BL304*BL273+BM304*BM273+BN304*BN273+BO304*BO273+BP304*BP273+BQ304*BQ273+BR304*BR273+BS304*BS273+BT304*BT273+BU304*BU273+BV304*BV273+BW304*BW273+BX304*BX273+BY304*BY273+BZ304*BZ273+CA304*CA273+CB304*CB273+CC304*CC273+CD304*CD273+CE304*CE273+CF304*CF273+CG304*CG273+CH304*CH273+CI304*CI273+CJ304*CJ273+CK304*CK273+CL304*CL273+CM304*CM273+CN304*CN273+CO304*CO273+CP304*CP273+CQ304*CQ273+CR304*CR273+CS304*CS273+CT304*CT273+CU304*CU273</f>
        <v>0</v>
      </c>
      <c r="DD273" s="2882">
        <f>E305*E273+F305*F273+G305*G273+H305*H273+I305*I273+J305*J273+K305*K273+L305*L273+M305*M273+N305*N273+O305*O273+P305*P273+Q305*Q273+R305*R273+S305*S273+T305*T273+U305*U273+V305*V273+W305*W273+X305*X273+Y305*Y273+Z305*Z273+AA305*AA273+AB305*AB273+AC305*AC273+AD305*AD273+AE305*AE273+AF305*AF273+AG305*AG273+AH305*AH273+AI305*AI273+AJ305*AJ273+AK305*AK273+AL305*AL273+AM305*AM273+AN305*AN273+AO305*AO273+AP305*AP273+AQ305*AQ273+AR305*AR273+AS305*AS273+AT305*AT273+AU305*AU273+AV305*AV273+AW305*AW273+AX305*AX273+AY305*AY273+AZ305*AZ273+BA305*BA273+BB305*BB273+BC305*BC273+BD305*BD273+BE305*BE273+BF305*BF273+BG305*BG273+BH305*BH273+BI305*BI273+BJ305*BJ273+BK305*BK273+BL305*BL273+BM305*BM273+BN305*BN273+BO305*BO273+BP305*BP273+BQ305*BQ273+BR305*BR273+BS305*BS273+BT305*BT273+BU305*BU273+BV305*BV273+BW305*BW273+BX305*BX273+BY305*BY273+BZ305*BZ273+CA305*CA273+CB305*CB273+CC305*CC273+CD305*CD273+CE305*CE273+CF305*CF273+CG305*CG273+CH305*CH273+CI305*CI273+CJ305*CJ273+CK305*CK273+CL305*CL273+CM305*CM273+CN305*CN273+CO305*CO273+CP305*CP273+CQ305*CQ273+CR305*CR273+CS305*CS273+CT305*CT273+CU305*CU273</f>
        <v>0</v>
      </c>
      <c r="DE273" s="2882">
        <f>E306*E273+F306*F273+G306*G273+H306*H273+I306*I273+J306*J273+K306*K273+L306*L273+M306*M273+N306*N273+O306*O273+P306*P273+Q306*Q273+R306*R273+S306*S273+T306*T273+U306*U273+V306*V273+W306*W273+X306*X273+Y306*Y273+Z306*Z273+AA306*AA273+AB306*AB273+AC306*AC273+AD306*AD273+AE306*AE273+AF306*AF273+AG306*AG273+AH306*AH273+AI306*AI273+AJ306*AJ273+AK306*AK273+AL306*AL273+AM306*AM273+AN306*AN273+AO306*AO273+AP306*AP273+AQ306*AQ273+AR306*AR273+AS306*AS273+AT306*AT273+AU306*AU273+AV306*AV273+AW306*AW273+AX306*AX273+AY306*AY273+AZ306*AZ273+BA306*BA273+BB306*BB273+BC306*BC273+BD306*BD273+BE306*BE273+BF306*BF273+BG306*BG273+BH306*BH273+BI306*BI273+BJ306*BJ273+BK306*BK273+BL306*BL273+BM306*BM273+BN306*BN273+BO306*BO273+BP306*BP273+BQ306*BQ273+BR306*BR273+BS306*BS273+BT306*BT273+BU306*BU273+BV306*BV273+BW306*BW273+BX306*BX273+BY306*BY273+BZ306*BZ273+CA306*CA273+CB306*CB273+CC306*CC273+CD306*CD273+CE306*CE273+CF306*CF273+CG306*CG273+CH306*CH273+CI306*CI273+CJ306*CJ273+CK306*CK273+CL306*CL273+CM306*CM273+CN306*CN273+CO306*CO273+CP306*CP273+CQ306*CQ273+CR306*CR273+CS306*CS273+CT306*CT273+CU306*CU273</f>
        <v>0</v>
      </c>
      <c r="DF273" s="2882">
        <f>E307*E273+F307*F273+G307*G273+H307*H273+I307*I273+J307*J273+K307*K273+L307*L273+M307*M273+N307*N273+O307*O273+P307*P273+Q307*Q273+R307*R273+S307*S273+T307*T273+U307*U273+V307*V273+W307*W273+X307*X273+Y307*Y273+Z307*Z273+AA307*AA273+AB307*AB273+AC307*AC273+AD307*AD273+AE307*AE273+AF307*AF273+AG307*AG273+AH307*AH273+AI307*AI273+AJ307*AJ273+AK307*AK273+AL307*AL273+AM307*AM273+AN307*AN273+AO307*AO273+AP307*AP273+AQ307*AQ273+AR307*AR273+AS307*AS273+AT307*AT273+AU307*AU273+AV307*AV273+AW307*AW273+AX307*AX273+AY307*AY273+AZ307*AZ273+BA307*BA273+BB307*BB273+BC307*BC273+BD307*BD273+BE307*BE273+BF307*BF273+BG307*BG273+BH307*BH273+BI307*BI273+BJ307*BJ273+BK307*BK273+BL307*BL273+BM307*BM273+BN307*BN273+BO307*BO273+BP307*BP273+BQ307*BQ273+BR307*BR273+BS307*BS273+BT307*BT273+BU307*BU273+BV307*BV273+BW307*BW273+BX307*BX273+BY307*BY273+BZ307*BZ273+CA307*CA273+CB307*CB273+CC307*CC273+CD307*CD273+CE307*CE273+CF307*CF273+CG307*CG273+CH307*CH273+CI307*CI273+CJ307*CJ273+CK307*CK273+CL307*CL273+CM307*CM273+CN307*CN273+CO307*CO273+CP307*CP273+CQ307*CQ273+CR307*CR273+CS307*CS273+CT307*CT273+CU307*CU273</f>
        <v>0</v>
      </c>
      <c r="DG273" s="2882">
        <f>E308*E273+F308*F273+G308*G273+H308*H273+I308*I273+J308*J273+K308*K273+L308*L273+M308*M273+N308*N273+O308*O273+P308*P273+Q308*Q273+R308*R273+S308*S273+T308*T273+U308*U273+V308*V273+W308*W273+X308*X273+Y308*Y273+Z308*Z273+AA308*AA273+AB308*AB273+AC308*AC273+AD308*AD273+AE308*AE273+AF308*AF273+AG308*AG273+AH308*AH273+AI308*AI273+AJ308*AJ273+AK308*AK273+AL308*AL273+AM308*AM273+AN308*AN273+AO308*AO273+AP308*AP273+AQ308*AQ273+AR308*AR273+AS308*AS273+AT308*AT273+AU308*AU273+AV308*AV273+AW308*AW273+AX308*AX273+AY308*AY273+AZ308*AZ273+BA308*BA273+BB308*BB273+BC308*BC273+BD308*BD273+BE308*BE273+BF308*BF273+BG308*BG273+BH308*BH273+BI308*BI273+BJ308*BJ273+BK308*BK273+BL308*BL273+BM308*BM273+BN308*BN273+BO308*BO273+BP308*BP273+BQ308*BQ273+BR308*BR273+BS308*BS273+BT308*BT273+BU308*BU273+BV308*BV273+BW308*BW273+BX308*BX273+BY308*BY273+BZ308*BZ273+CA308*CA273+CB308*CB273+CC308*CC273+CD308*CD273+CE308*CE273+CF308*CF273+CG308*CG273+CH308*CH273+CI308*CI273+CJ308*CJ273+CK308*CK273+CL308*CL273+CM308*CM273+CN308*CN273+CO308*CO273+CP308*CP273+CQ308*CQ273+CR308*CR273+CS308*CS273+CT308*CT273+CU308*CU273</f>
        <v>0</v>
      </c>
      <c r="DH273" s="2882">
        <f>E309*E273+F309*F273+G309*G273+H309*H273+I309*I273+J309*J273+K309*K273+L309*L273+M309*M273+N309*N273+O309*O273+P309*P273+Q309*Q273+R309*R273+S309*S273+T309*T273+U309*U273+V309*V273+W309*W273+X309*X273+Y309*Y273+Z309*Z273+AA309*AA273+AB309*AB273+AC309*AC273+AD309*AD273+AE309*AE273+AF309*AF273+AG309*AG273+AH309*AH273+AI309*AI273+AJ309*AJ273+AK309*AK273+AL309*AL273+AM309*AM273+AN309*AN273+AO309*AO273+AP309*AP273+AQ309*AQ273+AR309*AR273+AS309*AS273+AT309*AT273+AU309*AU273+AV309*AV273+AW309*AW273+AX309*AX273+AY309*AY273+AZ309*AZ273+BA309*BA273+BB309*BB273+BC309*BC273+BD309*BD273+BE309*BE273+BF309*BF273+BG309*BG273+BH309*BH273+BI309*BI273+BJ309*BJ273+BK309*BK273+BL309*BL273+BM309*BM273+BN309*BN273+BO309*BO273+BP309*BP273+BQ309*BQ273+BR309*BR273+BS309*BS273+BT309*BT273+BU309*BU273+BV309*BV273+BW309*BW273+BX309*BX273+BY309*BY273+BZ309*BZ273+CA309*CA273+CB309*CB273+CC309*CC273+CD309*CD273+CE309*CE273+CF309*CF273+CG309*CG273+CH309*CH273+CI309*CI273+CJ309*CJ273+CK309*CK273+CL309*CL273+CM309*CM273+CN309*CN273+CO309*CO273+CP309*CP273+CQ309*CQ273+CR309*CR273+CS309*CS273+CT309*CT273+CU309*CU273</f>
        <v>0</v>
      </c>
      <c r="DI273" s="2882">
        <f>E310*E273+F310*F273+G310*G273+H310*H273+I310*I273+J310*J273+K310*K273+L310*L273+M310*M273+N310*N273+O310*O273+P310*P273+Q310*Q273+R310*R273+S310*S273+T310*T273+U310*U273+V310*V273+W310*W273+X310*X273+Y310*Y273+Z310*Z273+AA310*AA273+AB310*AB273+AC310*AC273+AD310*AD273+AE310*AE273+AF310*AF273+AG310*AG273+AH310*AH273+AI310*AI273+AJ310*AJ273+AK310*AK273+AL310*AL273+AM310*AM273+AN310*AN273+AO310*AO273+AP310*AP273+AQ310*AQ273+AR310*AR273+AS310*AS273+AT310*AT273+AU310*AU273+AV310*AV273+AW310*AW273+AX310*AX273+AY310*AY273+AZ310*AZ273+BA310*BA273+BB310*BB273+BC310*BC273+BD310*BD273+BE310*BE273+BF310*BF273+BG310*BG273+BH310*BH273+BI310*BI273+BJ310*BJ273+BK310*BK273+BL310*BL273+BM310*BM273+BN310*BN273+BO310*BO273+BP310*BP273+BQ310*BQ273+BR310*BR273+BS310*BS273+BT310*BT273+BU310*BU273+BV310*BV273+BW310*BW273+BX310*BX273+BY310*BY273+BZ310*BZ273+CA310*CA273+CB310*CB273+CC310*CC273+CD310*CD273+CE310*CE273+CF310*CF273+CG310*CG273+CH310*CH273+CI310*CI273+CJ310*CJ273+CK310*CK273+CL310*CL273+CM310*CM273+CN310*CN273+CO310*CO273+CP310*CP273+CQ310*CQ273+CR310*CR273+CS310*CS273+CT310*CT273+CU310*CU273</f>
        <v>0</v>
      </c>
    </row>
    <row r="274" spans="2:113" x14ac:dyDescent="0.45">
      <c r="B274" s="2219">
        <v>115</v>
      </c>
      <c r="C274" s="2219" t="s">
        <v>5797</v>
      </c>
      <c r="D274" s="2573" t="s">
        <v>5425</v>
      </c>
      <c r="E274" s="2575">
        <f>0</f>
        <v>0</v>
      </c>
      <c r="F274" s="2575">
        <f>0</f>
        <v>0</v>
      </c>
      <c r="G274" s="2575">
        <f>0</f>
        <v>0</v>
      </c>
      <c r="H274" s="2575">
        <f>0</f>
        <v>0</v>
      </c>
      <c r="I274" s="2575">
        <f>1-f_E</f>
        <v>0.92</v>
      </c>
      <c r="J274" s="2575">
        <f>0</f>
        <v>0</v>
      </c>
      <c r="K274" s="2575">
        <f>0</f>
        <v>0</v>
      </c>
      <c r="L274" s="2575">
        <f>0</f>
        <v>0</v>
      </c>
      <c r="M274" s="2575">
        <f>0</f>
        <v>0</v>
      </c>
      <c r="N274" s="2575">
        <f>0</f>
        <v>0</v>
      </c>
      <c r="O274" s="2575">
        <f>0</f>
        <v>0</v>
      </c>
      <c r="P274" s="2575">
        <f>f_E</f>
        <v>0.08</v>
      </c>
      <c r="Q274" s="2576">
        <f>0</f>
        <v>0</v>
      </c>
      <c r="R274" s="2575">
        <f>0</f>
        <v>0</v>
      </c>
      <c r="S274" s="2575">
        <f>0</f>
        <v>0</v>
      </c>
      <c r="T274" s="2575">
        <f>0</f>
        <v>0</v>
      </c>
      <c r="U274" s="2575">
        <f>0</f>
        <v>0</v>
      </c>
      <c r="V274" s="2575">
        <f>0</f>
        <v>0</v>
      </c>
      <c r="W274" s="2575">
        <f>0</f>
        <v>0</v>
      </c>
      <c r="X274" s="2575">
        <f>0</f>
        <v>0</v>
      </c>
      <c r="Y274" s="2576">
        <f>-1</f>
        <v>-1</v>
      </c>
      <c r="Z274" s="2575">
        <f>0</f>
        <v>0</v>
      </c>
      <c r="AA274" s="2575">
        <f>0</f>
        <v>0</v>
      </c>
      <c r="AB274" s="2574">
        <f>-f_E*(i_N_XE-i_N_BIO)</f>
        <v>8.0000000000000069E-4</v>
      </c>
      <c r="AC274" s="2574">
        <f>0</f>
        <v>0</v>
      </c>
      <c r="AD274" s="2575">
        <f>0</f>
        <v>0</v>
      </c>
      <c r="AE274" s="2575">
        <f>0</f>
        <v>0</v>
      </c>
      <c r="AF274" s="2575">
        <f>0</f>
        <v>0</v>
      </c>
      <c r="AG274" s="2575">
        <f>0</f>
        <v>0</v>
      </c>
      <c r="AH274" s="2575">
        <f>0</f>
        <v>0</v>
      </c>
      <c r="AI274" s="2575">
        <f>0</f>
        <v>0</v>
      </c>
      <c r="AJ274" s="2575">
        <f>0</f>
        <v>0</v>
      </c>
      <c r="AK274" s="2575">
        <f>(1-f_E)*i_N_BIO</f>
        <v>6.4400000000000013E-2</v>
      </c>
      <c r="AL274" s="2575">
        <f>0</f>
        <v>0</v>
      </c>
      <c r="AM274" s="2574">
        <f>0</f>
        <v>0</v>
      </c>
      <c r="AN274" s="2575">
        <f>0</f>
        <v>0</v>
      </c>
      <c r="AO274" s="2575">
        <f>0</f>
        <v>0</v>
      </c>
      <c r="AP274" s="2575">
        <f>(1-f_E)*i_P_BIO</f>
        <v>1.84E-2</v>
      </c>
      <c r="AQ274" s="2575">
        <f>0</f>
        <v>0</v>
      </c>
      <c r="AR274" s="2575">
        <f>0</f>
        <v>0</v>
      </c>
      <c r="AS274" s="2575">
        <f>0</f>
        <v>0</v>
      </c>
      <c r="AT274" s="2579">
        <f>0</f>
        <v>0</v>
      </c>
      <c r="AU274" s="2575">
        <f>(1-f_E)*(i_CIT_BIO-i_CIT_SB)</f>
        <v>6.0720000000000003E-2</v>
      </c>
      <c r="AV274" s="2575">
        <f>-i_INORG</f>
        <v>-0.11</v>
      </c>
      <c r="AW274" s="2575">
        <f>i_INORG*(1-i_Ca_INORG*(A_MCa+2*A_MCl)/A_MCa-i_Mg_INORG*(A_MMg+2*A_MCl)/A_MMg)*f_Na</f>
        <v>2.8804303582798466E-2</v>
      </c>
      <c r="AX274" s="2575">
        <f>i_INORG*(i_Ca_INORG*(2*A_MCl)/A_MCa+i_Mg_INORG*(2*A_MCl)/A_MMg)+i_INORG*(1-i_Ca_INORG*(A_MCa+2*A_MCl)/A_MCa-i_Mg_INORG*(A_MMg+2*A_MCl)/A_MMg)*(1-f_Na)</f>
        <v>7.0195696417201539E-2</v>
      </c>
      <c r="AY274" s="2575">
        <f>i_INORG*i_Ca_INORG</f>
        <v>5.5000000000000005E-3</v>
      </c>
      <c r="AZ274" s="2575">
        <f>i_INORG*i_Mg_INORG</f>
        <v>5.5000000000000005E-3</v>
      </c>
      <c r="BA274" s="2575">
        <f>0</f>
        <v>0</v>
      </c>
      <c r="BB274" s="2577">
        <f>0</f>
        <v>0</v>
      </c>
      <c r="BC274" s="2578">
        <f>(1-f_E)*i_S_BIO-(1-f_E)*i_S_XB</f>
        <v>7.8200000000000006E-3</v>
      </c>
      <c r="BD274" s="2579">
        <f>0</f>
        <v>0</v>
      </c>
      <c r="BE274" s="2575">
        <f>0</f>
        <v>0</v>
      </c>
      <c r="BF274" s="2575">
        <f>0</f>
        <v>0</v>
      </c>
      <c r="BG274" s="2575">
        <f>0</f>
        <v>0</v>
      </c>
      <c r="BH274" s="2575">
        <f>0</f>
        <v>0</v>
      </c>
      <c r="BI274" s="2575">
        <f>0</f>
        <v>0</v>
      </c>
      <c r="BJ274" s="2575">
        <f>0</f>
        <v>0</v>
      </c>
      <c r="BK274" s="2575">
        <f>0</f>
        <v>0</v>
      </c>
      <c r="BL274" s="2575">
        <f>0</f>
        <v>0</v>
      </c>
      <c r="BM274" s="2575">
        <f>0</f>
        <v>0</v>
      </c>
      <c r="BN274" s="2575">
        <f>0</f>
        <v>0</v>
      </c>
      <c r="BO274" s="2575">
        <f>0</f>
        <v>0</v>
      </c>
      <c r="BP274" s="2575">
        <f>0</f>
        <v>0</v>
      </c>
      <c r="BQ274" s="2575">
        <f>0</f>
        <v>0</v>
      </c>
      <c r="BR274" s="2575">
        <f>0</f>
        <v>0</v>
      </c>
      <c r="BS274" s="2575">
        <f>0</f>
        <v>0</v>
      </c>
      <c r="BT274" s="2575">
        <f>0</f>
        <v>0</v>
      </c>
      <c r="BU274" s="2575">
        <f>0</f>
        <v>0</v>
      </c>
      <c r="BV274" s="2575">
        <f>0</f>
        <v>0</v>
      </c>
      <c r="BW274" s="2575">
        <f>0</f>
        <v>0</v>
      </c>
      <c r="BX274" s="2575">
        <f>0</f>
        <v>0</v>
      </c>
      <c r="BY274" s="2575">
        <f>0</f>
        <v>0</v>
      </c>
      <c r="BZ274" s="2575">
        <f>0</f>
        <v>0</v>
      </c>
      <c r="CA274" s="2575">
        <f>0</f>
        <v>0</v>
      </c>
      <c r="CB274" s="2575">
        <f>0</f>
        <v>0</v>
      </c>
      <c r="CC274" s="2575">
        <f>0</f>
        <v>0</v>
      </c>
      <c r="CD274" s="2575">
        <f>0</f>
        <v>0</v>
      </c>
      <c r="CE274" s="2575">
        <f>0</f>
        <v>0</v>
      </c>
      <c r="CF274" s="2575">
        <f>0</f>
        <v>0</v>
      </c>
      <c r="CG274" s="2575">
        <f>0</f>
        <v>0</v>
      </c>
      <c r="CH274" s="2575">
        <f>0</f>
        <v>0</v>
      </c>
      <c r="CI274" s="2575">
        <f>0</f>
        <v>0</v>
      </c>
      <c r="CJ274" s="2575">
        <f>0</f>
        <v>0</v>
      </c>
      <c r="CK274" s="2575">
        <f>0</f>
        <v>0</v>
      </c>
      <c r="CL274" s="2575">
        <f>0</f>
        <v>0</v>
      </c>
      <c r="CM274" s="2575">
        <f>0</f>
        <v>0</v>
      </c>
      <c r="CN274" s="2575">
        <f>0</f>
        <v>0</v>
      </c>
      <c r="CO274" s="2575">
        <f>0</f>
        <v>0</v>
      </c>
      <c r="CP274" s="2575">
        <f>0</f>
        <v>0</v>
      </c>
      <c r="CQ274" s="2575">
        <f>0</f>
        <v>0</v>
      </c>
      <c r="CR274" s="2575">
        <f>0</f>
        <v>0</v>
      </c>
      <c r="CS274" s="2575">
        <f>0</f>
        <v>0</v>
      </c>
      <c r="CT274" s="2575">
        <f>0</f>
        <v>0</v>
      </c>
      <c r="CU274" s="2575">
        <f>0</f>
        <v>0</v>
      </c>
      <c r="CV274" s="2875">
        <f>b_ASRO_T*X_ASRO*(M_inhSNOx_KNOx_ASRO*M_inhSO2_KiO2_ASRO)</f>
        <v>1.4207909069381961E-5</v>
      </c>
      <c r="CX274" s="2880">
        <f>E299*E274+F299*F274+G299*G274+H299*H274+I299*I274+J299*J274+K299*K274+L299*L274+M299*M274+N299*N274+O299*O274+P299*P274+Q299*Q274+R299*R274+S299*S274+T299*T274+U299*U274+V299*V274+W299*W274+X299*X274+Y299*Y274+Z299*Z274+AA299*AA274+AB299*AB274+AC299*AC274+AD299*AD274+AE299*AE274+AF299*AF274+AG299*AG274+AH299*AH274+AI299*AI274+AJ299*AJ274+AK299*AK274+AL299*AL274+AM299*AM274+AN299*AN274+AO299*AO274+AP299*AP274+AQ299*AQ274+AR299*AR274+AS299*AS274+AT299*AT274+AU299*AU274+AV299*AV274+AW299*AW274+AX299*AX274+AY299*AY274+AZ299*AZ274+BA299*BA274+BB299*BB274+BC299*BC274+BD299*BD274+BE299*BE274+BF299*BF274+BG299*BG274+BH299*BH274+BI299*BI274+BJ299*BJ274+BK299*BK274+BL299*BL274+BM299*BM274+BN299*BN274+BO299*BO274+BP299*BP274+BQ299*BQ274+BR299*BR274+BS299*BS274+BT299*BT274+BU299*BU274+BV299*BV274+BW299*BW274+BX299*BX274+BY299*BY274+BZ299*BZ274+CA299*CA274+CB299*CB274+CC299*CC274+CD299*CD274+CE299*CE274+CF299*CF274+CG299*CG274+CH299*CH274+CI299*CI274+CJ299*CJ274+CK299*CK274+CL299*CL274+CM299*CM274+CN299*CN274+CO299*CO274+CP299*CP274+CQ299*CQ274+CR299*CR274+CS299*CS274+CT299*CT274+CU299*CU274</f>
        <v>0</v>
      </c>
      <c r="CY274" s="2880">
        <f>E300*E274+F300*F274+G300*G274+H300*H274+I300*I274+J300*J274+K300*K274+L300*L274+M300*M274+N300*N274+O300*O274+P300*P274+Q300*Q274+R300*R274+S300*S274+T300*T274+U300*U274+V300*V274+W300*W274+X300*X274+Y300*Y274+Z300*Z274+AA300*AA274+AB300*AB274+AC300*AC274+AD300*AD274+AE300*AE274+AF300*AF274+AG300*AG274+AH300*AH274+AI300*AI274+AJ300*AJ274+AK300*AK274+AL300*AL274+AM300*AM274+AN300*AN274+AO300*AO274+AP300*AP274+AQ300*AQ274+AR300*AR274+AS300*AS274+AT300*AT274+AU300*AU274+AV300*AV274+AW300*AW274+AX300*AX274+AY300*AY274+AZ300*AZ274+BA300*BA274+BB300*BB274+BC300*BC274+BD300*BD274+BE300*BE274+BF300*BF274+BG300*BG274+BH300*BH274+BI300*BI274+BJ300*BJ274+BK300*BK274+BL300*BL274+BM300*BM274+BN300*BN274+BO300*BO274+BP300*BP274+BQ300*BQ274+BR300*BR274+BS300*BS274+BT300*BT274+BU300*BU274+BV300*BV274+BW300*BW274+BX300*BX274+BY300*BY274+BZ300*BZ274+CA300*CA274+CB300*CB274+CC300*CC274+CD300*CD274+CE300*CE274+CF300*CF274+CG300*CG274+CH300*CH274+CI300*CI274+CJ300*CJ274+CK300*CK274+CL300*CL274+CM300*CM274+CN300*CN274+CO300*CO274+CP300*CP274+CQ300*CQ274+CR300*CR274+CS300*CS274+CT300*CT274+CU300*CU274</f>
        <v>6.9388939039072284E-18</v>
      </c>
      <c r="CZ274" s="2881">
        <f>E301*E274+F301*F274+G301*G274+H301*H274+I301*I274+J301*J274+K301*K274+L301*L274+M301*M274+N301*N274+O301*O274+P301*P274+Q301*Q274+R301*R274+S301*S274+T301*T274+U301*U274+V301*V274+W301*W274+X301*X274+Y301*Y274+Z301*Z274+AA301*AA274+AB301*AB274+AC301*AC274+AD301*AD274+AE301*AE274+AF301*AF274+AG301*AG274+AH301*AH274+AI301*AI274+AJ301*AJ274+AK301*AK274+AL301*AL274+AM301*AM274+AN301*AN274+AO301*AO274+AP301*AP274+AQ301*AQ274+AR301*AR274+AS301*AS274+AT301*AT274+AU301*AU274+AV301*AV274+AW301*AW274+AX301*AX274+AY301*AY274+AZ301*AZ274+BA301*BA274+BB301*BB274+BC301*BC274+BD301*BD274+BE301*BE274+BF301*BF274+BG301*BG274+BH301*BH274+BI301*BI274+BJ301*BJ274+BK301*BK274+BL301*BL274+BM301*BM274+BN301*BN274+BO301*BO274+BP301*BP274+BQ301*BQ274+BR301*BR274+BS301*BS274+BT301*BT274+BU301*BU274+BV301*BV274+BW301*BW274+BX301*BX274+BY301*BY274+BZ301*BZ274+CA301*CA274+CB301*CB274+CC301*CC274+CD301*CD274+CE301*CE274+CF301*CF274+CG301*CG274+CH301*CH274+CI301*CI274+CJ301*CJ274+CK301*CK274+CL301*CL274+CM301*CM274+CN301*CN274+CO301*CO274+CP301*CP274+CQ301*CQ274+CR301*CR274+CS301*CS274+CT301*CT274+CU301*CU274</f>
        <v>0</v>
      </c>
      <c r="DA274" s="2882">
        <f>E302*E274+F302*F274+G302*G274+H302*H274+I302*I274+J302*J274+K302*K274+L302*L274+M302*M274+N302*N274+O302*O274+P302*P274+Q302*Q274+R302*R274+S302*S274+T302*T274+U302*U274+V302*V274+W302*W274+X302*X274+Y302*Y274+Z302*Z274+AA302*AA274+AB302*AB274+AC302*AC274+AD302*AD274+AE302*AE274+AF302*AF274+AG302*AG274+AH302*AH274+AI302*AI274+AJ302*AJ274+AK302*AK274+AL302*AL274+AM302*AM274+AN302*AN274+AO302*AO274+AP302*AP274+AQ302*AQ274+AR302*AR274+AS302*AS274+AT302*AT274+AU302*AU274+AV302*AV274+AW302*AW274+AX302*AX274+AY302*AY274+AZ302*AZ274+BA302*BA274+BB302*BB274+BC302*BC274+BD302*BD274+BE302*BE274+BF302*BF274+BG302*BG274+BH302*BH274+BI302*BI274+BJ302*BJ274+BK302*BK274+BL302*BL274+BM302*BM274+BN302*BN274+BO302*BO274+BP302*BP274+BQ302*BQ274+BR302*BR274+BS302*BS274+BT302*BT274+BU302*BU274+BV302*BV274+BW302*BW274+BX302*BX274+BY302*BY274+BZ302*BZ274+CA302*CA274+CB302*CB274+CC302*CC274+CD302*CD274+CE302*CE274+CF302*CF274+CG302*CG274+CH302*CH274+CI302*CI274+CJ302*CJ274+CK302*CK274+CL302*CL274+CM302*CM274+CN302*CN274+CO302*CO274+CP302*CP274+CQ302*CQ274+CR302*CR274+CS302*CS274+CT302*CT274+CU302*CU274</f>
        <v>0</v>
      </c>
      <c r="DB274" s="2882">
        <f>E303*E274+F303*F274+G303*G274+H303*H274+I303*I274+J303*J274+K303*K274+L303*L274+M303*M274+N303*N274+O303*O274+P303*P274+Q303*Q274+R303*R274+S303*S274+T303*T274+U303*U274+V303*V274+W303*W274+X303*X274+Y303*Y274+Z303*Z274+AA303*AA274+AB303*AB274+AC303*AC274+AD303*AD274+AE303*AE274+AF303*AF274+AG303*AG274+AH303*AH274+AI303*AI274+AJ303*AJ274+AK303*AK274+AL303*AL274+AM303*AM274+AN303*AN274+AO303*AO274+AP303*AP274+AQ303*AQ274+AR303*AR274+AS303*AS274+AT303*AT274+AU303*AU274+AV303*AV274+AW303*AW274+AX303*AX274+AY303*AY274+AZ303*AZ274+BA303*BA274+BB303*BB274+BC303*BC274+BD303*BD274+BE303*BE274+BF303*BF274+BG303*BG274+BH303*BH274+BI303*BI274+BJ303*BJ274+BK303*BK274+BL303*BL274+BM303*BM274+BN303*BN274+BO303*BO274+BP303*BP274+BQ303*BQ274+BR303*BR274+BS303*BS274+BT303*BT274+BU303*BU274+BV303*BV274+BW303*BW274+BX303*BX274+BY303*BY274+BZ303*BZ274+CA303*CA274+CB303*CB274+CC303*CC274+CD303*CD274+CE303*CE274+CF303*CF274+CG303*CG274+CH303*CH274+CI303*CI274+CJ303*CJ274+CK303*CK274+CL303*CL274+CM303*CM274+CN303*CN274+CO303*CO274+CP303*CP274+CQ303*CQ274+CR303*CR274+CS303*CS274+CT303*CT274+CU303*CU274</f>
        <v>0</v>
      </c>
      <c r="DC274" s="2882">
        <f>E304*E274+F304*F274+G304*G274+H304*H274+I304*I274+J304*J274+K304*K274+L304*L274+M304*M274+N304*N274+O304*O274+P304*P274+Q304*Q274+R304*R274+S304*S274+T304*T274+U304*U274+V304*V274+W304*W274+X304*X274+Y304*Y274+Z304*Z274+AA304*AA274+AB304*AB274+AC304*AC274+AD304*AD274+AE304*AE274+AF304*AF274+AG304*AG274+AH304*AH274+AI304*AI274+AJ304*AJ274+AK304*AK274+AL304*AL274+AM304*AM274+AN304*AN274+AO304*AO274+AP304*AP274+AQ304*AQ274+AR304*AR274+AS304*AS274+AT304*AT274+AU304*AU274+AV304*AV274+AW304*AW274+AX304*AX274+AY304*AY274+AZ304*AZ274+BA304*BA274+BB304*BB274+BC304*BC274+BD304*BD274+BE304*BE274+BF304*BF274+BG304*BG274+BH304*BH274+BI304*BI274+BJ304*BJ274+BK304*BK274+BL304*BL274+BM304*BM274+BN304*BN274+BO304*BO274+BP304*BP274+BQ304*BQ274+BR304*BR274+BS304*BS274+BT304*BT274+BU304*BU274+BV304*BV274+BW304*BW274+BX304*BX274+BY304*BY274+BZ304*BZ274+CA304*CA274+CB304*CB274+CC304*CC274+CD304*CD274+CE304*CE274+CF304*CF274+CG304*CG274+CH304*CH274+CI304*CI274+CJ304*CJ274+CK304*CK274+CL304*CL274+CM304*CM274+CN304*CN274+CO304*CO274+CP304*CP274+CQ304*CQ274+CR304*CR274+CS304*CS274+CT304*CT274+CU304*CU274</f>
        <v>0</v>
      </c>
      <c r="DD274" s="2882">
        <f>E305*E274+F305*F274+G305*G274+H305*H274+I305*I274+J305*J274+K305*K274+L305*L274+M305*M274+N305*N274+O305*O274+P305*P274+Q305*Q274+R305*R274+S305*S274+T305*T274+U305*U274+V305*V274+W305*W274+X305*X274+Y305*Y274+Z305*Z274+AA305*AA274+AB305*AB274+AC305*AC274+AD305*AD274+AE305*AE274+AF305*AF274+AG305*AG274+AH305*AH274+AI305*AI274+AJ305*AJ274+AK305*AK274+AL305*AL274+AM305*AM274+AN305*AN274+AO305*AO274+AP305*AP274+AQ305*AQ274+AR305*AR274+AS305*AS274+AT305*AT274+AU305*AU274+AV305*AV274+AW305*AW274+AX305*AX274+AY305*AY274+AZ305*AZ274+BA305*BA274+BB305*BB274+BC305*BC274+BD305*BD274+BE305*BE274+BF305*BF274+BG305*BG274+BH305*BH274+BI305*BI274+BJ305*BJ274+BK305*BK274+BL305*BL274+BM305*BM274+BN305*BN274+BO305*BO274+BP305*BP274+BQ305*BQ274+BR305*BR274+BS305*BS274+BT305*BT274+BU305*BU274+BV305*BV274+BW305*BW274+BX305*BX274+BY305*BY274+BZ305*BZ274+CA305*CA274+CB305*CB274+CC305*CC274+CD305*CD274+CE305*CE274+CF305*CF274+CG305*CG274+CH305*CH274+CI305*CI274+CJ305*CJ274+CK305*CK274+CL305*CL274+CM305*CM274+CN305*CN274+CO305*CO274+CP305*CP274+CQ305*CQ274+CR305*CR274+CS305*CS274+CT305*CT274+CU305*CU274</f>
        <v>0</v>
      </c>
      <c r="DE274" s="2882">
        <f>E306*E274+F306*F274+G306*G274+H306*H274+I306*I274+J306*J274+K306*K274+L306*L274+M306*M274+N306*N274+O306*O274+P306*P274+Q306*Q274+R306*R274+S306*S274+T306*T274+U306*U274+V306*V274+W306*W274+X306*X274+Y306*Y274+Z306*Z274+AA306*AA274+AB306*AB274+AC306*AC274+AD306*AD274+AE306*AE274+AF306*AF274+AG306*AG274+AH306*AH274+AI306*AI274+AJ306*AJ274+AK306*AK274+AL306*AL274+AM306*AM274+AN306*AN274+AO306*AO274+AP306*AP274+AQ306*AQ274+AR306*AR274+AS306*AS274+AT306*AT274+AU306*AU274+AV306*AV274+AW306*AW274+AX306*AX274+AY306*AY274+AZ306*AZ274+BA306*BA274+BB306*BB274+BC306*BC274+BD306*BD274+BE306*BE274+BF306*BF274+BG306*BG274+BH306*BH274+BI306*BI274+BJ306*BJ274+BK306*BK274+BL306*BL274+BM306*BM274+BN306*BN274+BO306*BO274+BP306*BP274+BQ306*BQ274+BR306*BR274+BS306*BS274+BT306*BT274+BU306*BU274+BV306*BV274+BW306*BW274+BX306*BX274+BY306*BY274+BZ306*BZ274+CA306*CA274+CB306*CB274+CC306*CC274+CD306*CD274+CE306*CE274+CF306*CF274+CG306*CG274+CH306*CH274+CI306*CI274+CJ306*CJ274+CK306*CK274+CL306*CL274+CM306*CM274+CN306*CN274+CO306*CO274+CP306*CP274+CQ306*CQ274+CR306*CR274+CS306*CS274+CT306*CT274+CU306*CU274</f>
        <v>0</v>
      </c>
      <c r="DF274" s="2882">
        <f>E307*E274+F307*F274+G307*G274+H307*H274+I307*I274+J307*J274+K307*K274+L307*L274+M307*M274+N307*N274+O307*O274+P307*P274+Q307*Q274+R307*R274+S307*S274+T307*T274+U307*U274+V307*V274+W307*W274+X307*X274+Y307*Y274+Z307*Z274+AA307*AA274+AB307*AB274+AC307*AC274+AD307*AD274+AE307*AE274+AF307*AF274+AG307*AG274+AH307*AH274+AI307*AI274+AJ307*AJ274+AK307*AK274+AL307*AL274+AM307*AM274+AN307*AN274+AO307*AO274+AP307*AP274+AQ307*AQ274+AR307*AR274+AS307*AS274+AT307*AT274+AU307*AU274+AV307*AV274+AW307*AW274+AX307*AX274+AY307*AY274+AZ307*AZ274+BA307*BA274+BB307*BB274+BC307*BC274+BD307*BD274+BE307*BE274+BF307*BF274+BG307*BG274+BH307*BH274+BI307*BI274+BJ307*BJ274+BK307*BK274+BL307*BL274+BM307*BM274+BN307*BN274+BO307*BO274+BP307*BP274+BQ307*BQ274+BR307*BR274+BS307*BS274+BT307*BT274+BU307*BU274+BV307*BV274+BW307*BW274+BX307*BX274+BY307*BY274+BZ307*BZ274+CA307*CA274+CB307*CB274+CC307*CC274+CD307*CD274+CE307*CE274+CF307*CF274+CG307*CG274+CH307*CH274+CI307*CI274+CJ307*CJ274+CK307*CK274+CL307*CL274+CM307*CM274+CN307*CN274+CO307*CO274+CP307*CP274+CQ307*CQ274+CR307*CR274+CS307*CS274+CT307*CT274+CU307*CU274</f>
        <v>0</v>
      </c>
      <c r="DG274" s="2882">
        <f>E308*E274+F308*F274+G308*G274+H308*H274+I308*I274+J308*J274+K308*K274+L308*L274+M308*M274+N308*N274+O308*O274+P308*P274+Q308*Q274+R308*R274+S308*S274+T308*T274+U308*U274+V308*V274+W308*W274+X308*X274+Y308*Y274+Z308*Z274+AA308*AA274+AB308*AB274+AC308*AC274+AD308*AD274+AE308*AE274+AF308*AF274+AG308*AG274+AH308*AH274+AI308*AI274+AJ308*AJ274+AK308*AK274+AL308*AL274+AM308*AM274+AN308*AN274+AO308*AO274+AP308*AP274+AQ308*AQ274+AR308*AR274+AS308*AS274+AT308*AT274+AU308*AU274+AV308*AV274+AW308*AW274+AX308*AX274+AY308*AY274+AZ308*AZ274+BA308*BA274+BB308*BB274+BC308*BC274+BD308*BD274+BE308*BE274+BF308*BF274+BG308*BG274+BH308*BH274+BI308*BI274+BJ308*BJ274+BK308*BK274+BL308*BL274+BM308*BM274+BN308*BN274+BO308*BO274+BP308*BP274+BQ308*BQ274+BR308*BR274+BS308*BS274+BT308*BT274+BU308*BU274+BV308*BV274+BW308*BW274+BX308*BX274+BY308*BY274+BZ308*BZ274+CA308*CA274+CB308*CB274+CC308*CC274+CD308*CD274+CE308*CE274+CF308*CF274+CG308*CG274+CH308*CH274+CI308*CI274+CJ308*CJ274+CK308*CK274+CL308*CL274+CM308*CM274+CN308*CN274+CO308*CO274+CP308*CP274+CQ308*CQ274+CR308*CR274+CS308*CS274+CT308*CT274+CU308*CU274</f>
        <v>0</v>
      </c>
      <c r="DH274" s="2882">
        <f>E309*E274+F309*F274+G309*G274+H309*H274+I309*I274+J309*J274+K309*K274+L309*L274+M309*M274+N309*N274+O309*O274+P309*P274+Q309*Q274+R309*R274+S309*S274+T309*T274+U309*U274+V309*V274+W309*W274+X309*X274+Y309*Y274+Z309*Z274+AA309*AA274+AB309*AB274+AC309*AC274+AD309*AD274+AE309*AE274+AF309*AF274+AG309*AG274+AH309*AH274+AI309*AI274+AJ309*AJ274+AK309*AK274+AL309*AL274+AM309*AM274+AN309*AN274+AO309*AO274+AP309*AP274+AQ309*AQ274+AR309*AR274+AS309*AS274+AT309*AT274+AU309*AU274+AV309*AV274+AW309*AW274+AX309*AX274+AY309*AY274+AZ309*AZ274+BA309*BA274+BB309*BB274+BC309*BC274+BD309*BD274+BE309*BE274+BF309*BF274+BG309*BG274+BH309*BH274+BI309*BI274+BJ309*BJ274+BK309*BK274+BL309*BL274+BM309*BM274+BN309*BN274+BO309*BO274+BP309*BP274+BQ309*BQ274+BR309*BR274+BS309*BS274+BT309*BT274+BU309*BU274+BV309*BV274+BW309*BW274+BX309*BX274+BY309*BY274+BZ309*BZ274+CA309*CA274+CB309*CB274+CC309*CC274+CD309*CD274+CE309*CE274+CF309*CF274+CG309*CG274+CH309*CH274+CI309*CI274+CJ309*CJ274+CK309*CK274+CL309*CL274+CM309*CM274+CN309*CN274+CO309*CO274+CP309*CP274+CQ309*CQ274+CR309*CR274+CS309*CS274+CT309*CT274+CU309*CU274</f>
        <v>0</v>
      </c>
      <c r="DI274" s="2882">
        <f>E310*E274+F310*F274+G310*G274+H310*H274+I310*I274+J310*J274+K310*K274+L310*L274+M310*M274+N310*N274+O310*O274+P310*P274+Q310*Q274+R310*R274+S310*S274+T310*T274+U310*U274+V310*V274+W310*W274+X310*X274+Y310*Y274+Z310*Z274+AA310*AA274+AB310*AB274+AC310*AC274+AD310*AD274+AE310*AE274+AF310*AF274+AG310*AG274+AH310*AH274+AI310*AI274+AJ310*AJ274+AK310*AK274+AL310*AL274+AM310*AM274+AN310*AN274+AO310*AO274+AP310*AP274+AQ310*AQ274+AR310*AR274+AS310*AS274+AT310*AT274+AU310*AU274+AV310*AV274+AW310*AW274+AX310*AX274+AY310*AY274+AZ310*AZ274+BA310*BA274+BB310*BB274+BC310*BC274+BD310*BD274+BE310*BE274+BF310*BF274+BG310*BG274+BH310*BH274+BI310*BI274+BJ310*BJ274+BK310*BK274+BL310*BL274+BM310*BM274+BN310*BN274+BO310*BO274+BP310*BP274+BQ310*BQ274+BR310*BR274+BS310*BS274+BT310*BT274+BU310*BU274+BV310*BV274+BW310*BW274+BX310*BX274+BY310*BY274+BZ310*BZ274+CA310*CA274+CB310*CB274+CC310*CC274+CD310*CD274+CE310*CE274+CF310*CF274+CG310*CG274+CH310*CH274+CI310*CI274+CJ310*CJ274+CK310*CK274+CL310*CL274+CM310*CM274+CN310*CN274+CO310*CO274+CP310*CP274+CQ310*CQ274+CR310*CR274+CS310*CS274+CT310*CT274+CU310*CU274</f>
        <v>0</v>
      </c>
    </row>
    <row r="275" spans="2:113" ht="16.149999999999999" thickBot="1" x14ac:dyDescent="0.5">
      <c r="B275" s="2221">
        <v>116</v>
      </c>
      <c r="C275" s="2221" t="s">
        <v>5798</v>
      </c>
      <c r="D275" s="2581" t="s">
        <v>5427</v>
      </c>
      <c r="E275" s="2582">
        <f>0</f>
        <v>0</v>
      </c>
      <c r="F275" s="2582">
        <f>0</f>
        <v>0</v>
      </c>
      <c r="G275" s="2582">
        <f>0</f>
        <v>0</v>
      </c>
      <c r="H275" s="2582">
        <f>0</f>
        <v>0</v>
      </c>
      <c r="I275" s="2582">
        <f>0</f>
        <v>0</v>
      </c>
      <c r="J275" s="2582">
        <f>0</f>
        <v>0</v>
      </c>
      <c r="K275" s="2582">
        <f>0</f>
        <v>0</v>
      </c>
      <c r="L275" s="2582">
        <f>0</f>
        <v>0</v>
      </c>
      <c r="M275" s="2582">
        <f>0</f>
        <v>0</v>
      </c>
      <c r="N275" s="2582">
        <f>0</f>
        <v>0</v>
      </c>
      <c r="O275" s="2582">
        <f>0</f>
        <v>0</v>
      </c>
      <c r="P275" s="2582">
        <f>0</f>
        <v>0</v>
      </c>
      <c r="Q275" s="2583">
        <f>0</f>
        <v>0</v>
      </c>
      <c r="R275" s="2582">
        <f>0</f>
        <v>0</v>
      </c>
      <c r="S275" s="2582">
        <f>0</f>
        <v>0</v>
      </c>
      <c r="T275" s="2582">
        <f>0</f>
        <v>0</v>
      </c>
      <c r="U275" s="2582">
        <f>0</f>
        <v>0</v>
      </c>
      <c r="V275" s="2582">
        <f>0</f>
        <v>0</v>
      </c>
      <c r="W275" s="2582">
        <f>0</f>
        <v>0</v>
      </c>
      <c r="X275" s="2582">
        <f>0</f>
        <v>0</v>
      </c>
      <c r="Y275" s="2582">
        <f>0</f>
        <v>0</v>
      </c>
      <c r="Z275" s="2582">
        <f>1</f>
        <v>1</v>
      </c>
      <c r="AA275" s="2582">
        <f>0</f>
        <v>0</v>
      </c>
      <c r="AB275" s="2584">
        <f>-i_N_BIO</f>
        <v>-7.0000000000000007E-2</v>
      </c>
      <c r="AC275" s="2584">
        <f>0</f>
        <v>0</v>
      </c>
      <c r="AD275" s="2583">
        <f>0</f>
        <v>0</v>
      </c>
      <c r="AE275" s="2583">
        <f>0</f>
        <v>0</v>
      </c>
      <c r="AF275" s="2583">
        <f>0</f>
        <v>0</v>
      </c>
      <c r="AG275" s="2583">
        <f>0</f>
        <v>0</v>
      </c>
      <c r="AH275" s="2583">
        <f>0</f>
        <v>0</v>
      </c>
      <c r="AI275" s="2582">
        <f>0</f>
        <v>0</v>
      </c>
      <c r="AJ275" s="2582">
        <f>0</f>
        <v>0</v>
      </c>
      <c r="AK275" s="2582">
        <f>0</f>
        <v>0</v>
      </c>
      <c r="AL275" s="2582">
        <f>0</f>
        <v>0</v>
      </c>
      <c r="AM275" s="2584">
        <f>-i_P_BIO</f>
        <v>-0.02</v>
      </c>
      <c r="AN275" s="2582">
        <f>0</f>
        <v>0</v>
      </c>
      <c r="AO275" s="2582">
        <f>0</f>
        <v>0</v>
      </c>
      <c r="AP275" s="2582">
        <f>0</f>
        <v>0</v>
      </c>
      <c r="AQ275" s="2582">
        <f>0</f>
        <v>0</v>
      </c>
      <c r="AR275" s="2582">
        <f>0</f>
        <v>0</v>
      </c>
      <c r="AS275" s="2582">
        <f>0</f>
        <v>0</v>
      </c>
      <c r="AT275" s="2584">
        <f>-1/Y_HSRO</f>
        <v>-19.607843137254903</v>
      </c>
      <c r="AU275" s="2583">
        <f>-i_CIT_BIO</f>
        <v>-0.35199999999999998</v>
      </c>
      <c r="AV275" s="2582">
        <f>i_INORG</f>
        <v>0.11</v>
      </c>
      <c r="AW275" s="2582">
        <f>-i_INORG*(1-i_Ca_INORG*(A_MCa+2*A_MCl)/A_MCa-i_Mg_INORG*(A_MMg+2*A_MCl)/A_MMg)*f_Na</f>
        <v>-2.8804303582798466E-2</v>
      </c>
      <c r="AX275" s="2582">
        <f>-i_INORG*(i_Ca_INORG*(2*A_MCl)/A_MCa+i_Mg_INORG*(2*A_MCl)/A_MMg)-i_INORG*(1-i_Ca_INORG*(A_MCa+2*A_MCl)/A_MCa-i_Mg_INORG*(A_MMg+2*A_MCl)/A_MMg)*(1-f_Na)</f>
        <v>-7.0195696417201539E-2</v>
      </c>
      <c r="AY275" s="2582">
        <f>-i_INORG*i_Ca_INORG</f>
        <v>-5.5000000000000005E-3</v>
      </c>
      <c r="AZ275" s="2582">
        <f>-i_INORG*i_Mg_INORG</f>
        <v>-5.5000000000000005E-3</v>
      </c>
      <c r="BA275" s="2582">
        <f>0</f>
        <v>0</v>
      </c>
      <c r="BB275" s="2585">
        <f>(1-Y_HSRO)/(E_EQH2S*Y_HSRO)</f>
        <v>9.3231697781804073</v>
      </c>
      <c r="BC275" s="2586">
        <f>-(1-Y_HSRO)/(E_EQH2S*Y_HSRO)-i_S_BIO</f>
        <v>-9.3331697781804071</v>
      </c>
      <c r="BD275" s="2587">
        <f>0</f>
        <v>0</v>
      </c>
      <c r="BE275" s="2582">
        <f>0</f>
        <v>0</v>
      </c>
      <c r="BF275" s="2582">
        <f>0</f>
        <v>0</v>
      </c>
      <c r="BG275" s="2582">
        <f>0</f>
        <v>0</v>
      </c>
      <c r="BH275" s="2582">
        <f>0</f>
        <v>0</v>
      </c>
      <c r="BI275" s="2582">
        <f>0</f>
        <v>0</v>
      </c>
      <c r="BJ275" s="2582">
        <f>0</f>
        <v>0</v>
      </c>
      <c r="BK275" s="2582">
        <f>0</f>
        <v>0</v>
      </c>
      <c r="BL275" s="2582">
        <f>0</f>
        <v>0</v>
      </c>
      <c r="BM275" s="2582">
        <f>0</f>
        <v>0</v>
      </c>
      <c r="BN275" s="2582">
        <f>0</f>
        <v>0</v>
      </c>
      <c r="BO275" s="2582">
        <f>0</f>
        <v>0</v>
      </c>
      <c r="BP275" s="2582">
        <f>0</f>
        <v>0</v>
      </c>
      <c r="BQ275" s="2582">
        <f>0</f>
        <v>0</v>
      </c>
      <c r="BR275" s="2582">
        <f>0</f>
        <v>0</v>
      </c>
      <c r="BS275" s="2582">
        <f>0</f>
        <v>0</v>
      </c>
      <c r="BT275" s="2582">
        <f>0</f>
        <v>0</v>
      </c>
      <c r="BU275" s="2582">
        <f>0</f>
        <v>0</v>
      </c>
      <c r="BV275" s="2582">
        <f>0</f>
        <v>0</v>
      </c>
      <c r="BW275" s="2582">
        <f>0</f>
        <v>0</v>
      </c>
      <c r="BX275" s="2582">
        <f>0</f>
        <v>0</v>
      </c>
      <c r="BY275" s="2582">
        <f>0</f>
        <v>0</v>
      </c>
      <c r="BZ275" s="2582">
        <f>0</f>
        <v>0</v>
      </c>
      <c r="CA275" s="2582">
        <f>0</f>
        <v>0</v>
      </c>
      <c r="CB275" s="2582">
        <f>0</f>
        <v>0</v>
      </c>
      <c r="CC275" s="2582">
        <f>0</f>
        <v>0</v>
      </c>
      <c r="CD275" s="2582">
        <f>0</f>
        <v>0</v>
      </c>
      <c r="CE275" s="2582">
        <f>0</f>
        <v>0</v>
      </c>
      <c r="CF275" s="2582">
        <f>0</f>
        <v>0</v>
      </c>
      <c r="CG275" s="2582">
        <f>0</f>
        <v>0</v>
      </c>
      <c r="CH275" s="2582">
        <f>0</f>
        <v>0</v>
      </c>
      <c r="CI275" s="2582">
        <f>0</f>
        <v>0</v>
      </c>
      <c r="CJ275" s="2582">
        <f>0</f>
        <v>0</v>
      </c>
      <c r="CK275" s="2582">
        <f>0</f>
        <v>0</v>
      </c>
      <c r="CL275" s="2582">
        <f>0</f>
        <v>0</v>
      </c>
      <c r="CM275" s="2582">
        <f>0</f>
        <v>0</v>
      </c>
      <c r="CN275" s="2582">
        <f>0</f>
        <v>0</v>
      </c>
      <c r="CO275" s="2582">
        <f>0</f>
        <v>0</v>
      </c>
      <c r="CP275" s="2582">
        <f>0</f>
        <v>0</v>
      </c>
      <c r="CQ275" s="2582">
        <f>0</f>
        <v>0</v>
      </c>
      <c r="CR275" s="2582">
        <f>0</f>
        <v>0</v>
      </c>
      <c r="CS275" s="2582">
        <f>0</f>
        <v>0</v>
      </c>
      <c r="CT275" s="2582">
        <f>0</f>
        <v>0</v>
      </c>
      <c r="CU275" s="2582">
        <f>0</f>
        <v>0</v>
      </c>
      <c r="CV275" s="2876">
        <f>µ_HSRO_T*X_HSRO*M_satSCO2_KCO2_BIO*M_satSH2_KH2_HSRO*M_satSO4_KSO4_HSRO*M_satSNHx_KNHx_BIO*M_satSPO4_KPO4_BIO*M_inhSNOx_KNOx_HSRO*M_inhSO2_KiO2_HSRO*M_satSCAT_KCAT*M_satSAN_KAN*M_satSCa_KCa*M_satSMg_KMg*B_ellinhpH*M_inhH2S_KiH2S_HSRO</f>
        <v>6.655831257186196E-3</v>
      </c>
      <c r="CX275" s="2880">
        <f>E299*E275+F299*F275+G299*G275+H299*H275+I299*I275+J299*J275+K299*K275+L299*L275+M299*M275+N299*N275+O299*O275+P299*P275+Q299*Q275+R299*R275+S299*S275+T299*T275+U299*U275+V299*V275+W299*W275+X299*X275+Y299*Y275+Z299*Z275+AA299*AA275+AB299*AB275+AC299*AC275+AD299*AD275+AE299*AE275+AF299*AF275+AG299*AG275+AH299*AH275+AI299*AI275+AJ299*AJ275+AK299*AK275+AL299*AL275+AM299*AM275+AN299*AN275+AO299*AO275+AP299*AP275+AQ299*AQ275+AR299*AR275+AS299*AS275+AT299*AT275+AU299*AU275+AV299*AV275+AW299*AW275+AX299*AX275+AY299*AY275+AZ299*AZ275+BA299*BA275+BB299*BB275+BC299*BC275+BD299*BD275+BE299*BE275+BF299*BF275+BG299*BG275+BH299*BH275+BI299*BI275+BJ299*BJ275+BK299*BK275+BL299*BL275+BM299*BM275+BN299*BN275+BO299*BO275+BP299*BP275+BQ299*BQ275+BR299*BR275+BS299*BS275+BT299*BT275+BU299*BU275+BV299*BV275+BW299*BW275+BX299*BX275+BY299*BY275+BZ299*BZ275+CA299*CA275+CB299*CB275+CC299*CC275+CD299*CD275+CE299*CE275+CF299*CF275+CG299*CG275+CH299*CH275+CI299*CI275+CJ299*CJ275+CK299*CK275+CL299*CL275+CM299*CM275+CN299*CN275+CO299*CO275+CP299*CP275+CQ299*CQ275+CR299*CR275+CS299*CS275+CT299*CT275+CU299*CU275</f>
        <v>0</v>
      </c>
      <c r="CY275" s="2880">
        <f>E300*E275+F300*F275+G300*G275+H300*H275+I300*I275+J300*J275+K300*K275+L300*L275+M300*M275+N300*N275+O300*O275+P300*P275+Q300*Q275+R300*R275+S300*S275+T300*T275+U300*U275+V300*V275+W300*W275+X300*X275+Y300*Y275+Z300*Z275+AA300*AA275+AB300*AB275+AC300*AC275+AD300*AD275+AE300*AE275+AF300*AF275+AG300*AG275+AH300*AH275+AI300*AI275+AJ300*AJ275+AK300*AK275+AL300*AL275+AM300*AM275+AN300*AN275+AO300*AO275+AP300*AP275+AQ300*AQ275+AR300*AR275+AS300*AS275+AT300*AT275+AU300*AU275+AV300*AV275+AW300*AW275+AX300*AX275+AY300*AY275+AZ300*AZ275+BA300*BA275+BB300*BB275+BC300*BC275+BD300*BD275+BE300*BE275+BF300*BF275+BG300*BG275+BH300*BH275+BI300*BI275+BJ300*BJ275+BK300*BK275+BL300*BL275+BM300*BM275+BN300*BN275+BO300*BO275+BP300*BP275+BQ300*BQ275+BR300*BR275+BS300*BS275+BT300*BT275+BU300*BU275+BV300*BV275+BW300*BW275+BX300*BX275+BY300*BY275+BZ300*BZ275+CA300*CA275+CB300*CB275+CC300*CC275+CD300*CD275+CE300*CE275+CF300*CF275+CG300*CG275+CH300*CH275+CI300*CI275+CJ300*CJ275+CK300*CK275+CL300*CL275+CM300*CM275+CN300*CN275+CO300*CO275+CP300*CP275+CQ300*CQ275+CR300*CR275+CS300*CS275+CT300*CT275+CU300*CU275</f>
        <v>0</v>
      </c>
      <c r="CZ275" s="2881">
        <f>E301*E275+F301*F275+G301*G275+H301*H275+I301*I275+J301*J275+K301*K275+L301*L275+M301*M275+N301*N275+O301*O275+P301*P275+Q301*Q275+R301*R275+S301*S275+T301*T275+U301*U275+V301*V275+W301*W275+X301*X275+Y301*Y275+Z301*Z275+AA301*AA275+AB301*AB275+AC301*AC275+AD301*AD275+AE301*AE275+AF301*AF275+AG301*AG275+AH301*AH275+AI301*AI275+AJ301*AJ275+AK301*AK275+AL301*AL275+AM301*AM275+AN301*AN275+AO301*AO275+AP301*AP275+AQ301*AQ275+AR301*AR275+AS301*AS275+AT301*AT275+AU301*AU275+AV301*AV275+AW301*AW275+AX301*AX275+AY301*AY275+AZ301*AZ275+BA301*BA275+BB301*BB275+BC301*BC275+BD301*BD275+BE301*BE275+BF301*BF275+BG301*BG275+BH301*BH275+BI301*BI275+BJ301*BJ275+BK301*BK275+BL301*BL275+BM301*BM275+BN301*BN275+BO301*BO275+BP301*BP275+BQ301*BQ275+BR301*BR275+BS301*BS275+BT301*BT275+BU301*BU275+BV301*BV275+BW301*BW275+BX301*BX275+BY301*BY275+BZ301*BZ275+CA301*CA275+CB301*CB275+CC301*CC275+CD301*CD275+CE301*CE275+CF301*CF275+CG301*CG275+CH301*CH275+CI301*CI275+CJ301*CJ275+CK301*CK275+CL301*CL275+CM301*CM275+CN301*CN275+CO301*CO275+CP301*CP275+CQ301*CQ275+CR301*CR275+CS301*CS275+CT301*CT275+CU301*CU275</f>
        <v>0</v>
      </c>
      <c r="DA275" s="2882">
        <f>E302*E275+F302*F275+G302*G275+H302*H275+I302*I275+J302*J275+K302*K275+L302*L275+M302*M275+N302*N275+O302*O275+P302*P275+Q302*Q275+R302*R275+S302*S275+T302*T275+U302*U275+V302*V275+W302*W275+X302*X275+Y302*Y275+Z302*Z275+AA302*AA275+AB302*AB275+AC302*AC275+AD302*AD275+AE302*AE275+AF302*AF275+AG302*AG275+AH302*AH275+AI302*AI275+AJ302*AJ275+AK302*AK275+AL302*AL275+AM302*AM275+AN302*AN275+AO302*AO275+AP302*AP275+AQ302*AQ275+AR302*AR275+AS302*AS275+AT302*AT275+AU302*AU275+AV302*AV275+AW302*AW275+AX302*AX275+AY302*AY275+AZ302*AZ275+BA302*BA275+BB302*BB275+BC302*BC275+BD302*BD275+BE302*BE275+BF302*BF275+BG302*BG275+BH302*BH275+BI302*BI275+BJ302*BJ275+BK302*BK275+BL302*BL275+BM302*BM275+BN302*BN275+BO302*BO275+BP302*BP275+BQ302*BQ275+BR302*BR275+BS302*BS275+BT302*BT275+BU302*BU275+BV302*BV275+BW302*BW275+BX302*BX275+BY302*BY275+BZ302*BZ275+CA302*CA275+CB302*CB275+CC302*CC275+CD302*CD275+CE302*CE275+CF302*CF275+CG302*CG275+CH302*CH275+CI302*CI275+CJ302*CJ275+CK302*CK275+CL302*CL275+CM302*CM275+CN302*CN275+CO302*CO275+CP302*CP275+CQ302*CQ275+CR302*CR275+CS302*CS275+CT302*CT275+CU302*CU275</f>
        <v>0</v>
      </c>
      <c r="DB275" s="2882">
        <f>E303*E275+F303*F275+G303*G275+H303*H275+I303*I275+J303*J275+K303*K275+L303*L275+M303*M275+N303*N275+O303*O275+P303*P275+Q303*Q275+R303*R275+S303*S275+T303*T275+U303*U275+V303*V275+W303*W275+X303*X275+Y303*Y275+Z303*Z275+AA303*AA275+AB303*AB275+AC303*AC275+AD303*AD275+AE303*AE275+AF303*AF275+AG303*AG275+AH303*AH275+AI303*AI275+AJ303*AJ275+AK303*AK275+AL303*AL275+AM303*AM275+AN303*AN275+AO303*AO275+AP303*AP275+AQ303*AQ275+AR303*AR275+AS303*AS275+AT303*AT275+AU303*AU275+AV303*AV275+AW303*AW275+AX303*AX275+AY303*AY275+AZ303*AZ275+BA303*BA275+BB303*BB275+BC303*BC275+BD303*BD275+BE303*BE275+BF303*BF275+BG303*BG275+BH303*BH275+BI303*BI275+BJ303*BJ275+BK303*BK275+BL303*BL275+BM303*BM275+BN303*BN275+BO303*BO275+BP303*BP275+BQ303*BQ275+BR303*BR275+BS303*BS275+BT303*BT275+BU303*BU275+BV303*BV275+BW303*BW275+BX303*BX275+BY303*BY275+BZ303*BZ275+CA303*CA275+CB303*CB275+CC303*CC275+CD303*CD275+CE303*CE275+CF303*CF275+CG303*CG275+CH303*CH275+CI303*CI275+CJ303*CJ275+CK303*CK275+CL303*CL275+CM303*CM275+CN303*CN275+CO303*CO275+CP303*CP275+CQ303*CQ275+CR303*CR275+CS303*CS275+CT303*CT275+CU303*CU275</f>
        <v>0</v>
      </c>
      <c r="DC275" s="2882">
        <f>E304*E275+F304*F275+G304*G275+H304*H275+I304*I275+J304*J275+K304*K275+L304*L275+M304*M275+N304*N275+O304*O275+P304*P275+Q304*Q275+R304*R275+S304*S275+T304*T275+U304*U275+V304*V275+W304*W275+X304*X275+Y304*Y275+Z304*Z275+AA304*AA275+AB304*AB275+AC304*AC275+AD304*AD275+AE304*AE275+AF304*AF275+AG304*AG275+AH304*AH275+AI304*AI275+AJ304*AJ275+AK304*AK275+AL304*AL275+AM304*AM275+AN304*AN275+AO304*AO275+AP304*AP275+AQ304*AQ275+AR304*AR275+AS304*AS275+AT304*AT275+AU304*AU275+AV304*AV275+AW304*AW275+AX304*AX275+AY304*AY275+AZ304*AZ275+BA304*BA275+BB304*BB275+BC304*BC275+BD304*BD275+BE304*BE275+BF304*BF275+BG304*BG275+BH304*BH275+BI304*BI275+BJ304*BJ275+BK304*BK275+BL304*BL275+BM304*BM275+BN304*BN275+BO304*BO275+BP304*BP275+BQ304*BQ275+BR304*BR275+BS304*BS275+BT304*BT275+BU304*BU275+BV304*BV275+BW304*BW275+BX304*BX275+BY304*BY275+BZ304*BZ275+CA304*CA275+CB304*CB275+CC304*CC275+CD304*CD275+CE304*CE275+CF304*CF275+CG304*CG275+CH304*CH275+CI304*CI275+CJ304*CJ275+CK304*CK275+CL304*CL275+CM304*CM275+CN304*CN275+CO304*CO275+CP304*CP275+CQ304*CQ275+CR304*CR275+CS304*CS275+CT304*CT275+CU304*CU275</f>
        <v>0</v>
      </c>
      <c r="DD275" s="2882">
        <f>E305*E275+F305*F275+G305*G275+H305*H275+I305*I275+J305*J275+K305*K275+L305*L275+M305*M275+N305*N275+O305*O275+P305*P275+Q305*Q275+R305*R275+S305*S275+T305*T275+U305*U275+V305*V275+W305*W275+X305*X275+Y305*Y275+Z305*Z275+AA305*AA275+AB305*AB275+AC305*AC275+AD305*AD275+AE305*AE275+AF305*AF275+AG305*AG275+AH305*AH275+AI305*AI275+AJ305*AJ275+AK305*AK275+AL305*AL275+AM305*AM275+AN305*AN275+AO305*AO275+AP305*AP275+AQ305*AQ275+AR305*AR275+AS305*AS275+AT305*AT275+AU305*AU275+AV305*AV275+AW305*AW275+AX305*AX275+AY305*AY275+AZ305*AZ275+BA305*BA275+BB305*BB275+BC305*BC275+BD305*BD275+BE305*BE275+BF305*BF275+BG305*BG275+BH305*BH275+BI305*BI275+BJ305*BJ275+BK305*BK275+BL305*BL275+BM305*BM275+BN305*BN275+BO305*BO275+BP305*BP275+BQ305*BQ275+BR305*BR275+BS305*BS275+BT305*BT275+BU305*BU275+BV305*BV275+BW305*BW275+BX305*BX275+BY305*BY275+BZ305*BZ275+CA305*CA275+CB305*CB275+CC305*CC275+CD305*CD275+CE305*CE275+CF305*CF275+CG305*CG275+CH305*CH275+CI305*CI275+CJ305*CJ275+CK305*CK275+CL305*CL275+CM305*CM275+CN305*CN275+CO305*CO275+CP305*CP275+CQ305*CQ275+CR305*CR275+CS305*CS275+CT305*CT275+CU305*CU275</f>
        <v>0</v>
      </c>
      <c r="DE275" s="2882">
        <f>E306*E275+F306*F275+G306*G275+H306*H275+I306*I275+J306*J275+K306*K275+L306*L275+M306*M275+N306*N275+O306*O275+P306*P275+Q306*Q275+R306*R275+S306*S275+T306*T275+U306*U275+V306*V275+W306*W275+X306*X275+Y306*Y275+Z306*Z275+AA306*AA275+AB306*AB275+AC306*AC275+AD306*AD275+AE306*AE275+AF306*AF275+AG306*AG275+AH306*AH275+AI306*AI275+AJ306*AJ275+AK306*AK275+AL306*AL275+AM306*AM275+AN306*AN275+AO306*AO275+AP306*AP275+AQ306*AQ275+AR306*AR275+AS306*AS275+AT306*AT275+AU306*AU275+AV306*AV275+AW306*AW275+AX306*AX275+AY306*AY275+AZ306*AZ275+BA306*BA275+BB306*BB275+BC306*BC275+BD306*BD275+BE306*BE275+BF306*BF275+BG306*BG275+BH306*BH275+BI306*BI275+BJ306*BJ275+BK306*BK275+BL306*BL275+BM306*BM275+BN306*BN275+BO306*BO275+BP306*BP275+BQ306*BQ275+BR306*BR275+BS306*BS275+BT306*BT275+BU306*BU275+BV306*BV275+BW306*BW275+BX306*BX275+BY306*BY275+BZ306*BZ275+CA306*CA275+CB306*CB275+CC306*CC275+CD306*CD275+CE306*CE275+CF306*CF275+CG306*CG275+CH306*CH275+CI306*CI275+CJ306*CJ275+CK306*CK275+CL306*CL275+CM306*CM275+CN306*CN275+CO306*CO275+CP306*CP275+CQ306*CQ275+CR306*CR275+CS306*CS275+CT306*CT275+CU306*CU275</f>
        <v>0</v>
      </c>
      <c r="DF275" s="2882">
        <f>E307*E275+F307*F275+G307*G275+H307*H275+I307*I275+J307*J275+K307*K275+L307*L275+M307*M275+N307*N275+O307*O275+P307*P275+Q307*Q275+R307*R275+S307*S275+T307*T275+U307*U275+V307*V275+W307*W275+X307*X275+Y307*Y275+Z307*Z275+AA307*AA275+AB307*AB275+AC307*AC275+AD307*AD275+AE307*AE275+AF307*AF275+AG307*AG275+AH307*AH275+AI307*AI275+AJ307*AJ275+AK307*AK275+AL307*AL275+AM307*AM275+AN307*AN275+AO307*AO275+AP307*AP275+AQ307*AQ275+AR307*AR275+AS307*AS275+AT307*AT275+AU307*AU275+AV307*AV275+AW307*AW275+AX307*AX275+AY307*AY275+AZ307*AZ275+BA307*BA275+BB307*BB275+BC307*BC275+BD307*BD275+BE307*BE275+BF307*BF275+BG307*BG275+BH307*BH275+BI307*BI275+BJ307*BJ275+BK307*BK275+BL307*BL275+BM307*BM275+BN307*BN275+BO307*BO275+BP307*BP275+BQ307*BQ275+BR307*BR275+BS307*BS275+BT307*BT275+BU307*BU275+BV307*BV275+BW307*BW275+BX307*BX275+BY307*BY275+BZ307*BZ275+CA307*CA275+CB307*CB275+CC307*CC275+CD307*CD275+CE307*CE275+CF307*CF275+CG307*CG275+CH307*CH275+CI307*CI275+CJ307*CJ275+CK307*CK275+CL307*CL275+CM307*CM275+CN307*CN275+CO307*CO275+CP307*CP275+CQ307*CQ275+CR307*CR275+CS307*CS275+CT307*CT275+CU307*CU275</f>
        <v>0</v>
      </c>
      <c r="DG275" s="2882">
        <f>E308*E275+F308*F275+G308*G275+H308*H275+I308*I275+J308*J275+K308*K275+L308*L275+M308*M275+N308*N275+O308*O275+P308*P275+Q308*Q275+R308*R275+S308*S275+T308*T275+U308*U275+V308*V275+W308*W275+X308*X275+Y308*Y275+Z308*Z275+AA308*AA275+AB308*AB275+AC308*AC275+AD308*AD275+AE308*AE275+AF308*AF275+AG308*AG275+AH308*AH275+AI308*AI275+AJ308*AJ275+AK308*AK275+AL308*AL275+AM308*AM275+AN308*AN275+AO308*AO275+AP308*AP275+AQ308*AQ275+AR308*AR275+AS308*AS275+AT308*AT275+AU308*AU275+AV308*AV275+AW308*AW275+AX308*AX275+AY308*AY275+AZ308*AZ275+BA308*BA275+BB308*BB275+BC308*BC275+BD308*BD275+BE308*BE275+BF308*BF275+BG308*BG275+BH308*BH275+BI308*BI275+BJ308*BJ275+BK308*BK275+BL308*BL275+BM308*BM275+BN308*BN275+BO308*BO275+BP308*BP275+BQ308*BQ275+BR308*BR275+BS308*BS275+BT308*BT275+BU308*BU275+BV308*BV275+BW308*BW275+BX308*BX275+BY308*BY275+BZ308*BZ275+CA308*CA275+CB308*CB275+CC308*CC275+CD308*CD275+CE308*CE275+CF308*CF275+CG308*CG275+CH308*CH275+CI308*CI275+CJ308*CJ275+CK308*CK275+CL308*CL275+CM308*CM275+CN308*CN275+CO308*CO275+CP308*CP275+CQ308*CQ275+CR308*CR275+CS308*CS275+CT308*CT275+CU308*CU275</f>
        <v>0</v>
      </c>
      <c r="DH275" s="2882">
        <f>E309*E275+F309*F275+G309*G275+H309*H275+I309*I275+J309*J275+K309*K275+L309*L275+M309*M275+N309*N275+O309*O275+P309*P275+Q309*Q275+R309*R275+S309*S275+T309*T275+U309*U275+V309*V275+W309*W275+X309*X275+Y309*Y275+Z309*Z275+AA309*AA275+AB309*AB275+AC309*AC275+AD309*AD275+AE309*AE275+AF309*AF275+AG309*AG275+AH309*AH275+AI309*AI275+AJ309*AJ275+AK309*AK275+AL309*AL275+AM309*AM275+AN309*AN275+AO309*AO275+AP309*AP275+AQ309*AQ275+AR309*AR275+AS309*AS275+AT309*AT275+AU309*AU275+AV309*AV275+AW309*AW275+AX309*AX275+AY309*AY275+AZ309*AZ275+BA309*BA275+BB309*BB275+BC309*BC275+BD309*BD275+BE309*BE275+BF309*BF275+BG309*BG275+BH309*BH275+BI309*BI275+BJ309*BJ275+BK309*BK275+BL309*BL275+BM309*BM275+BN309*BN275+BO309*BO275+BP309*BP275+BQ309*BQ275+BR309*BR275+BS309*BS275+BT309*BT275+BU309*BU275+BV309*BV275+BW309*BW275+BX309*BX275+BY309*BY275+BZ309*BZ275+CA309*CA275+CB309*CB275+CC309*CC275+CD309*CD275+CE309*CE275+CF309*CF275+CG309*CG275+CH309*CH275+CI309*CI275+CJ309*CJ275+CK309*CK275+CL309*CL275+CM309*CM275+CN309*CN275+CO309*CO275+CP309*CP275+CQ309*CQ275+CR309*CR275+CS309*CS275+CT309*CT275+CU309*CU275</f>
        <v>0</v>
      </c>
      <c r="DI275" s="2882">
        <f>E310*E275+F310*F275+G310*G275+H310*H275+I310*I275+J310*J275+K310*K275+L310*L275+M310*M275+N310*N275+O310*O275+P310*P275+Q310*Q275+R310*R275+S310*S275+T310*T275+U310*U275+V310*V275+W310*W275+X310*X275+Y310*Y275+Z310*Z275+AA310*AA275+AB310*AB275+AC310*AC275+AD310*AD275+AE310*AE275+AF310*AF275+AG310*AG275+AH310*AH275+AI310*AI275+AJ310*AJ275+AK310*AK275+AL310*AL275+AM310*AM275+AN310*AN275+AO310*AO275+AP310*AP275+AQ310*AQ275+AR310*AR275+AS310*AS275+AT310*AT275+AU310*AU275+AV310*AV275+AW310*AW275+AX310*AX275+AY310*AY275+AZ310*AZ275+BA310*BA275+BB310*BB275+BC310*BC275+BD310*BD275+BE310*BE275+BF310*BF275+BG310*BG275+BH310*BH275+BI310*BI275+BJ310*BJ275+BK310*BK275+BL310*BL275+BM310*BM275+BN310*BN275+BO310*BO275+BP310*BP275+BQ310*BQ275+BR310*BR275+BS310*BS275+BT310*BT275+BU310*BU275+BV310*BV275+BW310*BW275+BX310*BX275+BY310*BY275+BZ310*BZ275+CA310*CA275+CB310*CB275+CC310*CC275+CD310*CD275+CE310*CE275+CF310*CF275+CG310*CG275+CH310*CH275+CI310*CI275+CJ310*CJ275+CK310*CK275+CL310*CL275+CM310*CM275+CN310*CN275+CO310*CO275+CP310*CP275+CQ310*CQ275+CR310*CR275+CS310*CS275+CT310*CT275+CU310*CU275</f>
        <v>0</v>
      </c>
    </row>
    <row r="276" spans="2:113" x14ac:dyDescent="0.45">
      <c r="B276" s="2219">
        <v>117</v>
      </c>
      <c r="C276" s="2219" t="s">
        <v>5799</v>
      </c>
      <c r="D276" s="2581" t="s">
        <v>5432</v>
      </c>
      <c r="E276" s="2582">
        <f>0</f>
        <v>0</v>
      </c>
      <c r="F276" s="2582">
        <f>0</f>
        <v>0</v>
      </c>
      <c r="G276" s="2582">
        <f>0</f>
        <v>0</v>
      </c>
      <c r="H276" s="2582">
        <f>0</f>
        <v>0</v>
      </c>
      <c r="I276" s="2582">
        <f>1-f_E</f>
        <v>0.92</v>
      </c>
      <c r="J276" s="2582">
        <f>0</f>
        <v>0</v>
      </c>
      <c r="K276" s="2582">
        <f>0</f>
        <v>0</v>
      </c>
      <c r="L276" s="2582">
        <f>0</f>
        <v>0</v>
      </c>
      <c r="M276" s="2582">
        <f>0</f>
        <v>0</v>
      </c>
      <c r="N276" s="2582">
        <f>0</f>
        <v>0</v>
      </c>
      <c r="O276" s="2582">
        <f>f_E</f>
        <v>0.08</v>
      </c>
      <c r="P276" s="2582">
        <f>0</f>
        <v>0</v>
      </c>
      <c r="Q276" s="2583">
        <f>0</f>
        <v>0</v>
      </c>
      <c r="R276" s="2582">
        <f>0</f>
        <v>0</v>
      </c>
      <c r="S276" s="2582">
        <f>0</f>
        <v>0</v>
      </c>
      <c r="T276" s="2582">
        <f>0</f>
        <v>0</v>
      </c>
      <c r="U276" s="2582">
        <f>0</f>
        <v>0</v>
      </c>
      <c r="V276" s="2582">
        <f>0</f>
        <v>0</v>
      </c>
      <c r="W276" s="2582">
        <f>0</f>
        <v>0</v>
      </c>
      <c r="X276" s="2582">
        <f>0</f>
        <v>0</v>
      </c>
      <c r="Y276" s="2582">
        <f>0</f>
        <v>0</v>
      </c>
      <c r="Z276" s="2583">
        <f>-1</f>
        <v>-1</v>
      </c>
      <c r="AA276" s="2583">
        <f>0</f>
        <v>0</v>
      </c>
      <c r="AB276" s="2584">
        <f>-f_E*(i_N_XE-i_N_BIO)</f>
        <v>8.0000000000000069E-4</v>
      </c>
      <c r="AC276" s="2584">
        <f>0</f>
        <v>0</v>
      </c>
      <c r="AD276" s="2582">
        <f>0</f>
        <v>0</v>
      </c>
      <c r="AE276" s="2582">
        <f>0</f>
        <v>0</v>
      </c>
      <c r="AF276" s="2582">
        <f>0</f>
        <v>0</v>
      </c>
      <c r="AG276" s="2582">
        <f>0</f>
        <v>0</v>
      </c>
      <c r="AH276" s="2582">
        <f>0</f>
        <v>0</v>
      </c>
      <c r="AI276" s="2582">
        <f>0</f>
        <v>0</v>
      </c>
      <c r="AJ276" s="2582">
        <f>0</f>
        <v>0</v>
      </c>
      <c r="AK276" s="2582">
        <f>(1-f_E)*i_N_BIO</f>
        <v>6.4400000000000013E-2</v>
      </c>
      <c r="AL276" s="2582">
        <f>0</f>
        <v>0</v>
      </c>
      <c r="AM276" s="2584">
        <f>0</f>
        <v>0</v>
      </c>
      <c r="AN276" s="2582">
        <f>0</f>
        <v>0</v>
      </c>
      <c r="AO276" s="2582">
        <f>0</f>
        <v>0</v>
      </c>
      <c r="AP276" s="2582">
        <f>(1-f_E)*i_P_BIO</f>
        <v>1.84E-2</v>
      </c>
      <c r="AQ276" s="2582">
        <f>0</f>
        <v>0</v>
      </c>
      <c r="AR276" s="2582">
        <f>0</f>
        <v>0</v>
      </c>
      <c r="AS276" s="2582">
        <f>0</f>
        <v>0</v>
      </c>
      <c r="AT276" s="2587">
        <f>0</f>
        <v>0</v>
      </c>
      <c r="AU276" s="2582">
        <f>(1-f_E)*(i_CIT_BIO-i_CIT_SB)</f>
        <v>6.0720000000000003E-2</v>
      </c>
      <c r="AV276" s="2582">
        <f>-i_INORG</f>
        <v>-0.11</v>
      </c>
      <c r="AW276" s="2582">
        <f>i_INORG*(1-i_Ca_INORG*(A_MCa+2*A_MCl)/A_MCa-i_Mg_INORG*(A_MMg+2*A_MCl)/A_MMg)*f_Na</f>
        <v>2.8804303582798466E-2</v>
      </c>
      <c r="AX276" s="2582">
        <f>i_INORG*(i_Ca_INORG*(2*A_MCl)/A_MCa+i_Mg_INORG*(2*A_MCl)/A_MMg)+i_INORG*(1-i_Ca_INORG*(A_MCa+2*A_MCl)/A_MCa-i_Mg_INORG*(A_MMg+2*A_MCl)/A_MMg)*(1-f_Na)</f>
        <v>7.0195696417201539E-2</v>
      </c>
      <c r="AY276" s="2582">
        <f>i_INORG*i_Ca_INORG</f>
        <v>5.5000000000000005E-3</v>
      </c>
      <c r="AZ276" s="2582">
        <f>i_INORG*i_Mg_INORG</f>
        <v>5.5000000000000005E-3</v>
      </c>
      <c r="BA276" s="2582">
        <f>0</f>
        <v>0</v>
      </c>
      <c r="BB276" s="2586">
        <f>0</f>
        <v>0</v>
      </c>
      <c r="BC276" s="2586">
        <f>(1-f_E)*i_S_BIO-(1-f_E)*i_S_XB</f>
        <v>7.8200000000000006E-3</v>
      </c>
      <c r="BD276" s="2584">
        <f>0</f>
        <v>0</v>
      </c>
      <c r="BE276" s="2582">
        <f>0</f>
        <v>0</v>
      </c>
      <c r="BF276" s="2582">
        <f>0</f>
        <v>0</v>
      </c>
      <c r="BG276" s="2582">
        <f>0</f>
        <v>0</v>
      </c>
      <c r="BH276" s="2582">
        <f>0</f>
        <v>0</v>
      </c>
      <c r="BI276" s="2582">
        <f>0</f>
        <v>0</v>
      </c>
      <c r="BJ276" s="2582">
        <f>0</f>
        <v>0</v>
      </c>
      <c r="BK276" s="2582">
        <f>0</f>
        <v>0</v>
      </c>
      <c r="BL276" s="2582">
        <f>0</f>
        <v>0</v>
      </c>
      <c r="BM276" s="2582">
        <f>0</f>
        <v>0</v>
      </c>
      <c r="BN276" s="2582">
        <f>0</f>
        <v>0</v>
      </c>
      <c r="BO276" s="2582">
        <f>0</f>
        <v>0</v>
      </c>
      <c r="BP276" s="2582">
        <f>0</f>
        <v>0</v>
      </c>
      <c r="BQ276" s="2582">
        <f>0</f>
        <v>0</v>
      </c>
      <c r="BR276" s="2582">
        <f>0</f>
        <v>0</v>
      </c>
      <c r="BS276" s="2582">
        <f>0</f>
        <v>0</v>
      </c>
      <c r="BT276" s="2582">
        <f>0</f>
        <v>0</v>
      </c>
      <c r="BU276" s="2582">
        <f>0</f>
        <v>0</v>
      </c>
      <c r="BV276" s="2582">
        <f>0</f>
        <v>0</v>
      </c>
      <c r="BW276" s="2582">
        <f>0</f>
        <v>0</v>
      </c>
      <c r="BX276" s="2582">
        <f>0</f>
        <v>0</v>
      </c>
      <c r="BY276" s="2582">
        <f>0</f>
        <v>0</v>
      </c>
      <c r="BZ276" s="2582">
        <f>0</f>
        <v>0</v>
      </c>
      <c r="CA276" s="2582">
        <f>0</f>
        <v>0</v>
      </c>
      <c r="CB276" s="2582">
        <f>0</f>
        <v>0</v>
      </c>
      <c r="CC276" s="2582">
        <f>0</f>
        <v>0</v>
      </c>
      <c r="CD276" s="2582">
        <f>0</f>
        <v>0</v>
      </c>
      <c r="CE276" s="2582">
        <f>0</f>
        <v>0</v>
      </c>
      <c r="CF276" s="2582">
        <f>0</f>
        <v>0</v>
      </c>
      <c r="CG276" s="2582">
        <f>0</f>
        <v>0</v>
      </c>
      <c r="CH276" s="2582">
        <f>0</f>
        <v>0</v>
      </c>
      <c r="CI276" s="2582">
        <f>0</f>
        <v>0</v>
      </c>
      <c r="CJ276" s="2582">
        <f>0</f>
        <v>0</v>
      </c>
      <c r="CK276" s="2582">
        <f>0</f>
        <v>0</v>
      </c>
      <c r="CL276" s="2582">
        <f>0</f>
        <v>0</v>
      </c>
      <c r="CM276" s="2582">
        <f>0</f>
        <v>0</v>
      </c>
      <c r="CN276" s="2582">
        <f>0</f>
        <v>0</v>
      </c>
      <c r="CO276" s="2582">
        <f>0</f>
        <v>0</v>
      </c>
      <c r="CP276" s="2582">
        <f>0</f>
        <v>0</v>
      </c>
      <c r="CQ276" s="2582">
        <f>0</f>
        <v>0</v>
      </c>
      <c r="CR276" s="2582">
        <f>0</f>
        <v>0</v>
      </c>
      <c r="CS276" s="2582">
        <f>0</f>
        <v>0</v>
      </c>
      <c r="CT276" s="2582">
        <f>0</f>
        <v>0</v>
      </c>
      <c r="CU276" s="2582">
        <f>0</f>
        <v>0</v>
      </c>
      <c r="CV276" s="2876">
        <f>b_HSRO_T*X_HSRO*(M_satSO2_KiO2_HSRO+M_satSNOx_KNOx_HSRO*M_inhSO2_KiO2_HSRO)</f>
        <v>9.7976793748520024</v>
      </c>
      <c r="CX276" s="2880">
        <f>E299*E276+F299*F276+G299*G276+H299*H276+I299*I276+J299*J276+K299*K276+L299*L276+M299*M276+N299*N276+O299*O276+P299*P276+Q299*Q276+R299*R276+S299*S276+T299*T276+U299*U276+V299*V276+W299*W276+X299*X276+Y299*Y276+Z299*Z276+AA299*AA276+AB299*AB276+AC299*AC276+AD299*AD276+AE299*AE276+AF299*AF276+AG299*AG276+AH299*AH276+AI299*AI276+AJ299*AJ276+AK299*AK276+AL299*AL276+AM299*AM276+AN299*AN276+AO299*AO276+AP299*AP276+AQ299*AQ276+AR299*AR276+AS299*AS276+AT299*AT276+AU299*AU276+AV299*AV276+AW299*AW276+AX299*AX276+AY299*AY276+AZ299*AZ276+BA299*BA276+BB299*BB276+BC299*BC276+BD299*BD276+BE299*BE276+BF299*BF276+BG299*BG276+BH299*BH276+BI299*BI276+BJ299*BJ276+BK299*BK276+BL299*BL276+BM299*BM276+BN299*BN276+BO299*BO276+BP299*BP276+BQ299*BQ276+BR299*BR276+BS299*BS276+BT299*BT276+BU299*BU276+BV299*BV276+BW299*BW276+BX299*BX276+BY299*BY276+BZ299*BZ276+CA299*CA276+CB299*CB276+CC299*CC276+CD299*CD276+CE299*CE276+CF299*CF276+CG299*CG276+CH299*CH276+CI299*CI276+CJ299*CJ276+CK299*CK276+CL299*CL276+CM299*CM276+CN299*CN276+CO299*CO276+CP299*CP276+CQ299*CQ276+CR299*CR276+CS299*CS276+CT299*CT276+CU299*CU276</f>
        <v>0</v>
      </c>
      <c r="CY276" s="2880">
        <f>E300*E276+F300*F276+G300*G276+H300*H276+I300*I276+J300*J276+K300*K276+L300*L276+M300*M276+N300*N276+O300*O276+P300*P276+Q300*Q276+R300*R276+S300*S276+T300*T276+U300*U276+V300*V276+W300*W276+X300*X276+Y300*Y276+Z300*Z276+AA300*AA276+AB300*AB276+AC300*AC276+AD300*AD276+AE300*AE276+AF300*AF276+AG300*AG276+AH300*AH276+AI300*AI276+AJ300*AJ276+AK300*AK276+AL300*AL276+AM300*AM276+AN300*AN276+AO300*AO276+AP300*AP276+AQ300*AQ276+AR300*AR276+AS300*AS276+AT300*AT276+AU300*AU276+AV300*AV276+AW300*AW276+AX300*AX276+AY300*AY276+AZ300*AZ276+BA300*BA276+BB300*BB276+BC300*BC276+BD300*BD276+BE300*BE276+BF300*BF276+BG300*BG276+BH300*BH276+BI300*BI276+BJ300*BJ276+BK300*BK276+BL300*BL276+BM300*BM276+BN300*BN276+BO300*BO276+BP300*BP276+BQ300*BQ276+BR300*BR276+BS300*BS276+BT300*BT276+BU300*BU276+BV300*BV276+BW300*BW276+BX300*BX276+BY300*BY276+BZ300*BZ276+CA300*CA276+CB300*CB276+CC300*CC276+CD300*CD276+CE300*CE276+CF300*CF276+CG300*CG276+CH300*CH276+CI300*CI276+CJ300*CJ276+CK300*CK276+CL300*CL276+CM300*CM276+CN300*CN276+CO300*CO276+CP300*CP276+CQ300*CQ276+CR300*CR276+CS300*CS276+CT300*CT276+CU300*CU276</f>
        <v>6.9388939039072284E-18</v>
      </c>
      <c r="CZ276" s="2881">
        <f>E301*E276+F301*F276+G301*G276+H301*H276+I301*I276+J301*J276+K301*K276+L301*L276+M301*M276+N301*N276+O301*O276+P301*P276+Q301*Q276+R301*R276+S301*S276+T301*T276+U301*U276+V301*V276+W301*W276+X301*X276+Y301*Y276+Z301*Z276+AA301*AA276+AB301*AB276+AC301*AC276+AD301*AD276+AE301*AE276+AF301*AF276+AG301*AG276+AH301*AH276+AI301*AI276+AJ301*AJ276+AK301*AK276+AL301*AL276+AM301*AM276+AN301*AN276+AO301*AO276+AP301*AP276+AQ301*AQ276+AR301*AR276+AS301*AS276+AT301*AT276+AU301*AU276+AV301*AV276+AW301*AW276+AX301*AX276+AY301*AY276+AZ301*AZ276+BA301*BA276+BB301*BB276+BC301*BC276+BD301*BD276+BE301*BE276+BF301*BF276+BG301*BG276+BH301*BH276+BI301*BI276+BJ301*BJ276+BK301*BK276+BL301*BL276+BM301*BM276+BN301*BN276+BO301*BO276+BP301*BP276+BQ301*BQ276+BR301*BR276+BS301*BS276+BT301*BT276+BU301*BU276+BV301*BV276+BW301*BW276+BX301*BX276+BY301*BY276+BZ301*BZ276+CA301*CA276+CB301*CB276+CC301*CC276+CD301*CD276+CE301*CE276+CF301*CF276+CG301*CG276+CH301*CH276+CI301*CI276+CJ301*CJ276+CK301*CK276+CL301*CL276+CM301*CM276+CN301*CN276+CO301*CO276+CP301*CP276+CQ301*CQ276+CR301*CR276+CS301*CS276+CT301*CT276+CU301*CU276</f>
        <v>0</v>
      </c>
      <c r="DA276" s="2882">
        <f>E302*E276+F302*F276+G302*G276+H302*H276+I302*I276+J302*J276+K302*K276+L302*L276+M302*M276+N302*N276+O302*O276+P302*P276+Q302*Q276+R302*R276+S302*S276+T302*T276+U302*U276+V302*V276+W302*W276+X302*X276+Y302*Y276+Z302*Z276+AA302*AA276+AB302*AB276+AC302*AC276+AD302*AD276+AE302*AE276+AF302*AF276+AG302*AG276+AH302*AH276+AI302*AI276+AJ302*AJ276+AK302*AK276+AL302*AL276+AM302*AM276+AN302*AN276+AO302*AO276+AP302*AP276+AQ302*AQ276+AR302*AR276+AS302*AS276+AT302*AT276+AU302*AU276+AV302*AV276+AW302*AW276+AX302*AX276+AY302*AY276+AZ302*AZ276+BA302*BA276+BB302*BB276+BC302*BC276+BD302*BD276+BE302*BE276+BF302*BF276+BG302*BG276+BH302*BH276+BI302*BI276+BJ302*BJ276+BK302*BK276+BL302*BL276+BM302*BM276+BN302*BN276+BO302*BO276+BP302*BP276+BQ302*BQ276+BR302*BR276+BS302*BS276+BT302*BT276+BU302*BU276+BV302*BV276+BW302*BW276+BX302*BX276+BY302*BY276+BZ302*BZ276+CA302*CA276+CB302*CB276+CC302*CC276+CD302*CD276+CE302*CE276+CF302*CF276+CG302*CG276+CH302*CH276+CI302*CI276+CJ302*CJ276+CK302*CK276+CL302*CL276+CM302*CM276+CN302*CN276+CO302*CO276+CP302*CP276+CQ302*CQ276+CR302*CR276+CS302*CS276+CT302*CT276+CU302*CU276</f>
        <v>0</v>
      </c>
      <c r="DB276" s="2882">
        <f>E303*E276+F303*F276+G303*G276+H303*H276+I303*I276+J303*J276+K303*K276+L303*L276+M303*M276+N303*N276+O303*O276+P303*P276+Q303*Q276+R303*R276+S303*S276+T303*T276+U303*U276+V303*V276+W303*W276+X303*X276+Y303*Y276+Z303*Z276+AA303*AA276+AB303*AB276+AC303*AC276+AD303*AD276+AE303*AE276+AF303*AF276+AG303*AG276+AH303*AH276+AI303*AI276+AJ303*AJ276+AK303*AK276+AL303*AL276+AM303*AM276+AN303*AN276+AO303*AO276+AP303*AP276+AQ303*AQ276+AR303*AR276+AS303*AS276+AT303*AT276+AU303*AU276+AV303*AV276+AW303*AW276+AX303*AX276+AY303*AY276+AZ303*AZ276+BA303*BA276+BB303*BB276+BC303*BC276+BD303*BD276+BE303*BE276+BF303*BF276+BG303*BG276+BH303*BH276+BI303*BI276+BJ303*BJ276+BK303*BK276+BL303*BL276+BM303*BM276+BN303*BN276+BO303*BO276+BP303*BP276+BQ303*BQ276+BR303*BR276+BS303*BS276+BT303*BT276+BU303*BU276+BV303*BV276+BW303*BW276+BX303*BX276+BY303*BY276+BZ303*BZ276+CA303*CA276+CB303*CB276+CC303*CC276+CD303*CD276+CE303*CE276+CF303*CF276+CG303*CG276+CH303*CH276+CI303*CI276+CJ303*CJ276+CK303*CK276+CL303*CL276+CM303*CM276+CN303*CN276+CO303*CO276+CP303*CP276+CQ303*CQ276+CR303*CR276+CS303*CS276+CT303*CT276+CU303*CU276</f>
        <v>0</v>
      </c>
      <c r="DC276" s="2882">
        <f>E304*E276+F304*F276+G304*G276+H304*H276+I304*I276+J304*J276+K304*K276+L304*L276+M304*M276+N304*N276+O304*O276+P304*P276+Q304*Q276+R304*R276+S304*S276+T304*T276+U304*U276+V304*V276+W304*W276+X304*X276+Y304*Y276+Z304*Z276+AA304*AA276+AB304*AB276+AC304*AC276+AD304*AD276+AE304*AE276+AF304*AF276+AG304*AG276+AH304*AH276+AI304*AI276+AJ304*AJ276+AK304*AK276+AL304*AL276+AM304*AM276+AN304*AN276+AO304*AO276+AP304*AP276+AQ304*AQ276+AR304*AR276+AS304*AS276+AT304*AT276+AU304*AU276+AV304*AV276+AW304*AW276+AX304*AX276+AY304*AY276+AZ304*AZ276+BA304*BA276+BB304*BB276+BC304*BC276+BD304*BD276+BE304*BE276+BF304*BF276+BG304*BG276+BH304*BH276+BI304*BI276+BJ304*BJ276+BK304*BK276+BL304*BL276+BM304*BM276+BN304*BN276+BO304*BO276+BP304*BP276+BQ304*BQ276+BR304*BR276+BS304*BS276+BT304*BT276+BU304*BU276+BV304*BV276+BW304*BW276+BX304*BX276+BY304*BY276+BZ304*BZ276+CA304*CA276+CB304*CB276+CC304*CC276+CD304*CD276+CE304*CE276+CF304*CF276+CG304*CG276+CH304*CH276+CI304*CI276+CJ304*CJ276+CK304*CK276+CL304*CL276+CM304*CM276+CN304*CN276+CO304*CO276+CP304*CP276+CQ304*CQ276+CR304*CR276+CS304*CS276+CT304*CT276+CU304*CU276</f>
        <v>0</v>
      </c>
      <c r="DD276" s="2882">
        <f>E305*E276+F305*F276+G305*G276+H305*H276+I305*I276+J305*J276+K305*K276+L305*L276+M305*M276+N305*N276+O305*O276+P305*P276+Q305*Q276+R305*R276+S305*S276+T305*T276+U305*U276+V305*V276+W305*W276+X305*X276+Y305*Y276+Z305*Z276+AA305*AA276+AB305*AB276+AC305*AC276+AD305*AD276+AE305*AE276+AF305*AF276+AG305*AG276+AH305*AH276+AI305*AI276+AJ305*AJ276+AK305*AK276+AL305*AL276+AM305*AM276+AN305*AN276+AO305*AO276+AP305*AP276+AQ305*AQ276+AR305*AR276+AS305*AS276+AT305*AT276+AU305*AU276+AV305*AV276+AW305*AW276+AX305*AX276+AY305*AY276+AZ305*AZ276+BA305*BA276+BB305*BB276+BC305*BC276+BD305*BD276+BE305*BE276+BF305*BF276+BG305*BG276+BH305*BH276+BI305*BI276+BJ305*BJ276+BK305*BK276+BL305*BL276+BM305*BM276+BN305*BN276+BO305*BO276+BP305*BP276+BQ305*BQ276+BR305*BR276+BS305*BS276+BT305*BT276+BU305*BU276+BV305*BV276+BW305*BW276+BX305*BX276+BY305*BY276+BZ305*BZ276+CA305*CA276+CB305*CB276+CC305*CC276+CD305*CD276+CE305*CE276+CF305*CF276+CG305*CG276+CH305*CH276+CI305*CI276+CJ305*CJ276+CK305*CK276+CL305*CL276+CM305*CM276+CN305*CN276+CO305*CO276+CP305*CP276+CQ305*CQ276+CR305*CR276+CS305*CS276+CT305*CT276+CU305*CU276</f>
        <v>0</v>
      </c>
      <c r="DE276" s="2882">
        <f>E306*E276+F306*F276+G306*G276+H306*H276+I306*I276+J306*J276+K306*K276+L306*L276+M306*M276+N306*N276+O306*O276+P306*P276+Q306*Q276+R306*R276+S306*S276+T306*T276+U306*U276+V306*V276+W306*W276+X306*X276+Y306*Y276+Z306*Z276+AA306*AA276+AB306*AB276+AC306*AC276+AD306*AD276+AE306*AE276+AF306*AF276+AG306*AG276+AH306*AH276+AI306*AI276+AJ306*AJ276+AK306*AK276+AL306*AL276+AM306*AM276+AN306*AN276+AO306*AO276+AP306*AP276+AQ306*AQ276+AR306*AR276+AS306*AS276+AT306*AT276+AU306*AU276+AV306*AV276+AW306*AW276+AX306*AX276+AY306*AY276+AZ306*AZ276+BA306*BA276+BB306*BB276+BC306*BC276+BD306*BD276+BE306*BE276+BF306*BF276+BG306*BG276+BH306*BH276+BI306*BI276+BJ306*BJ276+BK306*BK276+BL306*BL276+BM306*BM276+BN306*BN276+BO306*BO276+BP306*BP276+BQ306*BQ276+BR306*BR276+BS306*BS276+BT306*BT276+BU306*BU276+BV306*BV276+BW306*BW276+BX306*BX276+BY306*BY276+BZ306*BZ276+CA306*CA276+CB306*CB276+CC306*CC276+CD306*CD276+CE306*CE276+CF306*CF276+CG306*CG276+CH306*CH276+CI306*CI276+CJ306*CJ276+CK306*CK276+CL306*CL276+CM306*CM276+CN306*CN276+CO306*CO276+CP306*CP276+CQ306*CQ276+CR306*CR276+CS306*CS276+CT306*CT276+CU306*CU276</f>
        <v>0</v>
      </c>
      <c r="DF276" s="2882">
        <f>E307*E276+F307*F276+G307*G276+H307*H276+I307*I276+J307*J276+K307*K276+L307*L276+M307*M276+N307*N276+O307*O276+P307*P276+Q307*Q276+R307*R276+S307*S276+T307*T276+U307*U276+V307*V276+W307*W276+X307*X276+Y307*Y276+Z307*Z276+AA307*AA276+AB307*AB276+AC307*AC276+AD307*AD276+AE307*AE276+AF307*AF276+AG307*AG276+AH307*AH276+AI307*AI276+AJ307*AJ276+AK307*AK276+AL307*AL276+AM307*AM276+AN307*AN276+AO307*AO276+AP307*AP276+AQ307*AQ276+AR307*AR276+AS307*AS276+AT307*AT276+AU307*AU276+AV307*AV276+AW307*AW276+AX307*AX276+AY307*AY276+AZ307*AZ276+BA307*BA276+BB307*BB276+BC307*BC276+BD307*BD276+BE307*BE276+BF307*BF276+BG307*BG276+BH307*BH276+BI307*BI276+BJ307*BJ276+BK307*BK276+BL307*BL276+BM307*BM276+BN307*BN276+BO307*BO276+BP307*BP276+BQ307*BQ276+BR307*BR276+BS307*BS276+BT307*BT276+BU307*BU276+BV307*BV276+BW307*BW276+BX307*BX276+BY307*BY276+BZ307*BZ276+CA307*CA276+CB307*CB276+CC307*CC276+CD307*CD276+CE307*CE276+CF307*CF276+CG307*CG276+CH307*CH276+CI307*CI276+CJ307*CJ276+CK307*CK276+CL307*CL276+CM307*CM276+CN307*CN276+CO307*CO276+CP307*CP276+CQ307*CQ276+CR307*CR276+CS307*CS276+CT307*CT276+CU307*CU276</f>
        <v>0</v>
      </c>
      <c r="DG276" s="2882">
        <f>E308*E276+F308*F276+G308*G276+H308*H276+I308*I276+J308*J276+K308*K276+L308*L276+M308*M276+N308*N276+O308*O276+P308*P276+Q308*Q276+R308*R276+S308*S276+T308*T276+U308*U276+V308*V276+W308*W276+X308*X276+Y308*Y276+Z308*Z276+AA308*AA276+AB308*AB276+AC308*AC276+AD308*AD276+AE308*AE276+AF308*AF276+AG308*AG276+AH308*AH276+AI308*AI276+AJ308*AJ276+AK308*AK276+AL308*AL276+AM308*AM276+AN308*AN276+AO308*AO276+AP308*AP276+AQ308*AQ276+AR308*AR276+AS308*AS276+AT308*AT276+AU308*AU276+AV308*AV276+AW308*AW276+AX308*AX276+AY308*AY276+AZ308*AZ276+BA308*BA276+BB308*BB276+BC308*BC276+BD308*BD276+BE308*BE276+BF308*BF276+BG308*BG276+BH308*BH276+BI308*BI276+BJ308*BJ276+BK308*BK276+BL308*BL276+BM308*BM276+BN308*BN276+BO308*BO276+BP308*BP276+BQ308*BQ276+BR308*BR276+BS308*BS276+BT308*BT276+BU308*BU276+BV308*BV276+BW308*BW276+BX308*BX276+BY308*BY276+BZ308*BZ276+CA308*CA276+CB308*CB276+CC308*CC276+CD308*CD276+CE308*CE276+CF308*CF276+CG308*CG276+CH308*CH276+CI308*CI276+CJ308*CJ276+CK308*CK276+CL308*CL276+CM308*CM276+CN308*CN276+CO308*CO276+CP308*CP276+CQ308*CQ276+CR308*CR276+CS308*CS276+CT308*CT276+CU308*CU276</f>
        <v>0</v>
      </c>
      <c r="DH276" s="2882">
        <f>E309*E276+F309*F276+G309*G276+H309*H276+I309*I276+J309*J276+K309*K276+L309*L276+M309*M276+N309*N276+O309*O276+P309*P276+Q309*Q276+R309*R276+S309*S276+T309*T276+U309*U276+V309*V276+W309*W276+X309*X276+Y309*Y276+Z309*Z276+AA309*AA276+AB309*AB276+AC309*AC276+AD309*AD276+AE309*AE276+AF309*AF276+AG309*AG276+AH309*AH276+AI309*AI276+AJ309*AJ276+AK309*AK276+AL309*AL276+AM309*AM276+AN309*AN276+AO309*AO276+AP309*AP276+AQ309*AQ276+AR309*AR276+AS309*AS276+AT309*AT276+AU309*AU276+AV309*AV276+AW309*AW276+AX309*AX276+AY309*AY276+AZ309*AZ276+BA309*BA276+BB309*BB276+BC309*BC276+BD309*BD276+BE309*BE276+BF309*BF276+BG309*BG276+BH309*BH276+BI309*BI276+BJ309*BJ276+BK309*BK276+BL309*BL276+BM309*BM276+BN309*BN276+BO309*BO276+BP309*BP276+BQ309*BQ276+BR309*BR276+BS309*BS276+BT309*BT276+BU309*BU276+BV309*BV276+BW309*BW276+BX309*BX276+BY309*BY276+BZ309*BZ276+CA309*CA276+CB309*CB276+CC309*CC276+CD309*CD276+CE309*CE276+CF309*CF276+CG309*CG276+CH309*CH276+CI309*CI276+CJ309*CJ276+CK309*CK276+CL309*CL276+CM309*CM276+CN309*CN276+CO309*CO276+CP309*CP276+CQ309*CQ276+CR309*CR276+CS309*CS276+CT309*CT276+CU309*CU276</f>
        <v>0</v>
      </c>
      <c r="DI276" s="2882">
        <f>E310*E276+F310*F276+G310*G276+H310*H276+I310*I276+J310*J276+K310*K276+L310*L276+M310*M276+N310*N276+O310*O276+P310*P276+Q310*Q276+R310*R276+S310*S276+T310*T276+U310*U276+V310*V276+W310*W276+X310*X276+Y310*Y276+Z310*Z276+AA310*AA276+AB310*AB276+AC310*AC276+AD310*AD276+AE310*AE276+AF310*AF276+AG310*AG276+AH310*AH276+AI310*AI276+AJ310*AJ276+AK310*AK276+AL310*AL276+AM310*AM276+AN310*AN276+AO310*AO276+AP310*AP276+AQ310*AQ276+AR310*AR276+AS310*AS276+AT310*AT276+AU310*AU276+AV310*AV276+AW310*AW276+AX310*AX276+AY310*AY276+AZ310*AZ276+BA310*BA276+BB310*BB276+BC310*BC276+BD310*BD276+BE310*BE276+BF310*BF276+BG310*BG276+BH310*BH276+BI310*BI276+BJ310*BJ276+BK310*BK276+BL310*BL276+BM310*BM276+BN310*BN276+BO310*BO276+BP310*BP276+BQ310*BQ276+BR310*BR276+BS310*BS276+BT310*BT276+BU310*BU276+BV310*BV276+BW310*BW276+BX310*BX276+BY310*BY276+BZ310*BZ276+CA310*CA276+CB310*CB276+CC310*CC276+CD310*CD276+CE310*CE276+CF310*CF276+CG310*CG276+CH310*CH276+CI310*CI276+CJ310*CJ276+CK310*CK276+CL310*CL276+CM310*CM276+CN310*CN276+CO310*CO276+CP310*CP276+CQ310*CQ276+CR310*CR276+CS310*CS276+CT310*CT276+CU310*CU276</f>
        <v>0</v>
      </c>
    </row>
    <row r="277" spans="2:113" ht="14.65" thickBot="1" x14ac:dyDescent="0.5">
      <c r="B277" s="2221">
        <v>118</v>
      </c>
      <c r="C277" s="2221" t="s">
        <v>5496</v>
      </c>
      <c r="D277" s="2581" t="s">
        <v>5434</v>
      </c>
      <c r="E277" s="2582">
        <f>0</f>
        <v>0</v>
      </c>
      <c r="F277" s="2582">
        <f>0</f>
        <v>0</v>
      </c>
      <c r="G277" s="2582">
        <f>0</f>
        <v>0</v>
      </c>
      <c r="H277" s="2582">
        <f>0</f>
        <v>0</v>
      </c>
      <c r="I277" s="2582">
        <f>1-f_E</f>
        <v>0.92</v>
      </c>
      <c r="J277" s="2582">
        <f>0</f>
        <v>0</v>
      </c>
      <c r="K277" s="2582">
        <f>0</f>
        <v>0</v>
      </c>
      <c r="L277" s="2582">
        <f>0</f>
        <v>0</v>
      </c>
      <c r="M277" s="2582">
        <f>0</f>
        <v>0</v>
      </c>
      <c r="N277" s="2582">
        <f>0</f>
        <v>0</v>
      </c>
      <c r="O277" s="2582">
        <f>0</f>
        <v>0</v>
      </c>
      <c r="P277" s="2582">
        <f>f_E</f>
        <v>0.08</v>
      </c>
      <c r="Q277" s="2583">
        <f>0</f>
        <v>0</v>
      </c>
      <c r="R277" s="2582">
        <f>0</f>
        <v>0</v>
      </c>
      <c r="S277" s="2582">
        <f>0</f>
        <v>0</v>
      </c>
      <c r="T277" s="2582">
        <f>0</f>
        <v>0</v>
      </c>
      <c r="U277" s="2582">
        <f>0</f>
        <v>0</v>
      </c>
      <c r="V277" s="2582">
        <f>0</f>
        <v>0</v>
      </c>
      <c r="W277" s="2582">
        <f>0</f>
        <v>0</v>
      </c>
      <c r="X277" s="2582">
        <f>0</f>
        <v>0</v>
      </c>
      <c r="Y277" s="2582">
        <f>0</f>
        <v>0</v>
      </c>
      <c r="Z277" s="2583">
        <f>-1</f>
        <v>-1</v>
      </c>
      <c r="AA277" s="2583">
        <f>0</f>
        <v>0</v>
      </c>
      <c r="AB277" s="2584">
        <f>-f_E*(i_N_XE-i_N_BIO)</f>
        <v>8.0000000000000069E-4</v>
      </c>
      <c r="AC277" s="2584">
        <f>0</f>
        <v>0</v>
      </c>
      <c r="AD277" s="2582">
        <f>0</f>
        <v>0</v>
      </c>
      <c r="AE277" s="2582">
        <f>0</f>
        <v>0</v>
      </c>
      <c r="AF277" s="2582">
        <f>0</f>
        <v>0</v>
      </c>
      <c r="AG277" s="2582">
        <f>0</f>
        <v>0</v>
      </c>
      <c r="AH277" s="2582">
        <f>0</f>
        <v>0</v>
      </c>
      <c r="AI277" s="2582">
        <f>0</f>
        <v>0</v>
      </c>
      <c r="AJ277" s="2582">
        <f>0</f>
        <v>0</v>
      </c>
      <c r="AK277" s="2582">
        <f>(1-f_E)*i_N_BIO</f>
        <v>6.4400000000000013E-2</v>
      </c>
      <c r="AL277" s="2582">
        <f>0</f>
        <v>0</v>
      </c>
      <c r="AM277" s="2584">
        <f>0</f>
        <v>0</v>
      </c>
      <c r="AN277" s="2582">
        <f>0</f>
        <v>0</v>
      </c>
      <c r="AO277" s="2582">
        <f>0</f>
        <v>0</v>
      </c>
      <c r="AP277" s="2582">
        <f>(1-f_E)*i_P_BIO</f>
        <v>1.84E-2</v>
      </c>
      <c r="AQ277" s="2582">
        <f>0</f>
        <v>0</v>
      </c>
      <c r="AR277" s="2582">
        <f>0</f>
        <v>0</v>
      </c>
      <c r="AS277" s="2582">
        <f>0</f>
        <v>0</v>
      </c>
      <c r="AT277" s="2587">
        <f>0</f>
        <v>0</v>
      </c>
      <c r="AU277" s="2582">
        <f>(1-f_E)*(i_CIT_BIO-i_CIT_SB)</f>
        <v>6.0720000000000003E-2</v>
      </c>
      <c r="AV277" s="2582">
        <f>-i_INORG</f>
        <v>-0.11</v>
      </c>
      <c r="AW277" s="2582">
        <f>i_INORG*(1-i_Ca_INORG*(A_MCa+2*A_MCl)/A_MCa-i_Mg_INORG*(A_MMg+2*A_MCl)/A_MMg)*f_Na</f>
        <v>2.8804303582798466E-2</v>
      </c>
      <c r="AX277" s="2582">
        <f>i_INORG*(i_Ca_INORG*(2*A_MCl)/A_MCa+i_Mg_INORG*(2*A_MCl)/A_MMg)+i_INORG*(1-i_Ca_INORG*(A_MCa+2*A_MCl)/A_MCa-i_Mg_INORG*(A_MMg+2*A_MCl)/A_MMg)*(1-f_Na)</f>
        <v>7.0195696417201539E-2</v>
      </c>
      <c r="AY277" s="2582">
        <f>i_INORG*i_Ca_INORG</f>
        <v>5.5000000000000005E-3</v>
      </c>
      <c r="AZ277" s="2582">
        <f>i_INORG*i_Mg_INORG</f>
        <v>5.5000000000000005E-3</v>
      </c>
      <c r="BA277" s="2582">
        <f>0</f>
        <v>0</v>
      </c>
      <c r="BB277" s="2586">
        <f>0</f>
        <v>0</v>
      </c>
      <c r="BC277" s="2586">
        <f>(1-f_E)*i_S_BIO-(1-f_E)*i_S_XB</f>
        <v>7.8200000000000006E-3</v>
      </c>
      <c r="BD277" s="2584">
        <f>0</f>
        <v>0</v>
      </c>
      <c r="BE277" s="2582">
        <f>0</f>
        <v>0</v>
      </c>
      <c r="BF277" s="2582">
        <f>0</f>
        <v>0</v>
      </c>
      <c r="BG277" s="2582">
        <f>0</f>
        <v>0</v>
      </c>
      <c r="BH277" s="2582">
        <f>0</f>
        <v>0</v>
      </c>
      <c r="BI277" s="2582">
        <f>0</f>
        <v>0</v>
      </c>
      <c r="BJ277" s="2582">
        <f>0</f>
        <v>0</v>
      </c>
      <c r="BK277" s="2582">
        <f>0</f>
        <v>0</v>
      </c>
      <c r="BL277" s="2582">
        <f>0</f>
        <v>0</v>
      </c>
      <c r="BM277" s="2582">
        <f>0</f>
        <v>0</v>
      </c>
      <c r="BN277" s="2582">
        <f>0</f>
        <v>0</v>
      </c>
      <c r="BO277" s="2582">
        <f>0</f>
        <v>0</v>
      </c>
      <c r="BP277" s="2582">
        <f>0</f>
        <v>0</v>
      </c>
      <c r="BQ277" s="2582">
        <f>0</f>
        <v>0</v>
      </c>
      <c r="BR277" s="2582">
        <f>0</f>
        <v>0</v>
      </c>
      <c r="BS277" s="2582">
        <f>0</f>
        <v>0</v>
      </c>
      <c r="BT277" s="2582">
        <f>0</f>
        <v>0</v>
      </c>
      <c r="BU277" s="2582">
        <f>0</f>
        <v>0</v>
      </c>
      <c r="BV277" s="2582">
        <f>0</f>
        <v>0</v>
      </c>
      <c r="BW277" s="2582">
        <f>0</f>
        <v>0</v>
      </c>
      <c r="BX277" s="2582">
        <f>0</f>
        <v>0</v>
      </c>
      <c r="BY277" s="2582">
        <f>0</f>
        <v>0</v>
      </c>
      <c r="BZ277" s="2582">
        <f>0</f>
        <v>0</v>
      </c>
      <c r="CA277" s="2582">
        <f>0</f>
        <v>0</v>
      </c>
      <c r="CB277" s="2582">
        <f>0</f>
        <v>0</v>
      </c>
      <c r="CC277" s="2582">
        <f>0</f>
        <v>0</v>
      </c>
      <c r="CD277" s="2582">
        <f>0</f>
        <v>0</v>
      </c>
      <c r="CE277" s="2582">
        <f>0</f>
        <v>0</v>
      </c>
      <c r="CF277" s="2582">
        <f>0</f>
        <v>0</v>
      </c>
      <c r="CG277" s="2582">
        <f>0</f>
        <v>0</v>
      </c>
      <c r="CH277" s="2582">
        <f>0</f>
        <v>0</v>
      </c>
      <c r="CI277" s="2582">
        <f>0</f>
        <v>0</v>
      </c>
      <c r="CJ277" s="2582">
        <f>0</f>
        <v>0</v>
      </c>
      <c r="CK277" s="2582">
        <f>0</f>
        <v>0</v>
      </c>
      <c r="CL277" s="2582">
        <f>0</f>
        <v>0</v>
      </c>
      <c r="CM277" s="2582">
        <f>0</f>
        <v>0</v>
      </c>
      <c r="CN277" s="2582">
        <f>0</f>
        <v>0</v>
      </c>
      <c r="CO277" s="2582">
        <f>0</f>
        <v>0</v>
      </c>
      <c r="CP277" s="2582">
        <f>0</f>
        <v>0</v>
      </c>
      <c r="CQ277" s="2582">
        <f>0</f>
        <v>0</v>
      </c>
      <c r="CR277" s="2582">
        <f>0</f>
        <v>0</v>
      </c>
      <c r="CS277" s="2582">
        <f>0</f>
        <v>0</v>
      </c>
      <c r="CT277" s="2582">
        <f>0</f>
        <v>0</v>
      </c>
      <c r="CU277" s="2582">
        <f>0</f>
        <v>0</v>
      </c>
      <c r="CV277" s="2876">
        <f>b_HSRO_T*X_HSRO*(M_inhSNOx_KNOx_HSRO*M_inhSO2_KiO2_HSRO)</f>
        <v>2.3206251479990538E-3</v>
      </c>
      <c r="CX277" s="2880">
        <f>E299*E277+F299*F277+G299*G277+H299*H277+I299*I277+J299*J277+K299*K277+L299*L277+M299*M277+N299*N277+O299*O277+P299*P277+Q299*Q277+R299*R277+S299*S277+T299*T277+U299*U277+V299*V277+W299*W277+X299*X277+Y299*Y277+Z299*Z277+AA299*AA277+AB299*AB277+AC299*AC277+AD299*AD277+AE299*AE277+AF299*AF277+AG299*AG277+AH299*AH277+AI299*AI277+AJ299*AJ277+AK299*AK277+AL299*AL277+AM299*AM277+AN299*AN277+AO299*AO277+AP299*AP277+AQ299*AQ277+AR299*AR277+AS299*AS277+AT299*AT277+AU299*AU277+AV299*AV277+AW299*AW277+AX299*AX277+AY299*AY277+AZ299*AZ277+BA299*BA277+BB299*BB277+BC299*BC277+BD299*BD277+BE299*BE277+BF299*BF277+BG299*BG277+BH299*BH277+BI299*BI277+BJ299*BJ277+BK299*BK277+BL299*BL277+BM299*BM277+BN299*BN277+BO299*BO277+BP299*BP277+BQ299*BQ277+BR299*BR277+BS299*BS277+BT299*BT277+BU299*BU277+BV299*BV277+BW299*BW277+BX299*BX277+BY299*BY277+BZ299*BZ277+CA299*CA277+CB299*CB277+CC299*CC277+CD299*CD277+CE299*CE277+CF299*CF277+CG299*CG277+CH299*CH277+CI299*CI277+CJ299*CJ277+CK299*CK277+CL299*CL277+CM299*CM277+CN299*CN277+CO299*CO277+CP299*CP277+CQ299*CQ277+CR299*CR277+CS299*CS277+CT299*CT277+CU299*CU277</f>
        <v>0</v>
      </c>
      <c r="CY277" s="2880">
        <f>E300*E277+F300*F277+G300*G277+H300*H277+I300*I277+J300*J277+K300*K277+L300*L277+M300*M277+N300*N277+O300*O277+P300*P277+Q300*Q277+R300*R277+S300*S277+T300*T277+U300*U277+V300*V277+W300*W277+X300*X277+Y300*Y277+Z300*Z277+AA300*AA277+AB300*AB277+AC300*AC277+AD300*AD277+AE300*AE277+AF300*AF277+AG300*AG277+AH300*AH277+AI300*AI277+AJ300*AJ277+AK300*AK277+AL300*AL277+AM300*AM277+AN300*AN277+AO300*AO277+AP300*AP277+AQ300*AQ277+AR300*AR277+AS300*AS277+AT300*AT277+AU300*AU277+AV300*AV277+AW300*AW277+AX300*AX277+AY300*AY277+AZ300*AZ277+BA300*BA277+BB300*BB277+BC300*BC277+BD300*BD277+BE300*BE277+BF300*BF277+BG300*BG277+BH300*BH277+BI300*BI277+BJ300*BJ277+BK300*BK277+BL300*BL277+BM300*BM277+BN300*BN277+BO300*BO277+BP300*BP277+BQ300*BQ277+BR300*BR277+BS300*BS277+BT300*BT277+BU300*BU277+BV300*BV277+BW300*BW277+BX300*BX277+BY300*BY277+BZ300*BZ277+CA300*CA277+CB300*CB277+CC300*CC277+CD300*CD277+CE300*CE277+CF300*CF277+CG300*CG277+CH300*CH277+CI300*CI277+CJ300*CJ277+CK300*CK277+CL300*CL277+CM300*CM277+CN300*CN277+CO300*CO277+CP300*CP277+CQ300*CQ277+CR300*CR277+CS300*CS277+CT300*CT277+CU300*CU277</f>
        <v>6.9388939039072284E-18</v>
      </c>
      <c r="CZ277" s="2881">
        <f>E301*E277+F301*F277+G301*G277+H301*H277+I301*I277+J301*J277+K301*K277+L301*L277+M301*M277+N301*N277+O301*O277+P301*P277+Q301*Q277+R301*R277+S301*S277+T301*T277+U301*U277+V301*V277+W301*W277+X301*X277+Y301*Y277+Z301*Z277+AA301*AA277+AB301*AB277+AC301*AC277+AD301*AD277+AE301*AE277+AF301*AF277+AG301*AG277+AH301*AH277+AI301*AI277+AJ301*AJ277+AK301*AK277+AL301*AL277+AM301*AM277+AN301*AN277+AO301*AO277+AP301*AP277+AQ301*AQ277+AR301*AR277+AS301*AS277+AT301*AT277+AU301*AU277+AV301*AV277+AW301*AW277+AX301*AX277+AY301*AY277+AZ301*AZ277+BA301*BA277+BB301*BB277+BC301*BC277+BD301*BD277+BE301*BE277+BF301*BF277+BG301*BG277+BH301*BH277+BI301*BI277+BJ301*BJ277+BK301*BK277+BL301*BL277+BM301*BM277+BN301*BN277+BO301*BO277+BP301*BP277+BQ301*BQ277+BR301*BR277+BS301*BS277+BT301*BT277+BU301*BU277+BV301*BV277+BW301*BW277+BX301*BX277+BY301*BY277+BZ301*BZ277+CA301*CA277+CB301*CB277+CC301*CC277+CD301*CD277+CE301*CE277+CF301*CF277+CG301*CG277+CH301*CH277+CI301*CI277+CJ301*CJ277+CK301*CK277+CL301*CL277+CM301*CM277+CN301*CN277+CO301*CO277+CP301*CP277+CQ301*CQ277+CR301*CR277+CS301*CS277+CT301*CT277+CU301*CU277</f>
        <v>0</v>
      </c>
      <c r="DA277" s="2882">
        <f>E302*E277+F302*F277+G302*G277+H302*H277+I302*I277+J302*J277+K302*K277+L302*L277+M302*M277+N302*N277+O302*O277+P302*P277+Q302*Q277+R302*R277+S302*S277+T302*T277+U302*U277+V302*V277+W302*W277+X302*X277+Y302*Y277+Z302*Z277+AA302*AA277+AB302*AB277+AC302*AC277+AD302*AD277+AE302*AE277+AF302*AF277+AG302*AG277+AH302*AH277+AI302*AI277+AJ302*AJ277+AK302*AK277+AL302*AL277+AM302*AM277+AN302*AN277+AO302*AO277+AP302*AP277+AQ302*AQ277+AR302*AR277+AS302*AS277+AT302*AT277+AU302*AU277+AV302*AV277+AW302*AW277+AX302*AX277+AY302*AY277+AZ302*AZ277+BA302*BA277+BB302*BB277+BC302*BC277+BD302*BD277+BE302*BE277+BF302*BF277+BG302*BG277+BH302*BH277+BI302*BI277+BJ302*BJ277+BK302*BK277+BL302*BL277+BM302*BM277+BN302*BN277+BO302*BO277+BP302*BP277+BQ302*BQ277+BR302*BR277+BS302*BS277+BT302*BT277+BU302*BU277+BV302*BV277+BW302*BW277+BX302*BX277+BY302*BY277+BZ302*BZ277+CA302*CA277+CB302*CB277+CC302*CC277+CD302*CD277+CE302*CE277+CF302*CF277+CG302*CG277+CH302*CH277+CI302*CI277+CJ302*CJ277+CK302*CK277+CL302*CL277+CM302*CM277+CN302*CN277+CO302*CO277+CP302*CP277+CQ302*CQ277+CR302*CR277+CS302*CS277+CT302*CT277+CU302*CU277</f>
        <v>0</v>
      </c>
      <c r="DB277" s="2882">
        <f>E303*E277+F303*F277+G303*G277+H303*H277+I303*I277+J303*J277+K303*K277+L303*L277+M303*M277+N303*N277+O303*O277+P303*P277+Q303*Q277+R303*R277+S303*S277+T303*T277+U303*U277+V303*V277+W303*W277+X303*X277+Y303*Y277+Z303*Z277+AA303*AA277+AB303*AB277+AC303*AC277+AD303*AD277+AE303*AE277+AF303*AF277+AG303*AG277+AH303*AH277+AI303*AI277+AJ303*AJ277+AK303*AK277+AL303*AL277+AM303*AM277+AN303*AN277+AO303*AO277+AP303*AP277+AQ303*AQ277+AR303*AR277+AS303*AS277+AT303*AT277+AU303*AU277+AV303*AV277+AW303*AW277+AX303*AX277+AY303*AY277+AZ303*AZ277+BA303*BA277+BB303*BB277+BC303*BC277+BD303*BD277+BE303*BE277+BF303*BF277+BG303*BG277+BH303*BH277+BI303*BI277+BJ303*BJ277+BK303*BK277+BL303*BL277+BM303*BM277+BN303*BN277+BO303*BO277+BP303*BP277+BQ303*BQ277+BR303*BR277+BS303*BS277+BT303*BT277+BU303*BU277+BV303*BV277+BW303*BW277+BX303*BX277+BY303*BY277+BZ303*BZ277+CA303*CA277+CB303*CB277+CC303*CC277+CD303*CD277+CE303*CE277+CF303*CF277+CG303*CG277+CH303*CH277+CI303*CI277+CJ303*CJ277+CK303*CK277+CL303*CL277+CM303*CM277+CN303*CN277+CO303*CO277+CP303*CP277+CQ303*CQ277+CR303*CR277+CS303*CS277+CT303*CT277+CU303*CU277</f>
        <v>0</v>
      </c>
      <c r="DC277" s="2882">
        <f>E304*E277+F304*F277+G304*G277+H304*H277+I304*I277+J304*J277+K304*K277+L304*L277+M304*M277+N304*N277+O304*O277+P304*P277+Q304*Q277+R304*R277+S304*S277+T304*T277+U304*U277+V304*V277+W304*W277+X304*X277+Y304*Y277+Z304*Z277+AA304*AA277+AB304*AB277+AC304*AC277+AD304*AD277+AE304*AE277+AF304*AF277+AG304*AG277+AH304*AH277+AI304*AI277+AJ304*AJ277+AK304*AK277+AL304*AL277+AM304*AM277+AN304*AN277+AO304*AO277+AP304*AP277+AQ304*AQ277+AR304*AR277+AS304*AS277+AT304*AT277+AU304*AU277+AV304*AV277+AW304*AW277+AX304*AX277+AY304*AY277+AZ304*AZ277+BA304*BA277+BB304*BB277+BC304*BC277+BD304*BD277+BE304*BE277+BF304*BF277+BG304*BG277+BH304*BH277+BI304*BI277+BJ304*BJ277+BK304*BK277+BL304*BL277+BM304*BM277+BN304*BN277+BO304*BO277+BP304*BP277+BQ304*BQ277+BR304*BR277+BS304*BS277+BT304*BT277+BU304*BU277+BV304*BV277+BW304*BW277+BX304*BX277+BY304*BY277+BZ304*BZ277+CA304*CA277+CB304*CB277+CC304*CC277+CD304*CD277+CE304*CE277+CF304*CF277+CG304*CG277+CH304*CH277+CI304*CI277+CJ304*CJ277+CK304*CK277+CL304*CL277+CM304*CM277+CN304*CN277+CO304*CO277+CP304*CP277+CQ304*CQ277+CR304*CR277+CS304*CS277+CT304*CT277+CU304*CU277</f>
        <v>0</v>
      </c>
      <c r="DD277" s="2882">
        <f>E305*E277+F305*F277+G305*G277+H305*H277+I305*I277+J305*J277+K305*K277+L305*L277+M305*M277+N305*N277+O305*O277+P305*P277+Q305*Q277+R305*R277+S305*S277+T305*T277+U305*U277+V305*V277+W305*W277+X305*X277+Y305*Y277+Z305*Z277+AA305*AA277+AB305*AB277+AC305*AC277+AD305*AD277+AE305*AE277+AF305*AF277+AG305*AG277+AH305*AH277+AI305*AI277+AJ305*AJ277+AK305*AK277+AL305*AL277+AM305*AM277+AN305*AN277+AO305*AO277+AP305*AP277+AQ305*AQ277+AR305*AR277+AS305*AS277+AT305*AT277+AU305*AU277+AV305*AV277+AW305*AW277+AX305*AX277+AY305*AY277+AZ305*AZ277+BA305*BA277+BB305*BB277+BC305*BC277+BD305*BD277+BE305*BE277+BF305*BF277+BG305*BG277+BH305*BH277+BI305*BI277+BJ305*BJ277+BK305*BK277+BL305*BL277+BM305*BM277+BN305*BN277+BO305*BO277+BP305*BP277+BQ305*BQ277+BR305*BR277+BS305*BS277+BT305*BT277+BU305*BU277+BV305*BV277+BW305*BW277+BX305*BX277+BY305*BY277+BZ305*BZ277+CA305*CA277+CB305*CB277+CC305*CC277+CD305*CD277+CE305*CE277+CF305*CF277+CG305*CG277+CH305*CH277+CI305*CI277+CJ305*CJ277+CK305*CK277+CL305*CL277+CM305*CM277+CN305*CN277+CO305*CO277+CP305*CP277+CQ305*CQ277+CR305*CR277+CS305*CS277+CT305*CT277+CU305*CU277</f>
        <v>0</v>
      </c>
      <c r="DE277" s="2882">
        <f>E306*E277+F306*F277+G306*G277+H306*H277+I306*I277+J306*J277+K306*K277+L306*L277+M306*M277+N306*N277+O306*O277+P306*P277+Q306*Q277+R306*R277+S306*S277+T306*T277+U306*U277+V306*V277+W306*W277+X306*X277+Y306*Y277+Z306*Z277+AA306*AA277+AB306*AB277+AC306*AC277+AD306*AD277+AE306*AE277+AF306*AF277+AG306*AG277+AH306*AH277+AI306*AI277+AJ306*AJ277+AK306*AK277+AL306*AL277+AM306*AM277+AN306*AN277+AO306*AO277+AP306*AP277+AQ306*AQ277+AR306*AR277+AS306*AS277+AT306*AT277+AU306*AU277+AV306*AV277+AW306*AW277+AX306*AX277+AY306*AY277+AZ306*AZ277+BA306*BA277+BB306*BB277+BC306*BC277+BD306*BD277+BE306*BE277+BF306*BF277+BG306*BG277+BH306*BH277+BI306*BI277+BJ306*BJ277+BK306*BK277+BL306*BL277+BM306*BM277+BN306*BN277+BO306*BO277+BP306*BP277+BQ306*BQ277+BR306*BR277+BS306*BS277+BT306*BT277+BU306*BU277+BV306*BV277+BW306*BW277+BX306*BX277+BY306*BY277+BZ306*BZ277+CA306*CA277+CB306*CB277+CC306*CC277+CD306*CD277+CE306*CE277+CF306*CF277+CG306*CG277+CH306*CH277+CI306*CI277+CJ306*CJ277+CK306*CK277+CL306*CL277+CM306*CM277+CN306*CN277+CO306*CO277+CP306*CP277+CQ306*CQ277+CR306*CR277+CS306*CS277+CT306*CT277+CU306*CU277</f>
        <v>0</v>
      </c>
      <c r="DF277" s="2882">
        <f>E307*E277+F307*F277+G307*G277+H307*H277+I307*I277+J307*J277+K307*K277+L307*L277+M307*M277+N307*N277+O307*O277+P307*P277+Q307*Q277+R307*R277+S307*S277+T307*T277+U307*U277+V307*V277+W307*W277+X307*X277+Y307*Y277+Z307*Z277+AA307*AA277+AB307*AB277+AC307*AC277+AD307*AD277+AE307*AE277+AF307*AF277+AG307*AG277+AH307*AH277+AI307*AI277+AJ307*AJ277+AK307*AK277+AL307*AL277+AM307*AM277+AN307*AN277+AO307*AO277+AP307*AP277+AQ307*AQ277+AR307*AR277+AS307*AS277+AT307*AT277+AU307*AU277+AV307*AV277+AW307*AW277+AX307*AX277+AY307*AY277+AZ307*AZ277+BA307*BA277+BB307*BB277+BC307*BC277+BD307*BD277+BE307*BE277+BF307*BF277+BG307*BG277+BH307*BH277+BI307*BI277+BJ307*BJ277+BK307*BK277+BL307*BL277+BM307*BM277+BN307*BN277+BO307*BO277+BP307*BP277+BQ307*BQ277+BR307*BR277+BS307*BS277+BT307*BT277+BU307*BU277+BV307*BV277+BW307*BW277+BX307*BX277+BY307*BY277+BZ307*BZ277+CA307*CA277+CB307*CB277+CC307*CC277+CD307*CD277+CE307*CE277+CF307*CF277+CG307*CG277+CH307*CH277+CI307*CI277+CJ307*CJ277+CK307*CK277+CL307*CL277+CM307*CM277+CN307*CN277+CO307*CO277+CP307*CP277+CQ307*CQ277+CR307*CR277+CS307*CS277+CT307*CT277+CU307*CU277</f>
        <v>0</v>
      </c>
      <c r="DG277" s="2882">
        <f>E308*E277+F308*F277+G308*G277+H308*H277+I308*I277+J308*J277+K308*K277+L308*L277+M308*M277+N308*N277+O308*O277+P308*P277+Q308*Q277+R308*R277+S308*S277+T308*T277+U308*U277+V308*V277+W308*W277+X308*X277+Y308*Y277+Z308*Z277+AA308*AA277+AB308*AB277+AC308*AC277+AD308*AD277+AE308*AE277+AF308*AF277+AG308*AG277+AH308*AH277+AI308*AI277+AJ308*AJ277+AK308*AK277+AL308*AL277+AM308*AM277+AN308*AN277+AO308*AO277+AP308*AP277+AQ308*AQ277+AR308*AR277+AS308*AS277+AT308*AT277+AU308*AU277+AV308*AV277+AW308*AW277+AX308*AX277+AY308*AY277+AZ308*AZ277+BA308*BA277+BB308*BB277+BC308*BC277+BD308*BD277+BE308*BE277+BF308*BF277+BG308*BG277+BH308*BH277+BI308*BI277+BJ308*BJ277+BK308*BK277+BL308*BL277+BM308*BM277+BN308*BN277+BO308*BO277+BP308*BP277+BQ308*BQ277+BR308*BR277+BS308*BS277+BT308*BT277+BU308*BU277+BV308*BV277+BW308*BW277+BX308*BX277+BY308*BY277+BZ308*BZ277+CA308*CA277+CB308*CB277+CC308*CC277+CD308*CD277+CE308*CE277+CF308*CF277+CG308*CG277+CH308*CH277+CI308*CI277+CJ308*CJ277+CK308*CK277+CL308*CL277+CM308*CM277+CN308*CN277+CO308*CO277+CP308*CP277+CQ308*CQ277+CR308*CR277+CS308*CS277+CT308*CT277+CU308*CU277</f>
        <v>0</v>
      </c>
      <c r="DH277" s="2882">
        <f>E309*E277+F309*F277+G309*G277+H309*H277+I309*I277+J309*J277+K309*K277+L309*L277+M309*M277+N309*N277+O309*O277+P309*P277+Q309*Q277+R309*R277+S309*S277+T309*T277+U309*U277+V309*V277+W309*W277+X309*X277+Y309*Y277+Z309*Z277+AA309*AA277+AB309*AB277+AC309*AC277+AD309*AD277+AE309*AE277+AF309*AF277+AG309*AG277+AH309*AH277+AI309*AI277+AJ309*AJ277+AK309*AK277+AL309*AL277+AM309*AM277+AN309*AN277+AO309*AO277+AP309*AP277+AQ309*AQ277+AR309*AR277+AS309*AS277+AT309*AT277+AU309*AU277+AV309*AV277+AW309*AW277+AX309*AX277+AY309*AY277+AZ309*AZ277+BA309*BA277+BB309*BB277+BC309*BC277+BD309*BD277+BE309*BE277+BF309*BF277+BG309*BG277+BH309*BH277+BI309*BI277+BJ309*BJ277+BK309*BK277+BL309*BL277+BM309*BM277+BN309*BN277+BO309*BO277+BP309*BP277+BQ309*BQ277+BR309*BR277+BS309*BS277+BT309*BT277+BU309*BU277+BV309*BV277+BW309*BW277+BX309*BX277+BY309*BY277+BZ309*BZ277+CA309*CA277+CB309*CB277+CC309*CC277+CD309*CD277+CE309*CE277+CF309*CF277+CG309*CG277+CH309*CH277+CI309*CI277+CJ309*CJ277+CK309*CK277+CL309*CL277+CM309*CM277+CN309*CN277+CO309*CO277+CP309*CP277+CQ309*CQ277+CR309*CR277+CS309*CS277+CT309*CT277+CU309*CU277</f>
        <v>0</v>
      </c>
      <c r="DI277" s="2882">
        <f>E310*E277+F310*F277+G310*G277+H310*H277+I310*I277+J310*J277+K310*K277+L310*L277+M310*M277+N310*N277+O310*O277+P310*P277+Q310*Q277+R310*R277+S310*S277+T310*T277+U310*U277+V310*V277+W310*W277+X310*X277+Y310*Y277+Z310*Z277+AA310*AA277+AB310*AB277+AC310*AC277+AD310*AD277+AE310*AE277+AF310*AF277+AG310*AG277+AH310*AH277+AI310*AI277+AJ310*AJ277+AK310*AK277+AL310*AL277+AM310*AM277+AN310*AN277+AO310*AO277+AP310*AP277+AQ310*AQ277+AR310*AR277+AS310*AS277+AT310*AT277+AU310*AU277+AV310*AV277+AW310*AW277+AX310*AX277+AY310*AY277+AZ310*AZ277+BA310*BA277+BB310*BB277+BC310*BC277+BD310*BD277+BE310*BE277+BF310*BF277+BG310*BG277+BH310*BH277+BI310*BI277+BJ310*BJ277+BK310*BK277+BL310*BL277+BM310*BM277+BN310*BN277+BO310*BO277+BP310*BP277+BQ310*BQ277+BR310*BR277+BS310*BS277+BT310*BT277+BU310*BU277+BV310*BV277+BW310*BW277+BX310*BX277+BY310*BY277+BZ310*BZ277+CA310*CA277+CB310*CB277+CC310*CC277+CD310*CD277+CE310*CE277+CF310*CF277+CG310*CG277+CH310*CH277+CI310*CI277+CJ310*CJ277+CK310*CK277+CL310*CL277+CM310*CM277+CN310*CN277+CO310*CO277+CP310*CP277+CQ310*CQ277+CR310*CR277+CS310*CS277+CT310*CT277+CU310*CU277</f>
        <v>0</v>
      </c>
    </row>
    <row r="278" spans="2:113" ht="15.75" x14ac:dyDescent="0.45">
      <c r="B278" s="2219">
        <v>119</v>
      </c>
      <c r="C278" s="2219" t="s">
        <v>5499</v>
      </c>
      <c r="D278" s="2589" t="s">
        <v>5436</v>
      </c>
      <c r="E278" s="2590">
        <f>0</f>
        <v>0</v>
      </c>
      <c r="F278" s="2590">
        <f>0</f>
        <v>0</v>
      </c>
      <c r="G278" s="2590">
        <f>0</f>
        <v>0</v>
      </c>
      <c r="H278" s="2590">
        <f>0</f>
        <v>0</v>
      </c>
      <c r="I278" s="2590">
        <f>0</f>
        <v>0</v>
      </c>
      <c r="J278" s="2590">
        <f>0</f>
        <v>0</v>
      </c>
      <c r="K278" s="2590">
        <f>0</f>
        <v>0</v>
      </c>
      <c r="L278" s="2590">
        <f>0</f>
        <v>0</v>
      </c>
      <c r="M278" s="2590">
        <f>0</f>
        <v>0</v>
      </c>
      <c r="N278" s="2590">
        <f>0</f>
        <v>0</v>
      </c>
      <c r="O278" s="2590">
        <f>0</f>
        <v>0</v>
      </c>
      <c r="P278" s="2590">
        <f>0</f>
        <v>0</v>
      </c>
      <c r="Q278" s="2591">
        <f>0</f>
        <v>0</v>
      </c>
      <c r="R278" s="2590">
        <f>0</f>
        <v>0</v>
      </c>
      <c r="S278" s="2590">
        <f>0</f>
        <v>0</v>
      </c>
      <c r="T278" s="2590">
        <f>0</f>
        <v>0</v>
      </c>
      <c r="U278" s="2590">
        <f>0</f>
        <v>0</v>
      </c>
      <c r="V278" s="2590">
        <f>0</f>
        <v>0</v>
      </c>
      <c r="W278" s="2590">
        <f>0</f>
        <v>0</v>
      </c>
      <c r="X278" s="2590">
        <f>0</f>
        <v>0</v>
      </c>
      <c r="Y278" s="2590">
        <f>0</f>
        <v>0</v>
      </c>
      <c r="Z278" s="2591">
        <f>0</f>
        <v>0</v>
      </c>
      <c r="AA278" s="2591">
        <f>1</f>
        <v>1</v>
      </c>
      <c r="AB278" s="2592">
        <f t="shared" ref="AB278:AB283" si="7">-i_N_BIO</f>
        <v>-7.0000000000000007E-2</v>
      </c>
      <c r="AC278" s="2592">
        <f>0</f>
        <v>0</v>
      </c>
      <c r="AD278" s="2590">
        <f>0</f>
        <v>0</v>
      </c>
      <c r="AE278" s="2590">
        <f>0</f>
        <v>0</v>
      </c>
      <c r="AF278" s="2590">
        <f>0</f>
        <v>0</v>
      </c>
      <c r="AG278" s="2590">
        <f>0</f>
        <v>0</v>
      </c>
      <c r="AH278" s="2590">
        <f>0</f>
        <v>0</v>
      </c>
      <c r="AI278" s="2590">
        <f>0</f>
        <v>0</v>
      </c>
      <c r="AJ278" s="2590">
        <f>0</f>
        <v>0</v>
      </c>
      <c r="AK278" s="2590">
        <f>0</f>
        <v>0</v>
      </c>
      <c r="AL278" s="2590">
        <f>0</f>
        <v>0</v>
      </c>
      <c r="AM278" s="2592">
        <f t="shared" ref="AM278:AM283" si="8">-i_P_BIO</f>
        <v>-0.02</v>
      </c>
      <c r="AN278" s="2590">
        <f>0</f>
        <v>0</v>
      </c>
      <c r="AO278" s="2590">
        <f>0</f>
        <v>0</v>
      </c>
      <c r="AP278" s="2590">
        <f>0</f>
        <v>0</v>
      </c>
      <c r="AQ278" s="2590">
        <f>0</f>
        <v>0</v>
      </c>
      <c r="AR278" s="2591">
        <f>-(E_EQH2S-E_EQS-Y_SOO_H2S_ox)/Y_SOO_H2S_ox</f>
        <v>-12.130729521449032</v>
      </c>
      <c r="AS278" s="2590">
        <f>0</f>
        <v>0</v>
      </c>
      <c r="AT278" s="2593">
        <f>0</f>
        <v>0</v>
      </c>
      <c r="AU278" s="2591">
        <f t="shared" ref="AU278:AU283" si="9">-i_CIT_BIO</f>
        <v>-0.35199999999999998</v>
      </c>
      <c r="AV278" s="2590">
        <f t="shared" ref="AV278:AV283" si="10">i_INORG</f>
        <v>0.11</v>
      </c>
      <c r="AW278" s="2590">
        <f t="shared" ref="AW278:AW283" si="11">-i_INORG*(1-i_Ca_INORG*(A_MCa+2*A_MCl)/A_MCa-i_Mg_INORG*(A_MMg+2*A_MCl)/A_MMg)*f_Na</f>
        <v>-2.8804303582798466E-2</v>
      </c>
      <c r="AX278" s="2590">
        <f t="shared" ref="AX278:AX283" si="12">-i_INORG*(i_Ca_INORG*(2*A_MCl)/A_MCa+i_Mg_INORG*(2*A_MCl)/A_MMg)-i_INORG*(1-i_Ca_INORG*(A_MCa+2*A_MCl)/A_MCa-i_Mg_INORG*(A_MMg+2*A_MCl)/A_MMg)*(1-f_Na)</f>
        <v>-7.0195696417201539E-2</v>
      </c>
      <c r="AY278" s="2590">
        <f t="shared" ref="AY278:AY283" si="13">-i_INORG*i_Ca_INORG</f>
        <v>-5.5000000000000005E-3</v>
      </c>
      <c r="AZ278" s="2590">
        <f t="shared" ref="AZ278:AZ283" si="14">-i_INORG*i_Mg_INORG</f>
        <v>-5.5000000000000005E-3</v>
      </c>
      <c r="BA278" s="2590">
        <f>0</f>
        <v>0</v>
      </c>
      <c r="BB278" s="2592">
        <f>-1/Y_SOO_H2S_ox</f>
        <v>-26.315789473684212</v>
      </c>
      <c r="BC278" s="2592">
        <f>-i_S_BIO</f>
        <v>-0.01</v>
      </c>
      <c r="BD278" s="2592">
        <f>1/Y_SOO_H2S_ox</f>
        <v>26.315789473684212</v>
      </c>
      <c r="BE278" s="2590">
        <f>0</f>
        <v>0</v>
      </c>
      <c r="BF278" s="2590">
        <f>0</f>
        <v>0</v>
      </c>
      <c r="BG278" s="2590">
        <f>0</f>
        <v>0</v>
      </c>
      <c r="BH278" s="2590">
        <f>0</f>
        <v>0</v>
      </c>
      <c r="BI278" s="2590">
        <f>0</f>
        <v>0</v>
      </c>
      <c r="BJ278" s="2590">
        <f>0</f>
        <v>0</v>
      </c>
      <c r="BK278" s="2590">
        <f>0</f>
        <v>0</v>
      </c>
      <c r="BL278" s="2590">
        <f>0</f>
        <v>0</v>
      </c>
      <c r="BM278" s="2590">
        <f>0</f>
        <v>0</v>
      </c>
      <c r="BN278" s="2590">
        <f>0</f>
        <v>0</v>
      </c>
      <c r="BO278" s="2590">
        <f>0</f>
        <v>0</v>
      </c>
      <c r="BP278" s="2590">
        <f>0</f>
        <v>0</v>
      </c>
      <c r="BQ278" s="2590">
        <f>0</f>
        <v>0</v>
      </c>
      <c r="BR278" s="2590">
        <f>0</f>
        <v>0</v>
      </c>
      <c r="BS278" s="2590">
        <f>0</f>
        <v>0</v>
      </c>
      <c r="BT278" s="2590">
        <f>0</f>
        <v>0</v>
      </c>
      <c r="BU278" s="2590">
        <f>0</f>
        <v>0</v>
      </c>
      <c r="BV278" s="2590">
        <f>0</f>
        <v>0</v>
      </c>
      <c r="BW278" s="2590">
        <f>0</f>
        <v>0</v>
      </c>
      <c r="BX278" s="2590">
        <f>0</f>
        <v>0</v>
      </c>
      <c r="BY278" s="2590">
        <f>0</f>
        <v>0</v>
      </c>
      <c r="BZ278" s="2590">
        <f>0</f>
        <v>0</v>
      </c>
      <c r="CA278" s="2590">
        <f>0</f>
        <v>0</v>
      </c>
      <c r="CB278" s="2590">
        <f>0</f>
        <v>0</v>
      </c>
      <c r="CC278" s="2590">
        <f>0</f>
        <v>0</v>
      </c>
      <c r="CD278" s="2590">
        <f>0</f>
        <v>0</v>
      </c>
      <c r="CE278" s="2590">
        <f>0</f>
        <v>0</v>
      </c>
      <c r="CF278" s="2590">
        <f>0</f>
        <v>0</v>
      </c>
      <c r="CG278" s="2590">
        <f>0</f>
        <v>0</v>
      </c>
      <c r="CH278" s="2590">
        <f>0</f>
        <v>0</v>
      </c>
      <c r="CI278" s="2590">
        <f>0</f>
        <v>0</v>
      </c>
      <c r="CJ278" s="2590">
        <f>0</f>
        <v>0</v>
      </c>
      <c r="CK278" s="2590">
        <f>0</f>
        <v>0</v>
      </c>
      <c r="CL278" s="2590">
        <f>0</f>
        <v>0</v>
      </c>
      <c r="CM278" s="2590">
        <f>0</f>
        <v>0</v>
      </c>
      <c r="CN278" s="2590">
        <f>0</f>
        <v>0</v>
      </c>
      <c r="CO278" s="2590">
        <f>0</f>
        <v>0</v>
      </c>
      <c r="CP278" s="2590">
        <f>0</f>
        <v>0</v>
      </c>
      <c r="CQ278" s="2590">
        <f>0</f>
        <v>0</v>
      </c>
      <c r="CR278" s="2590">
        <f>0</f>
        <v>0</v>
      </c>
      <c r="CS278" s="2590">
        <f>0</f>
        <v>0</v>
      </c>
      <c r="CT278" s="2590">
        <f>0</f>
        <v>0</v>
      </c>
      <c r="CU278" s="2590">
        <f>0</f>
        <v>0</v>
      </c>
      <c r="CV278" s="2877">
        <f>µ_SOO_H2S_T*X_SOO*M_satSCO2_KCO2_BIO*M_satSO2_KO2_H2S_SOO*H_satSH2S_KH2S_SOO*M_satSNHx_KNHx_BIO*M_satSPO4_KPO4_BIO*M_satSCAT_KCAT*M_satSAN_KAN*M_satSCa_KCa*M_satSMg_KMg*M_satSSO4_KSO4_BIO*B_ellinhpH</f>
        <v>3.8482212349135776</v>
      </c>
      <c r="CX278" s="2880">
        <f>E299*E278+F299*F278+G299*G278+H299*H278+I299*I278+J299*J278+K299*K278+L299*L278+M299*M278+N299*N278+O299*O278+P299*P278+Q299*Q278+R299*R278+S299*S278+T299*T278+U299*U278+V299*V278+W299*W278+X299*X278+Y299*Y278+Z299*Z278+AA299*AA278+AB299*AB278+AC299*AC278+AD299*AD278+AE299*AE278+AF299*AF278+AG299*AG278+AH299*AH278+AI299*AI278+AJ299*AJ278+AK299*AK278+AL299*AL278+AM299*AM278+AN299*AN278+AO299*AO278+AP299*AP278+AQ299*AQ278+AR299*AR278+AS299*AS278+AT299*AT278+AU299*AU278+AV299*AV278+AW299*AW278+AX299*AX278+AY299*AY278+AZ299*AZ278+BA299*BA278+BB299*BB278+BC299*BC278+BD299*BD278+BE299*BE278+BF299*BF278+BG299*BG278+BH299*BH278+BI299*BI278+BJ299*BJ278+BK299*BK278+BL299*BL278+BM299*BM278+BN299*BN278+BO299*BO278+BP299*BP278+BQ299*BQ278+BR299*BR278+BS299*BS278+BT299*BT278+BU299*BU278+BV299*BV278+BW299*BW278+BX299*BX278+BY299*BY278+BZ299*BZ278+CA299*CA278+CB299*CB278+CC299*CC278+CD299*CD278+CE299*CE278+CF299*CF278+CG299*CG278+CH299*CH278+CI299*CI278+CJ299*CJ278+CK299*CK278+CL299*CL278+CM299*CM278+CN299*CN278+CO299*CO278+CP299*CP278+CQ299*CQ278+CR299*CR278+CS299*CS278+CT299*CT278+CU299*CU278</f>
        <v>0</v>
      </c>
      <c r="CY278" s="2880">
        <f>E300*E278+F300*F278+G300*G278+H300*H278+I300*I278+J300*J278+K300*K278+L300*L278+M300*M278+N300*N278+O300*O278+P300*P278+Q300*Q278+R300*R278+S300*S278+T300*T278+U300*U278+V300*V278+W300*W278+X300*X278+Y300*Y278+Z300*Z278+AA300*AA278+AB300*AB278+AC300*AC278+AD300*AD278+AE300*AE278+AF300*AF278+AG300*AG278+AH300*AH278+AI300*AI278+AJ300*AJ278+AK300*AK278+AL300*AL278+AM300*AM278+AN300*AN278+AO300*AO278+AP300*AP278+AQ300*AQ278+AR300*AR278+AS300*AS278+AT300*AT278+AU300*AU278+AV300*AV278+AW300*AW278+AX300*AX278+AY300*AY278+AZ300*AZ278+BA300*BA278+BB300*BB278+BC300*BC278+BD300*BD278+BE300*BE278+BF300*BF278+BG300*BG278+BH300*BH278+BI300*BI278+BJ300*BJ278+BK300*BK278+BL300*BL278+BM300*BM278+BN300*BN278+BO300*BO278+BP300*BP278+BQ300*BQ278+BR300*BR278+BS300*BS278+BT300*BT278+BU300*BU278+BV300*BV278+BW300*BW278+BX300*BX278+BY300*BY278+BZ300*BZ278+CA300*CA278+CB300*CB278+CC300*CC278+CD300*CD278+CE300*CE278+CF300*CF278+CG300*CG278+CH300*CH278+CI300*CI278+CJ300*CJ278+CK300*CK278+CL300*CL278+CM300*CM278+CN300*CN278+CO300*CO278+CP300*CP278+CQ300*CQ278+CR300*CR278+CS300*CS278+CT300*CT278+CU300*CU278</f>
        <v>0</v>
      </c>
      <c r="CZ278" s="2881">
        <f>E301*E278+F301*F278+G301*G278+H301*H278+I301*I278+J301*J278+K301*K278+L301*L278+M301*M278+N301*N278+O301*O278+P301*P278+Q301*Q278+R301*R278+S301*S278+T301*T278+U301*U278+V301*V278+W301*W278+X301*X278+Y301*Y278+Z301*Z278+AA301*AA278+AB301*AB278+AC301*AC278+AD301*AD278+AE301*AE278+AF301*AF278+AG301*AG278+AH301*AH278+AI301*AI278+AJ301*AJ278+AK301*AK278+AL301*AL278+AM301*AM278+AN301*AN278+AO301*AO278+AP301*AP278+AQ301*AQ278+AR301*AR278+AS301*AS278+AT301*AT278+AU301*AU278+AV301*AV278+AW301*AW278+AX301*AX278+AY301*AY278+AZ301*AZ278+BA301*BA278+BB301*BB278+BC301*BC278+BD301*BD278+BE301*BE278+BF301*BF278+BG301*BG278+BH301*BH278+BI301*BI278+BJ301*BJ278+BK301*BK278+BL301*BL278+BM301*BM278+BN301*BN278+BO301*BO278+BP301*BP278+BQ301*BQ278+BR301*BR278+BS301*BS278+BT301*BT278+BU301*BU278+BV301*BV278+BW301*BW278+BX301*BX278+BY301*BY278+BZ301*BZ278+CA301*CA278+CB301*CB278+CC301*CC278+CD301*CD278+CE301*CE278+CF301*CF278+CG301*CG278+CH301*CH278+CI301*CI278+CJ301*CJ278+CK301*CK278+CL301*CL278+CM301*CM278+CN301*CN278+CO301*CO278+CP301*CP278+CQ301*CQ278+CR301*CR278+CS301*CS278+CT301*CT278+CU301*CU278</f>
        <v>0</v>
      </c>
      <c r="DA278" s="2882">
        <f>E302*E278+F302*F278+G302*G278+H302*H278+I302*I278+J302*J278+K302*K278+L302*L278+M302*M278+N302*N278+O302*O278+P302*P278+Q302*Q278+R302*R278+S302*S278+T302*T278+U302*U278+V302*V278+W302*W278+X302*X278+Y302*Y278+Z302*Z278+AA302*AA278+AB302*AB278+AC302*AC278+AD302*AD278+AE302*AE278+AF302*AF278+AG302*AG278+AH302*AH278+AI302*AI278+AJ302*AJ278+AK302*AK278+AL302*AL278+AM302*AM278+AN302*AN278+AO302*AO278+AP302*AP278+AQ302*AQ278+AR302*AR278+AS302*AS278+AT302*AT278+AU302*AU278+AV302*AV278+AW302*AW278+AX302*AX278+AY302*AY278+AZ302*AZ278+BA302*BA278+BB302*BB278+BC302*BC278+BD302*BD278+BE302*BE278+BF302*BF278+BG302*BG278+BH302*BH278+BI302*BI278+BJ302*BJ278+BK302*BK278+BL302*BL278+BM302*BM278+BN302*BN278+BO302*BO278+BP302*BP278+BQ302*BQ278+BR302*BR278+BS302*BS278+BT302*BT278+BU302*BU278+BV302*BV278+BW302*BW278+BX302*BX278+BY302*BY278+BZ302*BZ278+CA302*CA278+CB302*CB278+CC302*CC278+CD302*CD278+CE302*CE278+CF302*CF278+CG302*CG278+CH302*CH278+CI302*CI278+CJ302*CJ278+CK302*CK278+CL302*CL278+CM302*CM278+CN302*CN278+CO302*CO278+CP302*CP278+CQ302*CQ278+CR302*CR278+CS302*CS278+CT302*CT278+CU302*CU278</f>
        <v>0</v>
      </c>
      <c r="DB278" s="2882">
        <f>E303*E278+F303*F278+G303*G278+H303*H278+I303*I278+J303*J278+K303*K278+L303*L278+M303*M278+N303*N278+O303*O278+P303*P278+Q303*Q278+R303*R278+S303*S278+T303*T278+U303*U278+V303*V278+W303*W278+X303*X278+Y303*Y278+Z303*Z278+AA303*AA278+AB303*AB278+AC303*AC278+AD303*AD278+AE303*AE278+AF303*AF278+AG303*AG278+AH303*AH278+AI303*AI278+AJ303*AJ278+AK303*AK278+AL303*AL278+AM303*AM278+AN303*AN278+AO303*AO278+AP303*AP278+AQ303*AQ278+AR303*AR278+AS303*AS278+AT303*AT278+AU303*AU278+AV303*AV278+AW303*AW278+AX303*AX278+AY303*AY278+AZ303*AZ278+BA303*BA278+BB303*BB278+BC303*BC278+BD303*BD278+BE303*BE278+BF303*BF278+BG303*BG278+BH303*BH278+BI303*BI278+BJ303*BJ278+BK303*BK278+BL303*BL278+BM303*BM278+BN303*BN278+BO303*BO278+BP303*BP278+BQ303*BQ278+BR303*BR278+BS303*BS278+BT303*BT278+BU303*BU278+BV303*BV278+BW303*BW278+BX303*BX278+BY303*BY278+BZ303*BZ278+CA303*CA278+CB303*CB278+CC303*CC278+CD303*CD278+CE303*CE278+CF303*CF278+CG303*CG278+CH303*CH278+CI303*CI278+CJ303*CJ278+CK303*CK278+CL303*CL278+CM303*CM278+CN303*CN278+CO303*CO278+CP303*CP278+CQ303*CQ278+CR303*CR278+CS303*CS278+CT303*CT278+CU303*CU278</f>
        <v>0</v>
      </c>
      <c r="DC278" s="2882">
        <f>E304*E278+F304*F278+G304*G278+H304*H278+I304*I278+J304*J278+K304*K278+L304*L278+M304*M278+N304*N278+O304*O278+P304*P278+Q304*Q278+R304*R278+S304*S278+T304*T278+U304*U278+V304*V278+W304*W278+X304*X278+Y304*Y278+Z304*Z278+AA304*AA278+AB304*AB278+AC304*AC278+AD304*AD278+AE304*AE278+AF304*AF278+AG304*AG278+AH304*AH278+AI304*AI278+AJ304*AJ278+AK304*AK278+AL304*AL278+AM304*AM278+AN304*AN278+AO304*AO278+AP304*AP278+AQ304*AQ278+AR304*AR278+AS304*AS278+AT304*AT278+AU304*AU278+AV304*AV278+AW304*AW278+AX304*AX278+AY304*AY278+AZ304*AZ278+BA304*BA278+BB304*BB278+BC304*BC278+BD304*BD278+BE304*BE278+BF304*BF278+BG304*BG278+BH304*BH278+BI304*BI278+BJ304*BJ278+BK304*BK278+BL304*BL278+BM304*BM278+BN304*BN278+BO304*BO278+BP304*BP278+BQ304*BQ278+BR304*BR278+BS304*BS278+BT304*BT278+BU304*BU278+BV304*BV278+BW304*BW278+BX304*BX278+BY304*BY278+BZ304*BZ278+CA304*CA278+CB304*CB278+CC304*CC278+CD304*CD278+CE304*CE278+CF304*CF278+CG304*CG278+CH304*CH278+CI304*CI278+CJ304*CJ278+CK304*CK278+CL304*CL278+CM304*CM278+CN304*CN278+CO304*CO278+CP304*CP278+CQ304*CQ278+CR304*CR278+CS304*CS278+CT304*CT278+CU304*CU278</f>
        <v>0</v>
      </c>
      <c r="DD278" s="2882">
        <f>E305*E278+F305*F278+G305*G278+H305*H278+I305*I278+J305*J278+K305*K278+L305*L278+M305*M278+N305*N278+O305*O278+P305*P278+Q305*Q278+R305*R278+S305*S278+T305*T278+U305*U278+V305*V278+W305*W278+X305*X278+Y305*Y278+Z305*Z278+AA305*AA278+AB305*AB278+AC305*AC278+AD305*AD278+AE305*AE278+AF305*AF278+AG305*AG278+AH305*AH278+AI305*AI278+AJ305*AJ278+AK305*AK278+AL305*AL278+AM305*AM278+AN305*AN278+AO305*AO278+AP305*AP278+AQ305*AQ278+AR305*AR278+AS305*AS278+AT305*AT278+AU305*AU278+AV305*AV278+AW305*AW278+AX305*AX278+AY305*AY278+AZ305*AZ278+BA305*BA278+BB305*BB278+BC305*BC278+BD305*BD278+BE305*BE278+BF305*BF278+BG305*BG278+BH305*BH278+BI305*BI278+BJ305*BJ278+BK305*BK278+BL305*BL278+BM305*BM278+BN305*BN278+BO305*BO278+BP305*BP278+BQ305*BQ278+BR305*BR278+BS305*BS278+BT305*BT278+BU305*BU278+BV305*BV278+BW305*BW278+BX305*BX278+BY305*BY278+BZ305*BZ278+CA305*CA278+CB305*CB278+CC305*CC278+CD305*CD278+CE305*CE278+CF305*CF278+CG305*CG278+CH305*CH278+CI305*CI278+CJ305*CJ278+CK305*CK278+CL305*CL278+CM305*CM278+CN305*CN278+CO305*CO278+CP305*CP278+CQ305*CQ278+CR305*CR278+CS305*CS278+CT305*CT278+CU305*CU278</f>
        <v>0</v>
      </c>
      <c r="DE278" s="2882">
        <f>E306*E278+F306*F278+G306*G278+H306*H278+I306*I278+J306*J278+K306*K278+L306*L278+M306*M278+N306*N278+O306*O278+P306*P278+Q306*Q278+R306*R278+S306*S278+T306*T278+U306*U278+V306*V278+W306*W278+X306*X278+Y306*Y278+Z306*Z278+AA306*AA278+AB306*AB278+AC306*AC278+AD306*AD278+AE306*AE278+AF306*AF278+AG306*AG278+AH306*AH278+AI306*AI278+AJ306*AJ278+AK306*AK278+AL306*AL278+AM306*AM278+AN306*AN278+AO306*AO278+AP306*AP278+AQ306*AQ278+AR306*AR278+AS306*AS278+AT306*AT278+AU306*AU278+AV306*AV278+AW306*AW278+AX306*AX278+AY306*AY278+AZ306*AZ278+BA306*BA278+BB306*BB278+BC306*BC278+BD306*BD278+BE306*BE278+BF306*BF278+BG306*BG278+BH306*BH278+BI306*BI278+BJ306*BJ278+BK306*BK278+BL306*BL278+BM306*BM278+BN306*BN278+BO306*BO278+BP306*BP278+BQ306*BQ278+BR306*BR278+BS306*BS278+BT306*BT278+BU306*BU278+BV306*BV278+BW306*BW278+BX306*BX278+BY306*BY278+BZ306*BZ278+CA306*CA278+CB306*CB278+CC306*CC278+CD306*CD278+CE306*CE278+CF306*CF278+CG306*CG278+CH306*CH278+CI306*CI278+CJ306*CJ278+CK306*CK278+CL306*CL278+CM306*CM278+CN306*CN278+CO306*CO278+CP306*CP278+CQ306*CQ278+CR306*CR278+CS306*CS278+CT306*CT278+CU306*CU278</f>
        <v>0</v>
      </c>
      <c r="DF278" s="2882">
        <f>E307*E278+F307*F278+G307*G278+H307*H278+I307*I278+J307*J278+K307*K278+L307*L278+M307*M278+N307*N278+O307*O278+P307*P278+Q307*Q278+R307*R278+S307*S278+T307*T278+U307*U278+V307*V278+W307*W278+X307*X278+Y307*Y278+Z307*Z278+AA307*AA278+AB307*AB278+AC307*AC278+AD307*AD278+AE307*AE278+AF307*AF278+AG307*AG278+AH307*AH278+AI307*AI278+AJ307*AJ278+AK307*AK278+AL307*AL278+AM307*AM278+AN307*AN278+AO307*AO278+AP307*AP278+AQ307*AQ278+AR307*AR278+AS307*AS278+AT307*AT278+AU307*AU278+AV307*AV278+AW307*AW278+AX307*AX278+AY307*AY278+AZ307*AZ278+BA307*BA278+BB307*BB278+BC307*BC278+BD307*BD278+BE307*BE278+BF307*BF278+BG307*BG278+BH307*BH278+BI307*BI278+BJ307*BJ278+BK307*BK278+BL307*BL278+BM307*BM278+BN307*BN278+BO307*BO278+BP307*BP278+BQ307*BQ278+BR307*BR278+BS307*BS278+BT307*BT278+BU307*BU278+BV307*BV278+BW307*BW278+BX307*BX278+BY307*BY278+BZ307*BZ278+CA307*CA278+CB307*CB278+CC307*CC278+CD307*CD278+CE307*CE278+CF307*CF278+CG307*CG278+CH307*CH278+CI307*CI278+CJ307*CJ278+CK307*CK278+CL307*CL278+CM307*CM278+CN307*CN278+CO307*CO278+CP307*CP278+CQ307*CQ278+CR307*CR278+CS307*CS278+CT307*CT278+CU307*CU278</f>
        <v>0</v>
      </c>
      <c r="DG278" s="2882">
        <f>E308*E278+F308*F278+G308*G278+H308*H278+I308*I278+J308*J278+K308*K278+L308*L278+M308*M278+N308*N278+O308*O278+P308*P278+Q308*Q278+R308*R278+S308*S278+T308*T278+U308*U278+V308*V278+W308*W278+X308*X278+Y308*Y278+Z308*Z278+AA308*AA278+AB308*AB278+AC308*AC278+AD308*AD278+AE308*AE278+AF308*AF278+AG308*AG278+AH308*AH278+AI308*AI278+AJ308*AJ278+AK308*AK278+AL308*AL278+AM308*AM278+AN308*AN278+AO308*AO278+AP308*AP278+AQ308*AQ278+AR308*AR278+AS308*AS278+AT308*AT278+AU308*AU278+AV308*AV278+AW308*AW278+AX308*AX278+AY308*AY278+AZ308*AZ278+BA308*BA278+BB308*BB278+BC308*BC278+BD308*BD278+BE308*BE278+BF308*BF278+BG308*BG278+BH308*BH278+BI308*BI278+BJ308*BJ278+BK308*BK278+BL308*BL278+BM308*BM278+BN308*BN278+BO308*BO278+BP308*BP278+BQ308*BQ278+BR308*BR278+BS308*BS278+BT308*BT278+BU308*BU278+BV308*BV278+BW308*BW278+BX308*BX278+BY308*BY278+BZ308*BZ278+CA308*CA278+CB308*CB278+CC308*CC278+CD308*CD278+CE308*CE278+CF308*CF278+CG308*CG278+CH308*CH278+CI308*CI278+CJ308*CJ278+CK308*CK278+CL308*CL278+CM308*CM278+CN308*CN278+CO308*CO278+CP308*CP278+CQ308*CQ278+CR308*CR278+CS308*CS278+CT308*CT278+CU308*CU278</f>
        <v>0</v>
      </c>
      <c r="DH278" s="2882">
        <f>E309*E278+F309*F278+G309*G278+H309*H278+I309*I278+J309*J278+K309*K278+L309*L278+M309*M278+N309*N278+O309*O278+P309*P278+Q309*Q278+R309*R278+S309*S278+T309*T278+U309*U278+V309*V278+W309*W278+X309*X278+Y309*Y278+Z309*Z278+AA309*AA278+AB309*AB278+AC309*AC278+AD309*AD278+AE309*AE278+AF309*AF278+AG309*AG278+AH309*AH278+AI309*AI278+AJ309*AJ278+AK309*AK278+AL309*AL278+AM309*AM278+AN309*AN278+AO309*AO278+AP309*AP278+AQ309*AQ278+AR309*AR278+AS309*AS278+AT309*AT278+AU309*AU278+AV309*AV278+AW309*AW278+AX309*AX278+AY309*AY278+AZ309*AZ278+BA309*BA278+BB309*BB278+BC309*BC278+BD309*BD278+BE309*BE278+BF309*BF278+BG309*BG278+BH309*BH278+BI309*BI278+BJ309*BJ278+BK309*BK278+BL309*BL278+BM309*BM278+BN309*BN278+BO309*BO278+BP309*BP278+BQ309*BQ278+BR309*BR278+BS309*BS278+BT309*BT278+BU309*BU278+BV309*BV278+BW309*BW278+BX309*BX278+BY309*BY278+BZ309*BZ278+CA309*CA278+CB309*CB278+CC309*CC278+CD309*CD278+CE309*CE278+CF309*CF278+CG309*CG278+CH309*CH278+CI309*CI278+CJ309*CJ278+CK309*CK278+CL309*CL278+CM309*CM278+CN309*CN278+CO309*CO278+CP309*CP278+CQ309*CQ278+CR309*CR278+CS309*CS278+CT309*CT278+CU309*CU278</f>
        <v>0</v>
      </c>
      <c r="DI278" s="2882">
        <f>E310*E278+F310*F278+G310*G278+H310*H278+I310*I278+J310*J278+K310*K278+L310*L278+M310*M278+N310*N278+O310*O278+P310*P278+Q310*Q278+R310*R278+S310*S278+T310*T278+U310*U278+V310*V278+W310*W278+X310*X278+Y310*Y278+Z310*Z278+AA310*AA278+AB310*AB278+AC310*AC278+AD310*AD278+AE310*AE278+AF310*AF278+AG310*AG278+AH310*AH278+AI310*AI278+AJ310*AJ278+AK310*AK278+AL310*AL278+AM310*AM278+AN310*AN278+AO310*AO278+AP310*AP278+AQ310*AQ278+AR310*AR278+AS310*AS278+AT310*AT278+AU310*AU278+AV310*AV278+AW310*AW278+AX310*AX278+AY310*AY278+AZ310*AZ278+BA310*BA278+BB310*BB278+BC310*BC278+BD310*BD278+BE310*BE278+BF310*BF278+BG310*BG278+BH310*BH278+BI310*BI278+BJ310*BJ278+BK310*BK278+BL310*BL278+BM310*BM278+BN310*BN278+BO310*BO278+BP310*BP278+BQ310*BQ278+BR310*BR278+BS310*BS278+BT310*BT278+BU310*BU278+BV310*BV278+BW310*BW278+BX310*BX278+BY310*BY278+BZ310*BZ278+CA310*CA278+CB310*CB278+CC310*CC278+CD310*CD278+CE310*CE278+CF310*CF278+CG310*CG278+CH310*CH278+CI310*CI278+CJ310*CJ278+CK310*CK278+CL310*CL278+CM310*CM278+CN310*CN278+CO310*CO278+CP310*CP278+CQ310*CQ278+CR310*CR278+CS310*CS278+CT310*CT278+CU310*CU278</f>
        <v>0</v>
      </c>
    </row>
    <row r="279" spans="2:113" ht="16.149999999999999" thickBot="1" x14ac:dyDescent="0.5">
      <c r="B279" s="2221">
        <v>120</v>
      </c>
      <c r="C279" s="2221" t="s">
        <v>5502</v>
      </c>
      <c r="D279" s="2589" t="s">
        <v>5442</v>
      </c>
      <c r="E279" s="2590">
        <f>0</f>
        <v>0</v>
      </c>
      <c r="F279" s="2590">
        <f>0</f>
        <v>0</v>
      </c>
      <c r="G279" s="2590">
        <f>0</f>
        <v>0</v>
      </c>
      <c r="H279" s="2590">
        <f>0</f>
        <v>0</v>
      </c>
      <c r="I279" s="2590">
        <f>0</f>
        <v>0</v>
      </c>
      <c r="J279" s="2590">
        <f>0</f>
        <v>0</v>
      </c>
      <c r="K279" s="2590">
        <f>0</f>
        <v>0</v>
      </c>
      <c r="L279" s="2590">
        <f>0</f>
        <v>0</v>
      </c>
      <c r="M279" s="2590">
        <f>0</f>
        <v>0</v>
      </c>
      <c r="N279" s="2590">
        <f>0</f>
        <v>0</v>
      </c>
      <c r="O279" s="2590">
        <f>0</f>
        <v>0</v>
      </c>
      <c r="P279" s="2590">
        <f>0</f>
        <v>0</v>
      </c>
      <c r="Q279" s="2591">
        <f>0</f>
        <v>0</v>
      </c>
      <c r="R279" s="2590">
        <f>0</f>
        <v>0</v>
      </c>
      <c r="S279" s="2590">
        <f>0</f>
        <v>0</v>
      </c>
      <c r="T279" s="2590">
        <f>0</f>
        <v>0</v>
      </c>
      <c r="U279" s="2590">
        <f>0</f>
        <v>0</v>
      </c>
      <c r="V279" s="2590">
        <f>0</f>
        <v>0</v>
      </c>
      <c r="W279" s="2590">
        <f>0</f>
        <v>0</v>
      </c>
      <c r="X279" s="2590">
        <f>0</f>
        <v>0</v>
      </c>
      <c r="Y279" s="2590">
        <f>0</f>
        <v>0</v>
      </c>
      <c r="Z279" s="2591">
        <f>0</f>
        <v>0</v>
      </c>
      <c r="AA279" s="2591">
        <f>1</f>
        <v>1</v>
      </c>
      <c r="AB279" s="2592">
        <f t="shared" si="7"/>
        <v>-7.0000000000000007E-2</v>
      </c>
      <c r="AC279" s="2592">
        <f>0</f>
        <v>0</v>
      </c>
      <c r="AD279" s="2591">
        <f>0</f>
        <v>0</v>
      </c>
      <c r="AE279" s="2591">
        <f>-(E_EQH2S-E_EQS-Y_SOO_H2S_anox)/(E_EQN2_NO2*Y_SOO_H2S_anox)</f>
        <v>-0.30421537011233529</v>
      </c>
      <c r="AF279" s="2591">
        <f>0</f>
        <v>0</v>
      </c>
      <c r="AG279" s="2591">
        <f>0</f>
        <v>0</v>
      </c>
      <c r="AH279" s="2591">
        <f>0</f>
        <v>0</v>
      </c>
      <c r="AI279" s="2591">
        <f>(E_EQH2S-E_EQS-Y_SOO_H2S_anox)/(E_EQN2_NO2*Y_SOO_H2S_anox)</f>
        <v>0.30421537011233529</v>
      </c>
      <c r="AJ279" s="2590">
        <f>0</f>
        <v>0</v>
      </c>
      <c r="AK279" s="2590">
        <f>0</f>
        <v>0</v>
      </c>
      <c r="AL279" s="2590">
        <f>0</f>
        <v>0</v>
      </c>
      <c r="AM279" s="2592">
        <f t="shared" si="8"/>
        <v>-0.02</v>
      </c>
      <c r="AN279" s="2590">
        <f>0</f>
        <v>0</v>
      </c>
      <c r="AO279" s="2590">
        <f>0</f>
        <v>0</v>
      </c>
      <c r="AP279" s="2590">
        <f>0</f>
        <v>0</v>
      </c>
      <c r="AQ279" s="2590">
        <f>0</f>
        <v>0</v>
      </c>
      <c r="AR279" s="2590">
        <f>0</f>
        <v>0</v>
      </c>
      <c r="AS279" s="2590">
        <f>0</f>
        <v>0</v>
      </c>
      <c r="AT279" s="2593">
        <f>0</f>
        <v>0</v>
      </c>
      <c r="AU279" s="2591">
        <f t="shared" si="9"/>
        <v>-0.35199999999999998</v>
      </c>
      <c r="AV279" s="2590">
        <f t="shared" si="10"/>
        <v>0.11</v>
      </c>
      <c r="AW279" s="2590">
        <f t="shared" si="11"/>
        <v>-2.8804303582798466E-2</v>
      </c>
      <c r="AX279" s="2590">
        <f t="shared" si="12"/>
        <v>-7.0195696417201539E-2</v>
      </c>
      <c r="AY279" s="2590">
        <f t="shared" si="13"/>
        <v>-5.5000000000000005E-3</v>
      </c>
      <c r="AZ279" s="2590">
        <f t="shared" si="14"/>
        <v>-5.5000000000000005E-3</v>
      </c>
      <c r="BA279" s="2590">
        <f>0</f>
        <v>0</v>
      </c>
      <c r="BB279" s="2592">
        <f>-1/Y_SOO_H2S_anox</f>
        <v>-3.0487804878048781</v>
      </c>
      <c r="BC279" s="2592">
        <f>-i_S_BIO</f>
        <v>-0.01</v>
      </c>
      <c r="BD279" s="2592">
        <f>1/Y_SOO_H2S_anox</f>
        <v>3.0487804878048781</v>
      </c>
      <c r="BE279" s="2590">
        <f>0</f>
        <v>0</v>
      </c>
      <c r="BF279" s="2590">
        <f>0</f>
        <v>0</v>
      </c>
      <c r="BG279" s="2590">
        <f>0</f>
        <v>0</v>
      </c>
      <c r="BH279" s="2590">
        <f>0</f>
        <v>0</v>
      </c>
      <c r="BI279" s="2590">
        <f>0</f>
        <v>0</v>
      </c>
      <c r="BJ279" s="2590">
        <f>0</f>
        <v>0</v>
      </c>
      <c r="BK279" s="2590">
        <f>0</f>
        <v>0</v>
      </c>
      <c r="BL279" s="2590">
        <f>0</f>
        <v>0</v>
      </c>
      <c r="BM279" s="2590">
        <f>0</f>
        <v>0</v>
      </c>
      <c r="BN279" s="2590">
        <f>0</f>
        <v>0</v>
      </c>
      <c r="BO279" s="2590">
        <f>0</f>
        <v>0</v>
      </c>
      <c r="BP279" s="2590">
        <f>0</f>
        <v>0</v>
      </c>
      <c r="BQ279" s="2590">
        <f>0</f>
        <v>0</v>
      </c>
      <c r="BR279" s="2590">
        <f>0</f>
        <v>0</v>
      </c>
      <c r="BS279" s="2590">
        <f>0</f>
        <v>0</v>
      </c>
      <c r="BT279" s="2590">
        <f>0</f>
        <v>0</v>
      </c>
      <c r="BU279" s="2590">
        <f>0</f>
        <v>0</v>
      </c>
      <c r="BV279" s="2590">
        <f>0</f>
        <v>0</v>
      </c>
      <c r="BW279" s="2590">
        <f>0</f>
        <v>0</v>
      </c>
      <c r="BX279" s="2590">
        <f>0</f>
        <v>0</v>
      </c>
      <c r="BY279" s="2590">
        <f>0</f>
        <v>0</v>
      </c>
      <c r="BZ279" s="2590">
        <f>0</f>
        <v>0</v>
      </c>
      <c r="CA279" s="2590">
        <f>0</f>
        <v>0</v>
      </c>
      <c r="CB279" s="2590">
        <f>0</f>
        <v>0</v>
      </c>
      <c r="CC279" s="2590">
        <f>0</f>
        <v>0</v>
      </c>
      <c r="CD279" s="2590">
        <f>0</f>
        <v>0</v>
      </c>
      <c r="CE279" s="2590">
        <f>0</f>
        <v>0</v>
      </c>
      <c r="CF279" s="2590">
        <f>0</f>
        <v>0</v>
      </c>
      <c r="CG279" s="2590">
        <f>0</f>
        <v>0</v>
      </c>
      <c r="CH279" s="2590">
        <f>0</f>
        <v>0</v>
      </c>
      <c r="CI279" s="2590">
        <f>0</f>
        <v>0</v>
      </c>
      <c r="CJ279" s="2590">
        <f>0</f>
        <v>0</v>
      </c>
      <c r="CK279" s="2590">
        <f>0</f>
        <v>0</v>
      </c>
      <c r="CL279" s="2590">
        <f>0</f>
        <v>0</v>
      </c>
      <c r="CM279" s="2590">
        <f>0</f>
        <v>0</v>
      </c>
      <c r="CN279" s="2590">
        <f>0</f>
        <v>0</v>
      </c>
      <c r="CO279" s="2590">
        <f>0</f>
        <v>0</v>
      </c>
      <c r="CP279" s="2590">
        <f>0</f>
        <v>0</v>
      </c>
      <c r="CQ279" s="2590">
        <f>0</f>
        <v>0</v>
      </c>
      <c r="CR279" s="2590">
        <f>0</f>
        <v>0</v>
      </c>
      <c r="CS279" s="2590">
        <f>0</f>
        <v>0</v>
      </c>
      <c r="CT279" s="2590">
        <f>0</f>
        <v>0</v>
      </c>
      <c r="CU279" s="2590">
        <f>0</f>
        <v>0</v>
      </c>
      <c r="CV279" s="2877">
        <f>µ_SOO_H2S_T*X_SOO*M_satSCO2_KCO2_BIO*M_satSNO2_KNO2_H2S_SOO*H_satSH2S_KH2S_SOO*M_satSNHx_KNHx_BIO*M_satSPO4_KPO4_BIO*M_satSCAT_KCAT*M_satSAN_KAN*M_satSCa_KCa*M_satSMg_KMg*M_satSSO4_KSO4_BIO*M_inhSO2_KO2_H2S_SOO*B_ellinhpH</f>
        <v>0.96205530872839429</v>
      </c>
      <c r="CX279" s="2880">
        <f>E299*E279+F299*F279+G299*G279+H299*H279+I299*I279+J299*J279+K299*K279+L299*L279+M299*M279+N299*N279+O299*O279+P299*P279+Q299*Q279+R299*R279+S299*S279+T299*T279+U299*U279+V299*V279+W299*W279+X299*X279+Y299*Y279+Z299*Z279+AA299*AA279+AB299*AB279+AC299*AC279+AD299*AD279+AE299*AE279+AF299*AF279+AG299*AG279+AH299*AH279+AI299*AI279+AJ299*AJ279+AK299*AK279+AL299*AL279+AM299*AM279+AN299*AN279+AO299*AO279+AP299*AP279+AQ299*AQ279+AR299*AR279+AS299*AS279+AT299*AT279+AU299*AU279+AV299*AV279+AW299*AW279+AX299*AX279+AY299*AY279+AZ299*AZ279+BA299*BA279+BB299*BB279+BC299*BC279+BD299*BD279+BE299*BE279+BF299*BF279+BG299*BG279+BH299*BH279+BI299*BI279+BJ299*BJ279+BK299*BK279+BL299*BL279+BM299*BM279+BN299*BN279+BO299*BO279+BP299*BP279+BQ299*BQ279+BR299*BR279+BS299*BS279+BT299*BT279+BU299*BU279+BV299*BV279+BW299*BW279+BX299*BX279+BY299*BY279+BZ299*BZ279+CA299*CA279+CB299*CB279+CC299*CC279+CD299*CD279+CE299*CE279+CF299*CF279+CG299*CG279+CH299*CH279+CI299*CI279+CJ299*CJ279+CK299*CK279+CL299*CL279+CM299*CM279+CN299*CN279+CO299*CO279+CP299*CP279+CQ299*CQ279+CR299*CR279+CS299*CS279+CT299*CT279+CU299*CU279</f>
        <v>0</v>
      </c>
      <c r="CY279" s="2880">
        <f>E300*E279+F300*F279+G300*G279+H300*H279+I300*I279+J300*J279+K300*K279+L300*L279+M300*M279+N300*N279+O300*O279+P300*P279+Q300*Q279+R300*R279+S300*S279+T300*T279+U300*U279+V300*V279+W300*W279+X300*X279+Y300*Y279+Z300*Z279+AA300*AA279+AB300*AB279+AC300*AC279+AD300*AD279+AE300*AE279+AF300*AF279+AG300*AG279+AH300*AH279+AI300*AI279+AJ300*AJ279+AK300*AK279+AL300*AL279+AM300*AM279+AN300*AN279+AO300*AO279+AP300*AP279+AQ300*AQ279+AR300*AR279+AS300*AS279+AT300*AT279+AU300*AU279+AV300*AV279+AW300*AW279+AX300*AX279+AY300*AY279+AZ300*AZ279+BA300*BA279+BB300*BB279+BC300*BC279+BD300*BD279+BE300*BE279+BF300*BF279+BG300*BG279+BH300*BH279+BI300*BI279+BJ300*BJ279+BK300*BK279+BL300*BL279+BM300*BM279+BN300*BN279+BO300*BO279+BP300*BP279+BQ300*BQ279+BR300*BR279+BS300*BS279+BT300*BT279+BU300*BU279+BV300*BV279+BW300*BW279+BX300*BX279+BY300*BY279+BZ300*BZ279+CA300*CA279+CB300*CB279+CC300*CC279+CD300*CD279+CE300*CE279+CF300*CF279+CG300*CG279+CH300*CH279+CI300*CI279+CJ300*CJ279+CK300*CK279+CL300*CL279+CM300*CM279+CN300*CN279+CO300*CO279+CP300*CP279+CQ300*CQ279+CR300*CR279+CS300*CS279+CT300*CT279+CU300*CU279</f>
        <v>0</v>
      </c>
      <c r="CZ279" s="2881">
        <f>E301*E279+F301*F279+G301*G279+H301*H279+I301*I279+J301*J279+K301*K279+L301*L279+M301*M279+N301*N279+O301*O279+P301*P279+Q301*Q279+R301*R279+S301*S279+T301*T279+U301*U279+V301*V279+W301*W279+X301*X279+Y301*Y279+Z301*Z279+AA301*AA279+AB301*AB279+AC301*AC279+AD301*AD279+AE301*AE279+AF301*AF279+AG301*AG279+AH301*AH279+AI301*AI279+AJ301*AJ279+AK301*AK279+AL301*AL279+AM301*AM279+AN301*AN279+AO301*AO279+AP301*AP279+AQ301*AQ279+AR301*AR279+AS301*AS279+AT301*AT279+AU301*AU279+AV301*AV279+AW301*AW279+AX301*AX279+AY301*AY279+AZ301*AZ279+BA301*BA279+BB301*BB279+BC301*BC279+BD301*BD279+BE301*BE279+BF301*BF279+BG301*BG279+BH301*BH279+BI301*BI279+BJ301*BJ279+BK301*BK279+BL301*BL279+BM301*BM279+BN301*BN279+BO301*BO279+BP301*BP279+BQ301*BQ279+BR301*BR279+BS301*BS279+BT301*BT279+BU301*BU279+BV301*BV279+BW301*BW279+BX301*BX279+BY301*BY279+BZ301*BZ279+CA301*CA279+CB301*CB279+CC301*CC279+CD301*CD279+CE301*CE279+CF301*CF279+CG301*CG279+CH301*CH279+CI301*CI279+CJ301*CJ279+CK301*CK279+CL301*CL279+CM301*CM279+CN301*CN279+CO301*CO279+CP301*CP279+CQ301*CQ279+CR301*CR279+CS301*CS279+CT301*CT279+CU301*CU279</f>
        <v>0</v>
      </c>
      <c r="DA279" s="2882">
        <f>E302*E279+F302*F279+G302*G279+H302*H279+I302*I279+J302*J279+K302*K279+L302*L279+M302*M279+N302*N279+O302*O279+P302*P279+Q302*Q279+R302*R279+S302*S279+T302*T279+U302*U279+V302*V279+W302*W279+X302*X279+Y302*Y279+Z302*Z279+AA302*AA279+AB302*AB279+AC302*AC279+AD302*AD279+AE302*AE279+AF302*AF279+AG302*AG279+AH302*AH279+AI302*AI279+AJ302*AJ279+AK302*AK279+AL302*AL279+AM302*AM279+AN302*AN279+AO302*AO279+AP302*AP279+AQ302*AQ279+AR302*AR279+AS302*AS279+AT302*AT279+AU302*AU279+AV302*AV279+AW302*AW279+AX302*AX279+AY302*AY279+AZ302*AZ279+BA302*BA279+BB302*BB279+BC302*BC279+BD302*BD279+BE302*BE279+BF302*BF279+BG302*BG279+BH302*BH279+BI302*BI279+BJ302*BJ279+BK302*BK279+BL302*BL279+BM302*BM279+BN302*BN279+BO302*BO279+BP302*BP279+BQ302*BQ279+BR302*BR279+BS302*BS279+BT302*BT279+BU302*BU279+BV302*BV279+BW302*BW279+BX302*BX279+BY302*BY279+BZ302*BZ279+CA302*CA279+CB302*CB279+CC302*CC279+CD302*CD279+CE302*CE279+CF302*CF279+CG302*CG279+CH302*CH279+CI302*CI279+CJ302*CJ279+CK302*CK279+CL302*CL279+CM302*CM279+CN302*CN279+CO302*CO279+CP302*CP279+CQ302*CQ279+CR302*CR279+CS302*CS279+CT302*CT279+CU302*CU279</f>
        <v>0</v>
      </c>
      <c r="DB279" s="2882">
        <f>E303*E279+F303*F279+G303*G279+H303*H279+I303*I279+J303*J279+K303*K279+L303*L279+M303*M279+N303*N279+O303*O279+P303*P279+Q303*Q279+R303*R279+S303*S279+T303*T279+U303*U279+V303*V279+W303*W279+X303*X279+Y303*Y279+Z303*Z279+AA303*AA279+AB303*AB279+AC303*AC279+AD303*AD279+AE303*AE279+AF303*AF279+AG303*AG279+AH303*AH279+AI303*AI279+AJ303*AJ279+AK303*AK279+AL303*AL279+AM303*AM279+AN303*AN279+AO303*AO279+AP303*AP279+AQ303*AQ279+AR303*AR279+AS303*AS279+AT303*AT279+AU303*AU279+AV303*AV279+AW303*AW279+AX303*AX279+AY303*AY279+AZ303*AZ279+BA303*BA279+BB303*BB279+BC303*BC279+BD303*BD279+BE303*BE279+BF303*BF279+BG303*BG279+BH303*BH279+BI303*BI279+BJ303*BJ279+BK303*BK279+BL303*BL279+BM303*BM279+BN303*BN279+BO303*BO279+BP303*BP279+BQ303*BQ279+BR303*BR279+BS303*BS279+BT303*BT279+BU303*BU279+BV303*BV279+BW303*BW279+BX303*BX279+BY303*BY279+BZ303*BZ279+CA303*CA279+CB303*CB279+CC303*CC279+CD303*CD279+CE303*CE279+CF303*CF279+CG303*CG279+CH303*CH279+CI303*CI279+CJ303*CJ279+CK303*CK279+CL303*CL279+CM303*CM279+CN303*CN279+CO303*CO279+CP303*CP279+CQ303*CQ279+CR303*CR279+CS303*CS279+CT303*CT279+CU303*CU279</f>
        <v>0</v>
      </c>
      <c r="DC279" s="2882">
        <f>E304*E279+F304*F279+G304*G279+H304*H279+I304*I279+J304*J279+K304*K279+L304*L279+M304*M279+N304*N279+O304*O279+P304*P279+Q304*Q279+R304*R279+S304*S279+T304*T279+U304*U279+V304*V279+W304*W279+X304*X279+Y304*Y279+Z304*Z279+AA304*AA279+AB304*AB279+AC304*AC279+AD304*AD279+AE304*AE279+AF304*AF279+AG304*AG279+AH304*AH279+AI304*AI279+AJ304*AJ279+AK304*AK279+AL304*AL279+AM304*AM279+AN304*AN279+AO304*AO279+AP304*AP279+AQ304*AQ279+AR304*AR279+AS304*AS279+AT304*AT279+AU304*AU279+AV304*AV279+AW304*AW279+AX304*AX279+AY304*AY279+AZ304*AZ279+BA304*BA279+BB304*BB279+BC304*BC279+BD304*BD279+BE304*BE279+BF304*BF279+BG304*BG279+BH304*BH279+BI304*BI279+BJ304*BJ279+BK304*BK279+BL304*BL279+BM304*BM279+BN304*BN279+BO304*BO279+BP304*BP279+BQ304*BQ279+BR304*BR279+BS304*BS279+BT304*BT279+BU304*BU279+BV304*BV279+BW304*BW279+BX304*BX279+BY304*BY279+BZ304*BZ279+CA304*CA279+CB304*CB279+CC304*CC279+CD304*CD279+CE304*CE279+CF304*CF279+CG304*CG279+CH304*CH279+CI304*CI279+CJ304*CJ279+CK304*CK279+CL304*CL279+CM304*CM279+CN304*CN279+CO304*CO279+CP304*CP279+CQ304*CQ279+CR304*CR279+CS304*CS279+CT304*CT279+CU304*CU279</f>
        <v>0</v>
      </c>
      <c r="DD279" s="2882">
        <f>E305*E279+F305*F279+G305*G279+H305*H279+I305*I279+J305*J279+K305*K279+L305*L279+M305*M279+N305*N279+O305*O279+P305*P279+Q305*Q279+R305*R279+S305*S279+T305*T279+U305*U279+V305*V279+W305*W279+X305*X279+Y305*Y279+Z305*Z279+AA305*AA279+AB305*AB279+AC305*AC279+AD305*AD279+AE305*AE279+AF305*AF279+AG305*AG279+AH305*AH279+AI305*AI279+AJ305*AJ279+AK305*AK279+AL305*AL279+AM305*AM279+AN305*AN279+AO305*AO279+AP305*AP279+AQ305*AQ279+AR305*AR279+AS305*AS279+AT305*AT279+AU305*AU279+AV305*AV279+AW305*AW279+AX305*AX279+AY305*AY279+AZ305*AZ279+BA305*BA279+BB305*BB279+BC305*BC279+BD305*BD279+BE305*BE279+BF305*BF279+BG305*BG279+BH305*BH279+BI305*BI279+BJ305*BJ279+BK305*BK279+BL305*BL279+BM305*BM279+BN305*BN279+BO305*BO279+BP305*BP279+BQ305*BQ279+BR305*BR279+BS305*BS279+BT305*BT279+BU305*BU279+BV305*BV279+BW305*BW279+BX305*BX279+BY305*BY279+BZ305*BZ279+CA305*CA279+CB305*CB279+CC305*CC279+CD305*CD279+CE305*CE279+CF305*CF279+CG305*CG279+CH305*CH279+CI305*CI279+CJ305*CJ279+CK305*CK279+CL305*CL279+CM305*CM279+CN305*CN279+CO305*CO279+CP305*CP279+CQ305*CQ279+CR305*CR279+CS305*CS279+CT305*CT279+CU305*CU279</f>
        <v>0</v>
      </c>
      <c r="DE279" s="2882">
        <f>E306*E279+F306*F279+G306*G279+H306*H279+I306*I279+J306*J279+K306*K279+L306*L279+M306*M279+N306*N279+O306*O279+P306*P279+Q306*Q279+R306*R279+S306*S279+T306*T279+U306*U279+V306*V279+W306*W279+X306*X279+Y306*Y279+Z306*Z279+AA306*AA279+AB306*AB279+AC306*AC279+AD306*AD279+AE306*AE279+AF306*AF279+AG306*AG279+AH306*AH279+AI306*AI279+AJ306*AJ279+AK306*AK279+AL306*AL279+AM306*AM279+AN306*AN279+AO306*AO279+AP306*AP279+AQ306*AQ279+AR306*AR279+AS306*AS279+AT306*AT279+AU306*AU279+AV306*AV279+AW306*AW279+AX306*AX279+AY306*AY279+AZ306*AZ279+BA306*BA279+BB306*BB279+BC306*BC279+BD306*BD279+BE306*BE279+BF306*BF279+BG306*BG279+BH306*BH279+BI306*BI279+BJ306*BJ279+BK306*BK279+BL306*BL279+BM306*BM279+BN306*BN279+BO306*BO279+BP306*BP279+BQ306*BQ279+BR306*BR279+BS306*BS279+BT306*BT279+BU306*BU279+BV306*BV279+BW306*BW279+BX306*BX279+BY306*BY279+BZ306*BZ279+CA306*CA279+CB306*CB279+CC306*CC279+CD306*CD279+CE306*CE279+CF306*CF279+CG306*CG279+CH306*CH279+CI306*CI279+CJ306*CJ279+CK306*CK279+CL306*CL279+CM306*CM279+CN306*CN279+CO306*CO279+CP306*CP279+CQ306*CQ279+CR306*CR279+CS306*CS279+CT306*CT279+CU306*CU279</f>
        <v>0</v>
      </c>
      <c r="DF279" s="2882">
        <f>E307*E279+F307*F279+G307*G279+H307*H279+I307*I279+J307*J279+K307*K279+L307*L279+M307*M279+N307*N279+O307*O279+P307*P279+Q307*Q279+R307*R279+S307*S279+T307*T279+U307*U279+V307*V279+W307*W279+X307*X279+Y307*Y279+Z307*Z279+AA307*AA279+AB307*AB279+AC307*AC279+AD307*AD279+AE307*AE279+AF307*AF279+AG307*AG279+AH307*AH279+AI307*AI279+AJ307*AJ279+AK307*AK279+AL307*AL279+AM307*AM279+AN307*AN279+AO307*AO279+AP307*AP279+AQ307*AQ279+AR307*AR279+AS307*AS279+AT307*AT279+AU307*AU279+AV307*AV279+AW307*AW279+AX307*AX279+AY307*AY279+AZ307*AZ279+BA307*BA279+BB307*BB279+BC307*BC279+BD307*BD279+BE307*BE279+BF307*BF279+BG307*BG279+BH307*BH279+BI307*BI279+BJ307*BJ279+BK307*BK279+BL307*BL279+BM307*BM279+BN307*BN279+BO307*BO279+BP307*BP279+BQ307*BQ279+BR307*BR279+BS307*BS279+BT307*BT279+BU307*BU279+BV307*BV279+BW307*BW279+BX307*BX279+BY307*BY279+BZ307*BZ279+CA307*CA279+CB307*CB279+CC307*CC279+CD307*CD279+CE307*CE279+CF307*CF279+CG307*CG279+CH307*CH279+CI307*CI279+CJ307*CJ279+CK307*CK279+CL307*CL279+CM307*CM279+CN307*CN279+CO307*CO279+CP307*CP279+CQ307*CQ279+CR307*CR279+CS307*CS279+CT307*CT279+CU307*CU279</f>
        <v>0</v>
      </c>
      <c r="DG279" s="2882">
        <f>E308*E279+F308*F279+G308*G279+H308*H279+I308*I279+J308*J279+K308*K279+L308*L279+M308*M279+N308*N279+O308*O279+P308*P279+Q308*Q279+R308*R279+S308*S279+T308*T279+U308*U279+V308*V279+W308*W279+X308*X279+Y308*Y279+Z308*Z279+AA308*AA279+AB308*AB279+AC308*AC279+AD308*AD279+AE308*AE279+AF308*AF279+AG308*AG279+AH308*AH279+AI308*AI279+AJ308*AJ279+AK308*AK279+AL308*AL279+AM308*AM279+AN308*AN279+AO308*AO279+AP308*AP279+AQ308*AQ279+AR308*AR279+AS308*AS279+AT308*AT279+AU308*AU279+AV308*AV279+AW308*AW279+AX308*AX279+AY308*AY279+AZ308*AZ279+BA308*BA279+BB308*BB279+BC308*BC279+BD308*BD279+BE308*BE279+BF308*BF279+BG308*BG279+BH308*BH279+BI308*BI279+BJ308*BJ279+BK308*BK279+BL308*BL279+BM308*BM279+BN308*BN279+BO308*BO279+BP308*BP279+BQ308*BQ279+BR308*BR279+BS308*BS279+BT308*BT279+BU308*BU279+BV308*BV279+BW308*BW279+BX308*BX279+BY308*BY279+BZ308*BZ279+CA308*CA279+CB308*CB279+CC308*CC279+CD308*CD279+CE308*CE279+CF308*CF279+CG308*CG279+CH308*CH279+CI308*CI279+CJ308*CJ279+CK308*CK279+CL308*CL279+CM308*CM279+CN308*CN279+CO308*CO279+CP308*CP279+CQ308*CQ279+CR308*CR279+CS308*CS279+CT308*CT279+CU308*CU279</f>
        <v>0</v>
      </c>
      <c r="DH279" s="2882">
        <f>E309*E279+F309*F279+G309*G279+H309*H279+I309*I279+J309*J279+K309*K279+L309*L279+M309*M279+N309*N279+O309*O279+P309*P279+Q309*Q279+R309*R279+S309*S279+T309*T279+U309*U279+V309*V279+W309*W279+X309*X279+Y309*Y279+Z309*Z279+AA309*AA279+AB309*AB279+AC309*AC279+AD309*AD279+AE309*AE279+AF309*AF279+AG309*AG279+AH309*AH279+AI309*AI279+AJ309*AJ279+AK309*AK279+AL309*AL279+AM309*AM279+AN309*AN279+AO309*AO279+AP309*AP279+AQ309*AQ279+AR309*AR279+AS309*AS279+AT309*AT279+AU309*AU279+AV309*AV279+AW309*AW279+AX309*AX279+AY309*AY279+AZ309*AZ279+BA309*BA279+BB309*BB279+BC309*BC279+BD309*BD279+BE309*BE279+BF309*BF279+BG309*BG279+BH309*BH279+BI309*BI279+BJ309*BJ279+BK309*BK279+BL309*BL279+BM309*BM279+BN309*BN279+BO309*BO279+BP309*BP279+BQ309*BQ279+BR309*BR279+BS309*BS279+BT309*BT279+BU309*BU279+BV309*BV279+BW309*BW279+BX309*BX279+BY309*BY279+BZ309*BZ279+CA309*CA279+CB309*CB279+CC309*CC279+CD309*CD279+CE309*CE279+CF309*CF279+CG309*CG279+CH309*CH279+CI309*CI279+CJ309*CJ279+CK309*CK279+CL309*CL279+CM309*CM279+CN309*CN279+CO309*CO279+CP309*CP279+CQ309*CQ279+CR309*CR279+CS309*CS279+CT309*CT279+CU309*CU279</f>
        <v>0</v>
      </c>
      <c r="DI279" s="2882">
        <f>E310*E279+F310*F279+G310*G279+H310*H279+I310*I279+J310*J279+K310*K279+L310*L279+M310*M279+N310*N279+O310*O279+P310*P279+Q310*Q279+R310*R279+S310*S279+T310*T279+U310*U279+V310*V279+W310*W279+X310*X279+Y310*Y279+Z310*Z279+AA310*AA279+AB310*AB279+AC310*AC279+AD310*AD279+AE310*AE279+AF310*AF279+AG310*AG279+AH310*AH279+AI310*AI279+AJ310*AJ279+AK310*AK279+AL310*AL279+AM310*AM279+AN310*AN279+AO310*AO279+AP310*AP279+AQ310*AQ279+AR310*AR279+AS310*AS279+AT310*AT279+AU310*AU279+AV310*AV279+AW310*AW279+AX310*AX279+AY310*AY279+AZ310*AZ279+BA310*BA279+BB310*BB279+BC310*BC279+BD310*BD279+BE310*BE279+BF310*BF279+BG310*BG279+BH310*BH279+BI310*BI279+BJ310*BJ279+BK310*BK279+BL310*BL279+BM310*BM279+BN310*BN279+BO310*BO279+BP310*BP279+BQ310*BQ279+BR310*BR279+BS310*BS279+BT310*BT279+BU310*BU279+BV310*BV279+BW310*BW279+BX310*BX279+BY310*BY279+BZ310*BZ279+CA310*CA279+CB310*CB279+CC310*CC279+CD310*CD279+CE310*CE279+CF310*CF279+CG310*CG279+CH310*CH279+CI310*CI279+CJ310*CJ279+CK310*CK279+CL310*CL279+CM310*CM279+CN310*CN279+CO310*CO279+CP310*CP279+CQ310*CQ279+CR310*CR279+CS310*CS279+CT310*CT279+CU310*CU279</f>
        <v>0</v>
      </c>
    </row>
    <row r="280" spans="2:113" ht="15.75" x14ac:dyDescent="0.45">
      <c r="B280" s="2219">
        <v>121</v>
      </c>
      <c r="C280" s="2219" t="s">
        <v>5505</v>
      </c>
      <c r="D280" s="2589" t="s">
        <v>5448</v>
      </c>
      <c r="E280" s="2590">
        <f>0</f>
        <v>0</v>
      </c>
      <c r="F280" s="2590">
        <f>0</f>
        <v>0</v>
      </c>
      <c r="G280" s="2590">
        <f>0</f>
        <v>0</v>
      </c>
      <c r="H280" s="2590">
        <f>0</f>
        <v>0</v>
      </c>
      <c r="I280" s="2590">
        <f>0</f>
        <v>0</v>
      </c>
      <c r="J280" s="2590">
        <f>0</f>
        <v>0</v>
      </c>
      <c r="K280" s="2590">
        <f>0</f>
        <v>0</v>
      </c>
      <c r="L280" s="2590">
        <f>0</f>
        <v>0</v>
      </c>
      <c r="M280" s="2590">
        <f>0</f>
        <v>0</v>
      </c>
      <c r="N280" s="2590">
        <f>0</f>
        <v>0</v>
      </c>
      <c r="O280" s="2590">
        <f>0</f>
        <v>0</v>
      </c>
      <c r="P280" s="2590">
        <f>0</f>
        <v>0</v>
      </c>
      <c r="Q280" s="2591">
        <f>0</f>
        <v>0</v>
      </c>
      <c r="R280" s="2590">
        <f>0</f>
        <v>0</v>
      </c>
      <c r="S280" s="2590">
        <f>0</f>
        <v>0</v>
      </c>
      <c r="T280" s="2590">
        <f>0</f>
        <v>0</v>
      </c>
      <c r="U280" s="2590">
        <f>0</f>
        <v>0</v>
      </c>
      <c r="V280" s="2590">
        <f>0</f>
        <v>0</v>
      </c>
      <c r="W280" s="2590">
        <f>0</f>
        <v>0</v>
      </c>
      <c r="X280" s="2590">
        <f>0</f>
        <v>0</v>
      </c>
      <c r="Y280" s="2590">
        <f>0</f>
        <v>0</v>
      </c>
      <c r="Z280" s="2591">
        <f>0</f>
        <v>0</v>
      </c>
      <c r="AA280" s="2591">
        <f>1</f>
        <v>1</v>
      </c>
      <c r="AB280" s="2592">
        <f t="shared" si="7"/>
        <v>-7.0000000000000007E-2</v>
      </c>
      <c r="AC280" s="2592">
        <f>0</f>
        <v>0</v>
      </c>
      <c r="AD280" s="2591">
        <f>-(E_EQH2S-E_EQS-Y_SOO_H2S_anox)/(E_EQNO2_NO3*Y_SOO_H2S_anox)</f>
        <v>-0.45632305516850286</v>
      </c>
      <c r="AE280" s="2591">
        <f>(E_EQH2S-E_EQS-Y_SOO_H2S_anox)/(E_EQNO2_NO3*Y_SOO_H2S_anox)</f>
        <v>0.45632305516850286</v>
      </c>
      <c r="AF280" s="2591">
        <f>0</f>
        <v>0</v>
      </c>
      <c r="AG280" s="2591">
        <f>0</f>
        <v>0</v>
      </c>
      <c r="AH280" s="2591">
        <f>0</f>
        <v>0</v>
      </c>
      <c r="AI280" s="2591">
        <f>0</f>
        <v>0</v>
      </c>
      <c r="AJ280" s="2590">
        <f>0</f>
        <v>0</v>
      </c>
      <c r="AK280" s="2590">
        <f>0</f>
        <v>0</v>
      </c>
      <c r="AL280" s="2590">
        <f>0</f>
        <v>0</v>
      </c>
      <c r="AM280" s="2592">
        <f t="shared" si="8"/>
        <v>-0.02</v>
      </c>
      <c r="AN280" s="2590">
        <f>0</f>
        <v>0</v>
      </c>
      <c r="AO280" s="2590">
        <f>0</f>
        <v>0</v>
      </c>
      <c r="AP280" s="2590">
        <f>0</f>
        <v>0</v>
      </c>
      <c r="AQ280" s="2590">
        <f>0</f>
        <v>0</v>
      </c>
      <c r="AR280" s="2590">
        <f>0</f>
        <v>0</v>
      </c>
      <c r="AS280" s="2590">
        <f>0</f>
        <v>0</v>
      </c>
      <c r="AT280" s="2593">
        <f>0</f>
        <v>0</v>
      </c>
      <c r="AU280" s="2591">
        <f t="shared" si="9"/>
        <v>-0.35199999999999998</v>
      </c>
      <c r="AV280" s="2590">
        <f t="shared" si="10"/>
        <v>0.11</v>
      </c>
      <c r="AW280" s="2590">
        <f t="shared" si="11"/>
        <v>-2.8804303582798466E-2</v>
      </c>
      <c r="AX280" s="2590">
        <f t="shared" si="12"/>
        <v>-7.0195696417201539E-2</v>
      </c>
      <c r="AY280" s="2590">
        <f t="shared" si="13"/>
        <v>-5.5000000000000005E-3</v>
      </c>
      <c r="AZ280" s="2590">
        <f t="shared" si="14"/>
        <v>-5.5000000000000005E-3</v>
      </c>
      <c r="BA280" s="2590">
        <f>0</f>
        <v>0</v>
      </c>
      <c r="BB280" s="2592">
        <f>-1/Y_SOO_H2S_anox</f>
        <v>-3.0487804878048781</v>
      </c>
      <c r="BC280" s="2592">
        <f>-i_S_BIO</f>
        <v>-0.01</v>
      </c>
      <c r="BD280" s="2592">
        <f>1/Y_SOO_H2S_anox</f>
        <v>3.0487804878048781</v>
      </c>
      <c r="BE280" s="2590">
        <f>0</f>
        <v>0</v>
      </c>
      <c r="BF280" s="2590">
        <f>0</f>
        <v>0</v>
      </c>
      <c r="BG280" s="2590">
        <f>0</f>
        <v>0</v>
      </c>
      <c r="BH280" s="2590">
        <f>0</f>
        <v>0</v>
      </c>
      <c r="BI280" s="2590">
        <f>0</f>
        <v>0</v>
      </c>
      <c r="BJ280" s="2590">
        <f>0</f>
        <v>0</v>
      </c>
      <c r="BK280" s="2590">
        <f>0</f>
        <v>0</v>
      </c>
      <c r="BL280" s="2590">
        <f>0</f>
        <v>0</v>
      </c>
      <c r="BM280" s="2590">
        <f>0</f>
        <v>0</v>
      </c>
      <c r="BN280" s="2590">
        <f>0</f>
        <v>0</v>
      </c>
      <c r="BO280" s="2590">
        <f>0</f>
        <v>0</v>
      </c>
      <c r="BP280" s="2590">
        <f>0</f>
        <v>0</v>
      </c>
      <c r="BQ280" s="2590">
        <f>0</f>
        <v>0</v>
      </c>
      <c r="BR280" s="2590">
        <f>0</f>
        <v>0</v>
      </c>
      <c r="BS280" s="2590">
        <f>0</f>
        <v>0</v>
      </c>
      <c r="BT280" s="2590">
        <f>0</f>
        <v>0</v>
      </c>
      <c r="BU280" s="2590">
        <f>0</f>
        <v>0</v>
      </c>
      <c r="BV280" s="2590">
        <f>0</f>
        <v>0</v>
      </c>
      <c r="BW280" s="2590">
        <f>0</f>
        <v>0</v>
      </c>
      <c r="BX280" s="2590">
        <f>0</f>
        <v>0</v>
      </c>
      <c r="BY280" s="2590">
        <f>0</f>
        <v>0</v>
      </c>
      <c r="BZ280" s="2590">
        <f>0</f>
        <v>0</v>
      </c>
      <c r="CA280" s="2590">
        <f>0</f>
        <v>0</v>
      </c>
      <c r="CB280" s="2590">
        <f>0</f>
        <v>0</v>
      </c>
      <c r="CC280" s="2590">
        <f>0</f>
        <v>0</v>
      </c>
      <c r="CD280" s="2590">
        <f>0</f>
        <v>0</v>
      </c>
      <c r="CE280" s="2590">
        <f>0</f>
        <v>0</v>
      </c>
      <c r="CF280" s="2590">
        <f>0</f>
        <v>0</v>
      </c>
      <c r="CG280" s="2590">
        <f>0</f>
        <v>0</v>
      </c>
      <c r="CH280" s="2590">
        <f>0</f>
        <v>0</v>
      </c>
      <c r="CI280" s="2590">
        <f>0</f>
        <v>0</v>
      </c>
      <c r="CJ280" s="2590">
        <f>0</f>
        <v>0</v>
      </c>
      <c r="CK280" s="2590">
        <f>0</f>
        <v>0</v>
      </c>
      <c r="CL280" s="2590">
        <f>0</f>
        <v>0</v>
      </c>
      <c r="CM280" s="2590">
        <f>0</f>
        <v>0</v>
      </c>
      <c r="CN280" s="2590">
        <f>0</f>
        <v>0</v>
      </c>
      <c r="CO280" s="2590">
        <f>0</f>
        <v>0</v>
      </c>
      <c r="CP280" s="2590">
        <f>0</f>
        <v>0</v>
      </c>
      <c r="CQ280" s="2590">
        <f>0</f>
        <v>0</v>
      </c>
      <c r="CR280" s="2590">
        <f>0</f>
        <v>0</v>
      </c>
      <c r="CS280" s="2590">
        <f>0</f>
        <v>0</v>
      </c>
      <c r="CT280" s="2590">
        <f>0</f>
        <v>0</v>
      </c>
      <c r="CU280" s="2590">
        <f>0</f>
        <v>0</v>
      </c>
      <c r="CV280" s="2877">
        <f>µ_SOO_H2S_T*X_SOO*M_satSCO2_KCO2_BIO*M_satSNO3_KNO3_H2S_SOO*H_satSH2S_KH2S_SOO*M_satSNHx_KNHx_BIO*M_satSPO4_KPO4_BIO*M_satSCAT_KCAT*M_satSAN_KAN*M_satSCa_KCa*M_satSMg_KMg*M_satSSO4_KSO4_BIO*M_inhSO2_KO2_H2S_SOO*M_inhSNO2_KNO2_H2S_SOO*B_ellinhpH</f>
        <v>0.94319147914548473</v>
      </c>
      <c r="CX280" s="2880">
        <f>E299*E280+F299*F280+G299*G280+H299*H280+I299*I280+J299*J280+K299*K280+L299*L280+M299*M280+N299*N280+O299*O280+P299*P280+Q299*Q280+R299*R280+S299*S280+T299*T280+U299*U280+V299*V280+W299*W280+X299*X280+Y299*Y280+Z299*Z280+AA299*AA280+AB299*AB280+AC299*AC280+AD299*AD280+AE299*AE280+AF299*AF280+AG299*AG280+AH299*AH280+AI299*AI280+AJ299*AJ280+AK299*AK280+AL299*AL280+AM299*AM280+AN299*AN280+AO299*AO280+AP299*AP280+AQ299*AQ280+AR299*AR280+AS299*AS280+AT299*AT280+AU299*AU280+AV299*AV280+AW299*AW280+AX299*AX280+AY299*AY280+AZ299*AZ280+BA299*BA280+BB299*BB280+BC299*BC280+BD299*BD280+BE299*BE280+BF299*BF280+BG299*BG280+BH299*BH280+BI299*BI280+BJ299*BJ280+BK299*BK280+BL299*BL280+BM299*BM280+BN299*BN280+BO299*BO280+BP299*BP280+BQ299*BQ280+BR299*BR280+BS299*BS280+BT299*BT280+BU299*BU280+BV299*BV280+BW299*BW280+BX299*BX280+BY299*BY280+BZ299*BZ280+CA299*CA280+CB299*CB280+CC299*CC280+CD299*CD280+CE299*CE280+CF299*CF280+CG299*CG280+CH299*CH280+CI299*CI280+CJ299*CJ280+CK299*CK280+CL299*CL280+CM299*CM280+CN299*CN280+CO299*CO280+CP299*CP280+CQ299*CQ280+CR299*CR280+CS299*CS280+CT299*CT280+CU299*CU280</f>
        <v>0</v>
      </c>
      <c r="CY280" s="2880">
        <f>E300*E280+F300*F280+G300*G280+H300*H280+I300*I280+J300*J280+K300*K280+L300*L280+M300*M280+N300*N280+O300*O280+P300*P280+Q300*Q280+R300*R280+S300*S280+T300*T280+U300*U280+V300*V280+W300*W280+X300*X280+Y300*Y280+Z300*Z280+AA300*AA280+AB300*AB280+AC300*AC280+AD300*AD280+AE300*AE280+AF300*AF280+AG300*AG280+AH300*AH280+AI300*AI280+AJ300*AJ280+AK300*AK280+AL300*AL280+AM300*AM280+AN300*AN280+AO300*AO280+AP300*AP280+AQ300*AQ280+AR300*AR280+AS300*AS280+AT300*AT280+AU300*AU280+AV300*AV280+AW300*AW280+AX300*AX280+AY300*AY280+AZ300*AZ280+BA300*BA280+BB300*BB280+BC300*BC280+BD300*BD280+BE300*BE280+BF300*BF280+BG300*BG280+BH300*BH280+BI300*BI280+BJ300*BJ280+BK300*BK280+BL300*BL280+BM300*BM280+BN300*BN280+BO300*BO280+BP300*BP280+BQ300*BQ280+BR300*BR280+BS300*BS280+BT300*BT280+BU300*BU280+BV300*BV280+BW300*BW280+BX300*BX280+BY300*BY280+BZ300*BZ280+CA300*CA280+CB300*CB280+CC300*CC280+CD300*CD280+CE300*CE280+CF300*CF280+CG300*CG280+CH300*CH280+CI300*CI280+CJ300*CJ280+CK300*CK280+CL300*CL280+CM300*CM280+CN300*CN280+CO300*CO280+CP300*CP280+CQ300*CQ280+CR300*CR280+CS300*CS280+CT300*CT280+CU300*CU280</f>
        <v>0</v>
      </c>
      <c r="CZ280" s="2881">
        <f>E301*E280+F301*F280+G301*G280+H301*H280+I301*I280+J301*J280+K301*K280+L301*L280+M301*M280+N301*N280+O301*O280+P301*P280+Q301*Q280+R301*R280+S301*S280+T301*T280+U301*U280+V301*V280+W301*W280+X301*X280+Y301*Y280+Z301*Z280+AA301*AA280+AB301*AB280+AC301*AC280+AD301*AD280+AE301*AE280+AF301*AF280+AG301*AG280+AH301*AH280+AI301*AI280+AJ301*AJ280+AK301*AK280+AL301*AL280+AM301*AM280+AN301*AN280+AO301*AO280+AP301*AP280+AQ301*AQ280+AR301*AR280+AS301*AS280+AT301*AT280+AU301*AU280+AV301*AV280+AW301*AW280+AX301*AX280+AY301*AY280+AZ301*AZ280+BA301*BA280+BB301*BB280+BC301*BC280+BD301*BD280+BE301*BE280+BF301*BF280+BG301*BG280+BH301*BH280+BI301*BI280+BJ301*BJ280+BK301*BK280+BL301*BL280+BM301*BM280+BN301*BN280+BO301*BO280+BP301*BP280+BQ301*BQ280+BR301*BR280+BS301*BS280+BT301*BT280+BU301*BU280+BV301*BV280+BW301*BW280+BX301*BX280+BY301*BY280+BZ301*BZ280+CA301*CA280+CB301*CB280+CC301*CC280+CD301*CD280+CE301*CE280+CF301*CF280+CG301*CG280+CH301*CH280+CI301*CI280+CJ301*CJ280+CK301*CK280+CL301*CL280+CM301*CM280+CN301*CN280+CO301*CO280+CP301*CP280+CQ301*CQ280+CR301*CR280+CS301*CS280+CT301*CT280+CU301*CU280</f>
        <v>0</v>
      </c>
      <c r="DA280" s="2882">
        <f>E302*E280+F302*F280+G302*G280+H302*H280+I302*I280+J302*J280+K302*K280+L302*L280+M302*M280+N302*N280+O302*O280+P302*P280+Q302*Q280+R302*R280+S302*S280+T302*T280+U302*U280+V302*V280+W302*W280+X302*X280+Y302*Y280+Z302*Z280+AA302*AA280+AB302*AB280+AC302*AC280+AD302*AD280+AE302*AE280+AF302*AF280+AG302*AG280+AH302*AH280+AI302*AI280+AJ302*AJ280+AK302*AK280+AL302*AL280+AM302*AM280+AN302*AN280+AO302*AO280+AP302*AP280+AQ302*AQ280+AR302*AR280+AS302*AS280+AT302*AT280+AU302*AU280+AV302*AV280+AW302*AW280+AX302*AX280+AY302*AY280+AZ302*AZ280+BA302*BA280+BB302*BB280+BC302*BC280+BD302*BD280+BE302*BE280+BF302*BF280+BG302*BG280+BH302*BH280+BI302*BI280+BJ302*BJ280+BK302*BK280+BL302*BL280+BM302*BM280+BN302*BN280+BO302*BO280+BP302*BP280+BQ302*BQ280+BR302*BR280+BS302*BS280+BT302*BT280+BU302*BU280+BV302*BV280+BW302*BW280+BX302*BX280+BY302*BY280+BZ302*BZ280+CA302*CA280+CB302*CB280+CC302*CC280+CD302*CD280+CE302*CE280+CF302*CF280+CG302*CG280+CH302*CH280+CI302*CI280+CJ302*CJ280+CK302*CK280+CL302*CL280+CM302*CM280+CN302*CN280+CO302*CO280+CP302*CP280+CQ302*CQ280+CR302*CR280+CS302*CS280+CT302*CT280+CU302*CU280</f>
        <v>0</v>
      </c>
      <c r="DB280" s="2882">
        <f>E303*E280+F303*F280+G303*G280+H303*H280+I303*I280+J303*J280+K303*K280+L303*L280+M303*M280+N303*N280+O303*O280+P303*P280+Q303*Q280+R303*R280+S303*S280+T303*T280+U303*U280+V303*V280+W303*W280+X303*X280+Y303*Y280+Z303*Z280+AA303*AA280+AB303*AB280+AC303*AC280+AD303*AD280+AE303*AE280+AF303*AF280+AG303*AG280+AH303*AH280+AI303*AI280+AJ303*AJ280+AK303*AK280+AL303*AL280+AM303*AM280+AN303*AN280+AO303*AO280+AP303*AP280+AQ303*AQ280+AR303*AR280+AS303*AS280+AT303*AT280+AU303*AU280+AV303*AV280+AW303*AW280+AX303*AX280+AY303*AY280+AZ303*AZ280+BA303*BA280+BB303*BB280+BC303*BC280+BD303*BD280+BE303*BE280+BF303*BF280+BG303*BG280+BH303*BH280+BI303*BI280+BJ303*BJ280+BK303*BK280+BL303*BL280+BM303*BM280+BN303*BN280+BO303*BO280+BP303*BP280+BQ303*BQ280+BR303*BR280+BS303*BS280+BT303*BT280+BU303*BU280+BV303*BV280+BW303*BW280+BX303*BX280+BY303*BY280+BZ303*BZ280+CA303*CA280+CB303*CB280+CC303*CC280+CD303*CD280+CE303*CE280+CF303*CF280+CG303*CG280+CH303*CH280+CI303*CI280+CJ303*CJ280+CK303*CK280+CL303*CL280+CM303*CM280+CN303*CN280+CO303*CO280+CP303*CP280+CQ303*CQ280+CR303*CR280+CS303*CS280+CT303*CT280+CU303*CU280</f>
        <v>0</v>
      </c>
      <c r="DC280" s="2882">
        <f>E304*E280+F304*F280+G304*G280+H304*H280+I304*I280+J304*J280+K304*K280+L304*L280+M304*M280+N304*N280+O304*O280+P304*P280+Q304*Q280+R304*R280+S304*S280+T304*T280+U304*U280+V304*V280+W304*W280+X304*X280+Y304*Y280+Z304*Z280+AA304*AA280+AB304*AB280+AC304*AC280+AD304*AD280+AE304*AE280+AF304*AF280+AG304*AG280+AH304*AH280+AI304*AI280+AJ304*AJ280+AK304*AK280+AL304*AL280+AM304*AM280+AN304*AN280+AO304*AO280+AP304*AP280+AQ304*AQ280+AR304*AR280+AS304*AS280+AT304*AT280+AU304*AU280+AV304*AV280+AW304*AW280+AX304*AX280+AY304*AY280+AZ304*AZ280+BA304*BA280+BB304*BB280+BC304*BC280+BD304*BD280+BE304*BE280+BF304*BF280+BG304*BG280+BH304*BH280+BI304*BI280+BJ304*BJ280+BK304*BK280+BL304*BL280+BM304*BM280+BN304*BN280+BO304*BO280+BP304*BP280+BQ304*BQ280+BR304*BR280+BS304*BS280+BT304*BT280+BU304*BU280+BV304*BV280+BW304*BW280+BX304*BX280+BY304*BY280+BZ304*BZ280+CA304*CA280+CB304*CB280+CC304*CC280+CD304*CD280+CE304*CE280+CF304*CF280+CG304*CG280+CH304*CH280+CI304*CI280+CJ304*CJ280+CK304*CK280+CL304*CL280+CM304*CM280+CN304*CN280+CO304*CO280+CP304*CP280+CQ304*CQ280+CR304*CR280+CS304*CS280+CT304*CT280+CU304*CU280</f>
        <v>0</v>
      </c>
      <c r="DD280" s="2882">
        <f>E305*E280+F305*F280+G305*G280+H305*H280+I305*I280+J305*J280+K305*K280+L305*L280+M305*M280+N305*N280+O305*O280+P305*P280+Q305*Q280+R305*R280+S305*S280+T305*T280+U305*U280+V305*V280+W305*W280+X305*X280+Y305*Y280+Z305*Z280+AA305*AA280+AB305*AB280+AC305*AC280+AD305*AD280+AE305*AE280+AF305*AF280+AG305*AG280+AH305*AH280+AI305*AI280+AJ305*AJ280+AK305*AK280+AL305*AL280+AM305*AM280+AN305*AN280+AO305*AO280+AP305*AP280+AQ305*AQ280+AR305*AR280+AS305*AS280+AT305*AT280+AU305*AU280+AV305*AV280+AW305*AW280+AX305*AX280+AY305*AY280+AZ305*AZ280+BA305*BA280+BB305*BB280+BC305*BC280+BD305*BD280+BE305*BE280+BF305*BF280+BG305*BG280+BH305*BH280+BI305*BI280+BJ305*BJ280+BK305*BK280+BL305*BL280+BM305*BM280+BN305*BN280+BO305*BO280+BP305*BP280+BQ305*BQ280+BR305*BR280+BS305*BS280+BT305*BT280+BU305*BU280+BV305*BV280+BW305*BW280+BX305*BX280+BY305*BY280+BZ305*BZ280+CA305*CA280+CB305*CB280+CC305*CC280+CD305*CD280+CE305*CE280+CF305*CF280+CG305*CG280+CH305*CH280+CI305*CI280+CJ305*CJ280+CK305*CK280+CL305*CL280+CM305*CM280+CN305*CN280+CO305*CO280+CP305*CP280+CQ305*CQ280+CR305*CR280+CS305*CS280+CT305*CT280+CU305*CU280</f>
        <v>0</v>
      </c>
      <c r="DE280" s="2882">
        <f>E306*E280+F306*F280+G306*G280+H306*H280+I306*I280+J306*J280+K306*K280+L306*L280+M306*M280+N306*N280+O306*O280+P306*P280+Q306*Q280+R306*R280+S306*S280+T306*T280+U306*U280+V306*V280+W306*W280+X306*X280+Y306*Y280+Z306*Z280+AA306*AA280+AB306*AB280+AC306*AC280+AD306*AD280+AE306*AE280+AF306*AF280+AG306*AG280+AH306*AH280+AI306*AI280+AJ306*AJ280+AK306*AK280+AL306*AL280+AM306*AM280+AN306*AN280+AO306*AO280+AP306*AP280+AQ306*AQ280+AR306*AR280+AS306*AS280+AT306*AT280+AU306*AU280+AV306*AV280+AW306*AW280+AX306*AX280+AY306*AY280+AZ306*AZ280+BA306*BA280+BB306*BB280+BC306*BC280+BD306*BD280+BE306*BE280+BF306*BF280+BG306*BG280+BH306*BH280+BI306*BI280+BJ306*BJ280+BK306*BK280+BL306*BL280+BM306*BM280+BN306*BN280+BO306*BO280+BP306*BP280+BQ306*BQ280+BR306*BR280+BS306*BS280+BT306*BT280+BU306*BU280+BV306*BV280+BW306*BW280+BX306*BX280+BY306*BY280+BZ306*BZ280+CA306*CA280+CB306*CB280+CC306*CC280+CD306*CD280+CE306*CE280+CF306*CF280+CG306*CG280+CH306*CH280+CI306*CI280+CJ306*CJ280+CK306*CK280+CL306*CL280+CM306*CM280+CN306*CN280+CO306*CO280+CP306*CP280+CQ306*CQ280+CR306*CR280+CS306*CS280+CT306*CT280+CU306*CU280</f>
        <v>0</v>
      </c>
      <c r="DF280" s="2882">
        <f>E307*E280+F307*F280+G307*G280+H307*H280+I307*I280+J307*J280+K307*K280+L307*L280+M307*M280+N307*N280+O307*O280+P307*P280+Q307*Q280+R307*R280+S307*S280+T307*T280+U307*U280+V307*V280+W307*W280+X307*X280+Y307*Y280+Z307*Z280+AA307*AA280+AB307*AB280+AC307*AC280+AD307*AD280+AE307*AE280+AF307*AF280+AG307*AG280+AH307*AH280+AI307*AI280+AJ307*AJ280+AK307*AK280+AL307*AL280+AM307*AM280+AN307*AN280+AO307*AO280+AP307*AP280+AQ307*AQ280+AR307*AR280+AS307*AS280+AT307*AT280+AU307*AU280+AV307*AV280+AW307*AW280+AX307*AX280+AY307*AY280+AZ307*AZ280+BA307*BA280+BB307*BB280+BC307*BC280+BD307*BD280+BE307*BE280+BF307*BF280+BG307*BG280+BH307*BH280+BI307*BI280+BJ307*BJ280+BK307*BK280+BL307*BL280+BM307*BM280+BN307*BN280+BO307*BO280+BP307*BP280+BQ307*BQ280+BR307*BR280+BS307*BS280+BT307*BT280+BU307*BU280+BV307*BV280+BW307*BW280+BX307*BX280+BY307*BY280+BZ307*BZ280+CA307*CA280+CB307*CB280+CC307*CC280+CD307*CD280+CE307*CE280+CF307*CF280+CG307*CG280+CH307*CH280+CI307*CI280+CJ307*CJ280+CK307*CK280+CL307*CL280+CM307*CM280+CN307*CN280+CO307*CO280+CP307*CP280+CQ307*CQ280+CR307*CR280+CS307*CS280+CT307*CT280+CU307*CU280</f>
        <v>0</v>
      </c>
      <c r="DG280" s="2882">
        <f>E308*E280+F308*F280+G308*G280+H308*H280+I308*I280+J308*J280+K308*K280+L308*L280+M308*M280+N308*N280+O308*O280+P308*P280+Q308*Q280+R308*R280+S308*S280+T308*T280+U308*U280+V308*V280+W308*W280+X308*X280+Y308*Y280+Z308*Z280+AA308*AA280+AB308*AB280+AC308*AC280+AD308*AD280+AE308*AE280+AF308*AF280+AG308*AG280+AH308*AH280+AI308*AI280+AJ308*AJ280+AK308*AK280+AL308*AL280+AM308*AM280+AN308*AN280+AO308*AO280+AP308*AP280+AQ308*AQ280+AR308*AR280+AS308*AS280+AT308*AT280+AU308*AU280+AV308*AV280+AW308*AW280+AX308*AX280+AY308*AY280+AZ308*AZ280+BA308*BA280+BB308*BB280+BC308*BC280+BD308*BD280+BE308*BE280+BF308*BF280+BG308*BG280+BH308*BH280+BI308*BI280+BJ308*BJ280+BK308*BK280+BL308*BL280+BM308*BM280+BN308*BN280+BO308*BO280+BP308*BP280+BQ308*BQ280+BR308*BR280+BS308*BS280+BT308*BT280+BU308*BU280+BV308*BV280+BW308*BW280+BX308*BX280+BY308*BY280+BZ308*BZ280+CA308*CA280+CB308*CB280+CC308*CC280+CD308*CD280+CE308*CE280+CF308*CF280+CG308*CG280+CH308*CH280+CI308*CI280+CJ308*CJ280+CK308*CK280+CL308*CL280+CM308*CM280+CN308*CN280+CO308*CO280+CP308*CP280+CQ308*CQ280+CR308*CR280+CS308*CS280+CT308*CT280+CU308*CU280</f>
        <v>0</v>
      </c>
      <c r="DH280" s="2882">
        <f>E309*E280+F309*F280+G309*G280+H309*H280+I309*I280+J309*J280+K309*K280+L309*L280+M309*M280+N309*N280+O309*O280+P309*P280+Q309*Q280+R309*R280+S309*S280+T309*T280+U309*U280+V309*V280+W309*W280+X309*X280+Y309*Y280+Z309*Z280+AA309*AA280+AB309*AB280+AC309*AC280+AD309*AD280+AE309*AE280+AF309*AF280+AG309*AG280+AH309*AH280+AI309*AI280+AJ309*AJ280+AK309*AK280+AL309*AL280+AM309*AM280+AN309*AN280+AO309*AO280+AP309*AP280+AQ309*AQ280+AR309*AR280+AS309*AS280+AT309*AT280+AU309*AU280+AV309*AV280+AW309*AW280+AX309*AX280+AY309*AY280+AZ309*AZ280+BA309*BA280+BB309*BB280+BC309*BC280+BD309*BD280+BE309*BE280+BF309*BF280+BG309*BG280+BH309*BH280+BI309*BI280+BJ309*BJ280+BK309*BK280+BL309*BL280+BM309*BM280+BN309*BN280+BO309*BO280+BP309*BP280+BQ309*BQ280+BR309*BR280+BS309*BS280+BT309*BT280+BU309*BU280+BV309*BV280+BW309*BW280+BX309*BX280+BY309*BY280+BZ309*BZ280+CA309*CA280+CB309*CB280+CC309*CC280+CD309*CD280+CE309*CE280+CF309*CF280+CG309*CG280+CH309*CH280+CI309*CI280+CJ309*CJ280+CK309*CK280+CL309*CL280+CM309*CM280+CN309*CN280+CO309*CO280+CP309*CP280+CQ309*CQ280+CR309*CR280+CS309*CS280+CT309*CT280+CU309*CU280</f>
        <v>0</v>
      </c>
      <c r="DI280" s="2882">
        <f>E310*E280+F310*F280+G310*G280+H310*H280+I310*I280+J310*J280+K310*K280+L310*L280+M310*M280+N310*N280+O310*O280+P310*P280+Q310*Q280+R310*R280+S310*S280+T310*T280+U310*U280+V310*V280+W310*W280+X310*X280+Y310*Y280+Z310*Z280+AA310*AA280+AB310*AB280+AC310*AC280+AD310*AD280+AE310*AE280+AF310*AF280+AG310*AG280+AH310*AH280+AI310*AI280+AJ310*AJ280+AK310*AK280+AL310*AL280+AM310*AM280+AN310*AN280+AO310*AO280+AP310*AP280+AQ310*AQ280+AR310*AR280+AS310*AS280+AT310*AT280+AU310*AU280+AV310*AV280+AW310*AW280+AX310*AX280+AY310*AY280+AZ310*AZ280+BA310*BA280+BB310*BB280+BC310*BC280+BD310*BD280+BE310*BE280+BF310*BF280+BG310*BG280+BH310*BH280+BI310*BI280+BJ310*BJ280+BK310*BK280+BL310*BL280+BM310*BM280+BN310*BN280+BO310*BO280+BP310*BP280+BQ310*BQ280+BR310*BR280+BS310*BS280+BT310*BT280+BU310*BU280+BV310*BV280+BW310*BW280+BX310*BX280+BY310*BY280+BZ310*BZ280+CA310*CA280+CB310*CB280+CC310*CC280+CD310*CD280+CE310*CE280+CF310*CF280+CG310*CG280+CH310*CH280+CI310*CI280+CJ310*CJ280+CK310*CK280+CL310*CL280+CM310*CM280+CN310*CN280+CO310*CO280+CP310*CP280+CQ310*CQ280+CR310*CR280+CS310*CS280+CT310*CT280+CU310*CU280</f>
        <v>0</v>
      </c>
    </row>
    <row r="281" spans="2:113" ht="16.149999999999999" thickBot="1" x14ac:dyDescent="0.5">
      <c r="B281" s="2221">
        <v>122</v>
      </c>
      <c r="C281" s="2221" t="s">
        <v>5800</v>
      </c>
      <c r="D281" s="2589" t="s">
        <v>5452</v>
      </c>
      <c r="E281" s="2590">
        <f>0</f>
        <v>0</v>
      </c>
      <c r="F281" s="2590">
        <f>0</f>
        <v>0</v>
      </c>
      <c r="G281" s="2590">
        <f>0</f>
        <v>0</v>
      </c>
      <c r="H281" s="2590">
        <f>0</f>
        <v>0</v>
      </c>
      <c r="I281" s="2590">
        <f>0</f>
        <v>0</v>
      </c>
      <c r="J281" s="2590">
        <f>0</f>
        <v>0</v>
      </c>
      <c r="K281" s="2590">
        <f>0</f>
        <v>0</v>
      </c>
      <c r="L281" s="2590">
        <f>0</f>
        <v>0</v>
      </c>
      <c r="M281" s="2590">
        <f>0</f>
        <v>0</v>
      </c>
      <c r="N281" s="2590">
        <f>0</f>
        <v>0</v>
      </c>
      <c r="O281" s="2590">
        <f>0</f>
        <v>0</v>
      </c>
      <c r="P281" s="2590">
        <f>0</f>
        <v>0</v>
      </c>
      <c r="Q281" s="2591">
        <f>0</f>
        <v>0</v>
      </c>
      <c r="R281" s="2590">
        <f>0</f>
        <v>0</v>
      </c>
      <c r="S281" s="2590">
        <f>0</f>
        <v>0</v>
      </c>
      <c r="T281" s="2590">
        <f>0</f>
        <v>0</v>
      </c>
      <c r="U281" s="2590">
        <f>0</f>
        <v>0</v>
      </c>
      <c r="V281" s="2590">
        <f>0</f>
        <v>0</v>
      </c>
      <c r="W281" s="2590">
        <f>0</f>
        <v>0</v>
      </c>
      <c r="X281" s="2590">
        <f>0</f>
        <v>0</v>
      </c>
      <c r="Y281" s="2590">
        <f>0</f>
        <v>0</v>
      </c>
      <c r="Z281" s="2591">
        <f>0</f>
        <v>0</v>
      </c>
      <c r="AA281" s="2591">
        <f>1</f>
        <v>1</v>
      </c>
      <c r="AB281" s="2592">
        <f t="shared" si="7"/>
        <v>-7.0000000000000007E-2</v>
      </c>
      <c r="AC281" s="2592">
        <f>0</f>
        <v>0</v>
      </c>
      <c r="AD281" s="2590">
        <f>0</f>
        <v>0</v>
      </c>
      <c r="AE281" s="2590">
        <f>0</f>
        <v>0</v>
      </c>
      <c r="AF281" s="2590">
        <f>0</f>
        <v>0</v>
      </c>
      <c r="AG281" s="2590">
        <f>0</f>
        <v>0</v>
      </c>
      <c r="AH281" s="2590">
        <f>0</f>
        <v>0</v>
      </c>
      <c r="AI281" s="2590">
        <f>0</f>
        <v>0</v>
      </c>
      <c r="AJ281" s="2590">
        <f>0</f>
        <v>0</v>
      </c>
      <c r="AK281" s="2590">
        <f>0</f>
        <v>0</v>
      </c>
      <c r="AL281" s="2590">
        <f>0</f>
        <v>0</v>
      </c>
      <c r="AM281" s="2592">
        <f t="shared" si="8"/>
        <v>-0.02</v>
      </c>
      <c r="AN281" s="2590">
        <f>0</f>
        <v>0</v>
      </c>
      <c r="AO281" s="2590">
        <f>0</f>
        <v>0</v>
      </c>
      <c r="AP281" s="2590">
        <f>0</f>
        <v>0</v>
      </c>
      <c r="AQ281" s="2590">
        <f>0</f>
        <v>0</v>
      </c>
      <c r="AR281" s="2591">
        <f>-(E_EQS-Y_SOO_S_ox)/Y_SOO_S_ox</f>
        <v>-11.904337633148183</v>
      </c>
      <c r="AS281" s="2590">
        <f>0</f>
        <v>0</v>
      </c>
      <c r="AT281" s="2593">
        <f>0</f>
        <v>0</v>
      </c>
      <c r="AU281" s="2591">
        <f t="shared" si="9"/>
        <v>-0.35199999999999998</v>
      </c>
      <c r="AV281" s="2590">
        <f t="shared" si="10"/>
        <v>0.11</v>
      </c>
      <c r="AW281" s="2590">
        <f t="shared" si="11"/>
        <v>-2.8804303582798466E-2</v>
      </c>
      <c r="AX281" s="2590">
        <f t="shared" si="12"/>
        <v>-7.0195696417201539E-2</v>
      </c>
      <c r="AY281" s="2590">
        <f t="shared" si="13"/>
        <v>-5.5000000000000005E-3</v>
      </c>
      <c r="AZ281" s="2590">
        <f t="shared" si="14"/>
        <v>-5.5000000000000005E-3</v>
      </c>
      <c r="BA281" s="2590">
        <f>0</f>
        <v>0</v>
      </c>
      <c r="BB281" s="2595">
        <f>0</f>
        <v>0</v>
      </c>
      <c r="BC281" s="2595">
        <f>1/Y_SOO_S_ox-i_S_BIO</f>
        <v>8.610689655172413</v>
      </c>
      <c r="BD281" s="2592">
        <f>-1/Y_SOO_S_ox</f>
        <v>-8.6206896551724128</v>
      </c>
      <c r="BE281" s="2590">
        <f>0</f>
        <v>0</v>
      </c>
      <c r="BF281" s="2590">
        <f>0</f>
        <v>0</v>
      </c>
      <c r="BG281" s="2590">
        <f>0</f>
        <v>0</v>
      </c>
      <c r="BH281" s="2590">
        <f>0</f>
        <v>0</v>
      </c>
      <c r="BI281" s="2590">
        <f>0</f>
        <v>0</v>
      </c>
      <c r="BJ281" s="2590">
        <f>0</f>
        <v>0</v>
      </c>
      <c r="BK281" s="2590">
        <f>0</f>
        <v>0</v>
      </c>
      <c r="BL281" s="2590">
        <f>0</f>
        <v>0</v>
      </c>
      <c r="BM281" s="2590">
        <f>0</f>
        <v>0</v>
      </c>
      <c r="BN281" s="2590">
        <f>0</f>
        <v>0</v>
      </c>
      <c r="BO281" s="2590">
        <f>0</f>
        <v>0</v>
      </c>
      <c r="BP281" s="2590">
        <f>0</f>
        <v>0</v>
      </c>
      <c r="BQ281" s="2590">
        <f>0</f>
        <v>0</v>
      </c>
      <c r="BR281" s="2590">
        <f>0</f>
        <v>0</v>
      </c>
      <c r="BS281" s="2590">
        <f>0</f>
        <v>0</v>
      </c>
      <c r="BT281" s="2590">
        <f>0</f>
        <v>0</v>
      </c>
      <c r="BU281" s="2590">
        <f>0</f>
        <v>0</v>
      </c>
      <c r="BV281" s="2590">
        <f>0</f>
        <v>0</v>
      </c>
      <c r="BW281" s="2590">
        <f>0</f>
        <v>0</v>
      </c>
      <c r="BX281" s="2590">
        <f>0</f>
        <v>0</v>
      </c>
      <c r="BY281" s="2590">
        <f>0</f>
        <v>0</v>
      </c>
      <c r="BZ281" s="2590">
        <f>0</f>
        <v>0</v>
      </c>
      <c r="CA281" s="2590">
        <f>0</f>
        <v>0</v>
      </c>
      <c r="CB281" s="2590">
        <f>0</f>
        <v>0</v>
      </c>
      <c r="CC281" s="2590">
        <f>0</f>
        <v>0</v>
      </c>
      <c r="CD281" s="2590">
        <f>0</f>
        <v>0</v>
      </c>
      <c r="CE281" s="2590">
        <f>0</f>
        <v>0</v>
      </c>
      <c r="CF281" s="2590">
        <f>0</f>
        <v>0</v>
      </c>
      <c r="CG281" s="2590">
        <f>0</f>
        <v>0</v>
      </c>
      <c r="CH281" s="2590">
        <f>0</f>
        <v>0</v>
      </c>
      <c r="CI281" s="2590">
        <f>0</f>
        <v>0</v>
      </c>
      <c r="CJ281" s="2590">
        <f>0</f>
        <v>0</v>
      </c>
      <c r="CK281" s="2590">
        <f>0</f>
        <v>0</v>
      </c>
      <c r="CL281" s="2590">
        <f>0</f>
        <v>0</v>
      </c>
      <c r="CM281" s="2590">
        <f>0</f>
        <v>0</v>
      </c>
      <c r="CN281" s="2590">
        <f>0</f>
        <v>0</v>
      </c>
      <c r="CO281" s="2590">
        <f>0</f>
        <v>0</v>
      </c>
      <c r="CP281" s="2590">
        <f>0</f>
        <v>0</v>
      </c>
      <c r="CQ281" s="2590">
        <f>0</f>
        <v>0</v>
      </c>
      <c r="CR281" s="2590">
        <f>0</f>
        <v>0</v>
      </c>
      <c r="CS281" s="2590">
        <f>0</f>
        <v>0</v>
      </c>
      <c r="CT281" s="2590">
        <f>0</f>
        <v>0</v>
      </c>
      <c r="CU281" s="2590">
        <f>0</f>
        <v>0</v>
      </c>
      <c r="CV281" s="2877">
        <f>µ_SOO_S_T*X_SOO*M_satSCO2_KCO2_BIO*M_satSO2_KO2_S_SOO*M_satXS_KS_SOO*M_satSNHx_KNHx_BIO*M_satSPO4_KPO4_BIO*M_satSCAT_KCAT*M_satSAN_KAN*M_satSCa_KCa*M_satSMg_KMg*M_inhSH2S_KiH2S_SOO*B_ellinhpH</f>
        <v>4.2867790614418686</v>
      </c>
      <c r="CX281" s="2880">
        <f>E299*E281+F299*F281+G299*G281+H299*H281+I299*I281+J299*J281+K299*K281+L299*L281+M299*M281+N299*N281+O299*O281+P299*P281+Q299*Q281+R299*R281+S299*S281+T299*T281+U299*U281+V299*V281+W299*W281+X299*X281+Y299*Y281+Z299*Z281+AA299*AA281+AB299*AB281+AC299*AC281+AD299*AD281+AE299*AE281+AF299*AF281+AG299*AG281+AH299*AH281+AI299*AI281+AJ299*AJ281+AK299*AK281+AL299*AL281+AM299*AM281+AN299*AN281+AO299*AO281+AP299*AP281+AQ299*AQ281+AR299*AR281+AS299*AS281+AT299*AT281+AU299*AU281+AV299*AV281+AW299*AW281+AX299*AX281+AY299*AY281+AZ299*AZ281+BA299*BA281+BB299*BB281+BC299*BC281+BD299*BD281+BE299*BE281+BF299*BF281+BG299*BG281+BH299*BH281+BI299*BI281+BJ299*BJ281+BK299*BK281+BL299*BL281+BM299*BM281+BN299*BN281+BO299*BO281+BP299*BP281+BQ299*BQ281+BR299*BR281+BS299*BS281+BT299*BT281+BU299*BU281+BV299*BV281+BW299*BW281+BX299*BX281+BY299*BY281+BZ299*BZ281+CA299*CA281+CB299*CB281+CC299*CC281+CD299*CD281+CE299*CE281+CF299*CF281+CG299*CG281+CH299*CH281+CI299*CI281+CJ299*CJ281+CK299*CK281+CL299*CL281+CM299*CM281+CN299*CN281+CO299*CO281+CP299*CP281+CQ299*CQ281+CR299*CR281+CS299*CS281+CT299*CT281+CU299*CU281</f>
        <v>0</v>
      </c>
      <c r="CY281" s="2880">
        <f>E300*E281+F300*F281+G300*G281+H300*H281+I300*I281+J300*J281+K300*K281+L300*L281+M300*M281+N300*N281+O300*O281+P300*P281+Q300*Q281+R300*R281+S300*S281+T300*T281+U300*U281+V300*V281+W300*W281+X300*X281+Y300*Y281+Z300*Z281+AA300*AA281+AB300*AB281+AC300*AC281+AD300*AD281+AE300*AE281+AF300*AF281+AG300*AG281+AH300*AH281+AI300*AI281+AJ300*AJ281+AK300*AK281+AL300*AL281+AM300*AM281+AN300*AN281+AO300*AO281+AP300*AP281+AQ300*AQ281+AR300*AR281+AS300*AS281+AT300*AT281+AU300*AU281+AV300*AV281+AW300*AW281+AX300*AX281+AY300*AY281+AZ300*AZ281+BA300*BA281+BB300*BB281+BC300*BC281+BD300*BD281+BE300*BE281+BF300*BF281+BG300*BG281+BH300*BH281+BI300*BI281+BJ300*BJ281+BK300*BK281+BL300*BL281+BM300*BM281+BN300*BN281+BO300*BO281+BP300*BP281+BQ300*BQ281+BR300*BR281+BS300*BS281+BT300*BT281+BU300*BU281+BV300*BV281+BW300*BW281+BX300*BX281+BY300*BY281+BZ300*BZ281+CA300*CA281+CB300*CB281+CC300*CC281+CD300*CD281+CE300*CE281+CF300*CF281+CG300*CG281+CH300*CH281+CI300*CI281+CJ300*CJ281+CK300*CK281+CL300*CL281+CM300*CM281+CN300*CN281+CO300*CO281+CP300*CP281+CQ300*CQ281+CR300*CR281+CS300*CS281+CT300*CT281+CU300*CU281</f>
        <v>0</v>
      </c>
      <c r="CZ281" s="2881">
        <f>E301*E281+F301*F281+G301*G281+H301*H281+I301*I281+J301*J281+K301*K281+L301*L281+M301*M281+N301*N281+O301*O281+P301*P281+Q301*Q281+R301*R281+S301*S281+T301*T281+U301*U281+V301*V281+W301*W281+X301*X281+Y301*Y281+Z301*Z281+AA301*AA281+AB301*AB281+AC301*AC281+AD301*AD281+AE301*AE281+AF301*AF281+AG301*AG281+AH301*AH281+AI301*AI281+AJ301*AJ281+AK301*AK281+AL301*AL281+AM301*AM281+AN301*AN281+AO301*AO281+AP301*AP281+AQ301*AQ281+AR301*AR281+AS301*AS281+AT301*AT281+AU301*AU281+AV301*AV281+AW301*AW281+AX301*AX281+AY301*AY281+AZ301*AZ281+BA301*BA281+BB301*BB281+BC301*BC281+BD301*BD281+BE301*BE281+BF301*BF281+BG301*BG281+BH301*BH281+BI301*BI281+BJ301*BJ281+BK301*BK281+BL301*BL281+BM301*BM281+BN301*BN281+BO301*BO281+BP301*BP281+BQ301*BQ281+BR301*BR281+BS301*BS281+BT301*BT281+BU301*BU281+BV301*BV281+BW301*BW281+BX301*BX281+BY301*BY281+BZ301*BZ281+CA301*CA281+CB301*CB281+CC301*CC281+CD301*CD281+CE301*CE281+CF301*CF281+CG301*CG281+CH301*CH281+CI301*CI281+CJ301*CJ281+CK301*CK281+CL301*CL281+CM301*CM281+CN301*CN281+CO301*CO281+CP301*CP281+CQ301*CQ281+CR301*CR281+CS301*CS281+CT301*CT281+CU301*CU281</f>
        <v>0</v>
      </c>
      <c r="DA281" s="2882">
        <f>E302*E281+F302*F281+G302*G281+H302*H281+I302*I281+J302*J281+K302*K281+L302*L281+M302*M281+N302*N281+O302*O281+P302*P281+Q302*Q281+R302*R281+S302*S281+T302*T281+U302*U281+V302*V281+W302*W281+X302*X281+Y302*Y281+Z302*Z281+AA302*AA281+AB302*AB281+AC302*AC281+AD302*AD281+AE302*AE281+AF302*AF281+AG302*AG281+AH302*AH281+AI302*AI281+AJ302*AJ281+AK302*AK281+AL302*AL281+AM302*AM281+AN302*AN281+AO302*AO281+AP302*AP281+AQ302*AQ281+AR302*AR281+AS302*AS281+AT302*AT281+AU302*AU281+AV302*AV281+AW302*AW281+AX302*AX281+AY302*AY281+AZ302*AZ281+BA302*BA281+BB302*BB281+BC302*BC281+BD302*BD281+BE302*BE281+BF302*BF281+BG302*BG281+BH302*BH281+BI302*BI281+BJ302*BJ281+BK302*BK281+BL302*BL281+BM302*BM281+BN302*BN281+BO302*BO281+BP302*BP281+BQ302*BQ281+BR302*BR281+BS302*BS281+BT302*BT281+BU302*BU281+BV302*BV281+BW302*BW281+BX302*BX281+BY302*BY281+BZ302*BZ281+CA302*CA281+CB302*CB281+CC302*CC281+CD302*CD281+CE302*CE281+CF302*CF281+CG302*CG281+CH302*CH281+CI302*CI281+CJ302*CJ281+CK302*CK281+CL302*CL281+CM302*CM281+CN302*CN281+CO302*CO281+CP302*CP281+CQ302*CQ281+CR302*CR281+CS302*CS281+CT302*CT281+CU302*CU281</f>
        <v>0</v>
      </c>
      <c r="DB281" s="2882">
        <f>E303*E281+F303*F281+G303*G281+H303*H281+I303*I281+J303*J281+K303*K281+L303*L281+M303*M281+N303*N281+O303*O281+P303*P281+Q303*Q281+R303*R281+S303*S281+T303*T281+U303*U281+V303*V281+W303*W281+X303*X281+Y303*Y281+Z303*Z281+AA303*AA281+AB303*AB281+AC303*AC281+AD303*AD281+AE303*AE281+AF303*AF281+AG303*AG281+AH303*AH281+AI303*AI281+AJ303*AJ281+AK303*AK281+AL303*AL281+AM303*AM281+AN303*AN281+AO303*AO281+AP303*AP281+AQ303*AQ281+AR303*AR281+AS303*AS281+AT303*AT281+AU303*AU281+AV303*AV281+AW303*AW281+AX303*AX281+AY303*AY281+AZ303*AZ281+BA303*BA281+BB303*BB281+BC303*BC281+BD303*BD281+BE303*BE281+BF303*BF281+BG303*BG281+BH303*BH281+BI303*BI281+BJ303*BJ281+BK303*BK281+BL303*BL281+BM303*BM281+BN303*BN281+BO303*BO281+BP303*BP281+BQ303*BQ281+BR303*BR281+BS303*BS281+BT303*BT281+BU303*BU281+BV303*BV281+BW303*BW281+BX303*BX281+BY303*BY281+BZ303*BZ281+CA303*CA281+CB303*CB281+CC303*CC281+CD303*CD281+CE303*CE281+CF303*CF281+CG303*CG281+CH303*CH281+CI303*CI281+CJ303*CJ281+CK303*CK281+CL303*CL281+CM303*CM281+CN303*CN281+CO303*CO281+CP303*CP281+CQ303*CQ281+CR303*CR281+CS303*CS281+CT303*CT281+CU303*CU281</f>
        <v>0</v>
      </c>
      <c r="DC281" s="2882">
        <f>E304*E281+F304*F281+G304*G281+H304*H281+I304*I281+J304*J281+K304*K281+L304*L281+M304*M281+N304*N281+O304*O281+P304*P281+Q304*Q281+R304*R281+S304*S281+T304*T281+U304*U281+V304*V281+W304*W281+X304*X281+Y304*Y281+Z304*Z281+AA304*AA281+AB304*AB281+AC304*AC281+AD304*AD281+AE304*AE281+AF304*AF281+AG304*AG281+AH304*AH281+AI304*AI281+AJ304*AJ281+AK304*AK281+AL304*AL281+AM304*AM281+AN304*AN281+AO304*AO281+AP304*AP281+AQ304*AQ281+AR304*AR281+AS304*AS281+AT304*AT281+AU304*AU281+AV304*AV281+AW304*AW281+AX304*AX281+AY304*AY281+AZ304*AZ281+BA304*BA281+BB304*BB281+BC304*BC281+BD304*BD281+BE304*BE281+BF304*BF281+BG304*BG281+BH304*BH281+BI304*BI281+BJ304*BJ281+BK304*BK281+BL304*BL281+BM304*BM281+BN304*BN281+BO304*BO281+BP304*BP281+BQ304*BQ281+BR304*BR281+BS304*BS281+BT304*BT281+BU304*BU281+BV304*BV281+BW304*BW281+BX304*BX281+BY304*BY281+BZ304*BZ281+CA304*CA281+CB304*CB281+CC304*CC281+CD304*CD281+CE304*CE281+CF304*CF281+CG304*CG281+CH304*CH281+CI304*CI281+CJ304*CJ281+CK304*CK281+CL304*CL281+CM304*CM281+CN304*CN281+CO304*CO281+CP304*CP281+CQ304*CQ281+CR304*CR281+CS304*CS281+CT304*CT281+CU304*CU281</f>
        <v>0</v>
      </c>
      <c r="DD281" s="2882">
        <f>E305*E281+F305*F281+G305*G281+H305*H281+I305*I281+J305*J281+K305*K281+L305*L281+M305*M281+N305*N281+O305*O281+P305*P281+Q305*Q281+R305*R281+S305*S281+T305*T281+U305*U281+V305*V281+W305*W281+X305*X281+Y305*Y281+Z305*Z281+AA305*AA281+AB305*AB281+AC305*AC281+AD305*AD281+AE305*AE281+AF305*AF281+AG305*AG281+AH305*AH281+AI305*AI281+AJ305*AJ281+AK305*AK281+AL305*AL281+AM305*AM281+AN305*AN281+AO305*AO281+AP305*AP281+AQ305*AQ281+AR305*AR281+AS305*AS281+AT305*AT281+AU305*AU281+AV305*AV281+AW305*AW281+AX305*AX281+AY305*AY281+AZ305*AZ281+BA305*BA281+BB305*BB281+BC305*BC281+BD305*BD281+BE305*BE281+BF305*BF281+BG305*BG281+BH305*BH281+BI305*BI281+BJ305*BJ281+BK305*BK281+BL305*BL281+BM305*BM281+BN305*BN281+BO305*BO281+BP305*BP281+BQ305*BQ281+BR305*BR281+BS305*BS281+BT305*BT281+BU305*BU281+BV305*BV281+BW305*BW281+BX305*BX281+BY305*BY281+BZ305*BZ281+CA305*CA281+CB305*CB281+CC305*CC281+CD305*CD281+CE305*CE281+CF305*CF281+CG305*CG281+CH305*CH281+CI305*CI281+CJ305*CJ281+CK305*CK281+CL305*CL281+CM305*CM281+CN305*CN281+CO305*CO281+CP305*CP281+CQ305*CQ281+CR305*CR281+CS305*CS281+CT305*CT281+CU305*CU281</f>
        <v>0</v>
      </c>
      <c r="DE281" s="2882">
        <f>E306*E281+F306*F281+G306*G281+H306*H281+I306*I281+J306*J281+K306*K281+L306*L281+M306*M281+N306*N281+O306*O281+P306*P281+Q306*Q281+R306*R281+S306*S281+T306*T281+U306*U281+V306*V281+W306*W281+X306*X281+Y306*Y281+Z306*Z281+AA306*AA281+AB306*AB281+AC306*AC281+AD306*AD281+AE306*AE281+AF306*AF281+AG306*AG281+AH306*AH281+AI306*AI281+AJ306*AJ281+AK306*AK281+AL306*AL281+AM306*AM281+AN306*AN281+AO306*AO281+AP306*AP281+AQ306*AQ281+AR306*AR281+AS306*AS281+AT306*AT281+AU306*AU281+AV306*AV281+AW306*AW281+AX306*AX281+AY306*AY281+AZ306*AZ281+BA306*BA281+BB306*BB281+BC306*BC281+BD306*BD281+BE306*BE281+BF306*BF281+BG306*BG281+BH306*BH281+BI306*BI281+BJ306*BJ281+BK306*BK281+BL306*BL281+BM306*BM281+BN306*BN281+BO306*BO281+BP306*BP281+BQ306*BQ281+BR306*BR281+BS306*BS281+BT306*BT281+BU306*BU281+BV306*BV281+BW306*BW281+BX306*BX281+BY306*BY281+BZ306*BZ281+CA306*CA281+CB306*CB281+CC306*CC281+CD306*CD281+CE306*CE281+CF306*CF281+CG306*CG281+CH306*CH281+CI306*CI281+CJ306*CJ281+CK306*CK281+CL306*CL281+CM306*CM281+CN306*CN281+CO306*CO281+CP306*CP281+CQ306*CQ281+CR306*CR281+CS306*CS281+CT306*CT281+CU306*CU281</f>
        <v>0</v>
      </c>
      <c r="DF281" s="2882">
        <f>E307*E281+F307*F281+G307*G281+H307*H281+I307*I281+J307*J281+K307*K281+L307*L281+M307*M281+N307*N281+O307*O281+P307*P281+Q307*Q281+R307*R281+S307*S281+T307*T281+U307*U281+V307*V281+W307*W281+X307*X281+Y307*Y281+Z307*Z281+AA307*AA281+AB307*AB281+AC307*AC281+AD307*AD281+AE307*AE281+AF307*AF281+AG307*AG281+AH307*AH281+AI307*AI281+AJ307*AJ281+AK307*AK281+AL307*AL281+AM307*AM281+AN307*AN281+AO307*AO281+AP307*AP281+AQ307*AQ281+AR307*AR281+AS307*AS281+AT307*AT281+AU307*AU281+AV307*AV281+AW307*AW281+AX307*AX281+AY307*AY281+AZ307*AZ281+BA307*BA281+BB307*BB281+BC307*BC281+BD307*BD281+BE307*BE281+BF307*BF281+BG307*BG281+BH307*BH281+BI307*BI281+BJ307*BJ281+BK307*BK281+BL307*BL281+BM307*BM281+BN307*BN281+BO307*BO281+BP307*BP281+BQ307*BQ281+BR307*BR281+BS307*BS281+BT307*BT281+BU307*BU281+BV307*BV281+BW307*BW281+BX307*BX281+BY307*BY281+BZ307*BZ281+CA307*CA281+CB307*CB281+CC307*CC281+CD307*CD281+CE307*CE281+CF307*CF281+CG307*CG281+CH307*CH281+CI307*CI281+CJ307*CJ281+CK307*CK281+CL307*CL281+CM307*CM281+CN307*CN281+CO307*CO281+CP307*CP281+CQ307*CQ281+CR307*CR281+CS307*CS281+CT307*CT281+CU307*CU281</f>
        <v>0</v>
      </c>
      <c r="DG281" s="2882">
        <f>E308*E281+F308*F281+G308*G281+H308*H281+I308*I281+J308*J281+K308*K281+L308*L281+M308*M281+N308*N281+O308*O281+P308*P281+Q308*Q281+R308*R281+S308*S281+T308*T281+U308*U281+V308*V281+W308*W281+X308*X281+Y308*Y281+Z308*Z281+AA308*AA281+AB308*AB281+AC308*AC281+AD308*AD281+AE308*AE281+AF308*AF281+AG308*AG281+AH308*AH281+AI308*AI281+AJ308*AJ281+AK308*AK281+AL308*AL281+AM308*AM281+AN308*AN281+AO308*AO281+AP308*AP281+AQ308*AQ281+AR308*AR281+AS308*AS281+AT308*AT281+AU308*AU281+AV308*AV281+AW308*AW281+AX308*AX281+AY308*AY281+AZ308*AZ281+BA308*BA281+BB308*BB281+BC308*BC281+BD308*BD281+BE308*BE281+BF308*BF281+BG308*BG281+BH308*BH281+BI308*BI281+BJ308*BJ281+BK308*BK281+BL308*BL281+BM308*BM281+BN308*BN281+BO308*BO281+BP308*BP281+BQ308*BQ281+BR308*BR281+BS308*BS281+BT308*BT281+BU308*BU281+BV308*BV281+BW308*BW281+BX308*BX281+BY308*BY281+BZ308*BZ281+CA308*CA281+CB308*CB281+CC308*CC281+CD308*CD281+CE308*CE281+CF308*CF281+CG308*CG281+CH308*CH281+CI308*CI281+CJ308*CJ281+CK308*CK281+CL308*CL281+CM308*CM281+CN308*CN281+CO308*CO281+CP308*CP281+CQ308*CQ281+CR308*CR281+CS308*CS281+CT308*CT281+CU308*CU281</f>
        <v>0</v>
      </c>
      <c r="DH281" s="2882">
        <f>E309*E281+F309*F281+G309*G281+H309*H281+I309*I281+J309*J281+K309*K281+L309*L281+M309*M281+N309*N281+O309*O281+P309*P281+Q309*Q281+R309*R281+S309*S281+T309*T281+U309*U281+V309*V281+W309*W281+X309*X281+Y309*Y281+Z309*Z281+AA309*AA281+AB309*AB281+AC309*AC281+AD309*AD281+AE309*AE281+AF309*AF281+AG309*AG281+AH309*AH281+AI309*AI281+AJ309*AJ281+AK309*AK281+AL309*AL281+AM309*AM281+AN309*AN281+AO309*AO281+AP309*AP281+AQ309*AQ281+AR309*AR281+AS309*AS281+AT309*AT281+AU309*AU281+AV309*AV281+AW309*AW281+AX309*AX281+AY309*AY281+AZ309*AZ281+BA309*BA281+BB309*BB281+BC309*BC281+BD309*BD281+BE309*BE281+BF309*BF281+BG309*BG281+BH309*BH281+BI309*BI281+BJ309*BJ281+BK309*BK281+BL309*BL281+BM309*BM281+BN309*BN281+BO309*BO281+BP309*BP281+BQ309*BQ281+BR309*BR281+BS309*BS281+BT309*BT281+BU309*BU281+BV309*BV281+BW309*BW281+BX309*BX281+BY309*BY281+BZ309*BZ281+CA309*CA281+CB309*CB281+CC309*CC281+CD309*CD281+CE309*CE281+CF309*CF281+CG309*CG281+CH309*CH281+CI309*CI281+CJ309*CJ281+CK309*CK281+CL309*CL281+CM309*CM281+CN309*CN281+CO309*CO281+CP309*CP281+CQ309*CQ281+CR309*CR281+CS309*CS281+CT309*CT281+CU309*CU281</f>
        <v>0</v>
      </c>
      <c r="DI281" s="2882">
        <f>E310*E281+F310*F281+G310*G281+H310*H281+I310*I281+J310*J281+K310*K281+L310*L281+M310*M281+N310*N281+O310*O281+P310*P281+Q310*Q281+R310*R281+S310*S281+T310*T281+U310*U281+V310*V281+W310*W281+X310*X281+Y310*Y281+Z310*Z281+AA310*AA281+AB310*AB281+AC310*AC281+AD310*AD281+AE310*AE281+AF310*AF281+AG310*AG281+AH310*AH281+AI310*AI281+AJ310*AJ281+AK310*AK281+AL310*AL281+AM310*AM281+AN310*AN281+AO310*AO281+AP310*AP281+AQ310*AQ281+AR310*AR281+AS310*AS281+AT310*AT281+AU310*AU281+AV310*AV281+AW310*AW281+AX310*AX281+AY310*AY281+AZ310*AZ281+BA310*BA281+BB310*BB281+BC310*BC281+BD310*BD281+BE310*BE281+BF310*BF281+BG310*BG281+BH310*BH281+BI310*BI281+BJ310*BJ281+BK310*BK281+BL310*BL281+BM310*BM281+BN310*BN281+BO310*BO281+BP310*BP281+BQ310*BQ281+BR310*BR281+BS310*BS281+BT310*BT281+BU310*BU281+BV310*BV281+BW310*BW281+BX310*BX281+BY310*BY281+BZ310*BZ281+CA310*CA281+CB310*CB281+CC310*CC281+CD310*CD281+CE310*CE281+CF310*CF281+CG310*CG281+CH310*CH281+CI310*CI281+CJ310*CJ281+CK310*CK281+CL310*CL281+CM310*CM281+CN310*CN281+CO310*CO281+CP310*CP281+CQ310*CQ281+CR310*CR281+CS310*CS281+CT310*CT281+CU310*CU281</f>
        <v>0</v>
      </c>
    </row>
    <row r="282" spans="2:113" ht="15.75" x14ac:dyDescent="0.45">
      <c r="B282" s="2219">
        <v>123</v>
      </c>
      <c r="C282" s="2219" t="s">
        <v>5801</v>
      </c>
      <c r="D282" s="2589" t="s">
        <v>5457</v>
      </c>
      <c r="E282" s="2590">
        <f>0</f>
        <v>0</v>
      </c>
      <c r="F282" s="2590">
        <f>0</f>
        <v>0</v>
      </c>
      <c r="G282" s="2590">
        <f>0</f>
        <v>0</v>
      </c>
      <c r="H282" s="2590">
        <f>0</f>
        <v>0</v>
      </c>
      <c r="I282" s="2590">
        <f>0</f>
        <v>0</v>
      </c>
      <c r="J282" s="2590">
        <f>0</f>
        <v>0</v>
      </c>
      <c r="K282" s="2590">
        <f>0</f>
        <v>0</v>
      </c>
      <c r="L282" s="2590">
        <f>0</f>
        <v>0</v>
      </c>
      <c r="M282" s="2590">
        <f>0</f>
        <v>0</v>
      </c>
      <c r="N282" s="2590">
        <f>0</f>
        <v>0</v>
      </c>
      <c r="O282" s="2590">
        <f>0</f>
        <v>0</v>
      </c>
      <c r="P282" s="2590">
        <f>0</f>
        <v>0</v>
      </c>
      <c r="Q282" s="2591">
        <f>0</f>
        <v>0</v>
      </c>
      <c r="R282" s="2590">
        <f>0</f>
        <v>0</v>
      </c>
      <c r="S282" s="2590">
        <f>0</f>
        <v>0</v>
      </c>
      <c r="T282" s="2590">
        <f>0</f>
        <v>0</v>
      </c>
      <c r="U282" s="2590">
        <f>0</f>
        <v>0</v>
      </c>
      <c r="V282" s="2590">
        <f>0</f>
        <v>0</v>
      </c>
      <c r="W282" s="2590">
        <f>0</f>
        <v>0</v>
      </c>
      <c r="X282" s="2590">
        <f>0</f>
        <v>0</v>
      </c>
      <c r="Y282" s="2590">
        <f>0</f>
        <v>0</v>
      </c>
      <c r="Z282" s="2591">
        <f>0</f>
        <v>0</v>
      </c>
      <c r="AA282" s="2591">
        <f>1</f>
        <v>1</v>
      </c>
      <c r="AB282" s="2592">
        <f t="shared" si="7"/>
        <v>-7.0000000000000007E-2</v>
      </c>
      <c r="AC282" s="2592">
        <f>0</f>
        <v>0</v>
      </c>
      <c r="AD282" s="2591">
        <f>0</f>
        <v>0</v>
      </c>
      <c r="AE282" s="2591">
        <f>-(E_EQS-Y_SOO_S_anox)/(E_EQN2_NO2*Y_SOO_S_anox)</f>
        <v>-2.0799148829159773</v>
      </c>
      <c r="AF282" s="2591">
        <f>0</f>
        <v>0</v>
      </c>
      <c r="AG282" s="2591">
        <f>0</f>
        <v>0</v>
      </c>
      <c r="AH282" s="2591">
        <f>0</f>
        <v>0</v>
      </c>
      <c r="AI282" s="2591">
        <f>(E_EQS-Y_SOO_S_anox)/(E_EQN2_NO2*Y_SOO_S_anox)</f>
        <v>2.0799148829159773</v>
      </c>
      <c r="AJ282" s="2590">
        <f>0</f>
        <v>0</v>
      </c>
      <c r="AK282" s="2590">
        <f>0</f>
        <v>0</v>
      </c>
      <c r="AL282" s="2590">
        <f>0</f>
        <v>0</v>
      </c>
      <c r="AM282" s="2592">
        <f t="shared" si="8"/>
        <v>-0.02</v>
      </c>
      <c r="AN282" s="2590">
        <f>0</f>
        <v>0</v>
      </c>
      <c r="AO282" s="2590">
        <f>0</f>
        <v>0</v>
      </c>
      <c r="AP282" s="2590">
        <f>0</f>
        <v>0</v>
      </c>
      <c r="AQ282" s="2590">
        <f>0</f>
        <v>0</v>
      </c>
      <c r="AR282" s="2591">
        <f>0</f>
        <v>0</v>
      </c>
      <c r="AS282" s="2590">
        <f>0</f>
        <v>0</v>
      </c>
      <c r="AT282" s="2593">
        <f>0</f>
        <v>0</v>
      </c>
      <c r="AU282" s="2591">
        <f t="shared" si="9"/>
        <v>-0.35199999999999998</v>
      </c>
      <c r="AV282" s="2590">
        <f t="shared" si="10"/>
        <v>0.11</v>
      </c>
      <c r="AW282" s="2590">
        <f t="shared" si="11"/>
        <v>-2.8804303582798466E-2</v>
      </c>
      <c r="AX282" s="2590">
        <f t="shared" si="12"/>
        <v>-7.0195696417201539E-2</v>
      </c>
      <c r="AY282" s="2590">
        <f t="shared" si="13"/>
        <v>-5.5000000000000005E-3</v>
      </c>
      <c r="AZ282" s="2590">
        <f t="shared" si="14"/>
        <v>-5.5000000000000005E-3</v>
      </c>
      <c r="BA282" s="2590">
        <f>0</f>
        <v>0</v>
      </c>
      <c r="BB282" s="2595">
        <f>0</f>
        <v>0</v>
      </c>
      <c r="BC282" s="2595">
        <f>1/Y_SOO_S_anox-i_S_BIO</f>
        <v>3.0387804878048783</v>
      </c>
      <c r="BD282" s="2592">
        <f>-1/Y_SOO_S_anox</f>
        <v>-3.0487804878048781</v>
      </c>
      <c r="BE282" s="2590">
        <f>0</f>
        <v>0</v>
      </c>
      <c r="BF282" s="2590">
        <f>0</f>
        <v>0</v>
      </c>
      <c r="BG282" s="2590">
        <f>0</f>
        <v>0</v>
      </c>
      <c r="BH282" s="2590">
        <f>0</f>
        <v>0</v>
      </c>
      <c r="BI282" s="2590">
        <f>0</f>
        <v>0</v>
      </c>
      <c r="BJ282" s="2590">
        <f>0</f>
        <v>0</v>
      </c>
      <c r="BK282" s="2590">
        <f>0</f>
        <v>0</v>
      </c>
      <c r="BL282" s="2590">
        <f>0</f>
        <v>0</v>
      </c>
      <c r="BM282" s="2590">
        <f>0</f>
        <v>0</v>
      </c>
      <c r="BN282" s="2590">
        <f>0</f>
        <v>0</v>
      </c>
      <c r="BO282" s="2590">
        <f>0</f>
        <v>0</v>
      </c>
      <c r="BP282" s="2590">
        <f>0</f>
        <v>0</v>
      </c>
      <c r="BQ282" s="2590">
        <f>0</f>
        <v>0</v>
      </c>
      <c r="BR282" s="2590">
        <f>0</f>
        <v>0</v>
      </c>
      <c r="BS282" s="2590">
        <f>0</f>
        <v>0</v>
      </c>
      <c r="BT282" s="2590">
        <f>0</f>
        <v>0</v>
      </c>
      <c r="BU282" s="2590">
        <f>0</f>
        <v>0</v>
      </c>
      <c r="BV282" s="2590">
        <f>0</f>
        <v>0</v>
      </c>
      <c r="BW282" s="2590">
        <f>0</f>
        <v>0</v>
      </c>
      <c r="BX282" s="2590">
        <f>0</f>
        <v>0</v>
      </c>
      <c r="BY282" s="2590">
        <f>0</f>
        <v>0</v>
      </c>
      <c r="BZ282" s="2590">
        <f>0</f>
        <v>0</v>
      </c>
      <c r="CA282" s="2590">
        <f>0</f>
        <v>0</v>
      </c>
      <c r="CB282" s="2590">
        <f>0</f>
        <v>0</v>
      </c>
      <c r="CC282" s="2590">
        <f>0</f>
        <v>0</v>
      </c>
      <c r="CD282" s="2590">
        <f>0</f>
        <v>0</v>
      </c>
      <c r="CE282" s="2590">
        <f>0</f>
        <v>0</v>
      </c>
      <c r="CF282" s="2590">
        <f>0</f>
        <v>0</v>
      </c>
      <c r="CG282" s="2590">
        <f>0</f>
        <v>0</v>
      </c>
      <c r="CH282" s="2590">
        <f>0</f>
        <v>0</v>
      </c>
      <c r="CI282" s="2590">
        <f>0</f>
        <v>0</v>
      </c>
      <c r="CJ282" s="2590">
        <f>0</f>
        <v>0</v>
      </c>
      <c r="CK282" s="2590">
        <f>0</f>
        <v>0</v>
      </c>
      <c r="CL282" s="2590">
        <f>0</f>
        <v>0</v>
      </c>
      <c r="CM282" s="2590">
        <f>0</f>
        <v>0</v>
      </c>
      <c r="CN282" s="2590">
        <f>0</f>
        <v>0</v>
      </c>
      <c r="CO282" s="2590">
        <f>0</f>
        <v>0</v>
      </c>
      <c r="CP282" s="2590">
        <f>0</f>
        <v>0</v>
      </c>
      <c r="CQ282" s="2590">
        <f>0</f>
        <v>0</v>
      </c>
      <c r="CR282" s="2590">
        <f>0</f>
        <v>0</v>
      </c>
      <c r="CS282" s="2590">
        <f>0</f>
        <v>0</v>
      </c>
      <c r="CT282" s="2590">
        <f>0</f>
        <v>0</v>
      </c>
      <c r="CU282" s="2590">
        <f>0</f>
        <v>0</v>
      </c>
      <c r="CV282" s="2877">
        <f>µ_SOO_S_T*X_SOO*M_satSCO2_KCO2_BIO*M_satSNO2_KNO2_S_SOO*M_satXS_KS_SOO*M_satSNHx_KNHx_BIO*M_satSPO4_KPO4_BIO*M_satSCAT_KCAT*M_satSAN_KAN*M_satSCa_KCa*M_satSMg_KMg*M_inhSH2S_KiH2S_SOO*M_inhSO2_KO2_S_SOO*B_ellinhpH</f>
        <v>1.4289263538139572</v>
      </c>
      <c r="CX282" s="2880">
        <f>E299*E282+F299*F282+G299*G282+H299*H282+I299*I282+J299*J282+K299*K282+L299*L282+M299*M282+N299*N282+O299*O282+P299*P282+Q299*Q282+R299*R282+S299*S282+T299*T282+U299*U282+V299*V282+W299*W282+X299*X282+Y299*Y282+Z299*Z282+AA299*AA282+AB299*AB282+AC299*AC282+AD299*AD282+AE299*AE282+AF299*AF282+AG299*AG282+AH299*AH282+AI299*AI282+AJ299*AJ282+AK299*AK282+AL299*AL282+AM299*AM282+AN299*AN282+AO299*AO282+AP299*AP282+AQ299*AQ282+AR299*AR282+AS299*AS282+AT299*AT282+AU299*AU282+AV299*AV282+AW299*AW282+AX299*AX282+AY299*AY282+AZ299*AZ282+BA299*BA282+BB299*BB282+BC299*BC282+BD299*BD282+BE299*BE282+BF299*BF282+BG299*BG282+BH299*BH282+BI299*BI282+BJ299*BJ282+BK299*BK282+BL299*BL282+BM299*BM282+BN299*BN282+BO299*BO282+BP299*BP282+BQ299*BQ282+BR299*BR282+BS299*BS282+BT299*BT282+BU299*BU282+BV299*BV282+BW299*BW282+BX299*BX282+BY299*BY282+BZ299*BZ282+CA299*CA282+CB299*CB282+CC299*CC282+CD299*CD282+CE299*CE282+CF299*CF282+CG299*CG282+CH299*CH282+CI299*CI282+CJ299*CJ282+CK299*CK282+CL299*CL282+CM299*CM282+CN299*CN282+CO299*CO282+CP299*CP282+CQ299*CQ282+CR299*CR282+CS299*CS282+CT299*CT282+CU299*CU282</f>
        <v>-8.8817841970012523E-16</v>
      </c>
      <c r="CY282" s="2880">
        <f>E300*E282+F300*F282+G300*G282+H300*H282+I300*I282+J300*J282+K300*K282+L300*L282+M300*M282+N300*N282+O300*O282+P300*P282+Q300*Q282+R300*R282+S300*S282+T300*T282+U300*U282+V300*V282+W300*W282+X300*X282+Y300*Y282+Z300*Z282+AA300*AA282+AB300*AB282+AC300*AC282+AD300*AD282+AE300*AE282+AF300*AF282+AG300*AG282+AH300*AH282+AI300*AI282+AJ300*AJ282+AK300*AK282+AL300*AL282+AM300*AM282+AN300*AN282+AO300*AO282+AP300*AP282+AQ300*AQ282+AR300*AR282+AS300*AS282+AT300*AT282+AU300*AU282+AV300*AV282+AW300*AW282+AX300*AX282+AY300*AY282+AZ300*AZ282+BA300*BA282+BB300*BB282+BC300*BC282+BD300*BD282+BE300*BE282+BF300*BF282+BG300*BG282+BH300*BH282+BI300*BI282+BJ300*BJ282+BK300*BK282+BL300*BL282+BM300*BM282+BN300*BN282+BO300*BO282+BP300*BP282+BQ300*BQ282+BR300*BR282+BS300*BS282+BT300*BT282+BU300*BU282+BV300*BV282+BW300*BW282+BX300*BX282+BY300*BY282+BZ300*BZ282+CA300*CA282+CB300*CB282+CC300*CC282+CD300*CD282+CE300*CE282+CF300*CF282+CG300*CG282+CH300*CH282+CI300*CI282+CJ300*CJ282+CK300*CK282+CL300*CL282+CM300*CM282+CN300*CN282+CO300*CO282+CP300*CP282+CQ300*CQ282+CR300*CR282+CS300*CS282+CT300*CT282+CU300*CU282</f>
        <v>0</v>
      </c>
      <c r="CZ282" s="2881">
        <f>E301*E282+F301*F282+G301*G282+H301*H282+I301*I282+J301*J282+K301*K282+L301*L282+M301*M282+N301*N282+O301*O282+P301*P282+Q301*Q282+R301*R282+S301*S282+T301*T282+U301*U282+V301*V282+W301*W282+X301*X282+Y301*Y282+Z301*Z282+AA301*AA282+AB301*AB282+AC301*AC282+AD301*AD282+AE301*AE282+AF301*AF282+AG301*AG282+AH301*AH282+AI301*AI282+AJ301*AJ282+AK301*AK282+AL301*AL282+AM301*AM282+AN301*AN282+AO301*AO282+AP301*AP282+AQ301*AQ282+AR301*AR282+AS301*AS282+AT301*AT282+AU301*AU282+AV301*AV282+AW301*AW282+AX301*AX282+AY301*AY282+AZ301*AZ282+BA301*BA282+BB301*BB282+BC301*BC282+BD301*BD282+BE301*BE282+BF301*BF282+BG301*BG282+BH301*BH282+BI301*BI282+BJ301*BJ282+BK301*BK282+BL301*BL282+BM301*BM282+BN301*BN282+BO301*BO282+BP301*BP282+BQ301*BQ282+BR301*BR282+BS301*BS282+BT301*BT282+BU301*BU282+BV301*BV282+BW301*BW282+BX301*BX282+BY301*BY282+BZ301*BZ282+CA301*CA282+CB301*CB282+CC301*CC282+CD301*CD282+CE301*CE282+CF301*CF282+CG301*CG282+CH301*CH282+CI301*CI282+CJ301*CJ282+CK301*CK282+CL301*CL282+CM301*CM282+CN301*CN282+CO301*CO282+CP301*CP282+CQ301*CQ282+CR301*CR282+CS301*CS282+CT301*CT282+CU301*CU282</f>
        <v>0</v>
      </c>
      <c r="DA282" s="2882">
        <f>E302*E282+F302*F282+G302*G282+H302*H282+I302*I282+J302*J282+K302*K282+L302*L282+M302*M282+N302*N282+O302*O282+P302*P282+Q302*Q282+R302*R282+S302*S282+T302*T282+U302*U282+V302*V282+W302*W282+X302*X282+Y302*Y282+Z302*Z282+AA302*AA282+AB302*AB282+AC302*AC282+AD302*AD282+AE302*AE282+AF302*AF282+AG302*AG282+AH302*AH282+AI302*AI282+AJ302*AJ282+AK302*AK282+AL302*AL282+AM302*AM282+AN302*AN282+AO302*AO282+AP302*AP282+AQ302*AQ282+AR302*AR282+AS302*AS282+AT302*AT282+AU302*AU282+AV302*AV282+AW302*AW282+AX302*AX282+AY302*AY282+AZ302*AZ282+BA302*BA282+BB302*BB282+BC302*BC282+BD302*BD282+BE302*BE282+BF302*BF282+BG302*BG282+BH302*BH282+BI302*BI282+BJ302*BJ282+BK302*BK282+BL302*BL282+BM302*BM282+BN302*BN282+BO302*BO282+BP302*BP282+BQ302*BQ282+BR302*BR282+BS302*BS282+BT302*BT282+BU302*BU282+BV302*BV282+BW302*BW282+BX302*BX282+BY302*BY282+BZ302*BZ282+CA302*CA282+CB302*CB282+CC302*CC282+CD302*CD282+CE302*CE282+CF302*CF282+CG302*CG282+CH302*CH282+CI302*CI282+CJ302*CJ282+CK302*CK282+CL302*CL282+CM302*CM282+CN302*CN282+CO302*CO282+CP302*CP282+CQ302*CQ282+CR302*CR282+CS302*CS282+CT302*CT282+CU302*CU282</f>
        <v>0</v>
      </c>
      <c r="DB282" s="2882">
        <f>E303*E282+F303*F282+G303*G282+H303*H282+I303*I282+J303*J282+K303*K282+L303*L282+M303*M282+N303*N282+O303*O282+P303*P282+Q303*Q282+R303*R282+S303*S282+T303*T282+U303*U282+V303*V282+W303*W282+X303*X282+Y303*Y282+Z303*Z282+AA303*AA282+AB303*AB282+AC303*AC282+AD303*AD282+AE303*AE282+AF303*AF282+AG303*AG282+AH303*AH282+AI303*AI282+AJ303*AJ282+AK303*AK282+AL303*AL282+AM303*AM282+AN303*AN282+AO303*AO282+AP303*AP282+AQ303*AQ282+AR303*AR282+AS303*AS282+AT303*AT282+AU303*AU282+AV303*AV282+AW303*AW282+AX303*AX282+AY303*AY282+AZ303*AZ282+BA303*BA282+BB303*BB282+BC303*BC282+BD303*BD282+BE303*BE282+BF303*BF282+BG303*BG282+BH303*BH282+BI303*BI282+BJ303*BJ282+BK303*BK282+BL303*BL282+BM303*BM282+BN303*BN282+BO303*BO282+BP303*BP282+BQ303*BQ282+BR303*BR282+BS303*BS282+BT303*BT282+BU303*BU282+BV303*BV282+BW303*BW282+BX303*BX282+BY303*BY282+BZ303*BZ282+CA303*CA282+CB303*CB282+CC303*CC282+CD303*CD282+CE303*CE282+CF303*CF282+CG303*CG282+CH303*CH282+CI303*CI282+CJ303*CJ282+CK303*CK282+CL303*CL282+CM303*CM282+CN303*CN282+CO303*CO282+CP303*CP282+CQ303*CQ282+CR303*CR282+CS303*CS282+CT303*CT282+CU303*CU282</f>
        <v>0</v>
      </c>
      <c r="DC282" s="2882">
        <f>E304*E282+F304*F282+G304*G282+H304*H282+I304*I282+J304*J282+K304*K282+L304*L282+M304*M282+N304*N282+O304*O282+P304*P282+Q304*Q282+R304*R282+S304*S282+T304*T282+U304*U282+V304*V282+W304*W282+X304*X282+Y304*Y282+Z304*Z282+AA304*AA282+AB304*AB282+AC304*AC282+AD304*AD282+AE304*AE282+AF304*AF282+AG304*AG282+AH304*AH282+AI304*AI282+AJ304*AJ282+AK304*AK282+AL304*AL282+AM304*AM282+AN304*AN282+AO304*AO282+AP304*AP282+AQ304*AQ282+AR304*AR282+AS304*AS282+AT304*AT282+AU304*AU282+AV304*AV282+AW304*AW282+AX304*AX282+AY304*AY282+AZ304*AZ282+BA304*BA282+BB304*BB282+BC304*BC282+BD304*BD282+BE304*BE282+BF304*BF282+BG304*BG282+BH304*BH282+BI304*BI282+BJ304*BJ282+BK304*BK282+BL304*BL282+BM304*BM282+BN304*BN282+BO304*BO282+BP304*BP282+BQ304*BQ282+BR304*BR282+BS304*BS282+BT304*BT282+BU304*BU282+BV304*BV282+BW304*BW282+BX304*BX282+BY304*BY282+BZ304*BZ282+CA304*CA282+CB304*CB282+CC304*CC282+CD304*CD282+CE304*CE282+CF304*CF282+CG304*CG282+CH304*CH282+CI304*CI282+CJ304*CJ282+CK304*CK282+CL304*CL282+CM304*CM282+CN304*CN282+CO304*CO282+CP304*CP282+CQ304*CQ282+CR304*CR282+CS304*CS282+CT304*CT282+CU304*CU282</f>
        <v>0</v>
      </c>
      <c r="DD282" s="2882">
        <f>E305*E282+F305*F282+G305*G282+H305*H282+I305*I282+J305*J282+K305*K282+L305*L282+M305*M282+N305*N282+O305*O282+P305*P282+Q305*Q282+R305*R282+S305*S282+T305*T282+U305*U282+V305*V282+W305*W282+X305*X282+Y305*Y282+Z305*Z282+AA305*AA282+AB305*AB282+AC305*AC282+AD305*AD282+AE305*AE282+AF305*AF282+AG305*AG282+AH305*AH282+AI305*AI282+AJ305*AJ282+AK305*AK282+AL305*AL282+AM305*AM282+AN305*AN282+AO305*AO282+AP305*AP282+AQ305*AQ282+AR305*AR282+AS305*AS282+AT305*AT282+AU305*AU282+AV305*AV282+AW305*AW282+AX305*AX282+AY305*AY282+AZ305*AZ282+BA305*BA282+BB305*BB282+BC305*BC282+BD305*BD282+BE305*BE282+BF305*BF282+BG305*BG282+BH305*BH282+BI305*BI282+BJ305*BJ282+BK305*BK282+BL305*BL282+BM305*BM282+BN305*BN282+BO305*BO282+BP305*BP282+BQ305*BQ282+BR305*BR282+BS305*BS282+BT305*BT282+BU305*BU282+BV305*BV282+BW305*BW282+BX305*BX282+BY305*BY282+BZ305*BZ282+CA305*CA282+CB305*CB282+CC305*CC282+CD305*CD282+CE305*CE282+CF305*CF282+CG305*CG282+CH305*CH282+CI305*CI282+CJ305*CJ282+CK305*CK282+CL305*CL282+CM305*CM282+CN305*CN282+CO305*CO282+CP305*CP282+CQ305*CQ282+CR305*CR282+CS305*CS282+CT305*CT282+CU305*CU282</f>
        <v>0</v>
      </c>
      <c r="DE282" s="2882">
        <f>E306*E282+F306*F282+G306*G282+H306*H282+I306*I282+J306*J282+K306*K282+L306*L282+M306*M282+N306*N282+O306*O282+P306*P282+Q306*Q282+R306*R282+S306*S282+T306*T282+U306*U282+V306*V282+W306*W282+X306*X282+Y306*Y282+Z306*Z282+AA306*AA282+AB306*AB282+AC306*AC282+AD306*AD282+AE306*AE282+AF306*AF282+AG306*AG282+AH306*AH282+AI306*AI282+AJ306*AJ282+AK306*AK282+AL306*AL282+AM306*AM282+AN306*AN282+AO306*AO282+AP306*AP282+AQ306*AQ282+AR306*AR282+AS306*AS282+AT306*AT282+AU306*AU282+AV306*AV282+AW306*AW282+AX306*AX282+AY306*AY282+AZ306*AZ282+BA306*BA282+BB306*BB282+BC306*BC282+BD306*BD282+BE306*BE282+BF306*BF282+BG306*BG282+BH306*BH282+BI306*BI282+BJ306*BJ282+BK306*BK282+BL306*BL282+BM306*BM282+BN306*BN282+BO306*BO282+BP306*BP282+BQ306*BQ282+BR306*BR282+BS306*BS282+BT306*BT282+BU306*BU282+BV306*BV282+BW306*BW282+BX306*BX282+BY306*BY282+BZ306*BZ282+CA306*CA282+CB306*CB282+CC306*CC282+CD306*CD282+CE306*CE282+CF306*CF282+CG306*CG282+CH306*CH282+CI306*CI282+CJ306*CJ282+CK306*CK282+CL306*CL282+CM306*CM282+CN306*CN282+CO306*CO282+CP306*CP282+CQ306*CQ282+CR306*CR282+CS306*CS282+CT306*CT282+CU306*CU282</f>
        <v>0</v>
      </c>
      <c r="DF282" s="2882">
        <f>E307*E282+F307*F282+G307*G282+H307*H282+I307*I282+J307*J282+K307*K282+L307*L282+M307*M282+N307*N282+O307*O282+P307*P282+Q307*Q282+R307*R282+S307*S282+T307*T282+U307*U282+V307*V282+W307*W282+X307*X282+Y307*Y282+Z307*Z282+AA307*AA282+AB307*AB282+AC307*AC282+AD307*AD282+AE307*AE282+AF307*AF282+AG307*AG282+AH307*AH282+AI307*AI282+AJ307*AJ282+AK307*AK282+AL307*AL282+AM307*AM282+AN307*AN282+AO307*AO282+AP307*AP282+AQ307*AQ282+AR307*AR282+AS307*AS282+AT307*AT282+AU307*AU282+AV307*AV282+AW307*AW282+AX307*AX282+AY307*AY282+AZ307*AZ282+BA307*BA282+BB307*BB282+BC307*BC282+BD307*BD282+BE307*BE282+BF307*BF282+BG307*BG282+BH307*BH282+BI307*BI282+BJ307*BJ282+BK307*BK282+BL307*BL282+BM307*BM282+BN307*BN282+BO307*BO282+BP307*BP282+BQ307*BQ282+BR307*BR282+BS307*BS282+BT307*BT282+BU307*BU282+BV307*BV282+BW307*BW282+BX307*BX282+BY307*BY282+BZ307*BZ282+CA307*CA282+CB307*CB282+CC307*CC282+CD307*CD282+CE307*CE282+CF307*CF282+CG307*CG282+CH307*CH282+CI307*CI282+CJ307*CJ282+CK307*CK282+CL307*CL282+CM307*CM282+CN307*CN282+CO307*CO282+CP307*CP282+CQ307*CQ282+CR307*CR282+CS307*CS282+CT307*CT282+CU307*CU282</f>
        <v>0</v>
      </c>
      <c r="DG282" s="2882">
        <f>E308*E282+F308*F282+G308*G282+H308*H282+I308*I282+J308*J282+K308*K282+L308*L282+M308*M282+N308*N282+O308*O282+P308*P282+Q308*Q282+R308*R282+S308*S282+T308*T282+U308*U282+V308*V282+W308*W282+X308*X282+Y308*Y282+Z308*Z282+AA308*AA282+AB308*AB282+AC308*AC282+AD308*AD282+AE308*AE282+AF308*AF282+AG308*AG282+AH308*AH282+AI308*AI282+AJ308*AJ282+AK308*AK282+AL308*AL282+AM308*AM282+AN308*AN282+AO308*AO282+AP308*AP282+AQ308*AQ282+AR308*AR282+AS308*AS282+AT308*AT282+AU308*AU282+AV308*AV282+AW308*AW282+AX308*AX282+AY308*AY282+AZ308*AZ282+BA308*BA282+BB308*BB282+BC308*BC282+BD308*BD282+BE308*BE282+BF308*BF282+BG308*BG282+BH308*BH282+BI308*BI282+BJ308*BJ282+BK308*BK282+BL308*BL282+BM308*BM282+BN308*BN282+BO308*BO282+BP308*BP282+BQ308*BQ282+BR308*BR282+BS308*BS282+BT308*BT282+BU308*BU282+BV308*BV282+BW308*BW282+BX308*BX282+BY308*BY282+BZ308*BZ282+CA308*CA282+CB308*CB282+CC308*CC282+CD308*CD282+CE308*CE282+CF308*CF282+CG308*CG282+CH308*CH282+CI308*CI282+CJ308*CJ282+CK308*CK282+CL308*CL282+CM308*CM282+CN308*CN282+CO308*CO282+CP308*CP282+CQ308*CQ282+CR308*CR282+CS308*CS282+CT308*CT282+CU308*CU282</f>
        <v>0</v>
      </c>
      <c r="DH282" s="2882">
        <f>E309*E282+F309*F282+G309*G282+H309*H282+I309*I282+J309*J282+K309*K282+L309*L282+M309*M282+N309*N282+O309*O282+P309*P282+Q309*Q282+R309*R282+S309*S282+T309*T282+U309*U282+V309*V282+W309*W282+X309*X282+Y309*Y282+Z309*Z282+AA309*AA282+AB309*AB282+AC309*AC282+AD309*AD282+AE309*AE282+AF309*AF282+AG309*AG282+AH309*AH282+AI309*AI282+AJ309*AJ282+AK309*AK282+AL309*AL282+AM309*AM282+AN309*AN282+AO309*AO282+AP309*AP282+AQ309*AQ282+AR309*AR282+AS309*AS282+AT309*AT282+AU309*AU282+AV309*AV282+AW309*AW282+AX309*AX282+AY309*AY282+AZ309*AZ282+BA309*BA282+BB309*BB282+BC309*BC282+BD309*BD282+BE309*BE282+BF309*BF282+BG309*BG282+BH309*BH282+BI309*BI282+BJ309*BJ282+BK309*BK282+BL309*BL282+BM309*BM282+BN309*BN282+BO309*BO282+BP309*BP282+BQ309*BQ282+BR309*BR282+BS309*BS282+BT309*BT282+BU309*BU282+BV309*BV282+BW309*BW282+BX309*BX282+BY309*BY282+BZ309*BZ282+CA309*CA282+CB309*CB282+CC309*CC282+CD309*CD282+CE309*CE282+CF309*CF282+CG309*CG282+CH309*CH282+CI309*CI282+CJ309*CJ282+CK309*CK282+CL309*CL282+CM309*CM282+CN309*CN282+CO309*CO282+CP309*CP282+CQ309*CQ282+CR309*CR282+CS309*CS282+CT309*CT282+CU309*CU282</f>
        <v>0</v>
      </c>
      <c r="DI282" s="2882">
        <f>E310*E282+F310*F282+G310*G282+H310*H282+I310*I282+J310*J282+K310*K282+L310*L282+M310*M282+N310*N282+O310*O282+P310*P282+Q310*Q282+R310*R282+S310*S282+T310*T282+U310*U282+V310*V282+W310*W282+X310*X282+Y310*Y282+Z310*Z282+AA310*AA282+AB310*AB282+AC310*AC282+AD310*AD282+AE310*AE282+AF310*AF282+AG310*AG282+AH310*AH282+AI310*AI282+AJ310*AJ282+AK310*AK282+AL310*AL282+AM310*AM282+AN310*AN282+AO310*AO282+AP310*AP282+AQ310*AQ282+AR310*AR282+AS310*AS282+AT310*AT282+AU310*AU282+AV310*AV282+AW310*AW282+AX310*AX282+AY310*AY282+AZ310*AZ282+BA310*BA282+BB310*BB282+BC310*BC282+BD310*BD282+BE310*BE282+BF310*BF282+BG310*BG282+BH310*BH282+BI310*BI282+BJ310*BJ282+BK310*BK282+BL310*BL282+BM310*BM282+BN310*BN282+BO310*BO282+BP310*BP282+BQ310*BQ282+BR310*BR282+BS310*BS282+BT310*BT282+BU310*BU282+BV310*BV282+BW310*BW282+BX310*BX282+BY310*BY282+BZ310*BZ282+CA310*CA282+CB310*CB282+CC310*CC282+CD310*CD282+CE310*CE282+CF310*CF282+CG310*CG282+CH310*CH282+CI310*CI282+CJ310*CJ282+CK310*CK282+CL310*CL282+CM310*CM282+CN310*CN282+CO310*CO282+CP310*CP282+CQ310*CQ282+CR310*CR282+CS310*CS282+CT310*CT282+CU310*CU282</f>
        <v>0</v>
      </c>
    </row>
    <row r="283" spans="2:113" ht="16.149999999999999" thickBot="1" x14ac:dyDescent="0.5">
      <c r="B283" s="2221">
        <v>124</v>
      </c>
      <c r="C283" s="2221" t="s">
        <v>5802</v>
      </c>
      <c r="D283" s="2589" t="s">
        <v>5463</v>
      </c>
      <c r="E283" s="2590">
        <f>0</f>
        <v>0</v>
      </c>
      <c r="F283" s="2590">
        <f>0</f>
        <v>0</v>
      </c>
      <c r="G283" s="2590">
        <f>0</f>
        <v>0</v>
      </c>
      <c r="H283" s="2590">
        <f>0</f>
        <v>0</v>
      </c>
      <c r="I283" s="2590">
        <f>0</f>
        <v>0</v>
      </c>
      <c r="J283" s="2590">
        <f>0</f>
        <v>0</v>
      </c>
      <c r="K283" s="2590">
        <f>0</f>
        <v>0</v>
      </c>
      <c r="L283" s="2590">
        <f>0</f>
        <v>0</v>
      </c>
      <c r="M283" s="2590">
        <f>0</f>
        <v>0</v>
      </c>
      <c r="N283" s="2590">
        <f>0</f>
        <v>0</v>
      </c>
      <c r="O283" s="2590">
        <f>0</f>
        <v>0</v>
      </c>
      <c r="P283" s="2590">
        <f>0</f>
        <v>0</v>
      </c>
      <c r="Q283" s="2591">
        <f>0</f>
        <v>0</v>
      </c>
      <c r="R283" s="2590">
        <f>0</f>
        <v>0</v>
      </c>
      <c r="S283" s="2590">
        <f>0</f>
        <v>0</v>
      </c>
      <c r="T283" s="2590">
        <f>0</f>
        <v>0</v>
      </c>
      <c r="U283" s="2590">
        <f>0</f>
        <v>0</v>
      </c>
      <c r="V283" s="2590">
        <f>0</f>
        <v>0</v>
      </c>
      <c r="W283" s="2590">
        <f>0</f>
        <v>0</v>
      </c>
      <c r="X283" s="2590">
        <f>0</f>
        <v>0</v>
      </c>
      <c r="Y283" s="2590">
        <f>0</f>
        <v>0</v>
      </c>
      <c r="Z283" s="2591">
        <f>0</f>
        <v>0</v>
      </c>
      <c r="AA283" s="2591">
        <f>1</f>
        <v>1</v>
      </c>
      <c r="AB283" s="2592">
        <f t="shared" si="7"/>
        <v>-7.0000000000000007E-2</v>
      </c>
      <c r="AC283" s="2592">
        <f>0</f>
        <v>0</v>
      </c>
      <c r="AD283" s="2591">
        <f>-(E_EQS-Y_SOO_S_anox)/(E_EQNO2_NO3*Y_SOO_S_anox)</f>
        <v>-3.1198723243739659</v>
      </c>
      <c r="AE283" s="2591">
        <f>(E_EQS-Y_SOO_S_anox)/(E_EQNO2_NO3*Y_SOO_S_anox)</f>
        <v>3.1198723243739659</v>
      </c>
      <c r="AF283" s="2591">
        <f>0</f>
        <v>0</v>
      </c>
      <c r="AG283" s="2591">
        <f>0</f>
        <v>0</v>
      </c>
      <c r="AH283" s="2591">
        <f>0</f>
        <v>0</v>
      </c>
      <c r="AI283" s="2591">
        <f>0</f>
        <v>0</v>
      </c>
      <c r="AJ283" s="2590">
        <f>0</f>
        <v>0</v>
      </c>
      <c r="AK283" s="2590">
        <f>0</f>
        <v>0</v>
      </c>
      <c r="AL283" s="2590">
        <f>0</f>
        <v>0</v>
      </c>
      <c r="AM283" s="2592">
        <f t="shared" si="8"/>
        <v>-0.02</v>
      </c>
      <c r="AN283" s="2590">
        <f>0</f>
        <v>0</v>
      </c>
      <c r="AO283" s="2590">
        <f>0</f>
        <v>0</v>
      </c>
      <c r="AP283" s="2590">
        <f>0</f>
        <v>0</v>
      </c>
      <c r="AQ283" s="2590">
        <f>0</f>
        <v>0</v>
      </c>
      <c r="AR283" s="2591">
        <f>0</f>
        <v>0</v>
      </c>
      <c r="AS283" s="2590">
        <f>0</f>
        <v>0</v>
      </c>
      <c r="AT283" s="2593">
        <f>0</f>
        <v>0</v>
      </c>
      <c r="AU283" s="2591">
        <f t="shared" si="9"/>
        <v>-0.35199999999999998</v>
      </c>
      <c r="AV283" s="2590">
        <f t="shared" si="10"/>
        <v>0.11</v>
      </c>
      <c r="AW283" s="2590">
        <f t="shared" si="11"/>
        <v>-2.8804303582798466E-2</v>
      </c>
      <c r="AX283" s="2590">
        <f t="shared" si="12"/>
        <v>-7.0195696417201539E-2</v>
      </c>
      <c r="AY283" s="2590">
        <f t="shared" si="13"/>
        <v>-5.5000000000000005E-3</v>
      </c>
      <c r="AZ283" s="2590">
        <f t="shared" si="14"/>
        <v>-5.5000000000000005E-3</v>
      </c>
      <c r="BA283" s="2590">
        <f>0</f>
        <v>0</v>
      </c>
      <c r="BB283" s="2595">
        <f>0</f>
        <v>0</v>
      </c>
      <c r="BC283" s="2595">
        <f>1/Y_SOO_S_anox-i_S_BIO</f>
        <v>3.0387804878048783</v>
      </c>
      <c r="BD283" s="2592">
        <f>-1/Y_SOO_S_anox</f>
        <v>-3.0487804878048781</v>
      </c>
      <c r="BE283" s="2590">
        <f>0</f>
        <v>0</v>
      </c>
      <c r="BF283" s="2590">
        <f>0</f>
        <v>0</v>
      </c>
      <c r="BG283" s="2590">
        <f>0</f>
        <v>0</v>
      </c>
      <c r="BH283" s="2590">
        <f>0</f>
        <v>0</v>
      </c>
      <c r="BI283" s="2590">
        <f>0</f>
        <v>0</v>
      </c>
      <c r="BJ283" s="2590">
        <f>0</f>
        <v>0</v>
      </c>
      <c r="BK283" s="2590">
        <f>0</f>
        <v>0</v>
      </c>
      <c r="BL283" s="2590">
        <f>0</f>
        <v>0</v>
      </c>
      <c r="BM283" s="2590">
        <f>0</f>
        <v>0</v>
      </c>
      <c r="BN283" s="2590">
        <f>0</f>
        <v>0</v>
      </c>
      <c r="BO283" s="2590">
        <f>0</f>
        <v>0</v>
      </c>
      <c r="BP283" s="2590">
        <f>0</f>
        <v>0</v>
      </c>
      <c r="BQ283" s="2590">
        <f>0</f>
        <v>0</v>
      </c>
      <c r="BR283" s="2590">
        <f>0</f>
        <v>0</v>
      </c>
      <c r="BS283" s="2590">
        <f>0</f>
        <v>0</v>
      </c>
      <c r="BT283" s="2590">
        <f>0</f>
        <v>0</v>
      </c>
      <c r="BU283" s="2590">
        <f>0</f>
        <v>0</v>
      </c>
      <c r="BV283" s="2590">
        <f>0</f>
        <v>0</v>
      </c>
      <c r="BW283" s="2590">
        <f>0</f>
        <v>0</v>
      </c>
      <c r="BX283" s="2590">
        <f>0</f>
        <v>0</v>
      </c>
      <c r="BY283" s="2590">
        <f>0</f>
        <v>0</v>
      </c>
      <c r="BZ283" s="2590">
        <f>0</f>
        <v>0</v>
      </c>
      <c r="CA283" s="2590">
        <f>0</f>
        <v>0</v>
      </c>
      <c r="CB283" s="2590">
        <f>0</f>
        <v>0</v>
      </c>
      <c r="CC283" s="2590">
        <f>0</f>
        <v>0</v>
      </c>
      <c r="CD283" s="2590">
        <f>0</f>
        <v>0</v>
      </c>
      <c r="CE283" s="2590">
        <f>0</f>
        <v>0</v>
      </c>
      <c r="CF283" s="2590">
        <f>0</f>
        <v>0</v>
      </c>
      <c r="CG283" s="2590">
        <f>0</f>
        <v>0</v>
      </c>
      <c r="CH283" s="2590">
        <f>0</f>
        <v>0</v>
      </c>
      <c r="CI283" s="2590">
        <f>0</f>
        <v>0</v>
      </c>
      <c r="CJ283" s="2590">
        <f>0</f>
        <v>0</v>
      </c>
      <c r="CK283" s="2590">
        <f>0</f>
        <v>0</v>
      </c>
      <c r="CL283" s="2590">
        <f>0</f>
        <v>0</v>
      </c>
      <c r="CM283" s="2590">
        <f>0</f>
        <v>0</v>
      </c>
      <c r="CN283" s="2590">
        <f>0</f>
        <v>0</v>
      </c>
      <c r="CO283" s="2590">
        <f>0</f>
        <v>0</v>
      </c>
      <c r="CP283" s="2590">
        <f>0</f>
        <v>0</v>
      </c>
      <c r="CQ283" s="2590">
        <f>0</f>
        <v>0</v>
      </c>
      <c r="CR283" s="2590">
        <f>0</f>
        <v>0</v>
      </c>
      <c r="CS283" s="2590">
        <f>0</f>
        <v>0</v>
      </c>
      <c r="CT283" s="2590">
        <f>0</f>
        <v>0</v>
      </c>
      <c r="CU283" s="2590">
        <f>0</f>
        <v>0</v>
      </c>
      <c r="CV283" s="2877">
        <f>µ_SOO_S_T*X_SOO*M_satSCO2_KCO2_BIO*M_satSNO3_KNO3_S_SOO*M_satXS_KS_SOO*M_satSNHx_KNHx_BIO*M_satSPO4_KPO4_BIO*M_satSCAT_KCAT*M_satSAN_KAN*M_satSCa_KCa*M_satSMg_KMg*M_inhSH2S_KiH2S_SOO*M_inhSO2_KO2_S_SOO*M_inhSNO2_KNO2_S_SOO*B_ellinhpH</f>
        <v>2.7479352957960708</v>
      </c>
      <c r="CX283" s="2880">
        <f>E299*E283+F299*F283+G299*G283+H299*H283+I299*I283+J299*J283+K299*K283+L299*L283+M299*M283+N299*N283+O299*O283+P299*P283+Q299*Q283+R299*R283+S299*S283+T299*T283+U299*U283+V299*V283+W299*W283+X299*X283+Y299*Y283+Z299*Z283+AA299*AA283+AB299*AB283+AC299*AC283+AD299*AD283+AE299*AE283+AF299*AF283+AG299*AG283+AH299*AH283+AI299*AI283+AJ299*AJ283+AK299*AK283+AL299*AL283+AM299*AM283+AN299*AN283+AO299*AO283+AP299*AP283+AQ299*AQ283+AR299*AR283+AS299*AS283+AT299*AT283+AU299*AU283+AV299*AV283+AW299*AW283+AX299*AX283+AY299*AY283+AZ299*AZ283+BA299*BA283+BB299*BB283+BC299*BC283+BD299*BD283+BE299*BE283+BF299*BF283+BG299*BG283+BH299*BH283+BI299*BI283+BJ299*BJ283+BK299*BK283+BL299*BL283+BM299*BM283+BN299*BN283+BO299*BO283+BP299*BP283+BQ299*BQ283+BR299*BR283+BS299*BS283+BT299*BT283+BU299*BU283+BV299*BV283+BW299*BW283+BX299*BX283+BY299*BY283+BZ299*BZ283+CA299*CA283+CB299*CB283+CC299*CC283+CD299*CD283+CE299*CE283+CF299*CF283+CG299*CG283+CH299*CH283+CI299*CI283+CJ299*CJ283+CK299*CK283+CL299*CL283+CM299*CM283+CN299*CN283+CO299*CO283+CP299*CP283+CQ299*CQ283+CR299*CR283+CS299*CS283+CT299*CT283+CU299*CU283</f>
        <v>-8.8817841970012523E-16</v>
      </c>
      <c r="CY283" s="2880">
        <f>E300*E283+F300*F283+G300*G283+H300*H283+I300*I283+J300*J283+K300*K283+L300*L283+M300*M283+N300*N283+O300*O283+P300*P283+Q300*Q283+R300*R283+S300*S283+T300*T283+U300*U283+V300*V283+W300*W283+X300*X283+Y300*Y283+Z300*Z283+AA300*AA283+AB300*AB283+AC300*AC283+AD300*AD283+AE300*AE283+AF300*AF283+AG300*AG283+AH300*AH283+AI300*AI283+AJ300*AJ283+AK300*AK283+AL300*AL283+AM300*AM283+AN300*AN283+AO300*AO283+AP300*AP283+AQ300*AQ283+AR300*AR283+AS300*AS283+AT300*AT283+AU300*AU283+AV300*AV283+AW300*AW283+AX300*AX283+AY300*AY283+AZ300*AZ283+BA300*BA283+BB300*BB283+BC300*BC283+BD300*BD283+BE300*BE283+BF300*BF283+BG300*BG283+BH300*BH283+BI300*BI283+BJ300*BJ283+BK300*BK283+BL300*BL283+BM300*BM283+BN300*BN283+BO300*BO283+BP300*BP283+BQ300*BQ283+BR300*BR283+BS300*BS283+BT300*BT283+BU300*BU283+BV300*BV283+BW300*BW283+BX300*BX283+BY300*BY283+BZ300*BZ283+CA300*CA283+CB300*CB283+CC300*CC283+CD300*CD283+CE300*CE283+CF300*CF283+CG300*CG283+CH300*CH283+CI300*CI283+CJ300*CJ283+CK300*CK283+CL300*CL283+CM300*CM283+CN300*CN283+CO300*CO283+CP300*CP283+CQ300*CQ283+CR300*CR283+CS300*CS283+CT300*CT283+CU300*CU283</f>
        <v>0</v>
      </c>
      <c r="CZ283" s="2881">
        <f>E301*E283+F301*F283+G301*G283+H301*H283+I301*I283+J301*J283+K301*K283+L301*L283+M301*M283+N301*N283+O301*O283+P301*P283+Q301*Q283+R301*R283+S301*S283+T301*T283+U301*U283+V301*V283+W301*W283+X301*X283+Y301*Y283+Z301*Z283+AA301*AA283+AB301*AB283+AC301*AC283+AD301*AD283+AE301*AE283+AF301*AF283+AG301*AG283+AH301*AH283+AI301*AI283+AJ301*AJ283+AK301*AK283+AL301*AL283+AM301*AM283+AN301*AN283+AO301*AO283+AP301*AP283+AQ301*AQ283+AR301*AR283+AS301*AS283+AT301*AT283+AU301*AU283+AV301*AV283+AW301*AW283+AX301*AX283+AY301*AY283+AZ301*AZ283+BA301*BA283+BB301*BB283+BC301*BC283+BD301*BD283+BE301*BE283+BF301*BF283+BG301*BG283+BH301*BH283+BI301*BI283+BJ301*BJ283+BK301*BK283+BL301*BL283+BM301*BM283+BN301*BN283+BO301*BO283+BP301*BP283+BQ301*BQ283+BR301*BR283+BS301*BS283+BT301*BT283+BU301*BU283+BV301*BV283+BW301*BW283+BX301*BX283+BY301*BY283+BZ301*BZ283+CA301*CA283+CB301*CB283+CC301*CC283+CD301*CD283+CE301*CE283+CF301*CF283+CG301*CG283+CH301*CH283+CI301*CI283+CJ301*CJ283+CK301*CK283+CL301*CL283+CM301*CM283+CN301*CN283+CO301*CO283+CP301*CP283+CQ301*CQ283+CR301*CR283+CS301*CS283+CT301*CT283+CU301*CU283</f>
        <v>0</v>
      </c>
      <c r="DA283" s="2882">
        <f>E302*E283+F302*F283+G302*G283+H302*H283+I302*I283+J302*J283+K302*K283+L302*L283+M302*M283+N302*N283+O302*O283+P302*P283+Q302*Q283+R302*R283+S302*S283+T302*T283+U302*U283+V302*V283+W302*W283+X302*X283+Y302*Y283+Z302*Z283+AA302*AA283+AB302*AB283+AC302*AC283+AD302*AD283+AE302*AE283+AF302*AF283+AG302*AG283+AH302*AH283+AI302*AI283+AJ302*AJ283+AK302*AK283+AL302*AL283+AM302*AM283+AN302*AN283+AO302*AO283+AP302*AP283+AQ302*AQ283+AR302*AR283+AS302*AS283+AT302*AT283+AU302*AU283+AV302*AV283+AW302*AW283+AX302*AX283+AY302*AY283+AZ302*AZ283+BA302*BA283+BB302*BB283+BC302*BC283+BD302*BD283+BE302*BE283+BF302*BF283+BG302*BG283+BH302*BH283+BI302*BI283+BJ302*BJ283+BK302*BK283+BL302*BL283+BM302*BM283+BN302*BN283+BO302*BO283+BP302*BP283+BQ302*BQ283+BR302*BR283+BS302*BS283+BT302*BT283+BU302*BU283+BV302*BV283+BW302*BW283+BX302*BX283+BY302*BY283+BZ302*BZ283+CA302*CA283+CB302*CB283+CC302*CC283+CD302*CD283+CE302*CE283+CF302*CF283+CG302*CG283+CH302*CH283+CI302*CI283+CJ302*CJ283+CK302*CK283+CL302*CL283+CM302*CM283+CN302*CN283+CO302*CO283+CP302*CP283+CQ302*CQ283+CR302*CR283+CS302*CS283+CT302*CT283+CU302*CU283</f>
        <v>0</v>
      </c>
      <c r="DB283" s="2882">
        <f>E303*E283+F303*F283+G303*G283+H303*H283+I303*I283+J303*J283+K303*K283+L303*L283+M303*M283+N303*N283+O303*O283+P303*P283+Q303*Q283+R303*R283+S303*S283+T303*T283+U303*U283+V303*V283+W303*W283+X303*X283+Y303*Y283+Z303*Z283+AA303*AA283+AB303*AB283+AC303*AC283+AD303*AD283+AE303*AE283+AF303*AF283+AG303*AG283+AH303*AH283+AI303*AI283+AJ303*AJ283+AK303*AK283+AL303*AL283+AM303*AM283+AN303*AN283+AO303*AO283+AP303*AP283+AQ303*AQ283+AR303*AR283+AS303*AS283+AT303*AT283+AU303*AU283+AV303*AV283+AW303*AW283+AX303*AX283+AY303*AY283+AZ303*AZ283+BA303*BA283+BB303*BB283+BC303*BC283+BD303*BD283+BE303*BE283+BF303*BF283+BG303*BG283+BH303*BH283+BI303*BI283+BJ303*BJ283+BK303*BK283+BL303*BL283+BM303*BM283+BN303*BN283+BO303*BO283+BP303*BP283+BQ303*BQ283+BR303*BR283+BS303*BS283+BT303*BT283+BU303*BU283+BV303*BV283+BW303*BW283+BX303*BX283+BY303*BY283+BZ303*BZ283+CA303*CA283+CB303*CB283+CC303*CC283+CD303*CD283+CE303*CE283+CF303*CF283+CG303*CG283+CH303*CH283+CI303*CI283+CJ303*CJ283+CK303*CK283+CL303*CL283+CM303*CM283+CN303*CN283+CO303*CO283+CP303*CP283+CQ303*CQ283+CR303*CR283+CS303*CS283+CT303*CT283+CU303*CU283</f>
        <v>0</v>
      </c>
      <c r="DC283" s="2882">
        <f>E304*E283+F304*F283+G304*G283+H304*H283+I304*I283+J304*J283+K304*K283+L304*L283+M304*M283+N304*N283+O304*O283+P304*P283+Q304*Q283+R304*R283+S304*S283+T304*T283+U304*U283+V304*V283+W304*W283+X304*X283+Y304*Y283+Z304*Z283+AA304*AA283+AB304*AB283+AC304*AC283+AD304*AD283+AE304*AE283+AF304*AF283+AG304*AG283+AH304*AH283+AI304*AI283+AJ304*AJ283+AK304*AK283+AL304*AL283+AM304*AM283+AN304*AN283+AO304*AO283+AP304*AP283+AQ304*AQ283+AR304*AR283+AS304*AS283+AT304*AT283+AU304*AU283+AV304*AV283+AW304*AW283+AX304*AX283+AY304*AY283+AZ304*AZ283+BA304*BA283+BB304*BB283+BC304*BC283+BD304*BD283+BE304*BE283+BF304*BF283+BG304*BG283+BH304*BH283+BI304*BI283+BJ304*BJ283+BK304*BK283+BL304*BL283+BM304*BM283+BN304*BN283+BO304*BO283+BP304*BP283+BQ304*BQ283+BR304*BR283+BS304*BS283+BT304*BT283+BU304*BU283+BV304*BV283+BW304*BW283+BX304*BX283+BY304*BY283+BZ304*BZ283+CA304*CA283+CB304*CB283+CC304*CC283+CD304*CD283+CE304*CE283+CF304*CF283+CG304*CG283+CH304*CH283+CI304*CI283+CJ304*CJ283+CK304*CK283+CL304*CL283+CM304*CM283+CN304*CN283+CO304*CO283+CP304*CP283+CQ304*CQ283+CR304*CR283+CS304*CS283+CT304*CT283+CU304*CU283</f>
        <v>0</v>
      </c>
      <c r="DD283" s="2882">
        <f>E305*E283+F305*F283+G305*G283+H305*H283+I305*I283+J305*J283+K305*K283+L305*L283+M305*M283+N305*N283+O305*O283+P305*P283+Q305*Q283+R305*R283+S305*S283+T305*T283+U305*U283+V305*V283+W305*W283+X305*X283+Y305*Y283+Z305*Z283+AA305*AA283+AB305*AB283+AC305*AC283+AD305*AD283+AE305*AE283+AF305*AF283+AG305*AG283+AH305*AH283+AI305*AI283+AJ305*AJ283+AK305*AK283+AL305*AL283+AM305*AM283+AN305*AN283+AO305*AO283+AP305*AP283+AQ305*AQ283+AR305*AR283+AS305*AS283+AT305*AT283+AU305*AU283+AV305*AV283+AW305*AW283+AX305*AX283+AY305*AY283+AZ305*AZ283+BA305*BA283+BB305*BB283+BC305*BC283+BD305*BD283+BE305*BE283+BF305*BF283+BG305*BG283+BH305*BH283+BI305*BI283+BJ305*BJ283+BK305*BK283+BL305*BL283+BM305*BM283+BN305*BN283+BO305*BO283+BP305*BP283+BQ305*BQ283+BR305*BR283+BS305*BS283+BT305*BT283+BU305*BU283+BV305*BV283+BW305*BW283+BX305*BX283+BY305*BY283+BZ305*BZ283+CA305*CA283+CB305*CB283+CC305*CC283+CD305*CD283+CE305*CE283+CF305*CF283+CG305*CG283+CH305*CH283+CI305*CI283+CJ305*CJ283+CK305*CK283+CL305*CL283+CM305*CM283+CN305*CN283+CO305*CO283+CP305*CP283+CQ305*CQ283+CR305*CR283+CS305*CS283+CT305*CT283+CU305*CU283</f>
        <v>0</v>
      </c>
      <c r="DE283" s="2882">
        <f>E306*E283+F306*F283+G306*G283+H306*H283+I306*I283+J306*J283+K306*K283+L306*L283+M306*M283+N306*N283+O306*O283+P306*P283+Q306*Q283+R306*R283+S306*S283+T306*T283+U306*U283+V306*V283+W306*W283+X306*X283+Y306*Y283+Z306*Z283+AA306*AA283+AB306*AB283+AC306*AC283+AD306*AD283+AE306*AE283+AF306*AF283+AG306*AG283+AH306*AH283+AI306*AI283+AJ306*AJ283+AK306*AK283+AL306*AL283+AM306*AM283+AN306*AN283+AO306*AO283+AP306*AP283+AQ306*AQ283+AR306*AR283+AS306*AS283+AT306*AT283+AU306*AU283+AV306*AV283+AW306*AW283+AX306*AX283+AY306*AY283+AZ306*AZ283+BA306*BA283+BB306*BB283+BC306*BC283+BD306*BD283+BE306*BE283+BF306*BF283+BG306*BG283+BH306*BH283+BI306*BI283+BJ306*BJ283+BK306*BK283+BL306*BL283+BM306*BM283+BN306*BN283+BO306*BO283+BP306*BP283+BQ306*BQ283+BR306*BR283+BS306*BS283+BT306*BT283+BU306*BU283+BV306*BV283+BW306*BW283+BX306*BX283+BY306*BY283+BZ306*BZ283+CA306*CA283+CB306*CB283+CC306*CC283+CD306*CD283+CE306*CE283+CF306*CF283+CG306*CG283+CH306*CH283+CI306*CI283+CJ306*CJ283+CK306*CK283+CL306*CL283+CM306*CM283+CN306*CN283+CO306*CO283+CP306*CP283+CQ306*CQ283+CR306*CR283+CS306*CS283+CT306*CT283+CU306*CU283</f>
        <v>0</v>
      </c>
      <c r="DF283" s="2882">
        <f>E307*E283+F307*F283+G307*G283+H307*H283+I307*I283+J307*J283+K307*K283+L307*L283+M307*M283+N307*N283+O307*O283+P307*P283+Q307*Q283+R307*R283+S307*S283+T307*T283+U307*U283+V307*V283+W307*W283+X307*X283+Y307*Y283+Z307*Z283+AA307*AA283+AB307*AB283+AC307*AC283+AD307*AD283+AE307*AE283+AF307*AF283+AG307*AG283+AH307*AH283+AI307*AI283+AJ307*AJ283+AK307*AK283+AL307*AL283+AM307*AM283+AN307*AN283+AO307*AO283+AP307*AP283+AQ307*AQ283+AR307*AR283+AS307*AS283+AT307*AT283+AU307*AU283+AV307*AV283+AW307*AW283+AX307*AX283+AY307*AY283+AZ307*AZ283+BA307*BA283+BB307*BB283+BC307*BC283+BD307*BD283+BE307*BE283+BF307*BF283+BG307*BG283+BH307*BH283+BI307*BI283+BJ307*BJ283+BK307*BK283+BL307*BL283+BM307*BM283+BN307*BN283+BO307*BO283+BP307*BP283+BQ307*BQ283+BR307*BR283+BS307*BS283+BT307*BT283+BU307*BU283+BV307*BV283+BW307*BW283+BX307*BX283+BY307*BY283+BZ307*BZ283+CA307*CA283+CB307*CB283+CC307*CC283+CD307*CD283+CE307*CE283+CF307*CF283+CG307*CG283+CH307*CH283+CI307*CI283+CJ307*CJ283+CK307*CK283+CL307*CL283+CM307*CM283+CN307*CN283+CO307*CO283+CP307*CP283+CQ307*CQ283+CR307*CR283+CS307*CS283+CT307*CT283+CU307*CU283</f>
        <v>0</v>
      </c>
      <c r="DG283" s="2882">
        <f>E308*E283+F308*F283+G308*G283+H308*H283+I308*I283+J308*J283+K308*K283+L308*L283+M308*M283+N308*N283+O308*O283+P308*P283+Q308*Q283+R308*R283+S308*S283+T308*T283+U308*U283+V308*V283+W308*W283+X308*X283+Y308*Y283+Z308*Z283+AA308*AA283+AB308*AB283+AC308*AC283+AD308*AD283+AE308*AE283+AF308*AF283+AG308*AG283+AH308*AH283+AI308*AI283+AJ308*AJ283+AK308*AK283+AL308*AL283+AM308*AM283+AN308*AN283+AO308*AO283+AP308*AP283+AQ308*AQ283+AR308*AR283+AS308*AS283+AT308*AT283+AU308*AU283+AV308*AV283+AW308*AW283+AX308*AX283+AY308*AY283+AZ308*AZ283+BA308*BA283+BB308*BB283+BC308*BC283+BD308*BD283+BE308*BE283+BF308*BF283+BG308*BG283+BH308*BH283+BI308*BI283+BJ308*BJ283+BK308*BK283+BL308*BL283+BM308*BM283+BN308*BN283+BO308*BO283+BP308*BP283+BQ308*BQ283+BR308*BR283+BS308*BS283+BT308*BT283+BU308*BU283+BV308*BV283+BW308*BW283+BX308*BX283+BY308*BY283+BZ308*BZ283+CA308*CA283+CB308*CB283+CC308*CC283+CD308*CD283+CE308*CE283+CF308*CF283+CG308*CG283+CH308*CH283+CI308*CI283+CJ308*CJ283+CK308*CK283+CL308*CL283+CM308*CM283+CN308*CN283+CO308*CO283+CP308*CP283+CQ308*CQ283+CR308*CR283+CS308*CS283+CT308*CT283+CU308*CU283</f>
        <v>0</v>
      </c>
      <c r="DH283" s="2882">
        <f>E309*E283+F309*F283+G309*G283+H309*H283+I309*I283+J309*J283+K309*K283+L309*L283+M309*M283+N309*N283+O309*O283+P309*P283+Q309*Q283+R309*R283+S309*S283+T309*T283+U309*U283+V309*V283+W309*W283+X309*X283+Y309*Y283+Z309*Z283+AA309*AA283+AB309*AB283+AC309*AC283+AD309*AD283+AE309*AE283+AF309*AF283+AG309*AG283+AH309*AH283+AI309*AI283+AJ309*AJ283+AK309*AK283+AL309*AL283+AM309*AM283+AN309*AN283+AO309*AO283+AP309*AP283+AQ309*AQ283+AR309*AR283+AS309*AS283+AT309*AT283+AU309*AU283+AV309*AV283+AW309*AW283+AX309*AX283+AY309*AY283+AZ309*AZ283+BA309*BA283+BB309*BB283+BC309*BC283+BD309*BD283+BE309*BE283+BF309*BF283+BG309*BG283+BH309*BH283+BI309*BI283+BJ309*BJ283+BK309*BK283+BL309*BL283+BM309*BM283+BN309*BN283+BO309*BO283+BP309*BP283+BQ309*BQ283+BR309*BR283+BS309*BS283+BT309*BT283+BU309*BU283+BV309*BV283+BW309*BW283+BX309*BX283+BY309*BY283+BZ309*BZ283+CA309*CA283+CB309*CB283+CC309*CC283+CD309*CD283+CE309*CE283+CF309*CF283+CG309*CG283+CH309*CH283+CI309*CI283+CJ309*CJ283+CK309*CK283+CL309*CL283+CM309*CM283+CN309*CN283+CO309*CO283+CP309*CP283+CQ309*CQ283+CR309*CR283+CS309*CS283+CT309*CT283+CU309*CU283</f>
        <v>0</v>
      </c>
      <c r="DI283" s="2882">
        <f>E310*E283+F310*F283+G310*G283+H310*H283+I310*I283+J310*J283+K310*K283+L310*L283+M310*M283+N310*N283+O310*O283+P310*P283+Q310*Q283+R310*R283+S310*S283+T310*T283+U310*U283+V310*V283+W310*W283+X310*X283+Y310*Y283+Z310*Z283+AA310*AA283+AB310*AB283+AC310*AC283+AD310*AD283+AE310*AE283+AF310*AF283+AG310*AG283+AH310*AH283+AI310*AI283+AJ310*AJ283+AK310*AK283+AL310*AL283+AM310*AM283+AN310*AN283+AO310*AO283+AP310*AP283+AQ310*AQ283+AR310*AR283+AS310*AS283+AT310*AT283+AU310*AU283+AV310*AV283+AW310*AW283+AX310*AX283+AY310*AY283+AZ310*AZ283+BA310*BA283+BB310*BB283+BC310*BC283+BD310*BD283+BE310*BE283+BF310*BF283+BG310*BG283+BH310*BH283+BI310*BI283+BJ310*BJ283+BK310*BK283+BL310*BL283+BM310*BM283+BN310*BN283+BO310*BO283+BP310*BP283+BQ310*BQ283+BR310*BR283+BS310*BS283+BT310*BT283+BU310*BU283+BV310*BV283+BW310*BW283+BX310*BX283+BY310*BY283+BZ310*BZ283+CA310*CA283+CB310*CB283+CC310*CC283+CD310*CD283+CE310*CE283+CF310*CF283+CG310*CG283+CH310*CH283+CI310*CI283+CJ310*CJ283+CK310*CK283+CL310*CL283+CM310*CM283+CN310*CN283+CO310*CO283+CP310*CP283+CQ310*CQ283+CR310*CR283+CS310*CS283+CT310*CT283+CU310*CU283</f>
        <v>0</v>
      </c>
    </row>
    <row r="284" spans="2:113" x14ac:dyDescent="0.45">
      <c r="B284" s="2219">
        <v>125</v>
      </c>
      <c r="C284" s="2219" t="s">
        <v>5803</v>
      </c>
      <c r="D284" s="2589" t="s">
        <v>5467</v>
      </c>
      <c r="E284" s="2590">
        <f>0</f>
        <v>0</v>
      </c>
      <c r="F284" s="2590">
        <f>0</f>
        <v>0</v>
      </c>
      <c r="G284" s="2590">
        <f>0</f>
        <v>0</v>
      </c>
      <c r="H284" s="2590">
        <f>0</f>
        <v>0</v>
      </c>
      <c r="I284" s="2590">
        <f>1-f_E</f>
        <v>0.92</v>
      </c>
      <c r="J284" s="2590">
        <f>0</f>
        <v>0</v>
      </c>
      <c r="K284" s="2590">
        <f>0</f>
        <v>0</v>
      </c>
      <c r="L284" s="2590">
        <f>0</f>
        <v>0</v>
      </c>
      <c r="M284" s="2590">
        <f>0</f>
        <v>0</v>
      </c>
      <c r="N284" s="2590">
        <f>0</f>
        <v>0</v>
      </c>
      <c r="O284" s="2590">
        <f>f_E</f>
        <v>0.08</v>
      </c>
      <c r="P284" s="2590">
        <f>0</f>
        <v>0</v>
      </c>
      <c r="Q284" s="2591">
        <f>0</f>
        <v>0</v>
      </c>
      <c r="R284" s="2590">
        <f>0</f>
        <v>0</v>
      </c>
      <c r="S284" s="2590">
        <f>0</f>
        <v>0</v>
      </c>
      <c r="T284" s="2590">
        <f>0</f>
        <v>0</v>
      </c>
      <c r="U284" s="2590">
        <f>0</f>
        <v>0</v>
      </c>
      <c r="V284" s="2590">
        <f>0</f>
        <v>0</v>
      </c>
      <c r="W284" s="2590">
        <f>0</f>
        <v>0</v>
      </c>
      <c r="X284" s="2590">
        <f>0</f>
        <v>0</v>
      </c>
      <c r="Y284" s="2590">
        <f>0</f>
        <v>0</v>
      </c>
      <c r="Z284" s="2591">
        <f>0</f>
        <v>0</v>
      </c>
      <c r="AA284" s="2591">
        <f>-1</f>
        <v>-1</v>
      </c>
      <c r="AB284" s="2592">
        <f>-f_E*(i_N_XE-i_N_BIO)</f>
        <v>8.0000000000000069E-4</v>
      </c>
      <c r="AC284" s="2592">
        <f>0</f>
        <v>0</v>
      </c>
      <c r="AD284" s="2590">
        <f>0</f>
        <v>0</v>
      </c>
      <c r="AE284" s="2590">
        <f>0</f>
        <v>0</v>
      </c>
      <c r="AF284" s="2590">
        <f>0</f>
        <v>0</v>
      </c>
      <c r="AG284" s="2590">
        <f>0</f>
        <v>0</v>
      </c>
      <c r="AH284" s="2590">
        <f>0</f>
        <v>0</v>
      </c>
      <c r="AI284" s="2590">
        <f>0</f>
        <v>0</v>
      </c>
      <c r="AJ284" s="2590">
        <f>0</f>
        <v>0</v>
      </c>
      <c r="AK284" s="2590">
        <f>(1-f_E)*i_N_BIO</f>
        <v>6.4400000000000013E-2</v>
      </c>
      <c r="AL284" s="2590">
        <f>0</f>
        <v>0</v>
      </c>
      <c r="AM284" s="2593">
        <f>0</f>
        <v>0</v>
      </c>
      <c r="AN284" s="2590">
        <f>0</f>
        <v>0</v>
      </c>
      <c r="AO284" s="2590">
        <f>0</f>
        <v>0</v>
      </c>
      <c r="AP284" s="2590">
        <f>(1-f_E)*i_P_BIO</f>
        <v>1.84E-2</v>
      </c>
      <c r="AQ284" s="2590">
        <f>0</f>
        <v>0</v>
      </c>
      <c r="AR284" s="2590">
        <f>0</f>
        <v>0</v>
      </c>
      <c r="AS284" s="2590">
        <f>0</f>
        <v>0</v>
      </c>
      <c r="AT284" s="2593">
        <f>0</f>
        <v>0</v>
      </c>
      <c r="AU284" s="2590">
        <f>(1-f_E)*(i_CIT_BIO-i_CIT_SB)</f>
        <v>6.0720000000000003E-2</v>
      </c>
      <c r="AV284" s="2590">
        <f>-i_INORG</f>
        <v>-0.11</v>
      </c>
      <c r="AW284" s="2590">
        <f>i_INORG*(1-i_Ca_INORG*(A_MCa+2*A_MCl)/A_MCa-i_Mg_INORG*(A_MMg+2*A_MCl)/A_MMg)*f_Na</f>
        <v>2.8804303582798466E-2</v>
      </c>
      <c r="AX284" s="2590">
        <f>i_INORG*(i_Ca_INORG*(2*A_MCl)/A_MCa+i_Mg_INORG*(2*A_MCl)/A_MMg)+i_INORG*(1-i_Ca_INORG*(A_MCa+2*A_MCl)/A_MCa-i_Mg_INORG*(A_MMg+2*A_MCl)/A_MMg)*(1-f_Na)</f>
        <v>7.0195696417201539E-2</v>
      </c>
      <c r="AY284" s="2590">
        <f>i_INORG*i_Ca_INORG</f>
        <v>5.5000000000000005E-3</v>
      </c>
      <c r="AZ284" s="2590">
        <f>i_INORG*i_Mg_INORG</f>
        <v>5.5000000000000005E-3</v>
      </c>
      <c r="BA284" s="2590">
        <f>0</f>
        <v>0</v>
      </c>
      <c r="BB284" s="2596">
        <f>0</f>
        <v>0</v>
      </c>
      <c r="BC284" s="2595">
        <f>(1-f_E)*i_S_BIO-(1-f_E)*i_S_XB</f>
        <v>7.8200000000000006E-3</v>
      </c>
      <c r="BD284" s="2593">
        <f>0</f>
        <v>0</v>
      </c>
      <c r="BE284" s="2590">
        <f>0</f>
        <v>0</v>
      </c>
      <c r="BF284" s="2590">
        <f>0</f>
        <v>0</v>
      </c>
      <c r="BG284" s="2590">
        <f>0</f>
        <v>0</v>
      </c>
      <c r="BH284" s="2590">
        <f>0</f>
        <v>0</v>
      </c>
      <c r="BI284" s="2590">
        <f>0</f>
        <v>0</v>
      </c>
      <c r="BJ284" s="2590">
        <f>0</f>
        <v>0</v>
      </c>
      <c r="BK284" s="2590">
        <f>0</f>
        <v>0</v>
      </c>
      <c r="BL284" s="2590">
        <f>0</f>
        <v>0</v>
      </c>
      <c r="BM284" s="2590">
        <f>0</f>
        <v>0</v>
      </c>
      <c r="BN284" s="2590">
        <f>0</f>
        <v>0</v>
      </c>
      <c r="BO284" s="2590">
        <f>0</f>
        <v>0</v>
      </c>
      <c r="BP284" s="2590">
        <f>0</f>
        <v>0</v>
      </c>
      <c r="BQ284" s="2590">
        <f>0</f>
        <v>0</v>
      </c>
      <c r="BR284" s="2590">
        <f>0</f>
        <v>0</v>
      </c>
      <c r="BS284" s="2590">
        <f>0</f>
        <v>0</v>
      </c>
      <c r="BT284" s="2590">
        <f>0</f>
        <v>0</v>
      </c>
      <c r="BU284" s="2590">
        <f>0</f>
        <v>0</v>
      </c>
      <c r="BV284" s="2590">
        <f>0</f>
        <v>0</v>
      </c>
      <c r="BW284" s="2590">
        <f>0</f>
        <v>0</v>
      </c>
      <c r="BX284" s="2590">
        <f>0</f>
        <v>0</v>
      </c>
      <c r="BY284" s="2590">
        <f>0</f>
        <v>0</v>
      </c>
      <c r="BZ284" s="2590">
        <f>0</f>
        <v>0</v>
      </c>
      <c r="CA284" s="2590">
        <f>0</f>
        <v>0</v>
      </c>
      <c r="CB284" s="2590">
        <f>0</f>
        <v>0</v>
      </c>
      <c r="CC284" s="2590">
        <f>0</f>
        <v>0</v>
      </c>
      <c r="CD284" s="2590">
        <f>0</f>
        <v>0</v>
      </c>
      <c r="CE284" s="2590">
        <f>0</f>
        <v>0</v>
      </c>
      <c r="CF284" s="2590">
        <f>0</f>
        <v>0</v>
      </c>
      <c r="CG284" s="2590">
        <f>0</f>
        <v>0</v>
      </c>
      <c r="CH284" s="2590">
        <f>0</f>
        <v>0</v>
      </c>
      <c r="CI284" s="2590">
        <f>0</f>
        <v>0</v>
      </c>
      <c r="CJ284" s="2590">
        <f>0</f>
        <v>0</v>
      </c>
      <c r="CK284" s="2590">
        <f>0</f>
        <v>0</v>
      </c>
      <c r="CL284" s="2590">
        <f>0</f>
        <v>0</v>
      </c>
      <c r="CM284" s="2590">
        <f>0</f>
        <v>0</v>
      </c>
      <c r="CN284" s="2590">
        <f>0</f>
        <v>0</v>
      </c>
      <c r="CO284" s="2590">
        <f>0</f>
        <v>0</v>
      </c>
      <c r="CP284" s="2590">
        <f>0</f>
        <v>0</v>
      </c>
      <c r="CQ284" s="2590">
        <f>0</f>
        <v>0</v>
      </c>
      <c r="CR284" s="2590">
        <f>0</f>
        <v>0</v>
      </c>
      <c r="CS284" s="2590">
        <f>0</f>
        <v>0</v>
      </c>
      <c r="CT284" s="2590">
        <f>0</f>
        <v>0</v>
      </c>
      <c r="CU284" s="2590">
        <f>0</f>
        <v>0</v>
      </c>
      <c r="CV284" s="2877">
        <f>b_SOO_T*X_SOO*(M_satSO2_KO2_H2S_SOO+M_satSNO2_KNO2_H2S_SOO*M_inhSO2_KO2_H2S_SOO+M_satSNO3_KNO3_H2S_SOO*M_inhSNO2_KNO2_H2S_SOO*M_inhSO2_KO2_H2S_SOO)</f>
        <v>52.328431372549012</v>
      </c>
      <c r="CX284" s="2880">
        <f>E299*E284+F299*F284+G299*G284+H299*H284+I299*I284+J299*J284+K299*K284+L299*L284+M299*M284+N299*N284+O299*O284+P299*P284+Q299*Q284+R299*R284+S299*S284+T299*T284+U299*U284+V299*V284+W299*W284+X299*X284+Y299*Y284+Z299*Z284+AA299*AA284+AB299*AB284+AC299*AC284+AD299*AD284+AE299*AE284+AF299*AF284+AG299*AG284+AH299*AH284+AI299*AI284+AJ299*AJ284+AK299*AK284+AL299*AL284+AM299*AM284+AN299*AN284+AO299*AO284+AP299*AP284+AQ299*AQ284+AR299*AR284+AS299*AS284+AT299*AT284+AU299*AU284+AV299*AV284+AW299*AW284+AX299*AX284+AY299*AY284+AZ299*AZ284+BA299*BA284+BB299*BB284+BC299*BC284+BD299*BD284+BE299*BE284+BF299*BF284+BG299*BG284+BH299*BH284+BI299*BI284+BJ299*BJ284+BK299*BK284+BL299*BL284+BM299*BM284+BN299*BN284+BO299*BO284+BP299*BP284+BQ299*BQ284+BR299*BR284+BS299*BS284+BT299*BT284+BU299*BU284+BV299*BV284+BW299*BW284+BX299*BX284+BY299*BY284+BZ299*BZ284+CA299*CA284+CB299*CB284+CC299*CC284+CD299*CD284+CE299*CE284+CF299*CF284+CG299*CG284+CH299*CH284+CI299*CI284+CJ299*CJ284+CK299*CK284+CL299*CL284+CM299*CM284+CN299*CN284+CO299*CO284+CP299*CP284+CQ299*CQ284+CR299*CR284+CS299*CS284+CT299*CT284+CU299*CU284</f>
        <v>0</v>
      </c>
      <c r="CY284" s="2880">
        <f>E300*E284+F300*F284+G300*G284+H300*H284+I300*I284+J300*J284+K300*K284+L300*L284+M300*M284+N300*N284+O300*O284+P300*P284+Q300*Q284+R300*R284+S300*S284+T300*T284+U300*U284+V300*V284+W300*W284+X300*X284+Y300*Y284+Z300*Z284+AA300*AA284+AB300*AB284+AC300*AC284+AD300*AD284+AE300*AE284+AF300*AF284+AG300*AG284+AH300*AH284+AI300*AI284+AJ300*AJ284+AK300*AK284+AL300*AL284+AM300*AM284+AN300*AN284+AO300*AO284+AP300*AP284+AQ300*AQ284+AR300*AR284+AS300*AS284+AT300*AT284+AU300*AU284+AV300*AV284+AW300*AW284+AX300*AX284+AY300*AY284+AZ300*AZ284+BA300*BA284+BB300*BB284+BC300*BC284+BD300*BD284+BE300*BE284+BF300*BF284+BG300*BG284+BH300*BH284+BI300*BI284+BJ300*BJ284+BK300*BK284+BL300*BL284+BM300*BM284+BN300*BN284+BO300*BO284+BP300*BP284+BQ300*BQ284+BR300*BR284+BS300*BS284+BT300*BT284+BU300*BU284+BV300*BV284+BW300*BW284+BX300*BX284+BY300*BY284+BZ300*BZ284+CA300*CA284+CB300*CB284+CC300*CC284+CD300*CD284+CE300*CE284+CF300*CF284+CG300*CG284+CH300*CH284+CI300*CI284+CJ300*CJ284+CK300*CK284+CL300*CL284+CM300*CM284+CN300*CN284+CO300*CO284+CP300*CP284+CQ300*CQ284+CR300*CR284+CS300*CS284+CT300*CT284+CU300*CU284</f>
        <v>6.9388939039072284E-18</v>
      </c>
      <c r="CZ284" s="2881">
        <f>E301*E284+F301*F284+G301*G284+H301*H284+I301*I284+J301*J284+K301*K284+L301*L284+M301*M284+N301*N284+O301*O284+P301*P284+Q301*Q284+R301*R284+S301*S284+T301*T284+U301*U284+V301*V284+W301*W284+X301*X284+Y301*Y284+Z301*Z284+AA301*AA284+AB301*AB284+AC301*AC284+AD301*AD284+AE301*AE284+AF301*AF284+AG301*AG284+AH301*AH284+AI301*AI284+AJ301*AJ284+AK301*AK284+AL301*AL284+AM301*AM284+AN301*AN284+AO301*AO284+AP301*AP284+AQ301*AQ284+AR301*AR284+AS301*AS284+AT301*AT284+AU301*AU284+AV301*AV284+AW301*AW284+AX301*AX284+AY301*AY284+AZ301*AZ284+BA301*BA284+BB301*BB284+BC301*BC284+BD301*BD284+BE301*BE284+BF301*BF284+BG301*BG284+BH301*BH284+BI301*BI284+BJ301*BJ284+BK301*BK284+BL301*BL284+BM301*BM284+BN301*BN284+BO301*BO284+BP301*BP284+BQ301*BQ284+BR301*BR284+BS301*BS284+BT301*BT284+BU301*BU284+BV301*BV284+BW301*BW284+BX301*BX284+BY301*BY284+BZ301*BZ284+CA301*CA284+CB301*CB284+CC301*CC284+CD301*CD284+CE301*CE284+CF301*CF284+CG301*CG284+CH301*CH284+CI301*CI284+CJ301*CJ284+CK301*CK284+CL301*CL284+CM301*CM284+CN301*CN284+CO301*CO284+CP301*CP284+CQ301*CQ284+CR301*CR284+CS301*CS284+CT301*CT284+CU301*CU284</f>
        <v>0</v>
      </c>
      <c r="DA284" s="2882">
        <f>E302*E284+F302*F284+G302*G284+H302*H284+I302*I284+J302*J284+K302*K284+L302*L284+M302*M284+N302*N284+O302*O284+P302*P284+Q302*Q284+R302*R284+S302*S284+T302*T284+U302*U284+V302*V284+W302*W284+X302*X284+Y302*Y284+Z302*Z284+AA302*AA284+AB302*AB284+AC302*AC284+AD302*AD284+AE302*AE284+AF302*AF284+AG302*AG284+AH302*AH284+AI302*AI284+AJ302*AJ284+AK302*AK284+AL302*AL284+AM302*AM284+AN302*AN284+AO302*AO284+AP302*AP284+AQ302*AQ284+AR302*AR284+AS302*AS284+AT302*AT284+AU302*AU284+AV302*AV284+AW302*AW284+AX302*AX284+AY302*AY284+AZ302*AZ284+BA302*BA284+BB302*BB284+BC302*BC284+BD302*BD284+BE302*BE284+BF302*BF284+BG302*BG284+BH302*BH284+BI302*BI284+BJ302*BJ284+BK302*BK284+BL302*BL284+BM302*BM284+BN302*BN284+BO302*BO284+BP302*BP284+BQ302*BQ284+BR302*BR284+BS302*BS284+BT302*BT284+BU302*BU284+BV302*BV284+BW302*BW284+BX302*BX284+BY302*BY284+BZ302*BZ284+CA302*CA284+CB302*CB284+CC302*CC284+CD302*CD284+CE302*CE284+CF302*CF284+CG302*CG284+CH302*CH284+CI302*CI284+CJ302*CJ284+CK302*CK284+CL302*CL284+CM302*CM284+CN302*CN284+CO302*CO284+CP302*CP284+CQ302*CQ284+CR302*CR284+CS302*CS284+CT302*CT284+CU302*CU284</f>
        <v>0</v>
      </c>
      <c r="DB284" s="2882">
        <f>E303*E284+F303*F284+G303*G284+H303*H284+I303*I284+J303*J284+K303*K284+L303*L284+M303*M284+N303*N284+O303*O284+P303*P284+Q303*Q284+R303*R284+S303*S284+T303*T284+U303*U284+V303*V284+W303*W284+X303*X284+Y303*Y284+Z303*Z284+AA303*AA284+AB303*AB284+AC303*AC284+AD303*AD284+AE303*AE284+AF303*AF284+AG303*AG284+AH303*AH284+AI303*AI284+AJ303*AJ284+AK303*AK284+AL303*AL284+AM303*AM284+AN303*AN284+AO303*AO284+AP303*AP284+AQ303*AQ284+AR303*AR284+AS303*AS284+AT303*AT284+AU303*AU284+AV303*AV284+AW303*AW284+AX303*AX284+AY303*AY284+AZ303*AZ284+BA303*BA284+BB303*BB284+BC303*BC284+BD303*BD284+BE303*BE284+BF303*BF284+BG303*BG284+BH303*BH284+BI303*BI284+BJ303*BJ284+BK303*BK284+BL303*BL284+BM303*BM284+BN303*BN284+BO303*BO284+BP303*BP284+BQ303*BQ284+BR303*BR284+BS303*BS284+BT303*BT284+BU303*BU284+BV303*BV284+BW303*BW284+BX303*BX284+BY303*BY284+BZ303*BZ284+CA303*CA284+CB303*CB284+CC303*CC284+CD303*CD284+CE303*CE284+CF303*CF284+CG303*CG284+CH303*CH284+CI303*CI284+CJ303*CJ284+CK303*CK284+CL303*CL284+CM303*CM284+CN303*CN284+CO303*CO284+CP303*CP284+CQ303*CQ284+CR303*CR284+CS303*CS284+CT303*CT284+CU303*CU284</f>
        <v>0</v>
      </c>
      <c r="DC284" s="2882">
        <f>E304*E284+F304*F284+G304*G284+H304*H284+I304*I284+J304*J284+K304*K284+L304*L284+M304*M284+N304*N284+O304*O284+P304*P284+Q304*Q284+R304*R284+S304*S284+T304*T284+U304*U284+V304*V284+W304*W284+X304*X284+Y304*Y284+Z304*Z284+AA304*AA284+AB304*AB284+AC304*AC284+AD304*AD284+AE304*AE284+AF304*AF284+AG304*AG284+AH304*AH284+AI304*AI284+AJ304*AJ284+AK304*AK284+AL304*AL284+AM304*AM284+AN304*AN284+AO304*AO284+AP304*AP284+AQ304*AQ284+AR304*AR284+AS304*AS284+AT304*AT284+AU304*AU284+AV304*AV284+AW304*AW284+AX304*AX284+AY304*AY284+AZ304*AZ284+BA304*BA284+BB304*BB284+BC304*BC284+BD304*BD284+BE304*BE284+BF304*BF284+BG304*BG284+BH304*BH284+BI304*BI284+BJ304*BJ284+BK304*BK284+BL304*BL284+BM304*BM284+BN304*BN284+BO304*BO284+BP304*BP284+BQ304*BQ284+BR304*BR284+BS304*BS284+BT304*BT284+BU304*BU284+BV304*BV284+BW304*BW284+BX304*BX284+BY304*BY284+BZ304*BZ284+CA304*CA284+CB304*CB284+CC304*CC284+CD304*CD284+CE304*CE284+CF304*CF284+CG304*CG284+CH304*CH284+CI304*CI284+CJ304*CJ284+CK304*CK284+CL304*CL284+CM304*CM284+CN304*CN284+CO304*CO284+CP304*CP284+CQ304*CQ284+CR304*CR284+CS304*CS284+CT304*CT284+CU304*CU284</f>
        <v>0</v>
      </c>
      <c r="DD284" s="2882">
        <f>E305*E284+F305*F284+G305*G284+H305*H284+I305*I284+J305*J284+K305*K284+L305*L284+M305*M284+N305*N284+O305*O284+P305*P284+Q305*Q284+R305*R284+S305*S284+T305*T284+U305*U284+V305*V284+W305*W284+X305*X284+Y305*Y284+Z305*Z284+AA305*AA284+AB305*AB284+AC305*AC284+AD305*AD284+AE305*AE284+AF305*AF284+AG305*AG284+AH305*AH284+AI305*AI284+AJ305*AJ284+AK305*AK284+AL305*AL284+AM305*AM284+AN305*AN284+AO305*AO284+AP305*AP284+AQ305*AQ284+AR305*AR284+AS305*AS284+AT305*AT284+AU305*AU284+AV305*AV284+AW305*AW284+AX305*AX284+AY305*AY284+AZ305*AZ284+BA305*BA284+BB305*BB284+BC305*BC284+BD305*BD284+BE305*BE284+BF305*BF284+BG305*BG284+BH305*BH284+BI305*BI284+BJ305*BJ284+BK305*BK284+BL305*BL284+BM305*BM284+BN305*BN284+BO305*BO284+BP305*BP284+BQ305*BQ284+BR305*BR284+BS305*BS284+BT305*BT284+BU305*BU284+BV305*BV284+BW305*BW284+BX305*BX284+BY305*BY284+BZ305*BZ284+CA305*CA284+CB305*CB284+CC305*CC284+CD305*CD284+CE305*CE284+CF305*CF284+CG305*CG284+CH305*CH284+CI305*CI284+CJ305*CJ284+CK305*CK284+CL305*CL284+CM305*CM284+CN305*CN284+CO305*CO284+CP305*CP284+CQ305*CQ284+CR305*CR284+CS305*CS284+CT305*CT284+CU305*CU284</f>
        <v>0</v>
      </c>
      <c r="DE284" s="2882">
        <f>E306*E284+F306*F284+G306*G284+H306*H284+I306*I284+J306*J284+K306*K284+L306*L284+M306*M284+N306*N284+O306*O284+P306*P284+Q306*Q284+R306*R284+S306*S284+T306*T284+U306*U284+V306*V284+W306*W284+X306*X284+Y306*Y284+Z306*Z284+AA306*AA284+AB306*AB284+AC306*AC284+AD306*AD284+AE306*AE284+AF306*AF284+AG306*AG284+AH306*AH284+AI306*AI284+AJ306*AJ284+AK306*AK284+AL306*AL284+AM306*AM284+AN306*AN284+AO306*AO284+AP306*AP284+AQ306*AQ284+AR306*AR284+AS306*AS284+AT306*AT284+AU306*AU284+AV306*AV284+AW306*AW284+AX306*AX284+AY306*AY284+AZ306*AZ284+BA306*BA284+BB306*BB284+BC306*BC284+BD306*BD284+BE306*BE284+BF306*BF284+BG306*BG284+BH306*BH284+BI306*BI284+BJ306*BJ284+BK306*BK284+BL306*BL284+BM306*BM284+BN306*BN284+BO306*BO284+BP306*BP284+BQ306*BQ284+BR306*BR284+BS306*BS284+BT306*BT284+BU306*BU284+BV306*BV284+BW306*BW284+BX306*BX284+BY306*BY284+BZ306*BZ284+CA306*CA284+CB306*CB284+CC306*CC284+CD306*CD284+CE306*CE284+CF306*CF284+CG306*CG284+CH306*CH284+CI306*CI284+CJ306*CJ284+CK306*CK284+CL306*CL284+CM306*CM284+CN306*CN284+CO306*CO284+CP306*CP284+CQ306*CQ284+CR306*CR284+CS306*CS284+CT306*CT284+CU306*CU284</f>
        <v>0</v>
      </c>
      <c r="DF284" s="2882">
        <f>E307*E284+F307*F284+G307*G284+H307*H284+I307*I284+J307*J284+K307*K284+L307*L284+M307*M284+N307*N284+O307*O284+P307*P284+Q307*Q284+R307*R284+S307*S284+T307*T284+U307*U284+V307*V284+W307*W284+X307*X284+Y307*Y284+Z307*Z284+AA307*AA284+AB307*AB284+AC307*AC284+AD307*AD284+AE307*AE284+AF307*AF284+AG307*AG284+AH307*AH284+AI307*AI284+AJ307*AJ284+AK307*AK284+AL307*AL284+AM307*AM284+AN307*AN284+AO307*AO284+AP307*AP284+AQ307*AQ284+AR307*AR284+AS307*AS284+AT307*AT284+AU307*AU284+AV307*AV284+AW307*AW284+AX307*AX284+AY307*AY284+AZ307*AZ284+BA307*BA284+BB307*BB284+BC307*BC284+BD307*BD284+BE307*BE284+BF307*BF284+BG307*BG284+BH307*BH284+BI307*BI284+BJ307*BJ284+BK307*BK284+BL307*BL284+BM307*BM284+BN307*BN284+BO307*BO284+BP307*BP284+BQ307*BQ284+BR307*BR284+BS307*BS284+BT307*BT284+BU307*BU284+BV307*BV284+BW307*BW284+BX307*BX284+BY307*BY284+BZ307*BZ284+CA307*CA284+CB307*CB284+CC307*CC284+CD307*CD284+CE307*CE284+CF307*CF284+CG307*CG284+CH307*CH284+CI307*CI284+CJ307*CJ284+CK307*CK284+CL307*CL284+CM307*CM284+CN307*CN284+CO307*CO284+CP307*CP284+CQ307*CQ284+CR307*CR284+CS307*CS284+CT307*CT284+CU307*CU284</f>
        <v>0</v>
      </c>
      <c r="DG284" s="2882">
        <f>E308*E284+F308*F284+G308*G284+H308*H284+I308*I284+J308*J284+K308*K284+L308*L284+M308*M284+N308*N284+O308*O284+P308*P284+Q308*Q284+R308*R284+S308*S284+T308*T284+U308*U284+V308*V284+W308*W284+X308*X284+Y308*Y284+Z308*Z284+AA308*AA284+AB308*AB284+AC308*AC284+AD308*AD284+AE308*AE284+AF308*AF284+AG308*AG284+AH308*AH284+AI308*AI284+AJ308*AJ284+AK308*AK284+AL308*AL284+AM308*AM284+AN308*AN284+AO308*AO284+AP308*AP284+AQ308*AQ284+AR308*AR284+AS308*AS284+AT308*AT284+AU308*AU284+AV308*AV284+AW308*AW284+AX308*AX284+AY308*AY284+AZ308*AZ284+BA308*BA284+BB308*BB284+BC308*BC284+BD308*BD284+BE308*BE284+BF308*BF284+BG308*BG284+BH308*BH284+BI308*BI284+BJ308*BJ284+BK308*BK284+BL308*BL284+BM308*BM284+BN308*BN284+BO308*BO284+BP308*BP284+BQ308*BQ284+BR308*BR284+BS308*BS284+BT308*BT284+BU308*BU284+BV308*BV284+BW308*BW284+BX308*BX284+BY308*BY284+BZ308*BZ284+CA308*CA284+CB308*CB284+CC308*CC284+CD308*CD284+CE308*CE284+CF308*CF284+CG308*CG284+CH308*CH284+CI308*CI284+CJ308*CJ284+CK308*CK284+CL308*CL284+CM308*CM284+CN308*CN284+CO308*CO284+CP308*CP284+CQ308*CQ284+CR308*CR284+CS308*CS284+CT308*CT284+CU308*CU284</f>
        <v>0</v>
      </c>
      <c r="DH284" s="2882">
        <f>E309*E284+F309*F284+G309*G284+H309*H284+I309*I284+J309*J284+K309*K284+L309*L284+M309*M284+N309*N284+O309*O284+P309*P284+Q309*Q284+R309*R284+S309*S284+T309*T284+U309*U284+V309*V284+W309*W284+X309*X284+Y309*Y284+Z309*Z284+AA309*AA284+AB309*AB284+AC309*AC284+AD309*AD284+AE309*AE284+AF309*AF284+AG309*AG284+AH309*AH284+AI309*AI284+AJ309*AJ284+AK309*AK284+AL309*AL284+AM309*AM284+AN309*AN284+AO309*AO284+AP309*AP284+AQ309*AQ284+AR309*AR284+AS309*AS284+AT309*AT284+AU309*AU284+AV309*AV284+AW309*AW284+AX309*AX284+AY309*AY284+AZ309*AZ284+BA309*BA284+BB309*BB284+BC309*BC284+BD309*BD284+BE309*BE284+BF309*BF284+BG309*BG284+BH309*BH284+BI309*BI284+BJ309*BJ284+BK309*BK284+BL309*BL284+BM309*BM284+BN309*BN284+BO309*BO284+BP309*BP284+BQ309*BQ284+BR309*BR284+BS309*BS284+BT309*BT284+BU309*BU284+BV309*BV284+BW309*BW284+BX309*BX284+BY309*BY284+BZ309*BZ284+CA309*CA284+CB309*CB284+CC309*CC284+CD309*CD284+CE309*CE284+CF309*CF284+CG309*CG284+CH309*CH284+CI309*CI284+CJ309*CJ284+CK309*CK284+CL309*CL284+CM309*CM284+CN309*CN284+CO309*CO284+CP309*CP284+CQ309*CQ284+CR309*CR284+CS309*CS284+CT309*CT284+CU309*CU284</f>
        <v>0</v>
      </c>
      <c r="DI284" s="2882">
        <f>E310*E284+F310*F284+G310*G284+H310*H284+I310*I284+J310*J284+K310*K284+L310*L284+M310*M284+N310*N284+O310*O284+P310*P284+Q310*Q284+R310*R284+S310*S284+T310*T284+U310*U284+V310*V284+W310*W284+X310*X284+Y310*Y284+Z310*Z284+AA310*AA284+AB310*AB284+AC310*AC284+AD310*AD284+AE310*AE284+AF310*AF284+AG310*AG284+AH310*AH284+AI310*AI284+AJ310*AJ284+AK310*AK284+AL310*AL284+AM310*AM284+AN310*AN284+AO310*AO284+AP310*AP284+AQ310*AQ284+AR310*AR284+AS310*AS284+AT310*AT284+AU310*AU284+AV310*AV284+AW310*AW284+AX310*AX284+AY310*AY284+AZ310*AZ284+BA310*BA284+BB310*BB284+BC310*BC284+BD310*BD284+BE310*BE284+BF310*BF284+BG310*BG284+BH310*BH284+BI310*BI284+BJ310*BJ284+BK310*BK284+BL310*BL284+BM310*BM284+BN310*BN284+BO310*BO284+BP310*BP284+BQ310*BQ284+BR310*BR284+BS310*BS284+BT310*BT284+BU310*BU284+BV310*BV284+BW310*BW284+BX310*BX284+BY310*BY284+BZ310*BZ284+CA310*CA284+CB310*CB284+CC310*CC284+CD310*CD284+CE310*CE284+CF310*CF284+CG310*CG284+CH310*CH284+CI310*CI284+CJ310*CJ284+CK310*CK284+CL310*CL284+CM310*CM284+CN310*CN284+CO310*CO284+CP310*CP284+CQ310*CQ284+CR310*CR284+CS310*CS284+CT310*CT284+CU310*CU284</f>
        <v>0</v>
      </c>
    </row>
    <row r="285" spans="2:113" ht="14.65" thickBot="1" x14ac:dyDescent="0.5">
      <c r="B285" s="2221">
        <v>126</v>
      </c>
      <c r="C285" s="2221" t="s">
        <v>5804</v>
      </c>
      <c r="D285" s="2589" t="s">
        <v>5469</v>
      </c>
      <c r="E285" s="2590">
        <f>0</f>
        <v>0</v>
      </c>
      <c r="F285" s="2590">
        <f>0</f>
        <v>0</v>
      </c>
      <c r="G285" s="2590">
        <f>0</f>
        <v>0</v>
      </c>
      <c r="H285" s="2590">
        <f>0</f>
        <v>0</v>
      </c>
      <c r="I285" s="2590">
        <f>1-f_E</f>
        <v>0.92</v>
      </c>
      <c r="J285" s="2590">
        <f>0</f>
        <v>0</v>
      </c>
      <c r="K285" s="2590">
        <f>0</f>
        <v>0</v>
      </c>
      <c r="L285" s="2590">
        <f>0</f>
        <v>0</v>
      </c>
      <c r="M285" s="2590">
        <f>0</f>
        <v>0</v>
      </c>
      <c r="N285" s="2590">
        <f>0</f>
        <v>0</v>
      </c>
      <c r="O285" s="2590">
        <f>0</f>
        <v>0</v>
      </c>
      <c r="P285" s="2590">
        <f>f_E</f>
        <v>0.08</v>
      </c>
      <c r="Q285" s="2591">
        <f>0</f>
        <v>0</v>
      </c>
      <c r="R285" s="2590">
        <f>0</f>
        <v>0</v>
      </c>
      <c r="S285" s="2590">
        <f>0</f>
        <v>0</v>
      </c>
      <c r="T285" s="2590">
        <f>0</f>
        <v>0</v>
      </c>
      <c r="U285" s="2590">
        <f>0</f>
        <v>0</v>
      </c>
      <c r="V285" s="2590">
        <f>0</f>
        <v>0</v>
      </c>
      <c r="W285" s="2590">
        <f>0</f>
        <v>0</v>
      </c>
      <c r="X285" s="2590">
        <f>0</f>
        <v>0</v>
      </c>
      <c r="Y285" s="2590">
        <f>0</f>
        <v>0</v>
      </c>
      <c r="Z285" s="2591">
        <f>0</f>
        <v>0</v>
      </c>
      <c r="AA285" s="2591">
        <f>-1</f>
        <v>-1</v>
      </c>
      <c r="AB285" s="2592">
        <f>-f_E*(i_N_XE-i_N_BIO)</f>
        <v>8.0000000000000069E-4</v>
      </c>
      <c r="AC285" s="2592">
        <f>0</f>
        <v>0</v>
      </c>
      <c r="AD285" s="2590">
        <f>0</f>
        <v>0</v>
      </c>
      <c r="AE285" s="2590">
        <f>0</f>
        <v>0</v>
      </c>
      <c r="AF285" s="2590">
        <f>0</f>
        <v>0</v>
      </c>
      <c r="AG285" s="2590">
        <f>0</f>
        <v>0</v>
      </c>
      <c r="AH285" s="2590">
        <f>0</f>
        <v>0</v>
      </c>
      <c r="AI285" s="2590">
        <f>0</f>
        <v>0</v>
      </c>
      <c r="AJ285" s="2590">
        <f>0</f>
        <v>0</v>
      </c>
      <c r="AK285" s="2590">
        <f>(1-f_E)*i_N_BIO</f>
        <v>6.4400000000000013E-2</v>
      </c>
      <c r="AL285" s="2590">
        <f>0</f>
        <v>0</v>
      </c>
      <c r="AM285" s="2593">
        <f>0</f>
        <v>0</v>
      </c>
      <c r="AN285" s="2590">
        <f>0</f>
        <v>0</v>
      </c>
      <c r="AO285" s="2590">
        <f>0</f>
        <v>0</v>
      </c>
      <c r="AP285" s="2590">
        <f>(1-f_E)*i_P_BIO</f>
        <v>1.84E-2</v>
      </c>
      <c r="AQ285" s="2590">
        <f>0</f>
        <v>0</v>
      </c>
      <c r="AR285" s="2590">
        <f>0</f>
        <v>0</v>
      </c>
      <c r="AS285" s="2590">
        <f>0</f>
        <v>0</v>
      </c>
      <c r="AT285" s="2593">
        <f>0</f>
        <v>0</v>
      </c>
      <c r="AU285" s="2590">
        <f>(1-f_E)*(i_CIT_BIO-i_CIT_SB)</f>
        <v>6.0720000000000003E-2</v>
      </c>
      <c r="AV285" s="2590">
        <f>-i_INORG</f>
        <v>-0.11</v>
      </c>
      <c r="AW285" s="2590">
        <f>i_INORG*(1-i_Ca_INORG*(A_MCa+2*A_MCl)/A_MCa-i_Mg_INORG*(A_MMg+2*A_MCl)/A_MMg)*f_Na</f>
        <v>2.8804303582798466E-2</v>
      </c>
      <c r="AX285" s="2590">
        <f>i_INORG*(i_Ca_INORG*(2*A_MCl)/A_MCa+i_Mg_INORG*(2*A_MCl)/A_MMg)+i_INORG*(1-i_Ca_INORG*(A_MCa+2*A_MCl)/A_MCa-i_Mg_INORG*(A_MMg+2*A_MCl)/A_MMg)*(1-f_Na)</f>
        <v>7.0195696417201539E-2</v>
      </c>
      <c r="AY285" s="2590">
        <f>i_INORG*i_Ca_INORG</f>
        <v>5.5000000000000005E-3</v>
      </c>
      <c r="AZ285" s="2590">
        <f>i_INORG*i_Mg_INORG</f>
        <v>5.5000000000000005E-3</v>
      </c>
      <c r="BA285" s="2590">
        <f>0</f>
        <v>0</v>
      </c>
      <c r="BB285" s="2596">
        <f>0</f>
        <v>0</v>
      </c>
      <c r="BC285" s="2595">
        <f>(1-f_E)*i_S_BIO-(1-f_E)*i_S_XB</f>
        <v>7.8200000000000006E-3</v>
      </c>
      <c r="BD285" s="2593">
        <f>0</f>
        <v>0</v>
      </c>
      <c r="BE285" s="2590">
        <f>0</f>
        <v>0</v>
      </c>
      <c r="BF285" s="2590">
        <f>0</f>
        <v>0</v>
      </c>
      <c r="BG285" s="2590">
        <f>0</f>
        <v>0</v>
      </c>
      <c r="BH285" s="2590">
        <f>0</f>
        <v>0</v>
      </c>
      <c r="BI285" s="2590">
        <f>0</f>
        <v>0</v>
      </c>
      <c r="BJ285" s="2590">
        <f>0</f>
        <v>0</v>
      </c>
      <c r="BK285" s="2590">
        <f>0</f>
        <v>0</v>
      </c>
      <c r="BL285" s="2590">
        <f>0</f>
        <v>0</v>
      </c>
      <c r="BM285" s="2590">
        <f>0</f>
        <v>0</v>
      </c>
      <c r="BN285" s="2590">
        <f>0</f>
        <v>0</v>
      </c>
      <c r="BO285" s="2590">
        <f>0</f>
        <v>0</v>
      </c>
      <c r="BP285" s="2590">
        <f>0</f>
        <v>0</v>
      </c>
      <c r="BQ285" s="2590">
        <f>0</f>
        <v>0</v>
      </c>
      <c r="BR285" s="2590">
        <f>0</f>
        <v>0</v>
      </c>
      <c r="BS285" s="2590">
        <f>0</f>
        <v>0</v>
      </c>
      <c r="BT285" s="2590">
        <f>0</f>
        <v>0</v>
      </c>
      <c r="BU285" s="2590">
        <f>0</f>
        <v>0</v>
      </c>
      <c r="BV285" s="2590">
        <f>0</f>
        <v>0</v>
      </c>
      <c r="BW285" s="2590">
        <f>0</f>
        <v>0</v>
      </c>
      <c r="BX285" s="2590">
        <f>0</f>
        <v>0</v>
      </c>
      <c r="BY285" s="2590">
        <f>0</f>
        <v>0</v>
      </c>
      <c r="BZ285" s="2590">
        <f>0</f>
        <v>0</v>
      </c>
      <c r="CA285" s="2590">
        <f>0</f>
        <v>0</v>
      </c>
      <c r="CB285" s="2590">
        <f>0</f>
        <v>0</v>
      </c>
      <c r="CC285" s="2590">
        <f>0</f>
        <v>0</v>
      </c>
      <c r="CD285" s="2590">
        <f>0</f>
        <v>0</v>
      </c>
      <c r="CE285" s="2590">
        <f>0</f>
        <v>0</v>
      </c>
      <c r="CF285" s="2590">
        <f>0</f>
        <v>0</v>
      </c>
      <c r="CG285" s="2590">
        <f>0</f>
        <v>0</v>
      </c>
      <c r="CH285" s="2590">
        <f>0</f>
        <v>0</v>
      </c>
      <c r="CI285" s="2590">
        <f>0</f>
        <v>0</v>
      </c>
      <c r="CJ285" s="2590">
        <f>0</f>
        <v>0</v>
      </c>
      <c r="CK285" s="2590">
        <f>0</f>
        <v>0</v>
      </c>
      <c r="CL285" s="2590">
        <f>0</f>
        <v>0</v>
      </c>
      <c r="CM285" s="2590">
        <f>0</f>
        <v>0</v>
      </c>
      <c r="CN285" s="2590">
        <f>0</f>
        <v>0</v>
      </c>
      <c r="CO285" s="2590">
        <f>0</f>
        <v>0</v>
      </c>
      <c r="CP285" s="2590">
        <f>0</f>
        <v>0</v>
      </c>
      <c r="CQ285" s="2590">
        <f>0</f>
        <v>0</v>
      </c>
      <c r="CR285" s="2590">
        <f>0</f>
        <v>0</v>
      </c>
      <c r="CS285" s="2590">
        <f>0</f>
        <v>0</v>
      </c>
      <c r="CT285" s="2590">
        <f>0</f>
        <v>0</v>
      </c>
      <c r="CU285" s="2590">
        <f>0</f>
        <v>0</v>
      </c>
      <c r="CV285" s="2877">
        <f>b_SOO_T*X_SOO*M_inhSNO2_KNO2_H2S_SOO*M_inhSNO3_KNO3_H2S_SOO*M_inhSO2_KO2_H2S_SOO</f>
        <v>0.17156862745098039</v>
      </c>
      <c r="CX285" s="2880">
        <f>E299*E285+F299*F285+G299*G285+H299*H285+I299*I285+J299*J285+K299*K285+L299*L285+M299*M285+N299*N285+O299*O285+P299*P285+Q299*Q285+R299*R285+S299*S285+T299*T285+U299*U285+V299*V285+W299*W285+X299*X285+Y299*Y285+Z299*Z285+AA299*AA285+AB299*AB285+AC299*AC285+AD299*AD285+AE299*AE285+AF299*AF285+AG299*AG285+AH299*AH285+AI299*AI285+AJ299*AJ285+AK299*AK285+AL299*AL285+AM299*AM285+AN299*AN285+AO299*AO285+AP299*AP285+AQ299*AQ285+AR299*AR285+AS299*AS285+AT299*AT285+AU299*AU285+AV299*AV285+AW299*AW285+AX299*AX285+AY299*AY285+AZ299*AZ285+BA299*BA285+BB299*BB285+BC299*BC285+BD299*BD285+BE299*BE285+BF299*BF285+BG299*BG285+BH299*BH285+BI299*BI285+BJ299*BJ285+BK299*BK285+BL299*BL285+BM299*BM285+BN299*BN285+BO299*BO285+BP299*BP285+BQ299*BQ285+BR299*BR285+BS299*BS285+BT299*BT285+BU299*BU285+BV299*BV285+BW299*BW285+BX299*BX285+BY299*BY285+BZ299*BZ285+CA299*CA285+CB299*CB285+CC299*CC285+CD299*CD285+CE299*CE285+CF299*CF285+CG299*CG285+CH299*CH285+CI299*CI285+CJ299*CJ285+CK299*CK285+CL299*CL285+CM299*CM285+CN299*CN285+CO299*CO285+CP299*CP285+CQ299*CQ285+CR299*CR285+CS299*CS285+CT299*CT285+CU299*CU285</f>
        <v>0</v>
      </c>
      <c r="CY285" s="2880">
        <f>E300*E285+F300*F285+G300*G285+H300*H285+I300*I285+J300*J285+K300*K285+L300*L285+M300*M285+N300*N285+O300*O285+P300*P285+Q300*Q285+R300*R285+S300*S285+T300*T285+U300*U285+V300*V285+W300*W285+X300*X285+Y300*Y285+Z300*Z285+AA300*AA285+AB300*AB285+AC300*AC285+AD300*AD285+AE300*AE285+AF300*AF285+AG300*AG285+AH300*AH285+AI300*AI285+AJ300*AJ285+AK300*AK285+AL300*AL285+AM300*AM285+AN300*AN285+AO300*AO285+AP300*AP285+AQ300*AQ285+AR300*AR285+AS300*AS285+AT300*AT285+AU300*AU285+AV300*AV285+AW300*AW285+AX300*AX285+AY300*AY285+AZ300*AZ285+BA300*BA285+BB300*BB285+BC300*BC285+BD300*BD285+BE300*BE285+BF300*BF285+BG300*BG285+BH300*BH285+BI300*BI285+BJ300*BJ285+BK300*BK285+BL300*BL285+BM300*BM285+BN300*BN285+BO300*BO285+BP300*BP285+BQ300*BQ285+BR300*BR285+BS300*BS285+BT300*BT285+BU300*BU285+BV300*BV285+BW300*BW285+BX300*BX285+BY300*BY285+BZ300*BZ285+CA300*CA285+CB300*CB285+CC300*CC285+CD300*CD285+CE300*CE285+CF300*CF285+CG300*CG285+CH300*CH285+CI300*CI285+CJ300*CJ285+CK300*CK285+CL300*CL285+CM300*CM285+CN300*CN285+CO300*CO285+CP300*CP285+CQ300*CQ285+CR300*CR285+CS300*CS285+CT300*CT285+CU300*CU285</f>
        <v>6.9388939039072284E-18</v>
      </c>
      <c r="CZ285" s="2881">
        <f>E301*E285+F301*F285+G301*G285+H301*H285+I301*I285+J301*J285+K301*K285+L301*L285+M301*M285+N301*N285+O301*O285+P301*P285+Q301*Q285+R301*R285+S301*S285+T301*T285+U301*U285+V301*V285+W301*W285+X301*X285+Y301*Y285+Z301*Z285+AA301*AA285+AB301*AB285+AC301*AC285+AD301*AD285+AE301*AE285+AF301*AF285+AG301*AG285+AH301*AH285+AI301*AI285+AJ301*AJ285+AK301*AK285+AL301*AL285+AM301*AM285+AN301*AN285+AO301*AO285+AP301*AP285+AQ301*AQ285+AR301*AR285+AS301*AS285+AT301*AT285+AU301*AU285+AV301*AV285+AW301*AW285+AX301*AX285+AY301*AY285+AZ301*AZ285+BA301*BA285+BB301*BB285+BC301*BC285+BD301*BD285+BE301*BE285+BF301*BF285+BG301*BG285+BH301*BH285+BI301*BI285+BJ301*BJ285+BK301*BK285+BL301*BL285+BM301*BM285+BN301*BN285+BO301*BO285+BP301*BP285+BQ301*BQ285+BR301*BR285+BS301*BS285+BT301*BT285+BU301*BU285+BV301*BV285+BW301*BW285+BX301*BX285+BY301*BY285+BZ301*BZ285+CA301*CA285+CB301*CB285+CC301*CC285+CD301*CD285+CE301*CE285+CF301*CF285+CG301*CG285+CH301*CH285+CI301*CI285+CJ301*CJ285+CK301*CK285+CL301*CL285+CM301*CM285+CN301*CN285+CO301*CO285+CP301*CP285+CQ301*CQ285+CR301*CR285+CS301*CS285+CT301*CT285+CU301*CU285</f>
        <v>0</v>
      </c>
      <c r="DA285" s="2882">
        <f>E302*E285+F302*F285+G302*G285+H302*H285+I302*I285+J302*J285+K302*K285+L302*L285+M302*M285+N302*N285+O302*O285+P302*P285+Q302*Q285+R302*R285+S302*S285+T302*T285+U302*U285+V302*V285+W302*W285+X302*X285+Y302*Y285+Z302*Z285+AA302*AA285+AB302*AB285+AC302*AC285+AD302*AD285+AE302*AE285+AF302*AF285+AG302*AG285+AH302*AH285+AI302*AI285+AJ302*AJ285+AK302*AK285+AL302*AL285+AM302*AM285+AN302*AN285+AO302*AO285+AP302*AP285+AQ302*AQ285+AR302*AR285+AS302*AS285+AT302*AT285+AU302*AU285+AV302*AV285+AW302*AW285+AX302*AX285+AY302*AY285+AZ302*AZ285+BA302*BA285+BB302*BB285+BC302*BC285+BD302*BD285+BE302*BE285+BF302*BF285+BG302*BG285+BH302*BH285+BI302*BI285+BJ302*BJ285+BK302*BK285+BL302*BL285+BM302*BM285+BN302*BN285+BO302*BO285+BP302*BP285+BQ302*BQ285+BR302*BR285+BS302*BS285+BT302*BT285+BU302*BU285+BV302*BV285+BW302*BW285+BX302*BX285+BY302*BY285+BZ302*BZ285+CA302*CA285+CB302*CB285+CC302*CC285+CD302*CD285+CE302*CE285+CF302*CF285+CG302*CG285+CH302*CH285+CI302*CI285+CJ302*CJ285+CK302*CK285+CL302*CL285+CM302*CM285+CN302*CN285+CO302*CO285+CP302*CP285+CQ302*CQ285+CR302*CR285+CS302*CS285+CT302*CT285+CU302*CU285</f>
        <v>0</v>
      </c>
      <c r="DB285" s="2882">
        <f>E303*E285+F303*F285+G303*G285+H303*H285+I303*I285+J303*J285+K303*K285+L303*L285+M303*M285+N303*N285+O303*O285+P303*P285+Q303*Q285+R303*R285+S303*S285+T303*T285+U303*U285+V303*V285+W303*W285+X303*X285+Y303*Y285+Z303*Z285+AA303*AA285+AB303*AB285+AC303*AC285+AD303*AD285+AE303*AE285+AF303*AF285+AG303*AG285+AH303*AH285+AI303*AI285+AJ303*AJ285+AK303*AK285+AL303*AL285+AM303*AM285+AN303*AN285+AO303*AO285+AP303*AP285+AQ303*AQ285+AR303*AR285+AS303*AS285+AT303*AT285+AU303*AU285+AV303*AV285+AW303*AW285+AX303*AX285+AY303*AY285+AZ303*AZ285+BA303*BA285+BB303*BB285+BC303*BC285+BD303*BD285+BE303*BE285+BF303*BF285+BG303*BG285+BH303*BH285+BI303*BI285+BJ303*BJ285+BK303*BK285+BL303*BL285+BM303*BM285+BN303*BN285+BO303*BO285+BP303*BP285+BQ303*BQ285+BR303*BR285+BS303*BS285+BT303*BT285+BU303*BU285+BV303*BV285+BW303*BW285+BX303*BX285+BY303*BY285+BZ303*BZ285+CA303*CA285+CB303*CB285+CC303*CC285+CD303*CD285+CE303*CE285+CF303*CF285+CG303*CG285+CH303*CH285+CI303*CI285+CJ303*CJ285+CK303*CK285+CL303*CL285+CM303*CM285+CN303*CN285+CO303*CO285+CP303*CP285+CQ303*CQ285+CR303*CR285+CS303*CS285+CT303*CT285+CU303*CU285</f>
        <v>0</v>
      </c>
      <c r="DC285" s="2882">
        <f>E304*E285+F304*F285+G304*G285+H304*H285+I304*I285+J304*J285+K304*K285+L304*L285+M304*M285+N304*N285+O304*O285+P304*P285+Q304*Q285+R304*R285+S304*S285+T304*T285+U304*U285+V304*V285+W304*W285+X304*X285+Y304*Y285+Z304*Z285+AA304*AA285+AB304*AB285+AC304*AC285+AD304*AD285+AE304*AE285+AF304*AF285+AG304*AG285+AH304*AH285+AI304*AI285+AJ304*AJ285+AK304*AK285+AL304*AL285+AM304*AM285+AN304*AN285+AO304*AO285+AP304*AP285+AQ304*AQ285+AR304*AR285+AS304*AS285+AT304*AT285+AU304*AU285+AV304*AV285+AW304*AW285+AX304*AX285+AY304*AY285+AZ304*AZ285+BA304*BA285+BB304*BB285+BC304*BC285+BD304*BD285+BE304*BE285+BF304*BF285+BG304*BG285+BH304*BH285+BI304*BI285+BJ304*BJ285+BK304*BK285+BL304*BL285+BM304*BM285+BN304*BN285+BO304*BO285+BP304*BP285+BQ304*BQ285+BR304*BR285+BS304*BS285+BT304*BT285+BU304*BU285+BV304*BV285+BW304*BW285+BX304*BX285+BY304*BY285+BZ304*BZ285+CA304*CA285+CB304*CB285+CC304*CC285+CD304*CD285+CE304*CE285+CF304*CF285+CG304*CG285+CH304*CH285+CI304*CI285+CJ304*CJ285+CK304*CK285+CL304*CL285+CM304*CM285+CN304*CN285+CO304*CO285+CP304*CP285+CQ304*CQ285+CR304*CR285+CS304*CS285+CT304*CT285+CU304*CU285</f>
        <v>0</v>
      </c>
      <c r="DD285" s="2882">
        <f>E305*E285+F305*F285+G305*G285+H305*H285+I305*I285+J305*J285+K305*K285+L305*L285+M305*M285+N305*N285+O305*O285+P305*P285+Q305*Q285+R305*R285+S305*S285+T305*T285+U305*U285+V305*V285+W305*W285+X305*X285+Y305*Y285+Z305*Z285+AA305*AA285+AB305*AB285+AC305*AC285+AD305*AD285+AE305*AE285+AF305*AF285+AG305*AG285+AH305*AH285+AI305*AI285+AJ305*AJ285+AK305*AK285+AL305*AL285+AM305*AM285+AN305*AN285+AO305*AO285+AP305*AP285+AQ305*AQ285+AR305*AR285+AS305*AS285+AT305*AT285+AU305*AU285+AV305*AV285+AW305*AW285+AX305*AX285+AY305*AY285+AZ305*AZ285+BA305*BA285+BB305*BB285+BC305*BC285+BD305*BD285+BE305*BE285+BF305*BF285+BG305*BG285+BH305*BH285+BI305*BI285+BJ305*BJ285+BK305*BK285+BL305*BL285+BM305*BM285+BN305*BN285+BO305*BO285+BP305*BP285+BQ305*BQ285+BR305*BR285+BS305*BS285+BT305*BT285+BU305*BU285+BV305*BV285+BW305*BW285+BX305*BX285+BY305*BY285+BZ305*BZ285+CA305*CA285+CB305*CB285+CC305*CC285+CD305*CD285+CE305*CE285+CF305*CF285+CG305*CG285+CH305*CH285+CI305*CI285+CJ305*CJ285+CK305*CK285+CL305*CL285+CM305*CM285+CN305*CN285+CO305*CO285+CP305*CP285+CQ305*CQ285+CR305*CR285+CS305*CS285+CT305*CT285+CU305*CU285</f>
        <v>0</v>
      </c>
      <c r="DE285" s="2882">
        <f>E306*E285+F306*F285+G306*G285+H306*H285+I306*I285+J306*J285+K306*K285+L306*L285+M306*M285+N306*N285+O306*O285+P306*P285+Q306*Q285+R306*R285+S306*S285+T306*T285+U306*U285+V306*V285+W306*W285+X306*X285+Y306*Y285+Z306*Z285+AA306*AA285+AB306*AB285+AC306*AC285+AD306*AD285+AE306*AE285+AF306*AF285+AG306*AG285+AH306*AH285+AI306*AI285+AJ306*AJ285+AK306*AK285+AL306*AL285+AM306*AM285+AN306*AN285+AO306*AO285+AP306*AP285+AQ306*AQ285+AR306*AR285+AS306*AS285+AT306*AT285+AU306*AU285+AV306*AV285+AW306*AW285+AX306*AX285+AY306*AY285+AZ306*AZ285+BA306*BA285+BB306*BB285+BC306*BC285+BD306*BD285+BE306*BE285+BF306*BF285+BG306*BG285+BH306*BH285+BI306*BI285+BJ306*BJ285+BK306*BK285+BL306*BL285+BM306*BM285+BN306*BN285+BO306*BO285+BP306*BP285+BQ306*BQ285+BR306*BR285+BS306*BS285+BT306*BT285+BU306*BU285+BV306*BV285+BW306*BW285+BX306*BX285+BY306*BY285+BZ306*BZ285+CA306*CA285+CB306*CB285+CC306*CC285+CD306*CD285+CE306*CE285+CF306*CF285+CG306*CG285+CH306*CH285+CI306*CI285+CJ306*CJ285+CK306*CK285+CL306*CL285+CM306*CM285+CN306*CN285+CO306*CO285+CP306*CP285+CQ306*CQ285+CR306*CR285+CS306*CS285+CT306*CT285+CU306*CU285</f>
        <v>0</v>
      </c>
      <c r="DF285" s="2882">
        <f>E307*E285+F307*F285+G307*G285+H307*H285+I307*I285+J307*J285+K307*K285+L307*L285+M307*M285+N307*N285+O307*O285+P307*P285+Q307*Q285+R307*R285+S307*S285+T307*T285+U307*U285+V307*V285+W307*W285+X307*X285+Y307*Y285+Z307*Z285+AA307*AA285+AB307*AB285+AC307*AC285+AD307*AD285+AE307*AE285+AF307*AF285+AG307*AG285+AH307*AH285+AI307*AI285+AJ307*AJ285+AK307*AK285+AL307*AL285+AM307*AM285+AN307*AN285+AO307*AO285+AP307*AP285+AQ307*AQ285+AR307*AR285+AS307*AS285+AT307*AT285+AU307*AU285+AV307*AV285+AW307*AW285+AX307*AX285+AY307*AY285+AZ307*AZ285+BA307*BA285+BB307*BB285+BC307*BC285+BD307*BD285+BE307*BE285+BF307*BF285+BG307*BG285+BH307*BH285+BI307*BI285+BJ307*BJ285+BK307*BK285+BL307*BL285+BM307*BM285+BN307*BN285+BO307*BO285+BP307*BP285+BQ307*BQ285+BR307*BR285+BS307*BS285+BT307*BT285+BU307*BU285+BV307*BV285+BW307*BW285+BX307*BX285+BY307*BY285+BZ307*BZ285+CA307*CA285+CB307*CB285+CC307*CC285+CD307*CD285+CE307*CE285+CF307*CF285+CG307*CG285+CH307*CH285+CI307*CI285+CJ307*CJ285+CK307*CK285+CL307*CL285+CM307*CM285+CN307*CN285+CO307*CO285+CP307*CP285+CQ307*CQ285+CR307*CR285+CS307*CS285+CT307*CT285+CU307*CU285</f>
        <v>0</v>
      </c>
      <c r="DG285" s="2882">
        <f>E308*E285+F308*F285+G308*G285+H308*H285+I308*I285+J308*J285+K308*K285+L308*L285+M308*M285+N308*N285+O308*O285+P308*P285+Q308*Q285+R308*R285+S308*S285+T308*T285+U308*U285+V308*V285+W308*W285+X308*X285+Y308*Y285+Z308*Z285+AA308*AA285+AB308*AB285+AC308*AC285+AD308*AD285+AE308*AE285+AF308*AF285+AG308*AG285+AH308*AH285+AI308*AI285+AJ308*AJ285+AK308*AK285+AL308*AL285+AM308*AM285+AN308*AN285+AO308*AO285+AP308*AP285+AQ308*AQ285+AR308*AR285+AS308*AS285+AT308*AT285+AU308*AU285+AV308*AV285+AW308*AW285+AX308*AX285+AY308*AY285+AZ308*AZ285+BA308*BA285+BB308*BB285+BC308*BC285+BD308*BD285+BE308*BE285+BF308*BF285+BG308*BG285+BH308*BH285+BI308*BI285+BJ308*BJ285+BK308*BK285+BL308*BL285+BM308*BM285+BN308*BN285+BO308*BO285+BP308*BP285+BQ308*BQ285+BR308*BR285+BS308*BS285+BT308*BT285+BU308*BU285+BV308*BV285+BW308*BW285+BX308*BX285+BY308*BY285+BZ308*BZ285+CA308*CA285+CB308*CB285+CC308*CC285+CD308*CD285+CE308*CE285+CF308*CF285+CG308*CG285+CH308*CH285+CI308*CI285+CJ308*CJ285+CK308*CK285+CL308*CL285+CM308*CM285+CN308*CN285+CO308*CO285+CP308*CP285+CQ308*CQ285+CR308*CR285+CS308*CS285+CT308*CT285+CU308*CU285</f>
        <v>0</v>
      </c>
      <c r="DH285" s="2882">
        <f>E309*E285+F309*F285+G309*G285+H309*H285+I309*I285+J309*J285+K309*K285+L309*L285+M309*M285+N309*N285+O309*O285+P309*P285+Q309*Q285+R309*R285+S309*S285+T309*T285+U309*U285+V309*V285+W309*W285+X309*X285+Y309*Y285+Z309*Z285+AA309*AA285+AB309*AB285+AC309*AC285+AD309*AD285+AE309*AE285+AF309*AF285+AG309*AG285+AH309*AH285+AI309*AI285+AJ309*AJ285+AK309*AK285+AL309*AL285+AM309*AM285+AN309*AN285+AO309*AO285+AP309*AP285+AQ309*AQ285+AR309*AR285+AS309*AS285+AT309*AT285+AU309*AU285+AV309*AV285+AW309*AW285+AX309*AX285+AY309*AY285+AZ309*AZ285+BA309*BA285+BB309*BB285+BC309*BC285+BD309*BD285+BE309*BE285+BF309*BF285+BG309*BG285+BH309*BH285+BI309*BI285+BJ309*BJ285+BK309*BK285+BL309*BL285+BM309*BM285+BN309*BN285+BO309*BO285+BP309*BP285+BQ309*BQ285+BR309*BR285+BS309*BS285+BT309*BT285+BU309*BU285+BV309*BV285+BW309*BW285+BX309*BX285+BY309*BY285+BZ309*BZ285+CA309*CA285+CB309*CB285+CC309*CC285+CD309*CD285+CE309*CE285+CF309*CF285+CG309*CG285+CH309*CH285+CI309*CI285+CJ309*CJ285+CK309*CK285+CL309*CL285+CM309*CM285+CN309*CN285+CO309*CO285+CP309*CP285+CQ309*CQ285+CR309*CR285+CS309*CS285+CT309*CT285+CU309*CU285</f>
        <v>0</v>
      </c>
      <c r="DI285" s="2882">
        <f>E310*E285+F310*F285+G310*G285+H310*H285+I310*I285+J310*J285+K310*K285+L310*L285+M310*M285+N310*N285+O310*O285+P310*P285+Q310*Q285+R310*R285+S310*S285+T310*T285+U310*U285+V310*V285+W310*W285+X310*X285+Y310*Y285+Z310*Z285+AA310*AA285+AB310*AB285+AC310*AC285+AD310*AD285+AE310*AE285+AF310*AF285+AG310*AG285+AH310*AH285+AI310*AI285+AJ310*AJ285+AK310*AK285+AL310*AL285+AM310*AM285+AN310*AN285+AO310*AO285+AP310*AP285+AQ310*AQ285+AR310*AR285+AS310*AS285+AT310*AT285+AU310*AU285+AV310*AV285+AW310*AW285+AX310*AX285+AY310*AY285+AZ310*AZ285+BA310*BA285+BB310*BB285+BC310*BC285+BD310*BD285+BE310*BE285+BF310*BF285+BG310*BG285+BH310*BH285+BI310*BI285+BJ310*BJ285+BK310*BK285+BL310*BL285+BM310*BM285+BN310*BN285+BO310*BO285+BP310*BP285+BQ310*BQ285+BR310*BR285+BS310*BS285+BT310*BT285+BU310*BU285+BV310*BV285+BW310*BW285+BX310*BX285+BY310*BY285+BZ310*BZ285+CA310*CA285+CB310*CB285+CC310*CC285+CD310*CD285+CE310*CE285+CF310*CF285+CG310*CG285+CH310*CH285+CI310*CI285+CJ310*CJ285+CK310*CK285+CL310*CL285+CM310*CM285+CN310*CN285+CO310*CO285+CP310*CP285+CQ310*CQ285+CR310*CR285+CS310*CS285+CT310*CT285+CU310*CU285</f>
        <v>0</v>
      </c>
    </row>
    <row r="286" spans="2:113" ht="15.75" x14ac:dyDescent="0.45">
      <c r="B286" s="2219">
        <v>127</v>
      </c>
      <c r="C286" s="2219" t="s">
        <v>5805</v>
      </c>
      <c r="D286" s="2573" t="s">
        <v>5471</v>
      </c>
      <c r="E286" s="2575">
        <f>0</f>
        <v>0</v>
      </c>
      <c r="F286" s="2575">
        <f>0</f>
        <v>0</v>
      </c>
      <c r="G286" s="2575">
        <f>0</f>
        <v>0</v>
      </c>
      <c r="H286" s="2575">
        <f>0</f>
        <v>0</v>
      </c>
      <c r="I286" s="2575">
        <f>0</f>
        <v>0</v>
      </c>
      <c r="J286" s="2575">
        <f>0</f>
        <v>0</v>
      </c>
      <c r="K286" s="2575">
        <f>0</f>
        <v>0</v>
      </c>
      <c r="L286" s="2575">
        <f>0</f>
        <v>0</v>
      </c>
      <c r="M286" s="2575">
        <f>0</f>
        <v>0</v>
      </c>
      <c r="N286" s="2575">
        <f>0</f>
        <v>0</v>
      </c>
      <c r="O286" s="2575">
        <f>0</f>
        <v>0</v>
      </c>
      <c r="P286" s="2575">
        <f>0</f>
        <v>0</v>
      </c>
      <c r="Q286" s="2576">
        <f>0</f>
        <v>0</v>
      </c>
      <c r="R286" s="2575">
        <f>0</f>
        <v>0</v>
      </c>
      <c r="S286" s="2575">
        <f>0</f>
        <v>0</v>
      </c>
      <c r="T286" s="2575">
        <f>0</f>
        <v>0</v>
      </c>
      <c r="U286" s="2575">
        <f>0</f>
        <v>0</v>
      </c>
      <c r="V286" s="2575">
        <f>0</f>
        <v>0</v>
      </c>
      <c r="W286" s="2575">
        <f>0</f>
        <v>0</v>
      </c>
      <c r="X286" s="2575">
        <f>0</f>
        <v>0</v>
      </c>
      <c r="Y286" s="2575">
        <f>0</f>
        <v>0</v>
      </c>
      <c r="Z286" s="2575">
        <f>0</f>
        <v>0</v>
      </c>
      <c r="AA286" s="2575">
        <f>0</f>
        <v>0</v>
      </c>
      <c r="AB286" s="2575">
        <f>0</f>
        <v>0</v>
      </c>
      <c r="AC286" s="2575">
        <f>0</f>
        <v>0</v>
      </c>
      <c r="AD286" s="2575">
        <f>0</f>
        <v>0</v>
      </c>
      <c r="AE286" s="2575">
        <f>0</f>
        <v>0</v>
      </c>
      <c r="AF286" s="2575">
        <f>0</f>
        <v>0</v>
      </c>
      <c r="AG286" s="2575">
        <f>0</f>
        <v>0</v>
      </c>
      <c r="AH286" s="2575">
        <f>0</f>
        <v>0</v>
      </c>
      <c r="AI286" s="2575">
        <f>0</f>
        <v>0</v>
      </c>
      <c r="AJ286" s="2575">
        <f>0</f>
        <v>0</v>
      </c>
      <c r="AK286" s="2575">
        <f>0</f>
        <v>0</v>
      </c>
      <c r="AL286" s="2575">
        <f>0</f>
        <v>0</v>
      </c>
      <c r="AM286" s="2575">
        <f>0</f>
        <v>0</v>
      </c>
      <c r="AN286" s="2575">
        <f>0</f>
        <v>0</v>
      </c>
      <c r="AO286" s="2575">
        <f>0</f>
        <v>0</v>
      </c>
      <c r="AP286" s="2575">
        <f>0</f>
        <v>0</v>
      </c>
      <c r="AQ286" s="2575">
        <f>0</f>
        <v>0</v>
      </c>
      <c r="AR286" s="2576">
        <f>-(E_EQH2S-E_EQS)</f>
        <v>-0.49896772181506321</v>
      </c>
      <c r="AS286" s="2575">
        <f>0</f>
        <v>0</v>
      </c>
      <c r="AT286" s="2575">
        <f>0</f>
        <v>0</v>
      </c>
      <c r="AU286" s="2575">
        <f>0</f>
        <v>0</v>
      </c>
      <c r="AV286" s="2575">
        <f>0</f>
        <v>0</v>
      </c>
      <c r="AW286" s="2575">
        <f>0</f>
        <v>0</v>
      </c>
      <c r="AX286" s="2575">
        <f>0</f>
        <v>0</v>
      </c>
      <c r="AY286" s="2575">
        <f>0</f>
        <v>0</v>
      </c>
      <c r="AZ286" s="2575">
        <f>0</f>
        <v>0</v>
      </c>
      <c r="BA286" s="2575">
        <f>0</f>
        <v>0</v>
      </c>
      <c r="BB286" s="2575">
        <f>-1</f>
        <v>-1</v>
      </c>
      <c r="BC286" s="2575">
        <f>0</f>
        <v>0</v>
      </c>
      <c r="BD286" s="2575">
        <f>1</f>
        <v>1</v>
      </c>
      <c r="BE286" s="2575">
        <f>0</f>
        <v>0</v>
      </c>
      <c r="BF286" s="2575">
        <f>0</f>
        <v>0</v>
      </c>
      <c r="BG286" s="2575">
        <f>0</f>
        <v>0</v>
      </c>
      <c r="BH286" s="2575">
        <f>0</f>
        <v>0</v>
      </c>
      <c r="BI286" s="2575">
        <f>0</f>
        <v>0</v>
      </c>
      <c r="BJ286" s="2575">
        <f>0</f>
        <v>0</v>
      </c>
      <c r="BK286" s="2575">
        <f>0</f>
        <v>0</v>
      </c>
      <c r="BL286" s="2575">
        <f>0</f>
        <v>0</v>
      </c>
      <c r="BM286" s="2575">
        <f>0</f>
        <v>0</v>
      </c>
      <c r="BN286" s="2575">
        <f>0</f>
        <v>0</v>
      </c>
      <c r="BO286" s="2575">
        <f>0</f>
        <v>0</v>
      </c>
      <c r="BP286" s="2575">
        <f>0</f>
        <v>0</v>
      </c>
      <c r="BQ286" s="2575">
        <f>0</f>
        <v>0</v>
      </c>
      <c r="BR286" s="2575">
        <f>0</f>
        <v>0</v>
      </c>
      <c r="BS286" s="2575">
        <f>0</f>
        <v>0</v>
      </c>
      <c r="BT286" s="2575">
        <f>0</f>
        <v>0</v>
      </c>
      <c r="BU286" s="2575">
        <f>0</f>
        <v>0</v>
      </c>
      <c r="BV286" s="2575">
        <f>0</f>
        <v>0</v>
      </c>
      <c r="BW286" s="2575">
        <f>0</f>
        <v>0</v>
      </c>
      <c r="BX286" s="2575">
        <f>0</f>
        <v>0</v>
      </c>
      <c r="BY286" s="2575">
        <f>0</f>
        <v>0</v>
      </c>
      <c r="BZ286" s="2575">
        <f>0</f>
        <v>0</v>
      </c>
      <c r="CA286" s="2575">
        <f>0</f>
        <v>0</v>
      </c>
      <c r="CB286" s="2575">
        <f>0</f>
        <v>0</v>
      </c>
      <c r="CC286" s="2575">
        <f>0</f>
        <v>0</v>
      </c>
      <c r="CD286" s="2575">
        <f>0</f>
        <v>0</v>
      </c>
      <c r="CE286" s="2575">
        <f>0</f>
        <v>0</v>
      </c>
      <c r="CF286" s="2575">
        <f>0</f>
        <v>0</v>
      </c>
      <c r="CG286" s="2575">
        <f>0</f>
        <v>0</v>
      </c>
      <c r="CH286" s="2575">
        <f>0</f>
        <v>0</v>
      </c>
      <c r="CI286" s="2575">
        <f>0</f>
        <v>0</v>
      </c>
      <c r="CJ286" s="2575">
        <f>0</f>
        <v>0</v>
      </c>
      <c r="CK286" s="2575">
        <f>0</f>
        <v>0</v>
      </c>
      <c r="CL286" s="2575">
        <f>0</f>
        <v>0</v>
      </c>
      <c r="CM286" s="2575">
        <f>0</f>
        <v>0</v>
      </c>
      <c r="CN286" s="2575">
        <f>0</f>
        <v>0</v>
      </c>
      <c r="CO286" s="2575">
        <f>0</f>
        <v>0</v>
      </c>
      <c r="CP286" s="2575">
        <f>0</f>
        <v>0</v>
      </c>
      <c r="CQ286" s="2575">
        <f>0</f>
        <v>0</v>
      </c>
      <c r="CR286" s="2575">
        <f>0</f>
        <v>0</v>
      </c>
      <c r="CS286" s="2575">
        <f>0</f>
        <v>0</v>
      </c>
      <c r="CT286" s="2575">
        <f>0</f>
        <v>0</v>
      </c>
      <c r="CU286" s="2575">
        <f>0</f>
        <v>0</v>
      </c>
      <c r="CV286" s="2875">
        <f>q_H2S_OX*S_H2S*M_satSO2_KO2_OHO</f>
        <v>9.3023255813953487E-3</v>
      </c>
      <c r="CX286" s="2880">
        <f>E299*E286+F299*F286+G299*G286+H299*H286+I299*I286+J299*J286+K299*K286+L299*L286+M299*M286+N299*N286+O299*O286+P299*P286+Q299*Q286+R299*R286+S299*S286+T299*T286+U299*U286+V299*V286+W299*W286+X299*X286+Y299*Y286+Z299*Z286+AA299*AA286+AB299*AB286+AC299*AC286+AD299*AD286+AE299*AE286+AF299*AF286+AG299*AG286+AH299*AH286+AI299*AI286+AJ299*AJ286+AK299*AK286+AL299*AL286+AM299*AM286+AN299*AN286+AO299*AO286+AP299*AP286+AQ299*AQ286+AR299*AR286+AS299*AS286+AT299*AT286+AU299*AU286+AV299*AV286+AW299*AW286+AX299*AX286+AY299*AY286+AZ299*AZ286+BA299*BA286+BB299*BB286+BC299*BC286+BD299*BD286+BE299*BE286+BF299*BF286+BG299*BG286+BH299*BH286+BI299*BI286+BJ299*BJ286+BK299*BK286+BL299*BL286+BM299*BM286+BN299*BN286+BO299*BO286+BP299*BP286+BQ299*BQ286+BR299*BR286+BS299*BS286+BT299*BT286+BU299*BU286+BV299*BV286+BW299*BW286+BX299*BX286+BY299*BY286+BZ299*BZ286+CA299*CA286+CB299*CB286+CC299*CC286+CD299*CD286+CE299*CE286+CF299*CF286+CG299*CG286+CH299*CH286+CI299*CI286+CJ299*CJ286+CK299*CK286+CL299*CL286+CM299*CM286+CN299*CN286+CO299*CO286+CP299*CP286+CQ299*CQ286+CR299*CR286+CS299*CS286+CT299*CT286+CU299*CU286</f>
        <v>0</v>
      </c>
      <c r="CY286" s="2880">
        <f>E300*E286+F300*F286+G300*G286+H300*H286+I300*I286+J300*J286+K300*K286+L300*L286+M300*M286+N300*N286+O300*O286+P300*P286+Q300*Q286+R300*R286+S300*S286+T300*T286+U300*U286+V300*V286+W300*W286+X300*X286+Y300*Y286+Z300*Z286+AA300*AA286+AB300*AB286+AC300*AC286+AD300*AD286+AE300*AE286+AF300*AF286+AG300*AG286+AH300*AH286+AI300*AI286+AJ300*AJ286+AK300*AK286+AL300*AL286+AM300*AM286+AN300*AN286+AO300*AO286+AP300*AP286+AQ300*AQ286+AR300*AR286+AS300*AS286+AT300*AT286+AU300*AU286+AV300*AV286+AW300*AW286+AX300*AX286+AY300*AY286+AZ300*AZ286+BA300*BA286+BB300*BB286+BC300*BC286+BD300*BD286+BE300*BE286+BF300*BF286+BG300*BG286+BH300*BH286+BI300*BI286+BJ300*BJ286+BK300*BK286+BL300*BL286+BM300*BM286+BN300*BN286+BO300*BO286+BP300*BP286+BQ300*BQ286+BR300*BR286+BS300*BS286+BT300*BT286+BU300*BU286+BV300*BV286+BW300*BW286+BX300*BX286+BY300*BY286+BZ300*BZ286+CA300*CA286+CB300*CB286+CC300*CC286+CD300*CD286+CE300*CE286+CF300*CF286+CG300*CG286+CH300*CH286+CI300*CI286+CJ300*CJ286+CK300*CK286+CL300*CL286+CM300*CM286+CN300*CN286+CO300*CO286+CP300*CP286+CQ300*CQ286+CR300*CR286+CS300*CS286+CT300*CT286+CU300*CU286</f>
        <v>0</v>
      </c>
      <c r="CZ286" s="2881">
        <f>E301*E286+F301*F286+G301*G286+H301*H286+I301*I286+J301*J286+K301*K286+L301*L286+M301*M286+N301*N286+O301*O286+P301*P286+Q301*Q286+R301*R286+S301*S286+T301*T286+U301*U286+V301*V286+W301*W286+X301*X286+Y301*Y286+Z301*Z286+AA301*AA286+AB301*AB286+AC301*AC286+AD301*AD286+AE301*AE286+AF301*AF286+AG301*AG286+AH301*AH286+AI301*AI286+AJ301*AJ286+AK301*AK286+AL301*AL286+AM301*AM286+AN301*AN286+AO301*AO286+AP301*AP286+AQ301*AQ286+AR301*AR286+AS301*AS286+AT301*AT286+AU301*AU286+AV301*AV286+AW301*AW286+AX301*AX286+AY301*AY286+AZ301*AZ286+BA301*BA286+BB301*BB286+BC301*BC286+BD301*BD286+BE301*BE286+BF301*BF286+BG301*BG286+BH301*BH286+BI301*BI286+BJ301*BJ286+BK301*BK286+BL301*BL286+BM301*BM286+BN301*BN286+BO301*BO286+BP301*BP286+BQ301*BQ286+BR301*BR286+BS301*BS286+BT301*BT286+BU301*BU286+BV301*BV286+BW301*BW286+BX301*BX286+BY301*BY286+BZ301*BZ286+CA301*CA286+CB301*CB286+CC301*CC286+CD301*CD286+CE301*CE286+CF301*CF286+CG301*CG286+CH301*CH286+CI301*CI286+CJ301*CJ286+CK301*CK286+CL301*CL286+CM301*CM286+CN301*CN286+CO301*CO286+CP301*CP286+CQ301*CQ286+CR301*CR286+CS301*CS286+CT301*CT286+CU301*CU286</f>
        <v>0</v>
      </c>
      <c r="DA286" s="2882">
        <f>E302*E286+F302*F286+G302*G286+H302*H286+I302*I286+J302*J286+K302*K286+L302*L286+M302*M286+N302*N286+O302*O286+P302*P286+Q302*Q286+R302*R286+S302*S286+T302*T286+U302*U286+V302*V286+W302*W286+X302*X286+Y302*Y286+Z302*Z286+AA302*AA286+AB302*AB286+AC302*AC286+AD302*AD286+AE302*AE286+AF302*AF286+AG302*AG286+AH302*AH286+AI302*AI286+AJ302*AJ286+AK302*AK286+AL302*AL286+AM302*AM286+AN302*AN286+AO302*AO286+AP302*AP286+AQ302*AQ286+AR302*AR286+AS302*AS286+AT302*AT286+AU302*AU286+AV302*AV286+AW302*AW286+AX302*AX286+AY302*AY286+AZ302*AZ286+BA302*BA286+BB302*BB286+BC302*BC286+BD302*BD286+BE302*BE286+BF302*BF286+BG302*BG286+BH302*BH286+BI302*BI286+BJ302*BJ286+BK302*BK286+BL302*BL286+BM302*BM286+BN302*BN286+BO302*BO286+BP302*BP286+BQ302*BQ286+BR302*BR286+BS302*BS286+BT302*BT286+BU302*BU286+BV302*BV286+BW302*BW286+BX302*BX286+BY302*BY286+BZ302*BZ286+CA302*CA286+CB302*CB286+CC302*CC286+CD302*CD286+CE302*CE286+CF302*CF286+CG302*CG286+CH302*CH286+CI302*CI286+CJ302*CJ286+CK302*CK286+CL302*CL286+CM302*CM286+CN302*CN286+CO302*CO286+CP302*CP286+CQ302*CQ286+CR302*CR286+CS302*CS286+CT302*CT286+CU302*CU286</f>
        <v>0</v>
      </c>
      <c r="DB286" s="2882">
        <f>E303*E286+F303*F286+G303*G286+H303*H286+I303*I286+J303*J286+K303*K286+L303*L286+M303*M286+N303*N286+O303*O286+P303*P286+Q303*Q286+R303*R286+S303*S286+T303*T286+U303*U286+V303*V286+W303*W286+X303*X286+Y303*Y286+Z303*Z286+AA303*AA286+AB303*AB286+AC303*AC286+AD303*AD286+AE303*AE286+AF303*AF286+AG303*AG286+AH303*AH286+AI303*AI286+AJ303*AJ286+AK303*AK286+AL303*AL286+AM303*AM286+AN303*AN286+AO303*AO286+AP303*AP286+AQ303*AQ286+AR303*AR286+AS303*AS286+AT303*AT286+AU303*AU286+AV303*AV286+AW303*AW286+AX303*AX286+AY303*AY286+AZ303*AZ286+BA303*BA286+BB303*BB286+BC303*BC286+BD303*BD286+BE303*BE286+BF303*BF286+BG303*BG286+BH303*BH286+BI303*BI286+BJ303*BJ286+BK303*BK286+BL303*BL286+BM303*BM286+BN303*BN286+BO303*BO286+BP303*BP286+BQ303*BQ286+BR303*BR286+BS303*BS286+BT303*BT286+BU303*BU286+BV303*BV286+BW303*BW286+BX303*BX286+BY303*BY286+BZ303*BZ286+CA303*CA286+CB303*CB286+CC303*CC286+CD303*CD286+CE303*CE286+CF303*CF286+CG303*CG286+CH303*CH286+CI303*CI286+CJ303*CJ286+CK303*CK286+CL303*CL286+CM303*CM286+CN303*CN286+CO303*CO286+CP303*CP286+CQ303*CQ286+CR303*CR286+CS303*CS286+CT303*CT286+CU303*CU286</f>
        <v>0</v>
      </c>
      <c r="DC286" s="2882">
        <f>E304*E286+F304*F286+G304*G286+H304*H286+I304*I286+J304*J286+K304*K286+L304*L286+M304*M286+N304*N286+O304*O286+P304*P286+Q304*Q286+R304*R286+S304*S286+T304*T286+U304*U286+V304*V286+W304*W286+X304*X286+Y304*Y286+Z304*Z286+AA304*AA286+AB304*AB286+AC304*AC286+AD304*AD286+AE304*AE286+AF304*AF286+AG304*AG286+AH304*AH286+AI304*AI286+AJ304*AJ286+AK304*AK286+AL304*AL286+AM304*AM286+AN304*AN286+AO304*AO286+AP304*AP286+AQ304*AQ286+AR304*AR286+AS304*AS286+AT304*AT286+AU304*AU286+AV304*AV286+AW304*AW286+AX304*AX286+AY304*AY286+AZ304*AZ286+BA304*BA286+BB304*BB286+BC304*BC286+BD304*BD286+BE304*BE286+BF304*BF286+BG304*BG286+BH304*BH286+BI304*BI286+BJ304*BJ286+BK304*BK286+BL304*BL286+BM304*BM286+BN304*BN286+BO304*BO286+BP304*BP286+BQ304*BQ286+BR304*BR286+BS304*BS286+BT304*BT286+BU304*BU286+BV304*BV286+BW304*BW286+BX304*BX286+BY304*BY286+BZ304*BZ286+CA304*CA286+CB304*CB286+CC304*CC286+CD304*CD286+CE304*CE286+CF304*CF286+CG304*CG286+CH304*CH286+CI304*CI286+CJ304*CJ286+CK304*CK286+CL304*CL286+CM304*CM286+CN304*CN286+CO304*CO286+CP304*CP286+CQ304*CQ286+CR304*CR286+CS304*CS286+CT304*CT286+CU304*CU286</f>
        <v>0</v>
      </c>
      <c r="DD286" s="2882">
        <f>E305*E286+F305*F286+G305*G286+H305*H286+I305*I286+J305*J286+K305*K286+L305*L286+M305*M286+N305*N286+O305*O286+P305*P286+Q305*Q286+R305*R286+S305*S286+T305*T286+U305*U286+V305*V286+W305*W286+X305*X286+Y305*Y286+Z305*Z286+AA305*AA286+AB305*AB286+AC305*AC286+AD305*AD286+AE305*AE286+AF305*AF286+AG305*AG286+AH305*AH286+AI305*AI286+AJ305*AJ286+AK305*AK286+AL305*AL286+AM305*AM286+AN305*AN286+AO305*AO286+AP305*AP286+AQ305*AQ286+AR305*AR286+AS305*AS286+AT305*AT286+AU305*AU286+AV305*AV286+AW305*AW286+AX305*AX286+AY305*AY286+AZ305*AZ286+BA305*BA286+BB305*BB286+BC305*BC286+BD305*BD286+BE305*BE286+BF305*BF286+BG305*BG286+BH305*BH286+BI305*BI286+BJ305*BJ286+BK305*BK286+BL305*BL286+BM305*BM286+BN305*BN286+BO305*BO286+BP305*BP286+BQ305*BQ286+BR305*BR286+BS305*BS286+BT305*BT286+BU305*BU286+BV305*BV286+BW305*BW286+BX305*BX286+BY305*BY286+BZ305*BZ286+CA305*CA286+CB305*CB286+CC305*CC286+CD305*CD286+CE305*CE286+CF305*CF286+CG305*CG286+CH305*CH286+CI305*CI286+CJ305*CJ286+CK305*CK286+CL305*CL286+CM305*CM286+CN305*CN286+CO305*CO286+CP305*CP286+CQ305*CQ286+CR305*CR286+CS305*CS286+CT305*CT286+CU305*CU286</f>
        <v>0</v>
      </c>
      <c r="DE286" s="2882">
        <f>E306*E286+F306*F286+G306*G286+H306*H286+I306*I286+J306*J286+K306*K286+L306*L286+M306*M286+N306*N286+O306*O286+P306*P286+Q306*Q286+R306*R286+S306*S286+T306*T286+U306*U286+V306*V286+W306*W286+X306*X286+Y306*Y286+Z306*Z286+AA306*AA286+AB306*AB286+AC306*AC286+AD306*AD286+AE306*AE286+AF306*AF286+AG306*AG286+AH306*AH286+AI306*AI286+AJ306*AJ286+AK306*AK286+AL306*AL286+AM306*AM286+AN306*AN286+AO306*AO286+AP306*AP286+AQ306*AQ286+AR306*AR286+AS306*AS286+AT306*AT286+AU306*AU286+AV306*AV286+AW306*AW286+AX306*AX286+AY306*AY286+AZ306*AZ286+BA306*BA286+BB306*BB286+BC306*BC286+BD306*BD286+BE306*BE286+BF306*BF286+BG306*BG286+BH306*BH286+BI306*BI286+BJ306*BJ286+BK306*BK286+BL306*BL286+BM306*BM286+BN306*BN286+BO306*BO286+BP306*BP286+BQ306*BQ286+BR306*BR286+BS306*BS286+BT306*BT286+BU306*BU286+BV306*BV286+BW306*BW286+BX306*BX286+BY306*BY286+BZ306*BZ286+CA306*CA286+CB306*CB286+CC306*CC286+CD306*CD286+CE306*CE286+CF306*CF286+CG306*CG286+CH306*CH286+CI306*CI286+CJ306*CJ286+CK306*CK286+CL306*CL286+CM306*CM286+CN306*CN286+CO306*CO286+CP306*CP286+CQ306*CQ286+CR306*CR286+CS306*CS286+CT306*CT286+CU306*CU286</f>
        <v>0</v>
      </c>
      <c r="DF286" s="2882">
        <f>E307*E286+F307*F286+G307*G286+H307*H286+I307*I286+J307*J286+K307*K286+L307*L286+M307*M286+N307*N286+O307*O286+P307*P286+Q307*Q286+R307*R286+S307*S286+T307*T286+U307*U286+V307*V286+W307*W286+X307*X286+Y307*Y286+Z307*Z286+AA307*AA286+AB307*AB286+AC307*AC286+AD307*AD286+AE307*AE286+AF307*AF286+AG307*AG286+AH307*AH286+AI307*AI286+AJ307*AJ286+AK307*AK286+AL307*AL286+AM307*AM286+AN307*AN286+AO307*AO286+AP307*AP286+AQ307*AQ286+AR307*AR286+AS307*AS286+AT307*AT286+AU307*AU286+AV307*AV286+AW307*AW286+AX307*AX286+AY307*AY286+AZ307*AZ286+BA307*BA286+BB307*BB286+BC307*BC286+BD307*BD286+BE307*BE286+BF307*BF286+BG307*BG286+BH307*BH286+BI307*BI286+BJ307*BJ286+BK307*BK286+BL307*BL286+BM307*BM286+BN307*BN286+BO307*BO286+BP307*BP286+BQ307*BQ286+BR307*BR286+BS307*BS286+BT307*BT286+BU307*BU286+BV307*BV286+BW307*BW286+BX307*BX286+BY307*BY286+BZ307*BZ286+CA307*CA286+CB307*CB286+CC307*CC286+CD307*CD286+CE307*CE286+CF307*CF286+CG307*CG286+CH307*CH286+CI307*CI286+CJ307*CJ286+CK307*CK286+CL307*CL286+CM307*CM286+CN307*CN286+CO307*CO286+CP307*CP286+CQ307*CQ286+CR307*CR286+CS307*CS286+CT307*CT286+CU307*CU286</f>
        <v>0</v>
      </c>
      <c r="DG286" s="2882">
        <f>E308*E286+F308*F286+G308*G286+H308*H286+I308*I286+J308*J286+K308*K286+L308*L286+M308*M286+N308*N286+O308*O286+P308*P286+Q308*Q286+R308*R286+S308*S286+T308*T286+U308*U286+V308*V286+W308*W286+X308*X286+Y308*Y286+Z308*Z286+AA308*AA286+AB308*AB286+AC308*AC286+AD308*AD286+AE308*AE286+AF308*AF286+AG308*AG286+AH308*AH286+AI308*AI286+AJ308*AJ286+AK308*AK286+AL308*AL286+AM308*AM286+AN308*AN286+AO308*AO286+AP308*AP286+AQ308*AQ286+AR308*AR286+AS308*AS286+AT308*AT286+AU308*AU286+AV308*AV286+AW308*AW286+AX308*AX286+AY308*AY286+AZ308*AZ286+BA308*BA286+BB308*BB286+BC308*BC286+BD308*BD286+BE308*BE286+BF308*BF286+BG308*BG286+BH308*BH286+BI308*BI286+BJ308*BJ286+BK308*BK286+BL308*BL286+BM308*BM286+BN308*BN286+BO308*BO286+BP308*BP286+BQ308*BQ286+BR308*BR286+BS308*BS286+BT308*BT286+BU308*BU286+BV308*BV286+BW308*BW286+BX308*BX286+BY308*BY286+BZ308*BZ286+CA308*CA286+CB308*CB286+CC308*CC286+CD308*CD286+CE308*CE286+CF308*CF286+CG308*CG286+CH308*CH286+CI308*CI286+CJ308*CJ286+CK308*CK286+CL308*CL286+CM308*CM286+CN308*CN286+CO308*CO286+CP308*CP286+CQ308*CQ286+CR308*CR286+CS308*CS286+CT308*CT286+CU308*CU286</f>
        <v>0</v>
      </c>
      <c r="DH286" s="2882">
        <f>E309*E286+F309*F286+G309*G286+H309*H286+I309*I286+J309*J286+K309*K286+L309*L286+M309*M286+N309*N286+O309*O286+P309*P286+Q309*Q286+R309*R286+S309*S286+T309*T286+U309*U286+V309*V286+W309*W286+X309*X286+Y309*Y286+Z309*Z286+AA309*AA286+AB309*AB286+AC309*AC286+AD309*AD286+AE309*AE286+AF309*AF286+AG309*AG286+AH309*AH286+AI309*AI286+AJ309*AJ286+AK309*AK286+AL309*AL286+AM309*AM286+AN309*AN286+AO309*AO286+AP309*AP286+AQ309*AQ286+AR309*AR286+AS309*AS286+AT309*AT286+AU309*AU286+AV309*AV286+AW309*AW286+AX309*AX286+AY309*AY286+AZ309*AZ286+BA309*BA286+BB309*BB286+BC309*BC286+BD309*BD286+BE309*BE286+BF309*BF286+BG309*BG286+BH309*BH286+BI309*BI286+BJ309*BJ286+BK309*BK286+BL309*BL286+BM309*BM286+BN309*BN286+BO309*BO286+BP309*BP286+BQ309*BQ286+BR309*BR286+BS309*BS286+BT309*BT286+BU309*BU286+BV309*BV286+BW309*BW286+BX309*BX286+BY309*BY286+BZ309*BZ286+CA309*CA286+CB309*CB286+CC309*CC286+CD309*CD286+CE309*CE286+CF309*CF286+CG309*CG286+CH309*CH286+CI309*CI286+CJ309*CJ286+CK309*CK286+CL309*CL286+CM309*CM286+CN309*CN286+CO309*CO286+CP309*CP286+CQ309*CQ286+CR309*CR286+CS309*CS286+CT309*CT286+CU309*CU286</f>
        <v>0</v>
      </c>
      <c r="DI286" s="2882">
        <f>E310*E286+F310*F286+G310*G286+H310*H286+I310*I286+J310*J286+K310*K286+L310*L286+M310*M286+N310*N286+O310*O286+P310*P286+Q310*Q286+R310*R286+S310*S286+T310*T286+U310*U286+V310*V286+W310*W286+X310*X286+Y310*Y286+Z310*Z286+AA310*AA286+AB310*AB286+AC310*AC286+AD310*AD286+AE310*AE286+AF310*AF286+AG310*AG286+AH310*AH286+AI310*AI286+AJ310*AJ286+AK310*AK286+AL310*AL286+AM310*AM286+AN310*AN286+AO310*AO286+AP310*AP286+AQ310*AQ286+AR310*AR286+AS310*AS286+AT310*AT286+AU310*AU286+AV310*AV286+AW310*AW286+AX310*AX286+AY310*AY286+AZ310*AZ286+BA310*BA286+BB310*BB286+BC310*BC286+BD310*BD286+BE310*BE286+BF310*BF286+BG310*BG286+BH310*BH286+BI310*BI286+BJ310*BJ286+BK310*BK286+BL310*BL286+BM310*BM286+BN310*BN286+BO310*BO286+BP310*BP286+BQ310*BQ286+BR310*BR286+BS310*BS286+BT310*BT286+BU310*BU286+BV310*BV286+BW310*BW286+BX310*BX286+BY310*BY286+BZ310*BZ286+CA310*CA286+CB310*CB286+CC310*CC286+CD310*CD286+CE310*CE286+CF310*CF286+CG310*CG286+CH310*CH286+CI310*CI286+CJ310*CJ286+CK310*CK286+CL310*CL286+CM310*CM286+CN310*CN286+CO310*CO286+CP310*CP286+CQ310*CQ286+CR310*CR286+CS310*CS286+CT310*CT286+CU310*CU286</f>
        <v>0</v>
      </c>
    </row>
    <row r="287" spans="2:113" ht="16.149999999999999" thickBot="1" x14ac:dyDescent="0.5">
      <c r="B287" s="2221">
        <v>128</v>
      </c>
      <c r="C287" s="2221" t="s">
        <v>5806</v>
      </c>
      <c r="D287" s="2573" t="s">
        <v>5474</v>
      </c>
      <c r="E287" s="2575">
        <f>0</f>
        <v>0</v>
      </c>
      <c r="F287" s="2575">
        <f>0</f>
        <v>0</v>
      </c>
      <c r="G287" s="2575">
        <f>0</f>
        <v>0</v>
      </c>
      <c r="H287" s="2575">
        <f>0</f>
        <v>0</v>
      </c>
      <c r="I287" s="2575">
        <f>0</f>
        <v>0</v>
      </c>
      <c r="J287" s="2575">
        <f>0</f>
        <v>0</v>
      </c>
      <c r="K287" s="2575">
        <f>0</f>
        <v>0</v>
      </c>
      <c r="L287" s="2575">
        <f>0</f>
        <v>0</v>
      </c>
      <c r="M287" s="2575">
        <f>0</f>
        <v>0</v>
      </c>
      <c r="N287" s="2575">
        <f>0</f>
        <v>0</v>
      </c>
      <c r="O287" s="2575">
        <f>0</f>
        <v>0</v>
      </c>
      <c r="P287" s="2575">
        <f>0</f>
        <v>0</v>
      </c>
      <c r="Q287" s="2576">
        <f>0</f>
        <v>0</v>
      </c>
      <c r="R287" s="2575">
        <f>0</f>
        <v>0</v>
      </c>
      <c r="S287" s="2575">
        <f>0</f>
        <v>0</v>
      </c>
      <c r="T287" s="2575">
        <f>0</f>
        <v>0</v>
      </c>
      <c r="U287" s="2575">
        <f>0</f>
        <v>0</v>
      </c>
      <c r="V287" s="2575">
        <f>0</f>
        <v>0</v>
      </c>
      <c r="W287" s="2575">
        <f>0</f>
        <v>0</v>
      </c>
      <c r="X287" s="2575">
        <f>0</f>
        <v>0</v>
      </c>
      <c r="Y287" s="2575">
        <f>0</f>
        <v>0</v>
      </c>
      <c r="Z287" s="2575">
        <f>0</f>
        <v>0</v>
      </c>
      <c r="AA287" s="2575">
        <f>0</f>
        <v>0</v>
      </c>
      <c r="AB287" s="2575">
        <f>0</f>
        <v>0</v>
      </c>
      <c r="AC287" s="2575">
        <f>0</f>
        <v>0</v>
      </c>
      <c r="AD287" s="2575">
        <f>0</f>
        <v>0</v>
      </c>
      <c r="AE287" s="2575">
        <f>0</f>
        <v>0</v>
      </c>
      <c r="AF287" s="2575">
        <f>0</f>
        <v>0</v>
      </c>
      <c r="AG287" s="2575">
        <f>0</f>
        <v>0</v>
      </c>
      <c r="AH287" s="2575">
        <f>0</f>
        <v>0</v>
      </c>
      <c r="AI287" s="2575">
        <f>0</f>
        <v>0</v>
      </c>
      <c r="AJ287" s="2575">
        <f>0</f>
        <v>0</v>
      </c>
      <c r="AK287" s="2575">
        <f>0</f>
        <v>0</v>
      </c>
      <c r="AL287" s="2575">
        <f>0</f>
        <v>0</v>
      </c>
      <c r="AM287" s="2575">
        <f>0</f>
        <v>0</v>
      </c>
      <c r="AN287" s="2575">
        <f>0</f>
        <v>0</v>
      </c>
      <c r="AO287" s="2575">
        <f>0</f>
        <v>0</v>
      </c>
      <c r="AP287" s="2575">
        <f>0</f>
        <v>0</v>
      </c>
      <c r="AQ287" s="2575">
        <f>0</f>
        <v>0</v>
      </c>
      <c r="AR287" s="2576">
        <f>-E_EQS</f>
        <v>-1.4969031654451894</v>
      </c>
      <c r="AS287" s="2575">
        <f>0</f>
        <v>0</v>
      </c>
      <c r="AT287" s="2575">
        <f>0</f>
        <v>0</v>
      </c>
      <c r="AU287" s="2575">
        <f>0</f>
        <v>0</v>
      </c>
      <c r="AV287" s="2575">
        <f>0</f>
        <v>0</v>
      </c>
      <c r="AW287" s="2575">
        <f>0</f>
        <v>0</v>
      </c>
      <c r="AX287" s="2575">
        <f>0</f>
        <v>0</v>
      </c>
      <c r="AY287" s="2575">
        <f>0</f>
        <v>0</v>
      </c>
      <c r="AZ287" s="2575">
        <f>0</f>
        <v>0</v>
      </c>
      <c r="BA287" s="2575">
        <f>0</f>
        <v>0</v>
      </c>
      <c r="BB287" s="2575">
        <f>0</f>
        <v>0</v>
      </c>
      <c r="BC287" s="2575">
        <f>1</f>
        <v>1</v>
      </c>
      <c r="BD287" s="2576">
        <f>-1</f>
        <v>-1</v>
      </c>
      <c r="BE287" s="2575">
        <f>0</f>
        <v>0</v>
      </c>
      <c r="BF287" s="2575">
        <f>0</f>
        <v>0</v>
      </c>
      <c r="BG287" s="2575">
        <f>0</f>
        <v>0</v>
      </c>
      <c r="BH287" s="2575">
        <f>0</f>
        <v>0</v>
      </c>
      <c r="BI287" s="2575">
        <f>0</f>
        <v>0</v>
      </c>
      <c r="BJ287" s="2575">
        <f>0</f>
        <v>0</v>
      </c>
      <c r="BK287" s="2575">
        <f>0</f>
        <v>0</v>
      </c>
      <c r="BL287" s="2575">
        <f>0</f>
        <v>0</v>
      </c>
      <c r="BM287" s="2575">
        <f>0</f>
        <v>0</v>
      </c>
      <c r="BN287" s="2575">
        <f>0</f>
        <v>0</v>
      </c>
      <c r="BO287" s="2575">
        <f>0</f>
        <v>0</v>
      </c>
      <c r="BP287" s="2575">
        <f>0</f>
        <v>0</v>
      </c>
      <c r="BQ287" s="2575">
        <f>0</f>
        <v>0</v>
      </c>
      <c r="BR287" s="2575">
        <f>0</f>
        <v>0</v>
      </c>
      <c r="BS287" s="2575">
        <f>0</f>
        <v>0</v>
      </c>
      <c r="BT287" s="2575">
        <f>0</f>
        <v>0</v>
      </c>
      <c r="BU287" s="2575">
        <f>0</f>
        <v>0</v>
      </c>
      <c r="BV287" s="2575">
        <f>0</f>
        <v>0</v>
      </c>
      <c r="BW287" s="2575">
        <f>0</f>
        <v>0</v>
      </c>
      <c r="BX287" s="2575">
        <f>0</f>
        <v>0</v>
      </c>
      <c r="BY287" s="2575">
        <f>0</f>
        <v>0</v>
      </c>
      <c r="BZ287" s="2575">
        <f>0</f>
        <v>0</v>
      </c>
      <c r="CA287" s="2575">
        <f>0</f>
        <v>0</v>
      </c>
      <c r="CB287" s="2575">
        <f>0</f>
        <v>0</v>
      </c>
      <c r="CC287" s="2575">
        <f>0</f>
        <v>0</v>
      </c>
      <c r="CD287" s="2575">
        <f>0</f>
        <v>0</v>
      </c>
      <c r="CE287" s="2575">
        <f>0</f>
        <v>0</v>
      </c>
      <c r="CF287" s="2575">
        <f>0</f>
        <v>0</v>
      </c>
      <c r="CG287" s="2575">
        <f>0</f>
        <v>0</v>
      </c>
      <c r="CH287" s="2575">
        <f>0</f>
        <v>0</v>
      </c>
      <c r="CI287" s="2575">
        <f>0</f>
        <v>0</v>
      </c>
      <c r="CJ287" s="2575">
        <f>0</f>
        <v>0</v>
      </c>
      <c r="CK287" s="2575">
        <f>0</f>
        <v>0</v>
      </c>
      <c r="CL287" s="2575">
        <f>0</f>
        <v>0</v>
      </c>
      <c r="CM287" s="2575">
        <f>0</f>
        <v>0</v>
      </c>
      <c r="CN287" s="2575">
        <f>0</f>
        <v>0</v>
      </c>
      <c r="CO287" s="2575">
        <f>0</f>
        <v>0</v>
      </c>
      <c r="CP287" s="2575">
        <f>0</f>
        <v>0</v>
      </c>
      <c r="CQ287" s="2575">
        <f>0</f>
        <v>0</v>
      </c>
      <c r="CR287" s="2575">
        <f>0</f>
        <v>0</v>
      </c>
      <c r="CS287" s="2575">
        <f>0</f>
        <v>0</v>
      </c>
      <c r="CT287" s="2575">
        <f>0</f>
        <v>0</v>
      </c>
      <c r="CU287" s="2575">
        <f>0</f>
        <v>0</v>
      </c>
      <c r="CV287" s="2875">
        <f>q_S_OX*X_S*M_satSO2_KO2_OHO</f>
        <v>4.6511627906976744E-2</v>
      </c>
      <c r="CX287" s="2880">
        <f>E299*E287+F299*F287+G299*G287+H299*H287+I299*I287+J299*J287+K299*K287+L299*L287+M299*M287+N299*N287+O299*O287+P299*P287+Q299*Q287+R299*R287+S299*S287+T299*T287+U299*U287+V299*V287+W299*W287+X299*X287+Y299*Y287+Z299*Z287+AA299*AA287+AB299*AB287+AC299*AC287+AD299*AD287+AE299*AE287+AF299*AF287+AG299*AG287+AH299*AH287+AI299*AI287+AJ299*AJ287+AK299*AK287+AL299*AL287+AM299*AM287+AN299*AN287+AO299*AO287+AP299*AP287+AQ299*AQ287+AR299*AR287+AS299*AS287+AT299*AT287+AU299*AU287+AV299*AV287+AW299*AW287+AX299*AX287+AY299*AY287+AZ299*AZ287+BA299*BA287+BB299*BB287+BC299*BC287+BD299*BD287+BE299*BE287+BF299*BF287+BG299*BG287+BH299*BH287+BI299*BI287+BJ299*BJ287+BK299*BK287+BL299*BL287+BM299*BM287+BN299*BN287+BO299*BO287+BP299*BP287+BQ299*BQ287+BR299*BR287+BS299*BS287+BT299*BT287+BU299*BU287+BV299*BV287+BW299*BW287+BX299*BX287+BY299*BY287+BZ299*BZ287+CA299*CA287+CB299*CB287+CC299*CC287+CD299*CD287+CE299*CE287+CF299*CF287+CG299*CG287+CH299*CH287+CI299*CI287+CJ299*CJ287+CK299*CK287+CL299*CL287+CM299*CM287+CN299*CN287+CO299*CO287+CP299*CP287+CQ299*CQ287+CR299*CR287+CS299*CS287+CT299*CT287+CU299*CU287</f>
        <v>0</v>
      </c>
      <c r="CY287" s="2880">
        <f>E300*E287+F300*F287+G300*G287+H300*H287+I300*I287+J300*J287+K300*K287+L300*L287+M300*M287+N300*N287+O300*O287+P300*P287+Q300*Q287+R300*R287+S300*S287+T300*T287+U300*U287+V300*V287+W300*W287+X300*X287+Y300*Y287+Z300*Z287+AA300*AA287+AB300*AB287+AC300*AC287+AD300*AD287+AE300*AE287+AF300*AF287+AG300*AG287+AH300*AH287+AI300*AI287+AJ300*AJ287+AK300*AK287+AL300*AL287+AM300*AM287+AN300*AN287+AO300*AO287+AP300*AP287+AQ300*AQ287+AR300*AR287+AS300*AS287+AT300*AT287+AU300*AU287+AV300*AV287+AW300*AW287+AX300*AX287+AY300*AY287+AZ300*AZ287+BA300*BA287+BB300*BB287+BC300*BC287+BD300*BD287+BE300*BE287+BF300*BF287+BG300*BG287+BH300*BH287+BI300*BI287+BJ300*BJ287+BK300*BK287+BL300*BL287+BM300*BM287+BN300*BN287+BO300*BO287+BP300*BP287+BQ300*BQ287+BR300*BR287+BS300*BS287+BT300*BT287+BU300*BU287+BV300*BV287+BW300*BW287+BX300*BX287+BY300*BY287+BZ300*BZ287+CA300*CA287+CB300*CB287+CC300*CC287+CD300*CD287+CE300*CE287+CF300*CF287+CG300*CG287+CH300*CH287+CI300*CI287+CJ300*CJ287+CK300*CK287+CL300*CL287+CM300*CM287+CN300*CN287+CO300*CO287+CP300*CP287+CQ300*CQ287+CR300*CR287+CS300*CS287+CT300*CT287+CU300*CU287</f>
        <v>0</v>
      </c>
      <c r="CZ287" s="2881">
        <f>E301*E287+F301*F287+G301*G287+H301*H287+I301*I287+J301*J287+K301*K287+L301*L287+M301*M287+N301*N287+O301*O287+P301*P287+Q301*Q287+R301*R287+S301*S287+T301*T287+U301*U287+V301*V287+W301*W287+X301*X287+Y301*Y287+Z301*Z287+AA301*AA287+AB301*AB287+AC301*AC287+AD301*AD287+AE301*AE287+AF301*AF287+AG301*AG287+AH301*AH287+AI301*AI287+AJ301*AJ287+AK301*AK287+AL301*AL287+AM301*AM287+AN301*AN287+AO301*AO287+AP301*AP287+AQ301*AQ287+AR301*AR287+AS301*AS287+AT301*AT287+AU301*AU287+AV301*AV287+AW301*AW287+AX301*AX287+AY301*AY287+AZ301*AZ287+BA301*BA287+BB301*BB287+BC301*BC287+BD301*BD287+BE301*BE287+BF301*BF287+BG301*BG287+BH301*BH287+BI301*BI287+BJ301*BJ287+BK301*BK287+BL301*BL287+BM301*BM287+BN301*BN287+BO301*BO287+BP301*BP287+BQ301*BQ287+BR301*BR287+BS301*BS287+BT301*BT287+BU301*BU287+BV301*BV287+BW301*BW287+BX301*BX287+BY301*BY287+BZ301*BZ287+CA301*CA287+CB301*CB287+CC301*CC287+CD301*CD287+CE301*CE287+CF301*CF287+CG301*CG287+CH301*CH287+CI301*CI287+CJ301*CJ287+CK301*CK287+CL301*CL287+CM301*CM287+CN301*CN287+CO301*CO287+CP301*CP287+CQ301*CQ287+CR301*CR287+CS301*CS287+CT301*CT287+CU301*CU287</f>
        <v>0</v>
      </c>
      <c r="DA287" s="2882">
        <f>E302*E287+F302*F287+G302*G287+H302*H287+I302*I287+J302*J287+K302*K287+L302*L287+M302*M287+N302*N287+O302*O287+P302*P287+Q302*Q287+R302*R287+S302*S287+T302*T287+U302*U287+V302*V287+W302*W287+X302*X287+Y302*Y287+Z302*Z287+AA302*AA287+AB302*AB287+AC302*AC287+AD302*AD287+AE302*AE287+AF302*AF287+AG302*AG287+AH302*AH287+AI302*AI287+AJ302*AJ287+AK302*AK287+AL302*AL287+AM302*AM287+AN302*AN287+AO302*AO287+AP302*AP287+AQ302*AQ287+AR302*AR287+AS302*AS287+AT302*AT287+AU302*AU287+AV302*AV287+AW302*AW287+AX302*AX287+AY302*AY287+AZ302*AZ287+BA302*BA287+BB302*BB287+BC302*BC287+BD302*BD287+BE302*BE287+BF302*BF287+BG302*BG287+BH302*BH287+BI302*BI287+BJ302*BJ287+BK302*BK287+BL302*BL287+BM302*BM287+BN302*BN287+BO302*BO287+BP302*BP287+BQ302*BQ287+BR302*BR287+BS302*BS287+BT302*BT287+BU302*BU287+BV302*BV287+BW302*BW287+BX302*BX287+BY302*BY287+BZ302*BZ287+CA302*CA287+CB302*CB287+CC302*CC287+CD302*CD287+CE302*CE287+CF302*CF287+CG302*CG287+CH302*CH287+CI302*CI287+CJ302*CJ287+CK302*CK287+CL302*CL287+CM302*CM287+CN302*CN287+CO302*CO287+CP302*CP287+CQ302*CQ287+CR302*CR287+CS302*CS287+CT302*CT287+CU302*CU287</f>
        <v>0</v>
      </c>
      <c r="DB287" s="2882">
        <f>E303*E287+F303*F287+G303*G287+H303*H287+I303*I287+J303*J287+K303*K287+L303*L287+M303*M287+N303*N287+O303*O287+P303*P287+Q303*Q287+R303*R287+S303*S287+T303*T287+U303*U287+V303*V287+W303*W287+X303*X287+Y303*Y287+Z303*Z287+AA303*AA287+AB303*AB287+AC303*AC287+AD303*AD287+AE303*AE287+AF303*AF287+AG303*AG287+AH303*AH287+AI303*AI287+AJ303*AJ287+AK303*AK287+AL303*AL287+AM303*AM287+AN303*AN287+AO303*AO287+AP303*AP287+AQ303*AQ287+AR303*AR287+AS303*AS287+AT303*AT287+AU303*AU287+AV303*AV287+AW303*AW287+AX303*AX287+AY303*AY287+AZ303*AZ287+BA303*BA287+BB303*BB287+BC303*BC287+BD303*BD287+BE303*BE287+BF303*BF287+BG303*BG287+BH303*BH287+BI303*BI287+BJ303*BJ287+BK303*BK287+BL303*BL287+BM303*BM287+BN303*BN287+BO303*BO287+BP303*BP287+BQ303*BQ287+BR303*BR287+BS303*BS287+BT303*BT287+BU303*BU287+BV303*BV287+BW303*BW287+BX303*BX287+BY303*BY287+BZ303*BZ287+CA303*CA287+CB303*CB287+CC303*CC287+CD303*CD287+CE303*CE287+CF303*CF287+CG303*CG287+CH303*CH287+CI303*CI287+CJ303*CJ287+CK303*CK287+CL303*CL287+CM303*CM287+CN303*CN287+CO303*CO287+CP303*CP287+CQ303*CQ287+CR303*CR287+CS303*CS287+CT303*CT287+CU303*CU287</f>
        <v>0</v>
      </c>
      <c r="DC287" s="2882">
        <f>E304*E287+F304*F287+G304*G287+H304*H287+I304*I287+J304*J287+K304*K287+L304*L287+M304*M287+N304*N287+O304*O287+P304*P287+Q304*Q287+R304*R287+S304*S287+T304*T287+U304*U287+V304*V287+W304*W287+X304*X287+Y304*Y287+Z304*Z287+AA304*AA287+AB304*AB287+AC304*AC287+AD304*AD287+AE304*AE287+AF304*AF287+AG304*AG287+AH304*AH287+AI304*AI287+AJ304*AJ287+AK304*AK287+AL304*AL287+AM304*AM287+AN304*AN287+AO304*AO287+AP304*AP287+AQ304*AQ287+AR304*AR287+AS304*AS287+AT304*AT287+AU304*AU287+AV304*AV287+AW304*AW287+AX304*AX287+AY304*AY287+AZ304*AZ287+BA304*BA287+BB304*BB287+BC304*BC287+BD304*BD287+BE304*BE287+BF304*BF287+BG304*BG287+BH304*BH287+BI304*BI287+BJ304*BJ287+BK304*BK287+BL304*BL287+BM304*BM287+BN304*BN287+BO304*BO287+BP304*BP287+BQ304*BQ287+BR304*BR287+BS304*BS287+BT304*BT287+BU304*BU287+BV304*BV287+BW304*BW287+BX304*BX287+BY304*BY287+BZ304*BZ287+CA304*CA287+CB304*CB287+CC304*CC287+CD304*CD287+CE304*CE287+CF304*CF287+CG304*CG287+CH304*CH287+CI304*CI287+CJ304*CJ287+CK304*CK287+CL304*CL287+CM304*CM287+CN304*CN287+CO304*CO287+CP304*CP287+CQ304*CQ287+CR304*CR287+CS304*CS287+CT304*CT287+CU304*CU287</f>
        <v>0</v>
      </c>
      <c r="DD287" s="2882">
        <f>E305*E287+F305*F287+G305*G287+H305*H287+I305*I287+J305*J287+K305*K287+L305*L287+M305*M287+N305*N287+O305*O287+P305*P287+Q305*Q287+R305*R287+S305*S287+T305*T287+U305*U287+V305*V287+W305*W287+X305*X287+Y305*Y287+Z305*Z287+AA305*AA287+AB305*AB287+AC305*AC287+AD305*AD287+AE305*AE287+AF305*AF287+AG305*AG287+AH305*AH287+AI305*AI287+AJ305*AJ287+AK305*AK287+AL305*AL287+AM305*AM287+AN305*AN287+AO305*AO287+AP305*AP287+AQ305*AQ287+AR305*AR287+AS305*AS287+AT305*AT287+AU305*AU287+AV305*AV287+AW305*AW287+AX305*AX287+AY305*AY287+AZ305*AZ287+BA305*BA287+BB305*BB287+BC305*BC287+BD305*BD287+BE305*BE287+BF305*BF287+BG305*BG287+BH305*BH287+BI305*BI287+BJ305*BJ287+BK305*BK287+BL305*BL287+BM305*BM287+BN305*BN287+BO305*BO287+BP305*BP287+BQ305*BQ287+BR305*BR287+BS305*BS287+BT305*BT287+BU305*BU287+BV305*BV287+BW305*BW287+BX305*BX287+BY305*BY287+BZ305*BZ287+CA305*CA287+CB305*CB287+CC305*CC287+CD305*CD287+CE305*CE287+CF305*CF287+CG305*CG287+CH305*CH287+CI305*CI287+CJ305*CJ287+CK305*CK287+CL305*CL287+CM305*CM287+CN305*CN287+CO305*CO287+CP305*CP287+CQ305*CQ287+CR305*CR287+CS305*CS287+CT305*CT287+CU305*CU287</f>
        <v>0</v>
      </c>
      <c r="DE287" s="2882">
        <f>E306*E287+F306*F287+G306*G287+H306*H287+I306*I287+J306*J287+K306*K287+L306*L287+M306*M287+N306*N287+O306*O287+P306*P287+Q306*Q287+R306*R287+S306*S287+T306*T287+U306*U287+V306*V287+W306*W287+X306*X287+Y306*Y287+Z306*Z287+AA306*AA287+AB306*AB287+AC306*AC287+AD306*AD287+AE306*AE287+AF306*AF287+AG306*AG287+AH306*AH287+AI306*AI287+AJ306*AJ287+AK306*AK287+AL306*AL287+AM306*AM287+AN306*AN287+AO306*AO287+AP306*AP287+AQ306*AQ287+AR306*AR287+AS306*AS287+AT306*AT287+AU306*AU287+AV306*AV287+AW306*AW287+AX306*AX287+AY306*AY287+AZ306*AZ287+BA306*BA287+BB306*BB287+BC306*BC287+BD306*BD287+BE306*BE287+BF306*BF287+BG306*BG287+BH306*BH287+BI306*BI287+BJ306*BJ287+BK306*BK287+BL306*BL287+BM306*BM287+BN306*BN287+BO306*BO287+BP306*BP287+BQ306*BQ287+BR306*BR287+BS306*BS287+BT306*BT287+BU306*BU287+BV306*BV287+BW306*BW287+BX306*BX287+BY306*BY287+BZ306*BZ287+CA306*CA287+CB306*CB287+CC306*CC287+CD306*CD287+CE306*CE287+CF306*CF287+CG306*CG287+CH306*CH287+CI306*CI287+CJ306*CJ287+CK306*CK287+CL306*CL287+CM306*CM287+CN306*CN287+CO306*CO287+CP306*CP287+CQ306*CQ287+CR306*CR287+CS306*CS287+CT306*CT287+CU306*CU287</f>
        <v>0</v>
      </c>
      <c r="DF287" s="2882">
        <f>E307*E287+F307*F287+G307*G287+H307*H287+I307*I287+J307*J287+K307*K287+L307*L287+M307*M287+N307*N287+O307*O287+P307*P287+Q307*Q287+R307*R287+S307*S287+T307*T287+U307*U287+V307*V287+W307*W287+X307*X287+Y307*Y287+Z307*Z287+AA307*AA287+AB307*AB287+AC307*AC287+AD307*AD287+AE307*AE287+AF307*AF287+AG307*AG287+AH307*AH287+AI307*AI287+AJ307*AJ287+AK307*AK287+AL307*AL287+AM307*AM287+AN307*AN287+AO307*AO287+AP307*AP287+AQ307*AQ287+AR307*AR287+AS307*AS287+AT307*AT287+AU307*AU287+AV307*AV287+AW307*AW287+AX307*AX287+AY307*AY287+AZ307*AZ287+BA307*BA287+BB307*BB287+BC307*BC287+BD307*BD287+BE307*BE287+BF307*BF287+BG307*BG287+BH307*BH287+BI307*BI287+BJ307*BJ287+BK307*BK287+BL307*BL287+BM307*BM287+BN307*BN287+BO307*BO287+BP307*BP287+BQ307*BQ287+BR307*BR287+BS307*BS287+BT307*BT287+BU307*BU287+BV307*BV287+BW307*BW287+BX307*BX287+BY307*BY287+BZ307*BZ287+CA307*CA287+CB307*CB287+CC307*CC287+CD307*CD287+CE307*CE287+CF307*CF287+CG307*CG287+CH307*CH287+CI307*CI287+CJ307*CJ287+CK307*CK287+CL307*CL287+CM307*CM287+CN307*CN287+CO307*CO287+CP307*CP287+CQ307*CQ287+CR307*CR287+CS307*CS287+CT307*CT287+CU307*CU287</f>
        <v>0</v>
      </c>
      <c r="DG287" s="2882">
        <f>E308*E287+F308*F287+G308*G287+H308*H287+I308*I287+J308*J287+K308*K287+L308*L287+M308*M287+N308*N287+O308*O287+P308*P287+Q308*Q287+R308*R287+S308*S287+T308*T287+U308*U287+V308*V287+W308*W287+X308*X287+Y308*Y287+Z308*Z287+AA308*AA287+AB308*AB287+AC308*AC287+AD308*AD287+AE308*AE287+AF308*AF287+AG308*AG287+AH308*AH287+AI308*AI287+AJ308*AJ287+AK308*AK287+AL308*AL287+AM308*AM287+AN308*AN287+AO308*AO287+AP308*AP287+AQ308*AQ287+AR308*AR287+AS308*AS287+AT308*AT287+AU308*AU287+AV308*AV287+AW308*AW287+AX308*AX287+AY308*AY287+AZ308*AZ287+BA308*BA287+BB308*BB287+BC308*BC287+BD308*BD287+BE308*BE287+BF308*BF287+BG308*BG287+BH308*BH287+BI308*BI287+BJ308*BJ287+BK308*BK287+BL308*BL287+BM308*BM287+BN308*BN287+BO308*BO287+BP308*BP287+BQ308*BQ287+BR308*BR287+BS308*BS287+BT308*BT287+BU308*BU287+BV308*BV287+BW308*BW287+BX308*BX287+BY308*BY287+BZ308*BZ287+CA308*CA287+CB308*CB287+CC308*CC287+CD308*CD287+CE308*CE287+CF308*CF287+CG308*CG287+CH308*CH287+CI308*CI287+CJ308*CJ287+CK308*CK287+CL308*CL287+CM308*CM287+CN308*CN287+CO308*CO287+CP308*CP287+CQ308*CQ287+CR308*CR287+CS308*CS287+CT308*CT287+CU308*CU287</f>
        <v>0</v>
      </c>
      <c r="DH287" s="2882">
        <f>E309*E287+F309*F287+G309*G287+H309*H287+I309*I287+J309*J287+K309*K287+L309*L287+M309*M287+N309*N287+O309*O287+P309*P287+Q309*Q287+R309*R287+S309*S287+T309*T287+U309*U287+V309*V287+W309*W287+X309*X287+Y309*Y287+Z309*Z287+AA309*AA287+AB309*AB287+AC309*AC287+AD309*AD287+AE309*AE287+AF309*AF287+AG309*AG287+AH309*AH287+AI309*AI287+AJ309*AJ287+AK309*AK287+AL309*AL287+AM309*AM287+AN309*AN287+AO309*AO287+AP309*AP287+AQ309*AQ287+AR309*AR287+AS309*AS287+AT309*AT287+AU309*AU287+AV309*AV287+AW309*AW287+AX309*AX287+AY309*AY287+AZ309*AZ287+BA309*BA287+BB309*BB287+BC309*BC287+BD309*BD287+BE309*BE287+BF309*BF287+BG309*BG287+BH309*BH287+BI309*BI287+BJ309*BJ287+BK309*BK287+BL309*BL287+BM309*BM287+BN309*BN287+BO309*BO287+BP309*BP287+BQ309*BQ287+BR309*BR287+BS309*BS287+BT309*BT287+BU309*BU287+BV309*BV287+BW309*BW287+BX309*BX287+BY309*BY287+BZ309*BZ287+CA309*CA287+CB309*CB287+CC309*CC287+CD309*CD287+CE309*CE287+CF309*CF287+CG309*CG287+CH309*CH287+CI309*CI287+CJ309*CJ287+CK309*CK287+CL309*CL287+CM309*CM287+CN309*CN287+CO309*CO287+CP309*CP287+CQ309*CQ287+CR309*CR287+CS309*CS287+CT309*CT287+CU309*CU287</f>
        <v>0</v>
      </c>
      <c r="DI287" s="2882">
        <f>E310*E287+F310*F287+G310*G287+H310*H287+I310*I287+J310*J287+K310*K287+L310*L287+M310*M287+N310*N287+O310*O287+P310*P287+Q310*Q287+R310*R287+S310*S287+T310*T287+U310*U287+V310*V287+W310*W287+X310*X287+Y310*Y287+Z310*Z287+AA310*AA287+AB310*AB287+AC310*AC287+AD310*AD287+AE310*AE287+AF310*AF287+AG310*AG287+AH310*AH287+AI310*AI287+AJ310*AJ287+AK310*AK287+AL310*AL287+AM310*AM287+AN310*AN287+AO310*AO287+AP310*AP287+AQ310*AQ287+AR310*AR287+AS310*AS287+AT310*AT287+AU310*AU287+AV310*AV287+AW310*AW287+AX310*AX287+AY310*AY287+AZ310*AZ287+BA310*BA287+BB310*BB287+BC310*BC287+BD310*BD287+BE310*BE287+BF310*BF287+BG310*BG287+BH310*BH287+BI310*BI287+BJ310*BJ287+BK310*BK287+BL310*BL287+BM310*BM287+BN310*BN287+BO310*BO287+BP310*BP287+BQ310*BQ287+BR310*BR287+BS310*BS287+BT310*BT287+BU310*BU287+BV310*BV287+BW310*BW287+BX310*BX287+BY310*BY287+BZ310*BZ287+CA310*CA287+CB310*CB287+CC310*CC287+CD310*CD287+CE310*CE287+CF310*CF287+CG310*CG287+CH310*CH287+CI310*CI287+CJ310*CJ287+CK310*CK287+CL310*CL287+CM310*CM287+CN310*CN287+CO310*CO287+CP310*CP287+CQ310*CQ287+CR310*CR287+CS310*CS287+CT310*CT287+CU310*CU287</f>
        <v>0</v>
      </c>
    </row>
    <row r="288" spans="2:113" ht="15.75" x14ac:dyDescent="0.45">
      <c r="B288" s="2219">
        <v>129</v>
      </c>
      <c r="C288" s="2219" t="s">
        <v>5807</v>
      </c>
      <c r="D288" s="2573" t="s">
        <v>5477</v>
      </c>
      <c r="E288" s="2575">
        <f>0</f>
        <v>0</v>
      </c>
      <c r="F288" s="2575">
        <f>0</f>
        <v>0</v>
      </c>
      <c r="G288" s="2575">
        <f>0</f>
        <v>0</v>
      </c>
      <c r="H288" s="2575">
        <f>0</f>
        <v>0</v>
      </c>
      <c r="I288" s="2575">
        <f>0</f>
        <v>0</v>
      </c>
      <c r="J288" s="2575">
        <f>0</f>
        <v>0</v>
      </c>
      <c r="K288" s="2575">
        <f>0</f>
        <v>0</v>
      </c>
      <c r="L288" s="2575">
        <f>0</f>
        <v>0</v>
      </c>
      <c r="M288" s="2575">
        <f>0</f>
        <v>0</v>
      </c>
      <c r="N288" s="2575">
        <f>0</f>
        <v>0</v>
      </c>
      <c r="O288" s="2575">
        <f>0</f>
        <v>0</v>
      </c>
      <c r="P288" s="2575">
        <f>0</f>
        <v>0</v>
      </c>
      <c r="Q288" s="2575">
        <f>0</f>
        <v>0</v>
      </c>
      <c r="R288" s="2575">
        <f>0</f>
        <v>0</v>
      </c>
      <c r="S288" s="2575">
        <f>0</f>
        <v>0</v>
      </c>
      <c r="T288" s="2575">
        <f>0</f>
        <v>0</v>
      </c>
      <c r="U288" s="2575">
        <f>0</f>
        <v>0</v>
      </c>
      <c r="V288" s="2575">
        <f>0</f>
        <v>0</v>
      </c>
      <c r="W288" s="2575">
        <f>0</f>
        <v>0</v>
      </c>
      <c r="X288" s="2575">
        <f>0</f>
        <v>0</v>
      </c>
      <c r="Y288" s="2575">
        <f>0</f>
        <v>0</v>
      </c>
      <c r="Z288" s="2575">
        <f>0</f>
        <v>0</v>
      </c>
      <c r="AA288" s="2575">
        <f>0</f>
        <v>0</v>
      </c>
      <c r="AB288" s="2575">
        <f>0</f>
        <v>0</v>
      </c>
      <c r="AC288" s="2575">
        <f>0</f>
        <v>0</v>
      </c>
      <c r="AD288" s="2575">
        <f>0</f>
        <v>0</v>
      </c>
      <c r="AE288" s="2575">
        <f>0</f>
        <v>0</v>
      </c>
      <c r="AF288" s="2575">
        <f>0</f>
        <v>0</v>
      </c>
      <c r="AG288" s="2575">
        <f>0</f>
        <v>0</v>
      </c>
      <c r="AH288" s="2575">
        <f>0</f>
        <v>0</v>
      </c>
      <c r="AI288" s="2575">
        <f>0</f>
        <v>0</v>
      </c>
      <c r="AJ288" s="2575">
        <f>0</f>
        <v>0</v>
      </c>
      <c r="AK288" s="2575">
        <f>0</f>
        <v>0</v>
      </c>
      <c r="AL288" s="2575">
        <f>0</f>
        <v>0</v>
      </c>
      <c r="AM288" s="2575">
        <f>0</f>
        <v>0</v>
      </c>
      <c r="AN288" s="2575">
        <f>0</f>
        <v>0</v>
      </c>
      <c r="AO288" s="2575">
        <f>0</f>
        <v>0</v>
      </c>
      <c r="AP288" s="2575">
        <f>0</f>
        <v>0</v>
      </c>
      <c r="AQ288" s="2575">
        <f>0</f>
        <v>0</v>
      </c>
      <c r="AR288" s="2575">
        <f>0</f>
        <v>0</v>
      </c>
      <c r="AS288" s="2576">
        <f>0</f>
        <v>0</v>
      </c>
      <c r="AT288" s="2576">
        <f>E_EQH2S</f>
        <v>1.9958708872602526</v>
      </c>
      <c r="AU288" s="2576">
        <f>0</f>
        <v>0</v>
      </c>
      <c r="AV288" s="2575">
        <f>0</f>
        <v>0</v>
      </c>
      <c r="AW288" s="2575">
        <f>0</f>
        <v>0</v>
      </c>
      <c r="AX288" s="2575">
        <f>0</f>
        <v>0</v>
      </c>
      <c r="AY288" s="2575">
        <f>0</f>
        <v>0</v>
      </c>
      <c r="AZ288" s="2575">
        <f>0</f>
        <v>0</v>
      </c>
      <c r="BA288" s="2575">
        <f>0</f>
        <v>0</v>
      </c>
      <c r="BB288" s="2576">
        <f>-1</f>
        <v>-1</v>
      </c>
      <c r="BC288" s="2575">
        <f>1</f>
        <v>1</v>
      </c>
      <c r="BD288" s="2575">
        <f>0</f>
        <v>0</v>
      </c>
      <c r="BE288" s="2575">
        <f>0</f>
        <v>0</v>
      </c>
      <c r="BF288" s="2575">
        <f>0</f>
        <v>0</v>
      </c>
      <c r="BG288" s="2575">
        <f>0</f>
        <v>0</v>
      </c>
      <c r="BH288" s="2575">
        <f>0</f>
        <v>0</v>
      </c>
      <c r="BI288" s="2575">
        <f>0</f>
        <v>0</v>
      </c>
      <c r="BJ288" s="2575">
        <f>0</f>
        <v>0</v>
      </c>
      <c r="BK288" s="2575">
        <f>0</f>
        <v>0</v>
      </c>
      <c r="BL288" s="2575">
        <f>0</f>
        <v>0</v>
      </c>
      <c r="BM288" s="2575">
        <f>0</f>
        <v>0</v>
      </c>
      <c r="BN288" s="2575">
        <f>0</f>
        <v>0</v>
      </c>
      <c r="BO288" s="2575">
        <f>0</f>
        <v>0</v>
      </c>
      <c r="BP288" s="2575">
        <f>0</f>
        <v>0</v>
      </c>
      <c r="BQ288" s="2575">
        <f>0</f>
        <v>0</v>
      </c>
      <c r="BR288" s="2575">
        <f>0</f>
        <v>0</v>
      </c>
      <c r="BS288" s="2575">
        <f>0</f>
        <v>0</v>
      </c>
      <c r="BT288" s="2575">
        <f>0</f>
        <v>0</v>
      </c>
      <c r="BU288" s="2575">
        <f>0</f>
        <v>0</v>
      </c>
      <c r="BV288" s="2575">
        <f>0</f>
        <v>0</v>
      </c>
      <c r="BW288" s="2575">
        <f>0</f>
        <v>0</v>
      </c>
      <c r="BX288" s="2575">
        <f>0</f>
        <v>0</v>
      </c>
      <c r="BY288" s="2575">
        <f>0</f>
        <v>0</v>
      </c>
      <c r="BZ288" s="2575">
        <f>0</f>
        <v>0</v>
      </c>
      <c r="CA288" s="2575">
        <f>0</f>
        <v>0</v>
      </c>
      <c r="CB288" s="2575">
        <f>0</f>
        <v>0</v>
      </c>
      <c r="CC288" s="2575">
        <f>0</f>
        <v>0</v>
      </c>
      <c r="CD288" s="2575">
        <f>0</f>
        <v>0</v>
      </c>
      <c r="CE288" s="2575">
        <f>0</f>
        <v>0</v>
      </c>
      <c r="CF288" s="2575">
        <f>0</f>
        <v>0</v>
      </c>
      <c r="CG288" s="2575">
        <f>0</f>
        <v>0</v>
      </c>
      <c r="CH288" s="2575">
        <f>0</f>
        <v>0</v>
      </c>
      <c r="CI288" s="2575">
        <f>0</f>
        <v>0</v>
      </c>
      <c r="CJ288" s="2575">
        <f>0</f>
        <v>0</v>
      </c>
      <c r="CK288" s="2575">
        <f>0</f>
        <v>0</v>
      </c>
      <c r="CL288" s="2575">
        <f>0</f>
        <v>0</v>
      </c>
      <c r="CM288" s="2575">
        <f>0</f>
        <v>0</v>
      </c>
      <c r="CN288" s="2575">
        <f>0</f>
        <v>0</v>
      </c>
      <c r="CO288" s="2575">
        <f>0</f>
        <v>0</v>
      </c>
      <c r="CP288" s="2575">
        <f>0</f>
        <v>0</v>
      </c>
      <c r="CQ288" s="2575">
        <f>0</f>
        <v>0</v>
      </c>
      <c r="CR288" s="2575">
        <f>0</f>
        <v>0</v>
      </c>
      <c r="CS288" s="2575">
        <f>0</f>
        <v>0</v>
      </c>
      <c r="CT288" s="2575">
        <f>0</f>
        <v>0</v>
      </c>
      <c r="CU288" s="2575">
        <f>0</f>
        <v>0</v>
      </c>
      <c r="CV288" s="2875">
        <f>q_ASSIM_T*X_BIO*M_satSH2S_KH2S_ASSIM*M_inhSSO4_KiSO4_ASSIM</f>
        <v>3.3199558301761189E-2</v>
      </c>
      <c r="CX288" s="2880">
        <f>E299*E288+F299*F288+G299*G288+H299*H288+I299*I288+J299*J288+K299*K288+L299*L288+M299*M288+N299*N288+O299*O288+P299*P288+Q299*Q288+R299*R288+S299*S288+T299*T288+U299*U288+V299*V288+W299*W288+X299*X288+Y299*Y288+Z299*Z288+AA299*AA288+AB299*AB288+AC299*AC288+AD299*AD288+AE299*AE288+AF299*AF288+AG299*AG288+AH299*AH288+AI299*AI288+AJ299*AJ288+AK299*AK288+AL299*AL288+AM299*AM288+AN299*AN288+AO299*AO288+AP299*AP288+AQ299*AQ288+AR299*AR288+AS299*AS288+AT299*AT288+AU299*AU288+AV299*AV288+AW299*AW288+AX299*AX288+AY299*AY288+AZ299*AZ288+BA299*BA288+BB299*BB288+BC299*BC288+BD299*BD288+BE299*BE288+BF299*BF288+BG299*BG288+BH299*BH288+BI299*BI288+BJ299*BJ288+BK299*BK288+BL299*BL288+BM299*BM288+BN299*BN288+BO299*BO288+BP299*BP288+BQ299*BQ288+BR299*BR288+BS299*BS288+BT299*BT288+BU299*BU288+BV299*BV288+BW299*BW288+BX299*BX288+BY299*BY288+BZ299*BZ288+CA299*CA288+CB299*CB288+CC299*CC288+CD299*CD288+CE299*CE288+CF299*CF288+CG299*CG288+CH299*CH288+CI299*CI288+CJ299*CJ288+CK299*CK288+CL299*CL288+CM299*CM288+CN299*CN288+CO299*CO288+CP299*CP288+CQ299*CQ288+CR299*CR288+CS299*CS288+CT299*CT288+CU299*CU288</f>
        <v>0</v>
      </c>
      <c r="CY288" s="2880">
        <f>E300*E288+F300*F288+G300*G288+H300*H288+I300*I288+J300*J288+K300*K288+L300*L288+M300*M288+N300*N288+O300*O288+P300*P288+Q300*Q288+R300*R288+S300*S288+T300*T288+U300*U288+V300*V288+W300*W288+X300*X288+Y300*Y288+Z300*Z288+AA300*AA288+AB300*AB288+AC300*AC288+AD300*AD288+AE300*AE288+AF300*AF288+AG300*AG288+AH300*AH288+AI300*AI288+AJ300*AJ288+AK300*AK288+AL300*AL288+AM300*AM288+AN300*AN288+AO300*AO288+AP300*AP288+AQ300*AQ288+AR300*AR288+AS300*AS288+AT300*AT288+AU300*AU288+AV300*AV288+AW300*AW288+AX300*AX288+AY300*AY288+AZ300*AZ288+BA300*BA288+BB300*BB288+BC300*BC288+BD300*BD288+BE300*BE288+BF300*BF288+BG300*BG288+BH300*BH288+BI300*BI288+BJ300*BJ288+BK300*BK288+BL300*BL288+BM300*BM288+BN300*BN288+BO300*BO288+BP300*BP288+BQ300*BQ288+BR300*BR288+BS300*BS288+BT300*BT288+BU300*BU288+BV300*BV288+BW300*BW288+BX300*BX288+BY300*BY288+BZ300*BZ288+CA300*CA288+CB300*CB288+CC300*CC288+CD300*CD288+CE300*CE288+CF300*CF288+CG300*CG288+CH300*CH288+CI300*CI288+CJ300*CJ288+CK300*CK288+CL300*CL288+CM300*CM288+CN300*CN288+CO300*CO288+CP300*CP288+CQ300*CQ288+CR300*CR288+CS300*CS288+CT300*CT288+CU300*CU288</f>
        <v>0</v>
      </c>
      <c r="CZ288" s="2881">
        <f>E301*E288+F301*F288+G301*G288+H301*H288+I301*I288+J301*J288+K301*K288+L301*L288+M301*M288+N301*N288+O301*O288+P301*P288+Q301*Q288+R301*R288+S301*S288+T301*T288+U301*U288+V301*V288+W301*W288+X301*X288+Y301*Y288+Z301*Z288+AA301*AA288+AB301*AB288+AC301*AC288+AD301*AD288+AE301*AE288+AF301*AF288+AG301*AG288+AH301*AH288+AI301*AI288+AJ301*AJ288+AK301*AK288+AL301*AL288+AM301*AM288+AN301*AN288+AO301*AO288+AP301*AP288+AQ301*AQ288+AR301*AR288+AS301*AS288+AT301*AT288+AU301*AU288+AV301*AV288+AW301*AW288+AX301*AX288+AY301*AY288+AZ301*AZ288+BA301*BA288+BB301*BB288+BC301*BC288+BD301*BD288+BE301*BE288+BF301*BF288+BG301*BG288+BH301*BH288+BI301*BI288+BJ301*BJ288+BK301*BK288+BL301*BL288+BM301*BM288+BN301*BN288+BO301*BO288+BP301*BP288+BQ301*BQ288+BR301*BR288+BS301*BS288+BT301*BT288+BU301*BU288+BV301*BV288+BW301*BW288+BX301*BX288+BY301*BY288+BZ301*BZ288+CA301*CA288+CB301*CB288+CC301*CC288+CD301*CD288+CE301*CE288+CF301*CF288+CG301*CG288+CH301*CH288+CI301*CI288+CJ301*CJ288+CK301*CK288+CL301*CL288+CM301*CM288+CN301*CN288+CO301*CO288+CP301*CP288+CQ301*CQ288+CR301*CR288+CS301*CS288+CT301*CT288+CU301*CU288</f>
        <v>0</v>
      </c>
      <c r="DA288" s="2882">
        <f>E302*E288+F302*F288+G302*G288+H302*H288+I302*I288+J302*J288+K302*K288+L302*L288+M302*M288+N302*N288+O302*O288+P302*P288+Q302*Q288+R302*R288+S302*S288+T302*T288+U302*U288+V302*V288+W302*W288+X302*X288+Y302*Y288+Z302*Z288+AA302*AA288+AB302*AB288+AC302*AC288+AD302*AD288+AE302*AE288+AF302*AF288+AG302*AG288+AH302*AH288+AI302*AI288+AJ302*AJ288+AK302*AK288+AL302*AL288+AM302*AM288+AN302*AN288+AO302*AO288+AP302*AP288+AQ302*AQ288+AR302*AR288+AS302*AS288+AT302*AT288+AU302*AU288+AV302*AV288+AW302*AW288+AX302*AX288+AY302*AY288+AZ302*AZ288+BA302*BA288+BB302*BB288+BC302*BC288+BD302*BD288+BE302*BE288+BF302*BF288+BG302*BG288+BH302*BH288+BI302*BI288+BJ302*BJ288+BK302*BK288+BL302*BL288+BM302*BM288+BN302*BN288+BO302*BO288+BP302*BP288+BQ302*BQ288+BR302*BR288+BS302*BS288+BT302*BT288+BU302*BU288+BV302*BV288+BW302*BW288+BX302*BX288+BY302*BY288+BZ302*BZ288+CA302*CA288+CB302*CB288+CC302*CC288+CD302*CD288+CE302*CE288+CF302*CF288+CG302*CG288+CH302*CH288+CI302*CI288+CJ302*CJ288+CK302*CK288+CL302*CL288+CM302*CM288+CN302*CN288+CO302*CO288+CP302*CP288+CQ302*CQ288+CR302*CR288+CS302*CS288+CT302*CT288+CU302*CU288</f>
        <v>0</v>
      </c>
      <c r="DB288" s="2882">
        <f>E303*E288+F303*F288+G303*G288+H303*H288+I303*I288+J303*J288+K303*K288+L303*L288+M303*M288+N303*N288+O303*O288+P303*P288+Q303*Q288+R303*R288+S303*S288+T303*T288+U303*U288+V303*V288+W303*W288+X303*X288+Y303*Y288+Z303*Z288+AA303*AA288+AB303*AB288+AC303*AC288+AD303*AD288+AE303*AE288+AF303*AF288+AG303*AG288+AH303*AH288+AI303*AI288+AJ303*AJ288+AK303*AK288+AL303*AL288+AM303*AM288+AN303*AN288+AO303*AO288+AP303*AP288+AQ303*AQ288+AR303*AR288+AS303*AS288+AT303*AT288+AU303*AU288+AV303*AV288+AW303*AW288+AX303*AX288+AY303*AY288+AZ303*AZ288+BA303*BA288+BB303*BB288+BC303*BC288+BD303*BD288+BE303*BE288+BF303*BF288+BG303*BG288+BH303*BH288+BI303*BI288+BJ303*BJ288+BK303*BK288+BL303*BL288+BM303*BM288+BN303*BN288+BO303*BO288+BP303*BP288+BQ303*BQ288+BR303*BR288+BS303*BS288+BT303*BT288+BU303*BU288+BV303*BV288+BW303*BW288+BX303*BX288+BY303*BY288+BZ303*BZ288+CA303*CA288+CB303*CB288+CC303*CC288+CD303*CD288+CE303*CE288+CF303*CF288+CG303*CG288+CH303*CH288+CI303*CI288+CJ303*CJ288+CK303*CK288+CL303*CL288+CM303*CM288+CN303*CN288+CO303*CO288+CP303*CP288+CQ303*CQ288+CR303*CR288+CS303*CS288+CT303*CT288+CU303*CU288</f>
        <v>0</v>
      </c>
      <c r="DC288" s="2882">
        <f>E304*E288+F304*F288+G304*G288+H304*H288+I304*I288+J304*J288+K304*K288+L304*L288+M304*M288+N304*N288+O304*O288+P304*P288+Q304*Q288+R304*R288+S304*S288+T304*T288+U304*U288+V304*V288+W304*W288+X304*X288+Y304*Y288+Z304*Z288+AA304*AA288+AB304*AB288+AC304*AC288+AD304*AD288+AE304*AE288+AF304*AF288+AG304*AG288+AH304*AH288+AI304*AI288+AJ304*AJ288+AK304*AK288+AL304*AL288+AM304*AM288+AN304*AN288+AO304*AO288+AP304*AP288+AQ304*AQ288+AR304*AR288+AS304*AS288+AT304*AT288+AU304*AU288+AV304*AV288+AW304*AW288+AX304*AX288+AY304*AY288+AZ304*AZ288+BA304*BA288+BB304*BB288+BC304*BC288+BD304*BD288+BE304*BE288+BF304*BF288+BG304*BG288+BH304*BH288+BI304*BI288+BJ304*BJ288+BK304*BK288+BL304*BL288+BM304*BM288+BN304*BN288+BO304*BO288+BP304*BP288+BQ304*BQ288+BR304*BR288+BS304*BS288+BT304*BT288+BU304*BU288+BV304*BV288+BW304*BW288+BX304*BX288+BY304*BY288+BZ304*BZ288+CA304*CA288+CB304*CB288+CC304*CC288+CD304*CD288+CE304*CE288+CF304*CF288+CG304*CG288+CH304*CH288+CI304*CI288+CJ304*CJ288+CK304*CK288+CL304*CL288+CM304*CM288+CN304*CN288+CO304*CO288+CP304*CP288+CQ304*CQ288+CR304*CR288+CS304*CS288+CT304*CT288+CU304*CU288</f>
        <v>0</v>
      </c>
      <c r="DD288" s="2882">
        <f>E305*E288+F305*F288+G305*G288+H305*H288+I305*I288+J305*J288+K305*K288+L305*L288+M305*M288+N305*N288+O305*O288+P305*P288+Q305*Q288+R305*R288+S305*S288+T305*T288+U305*U288+V305*V288+W305*W288+X305*X288+Y305*Y288+Z305*Z288+AA305*AA288+AB305*AB288+AC305*AC288+AD305*AD288+AE305*AE288+AF305*AF288+AG305*AG288+AH305*AH288+AI305*AI288+AJ305*AJ288+AK305*AK288+AL305*AL288+AM305*AM288+AN305*AN288+AO305*AO288+AP305*AP288+AQ305*AQ288+AR305*AR288+AS305*AS288+AT305*AT288+AU305*AU288+AV305*AV288+AW305*AW288+AX305*AX288+AY305*AY288+AZ305*AZ288+BA305*BA288+BB305*BB288+BC305*BC288+BD305*BD288+BE305*BE288+BF305*BF288+BG305*BG288+BH305*BH288+BI305*BI288+BJ305*BJ288+BK305*BK288+BL305*BL288+BM305*BM288+BN305*BN288+BO305*BO288+BP305*BP288+BQ305*BQ288+BR305*BR288+BS305*BS288+BT305*BT288+BU305*BU288+BV305*BV288+BW305*BW288+BX305*BX288+BY305*BY288+BZ305*BZ288+CA305*CA288+CB305*CB288+CC305*CC288+CD305*CD288+CE305*CE288+CF305*CF288+CG305*CG288+CH305*CH288+CI305*CI288+CJ305*CJ288+CK305*CK288+CL305*CL288+CM305*CM288+CN305*CN288+CO305*CO288+CP305*CP288+CQ305*CQ288+CR305*CR288+CS305*CS288+CT305*CT288+CU305*CU288</f>
        <v>0</v>
      </c>
      <c r="DE288" s="2882">
        <f>E306*E288+F306*F288+G306*G288+H306*H288+I306*I288+J306*J288+K306*K288+L306*L288+M306*M288+N306*N288+O306*O288+P306*P288+Q306*Q288+R306*R288+S306*S288+T306*T288+U306*U288+V306*V288+W306*W288+X306*X288+Y306*Y288+Z306*Z288+AA306*AA288+AB306*AB288+AC306*AC288+AD306*AD288+AE306*AE288+AF306*AF288+AG306*AG288+AH306*AH288+AI306*AI288+AJ306*AJ288+AK306*AK288+AL306*AL288+AM306*AM288+AN306*AN288+AO306*AO288+AP306*AP288+AQ306*AQ288+AR306*AR288+AS306*AS288+AT306*AT288+AU306*AU288+AV306*AV288+AW306*AW288+AX306*AX288+AY306*AY288+AZ306*AZ288+BA306*BA288+BB306*BB288+BC306*BC288+BD306*BD288+BE306*BE288+BF306*BF288+BG306*BG288+BH306*BH288+BI306*BI288+BJ306*BJ288+BK306*BK288+BL306*BL288+BM306*BM288+BN306*BN288+BO306*BO288+BP306*BP288+BQ306*BQ288+BR306*BR288+BS306*BS288+BT306*BT288+BU306*BU288+BV306*BV288+BW306*BW288+BX306*BX288+BY306*BY288+BZ306*BZ288+CA306*CA288+CB306*CB288+CC306*CC288+CD306*CD288+CE306*CE288+CF306*CF288+CG306*CG288+CH306*CH288+CI306*CI288+CJ306*CJ288+CK306*CK288+CL306*CL288+CM306*CM288+CN306*CN288+CO306*CO288+CP306*CP288+CQ306*CQ288+CR306*CR288+CS306*CS288+CT306*CT288+CU306*CU288</f>
        <v>0</v>
      </c>
      <c r="DF288" s="2882">
        <f>E307*E288+F307*F288+G307*G288+H307*H288+I307*I288+J307*J288+K307*K288+L307*L288+M307*M288+N307*N288+O307*O288+P307*P288+Q307*Q288+R307*R288+S307*S288+T307*T288+U307*U288+V307*V288+W307*W288+X307*X288+Y307*Y288+Z307*Z288+AA307*AA288+AB307*AB288+AC307*AC288+AD307*AD288+AE307*AE288+AF307*AF288+AG307*AG288+AH307*AH288+AI307*AI288+AJ307*AJ288+AK307*AK288+AL307*AL288+AM307*AM288+AN307*AN288+AO307*AO288+AP307*AP288+AQ307*AQ288+AR307*AR288+AS307*AS288+AT307*AT288+AU307*AU288+AV307*AV288+AW307*AW288+AX307*AX288+AY307*AY288+AZ307*AZ288+BA307*BA288+BB307*BB288+BC307*BC288+BD307*BD288+BE307*BE288+BF307*BF288+BG307*BG288+BH307*BH288+BI307*BI288+BJ307*BJ288+BK307*BK288+BL307*BL288+BM307*BM288+BN307*BN288+BO307*BO288+BP307*BP288+BQ307*BQ288+BR307*BR288+BS307*BS288+BT307*BT288+BU307*BU288+BV307*BV288+BW307*BW288+BX307*BX288+BY307*BY288+BZ307*BZ288+CA307*CA288+CB307*CB288+CC307*CC288+CD307*CD288+CE307*CE288+CF307*CF288+CG307*CG288+CH307*CH288+CI307*CI288+CJ307*CJ288+CK307*CK288+CL307*CL288+CM307*CM288+CN307*CN288+CO307*CO288+CP307*CP288+CQ307*CQ288+CR307*CR288+CS307*CS288+CT307*CT288+CU307*CU288</f>
        <v>0</v>
      </c>
      <c r="DG288" s="2882">
        <f>E308*E288+F308*F288+G308*G288+H308*H288+I308*I288+J308*J288+K308*K288+L308*L288+M308*M288+N308*N288+O308*O288+P308*P288+Q308*Q288+R308*R288+S308*S288+T308*T288+U308*U288+V308*V288+W308*W288+X308*X288+Y308*Y288+Z308*Z288+AA308*AA288+AB308*AB288+AC308*AC288+AD308*AD288+AE308*AE288+AF308*AF288+AG308*AG288+AH308*AH288+AI308*AI288+AJ308*AJ288+AK308*AK288+AL308*AL288+AM308*AM288+AN308*AN288+AO308*AO288+AP308*AP288+AQ308*AQ288+AR308*AR288+AS308*AS288+AT308*AT288+AU308*AU288+AV308*AV288+AW308*AW288+AX308*AX288+AY308*AY288+AZ308*AZ288+BA308*BA288+BB308*BB288+BC308*BC288+BD308*BD288+BE308*BE288+BF308*BF288+BG308*BG288+BH308*BH288+BI308*BI288+BJ308*BJ288+BK308*BK288+BL308*BL288+BM308*BM288+BN308*BN288+BO308*BO288+BP308*BP288+BQ308*BQ288+BR308*BR288+BS308*BS288+BT308*BT288+BU308*BU288+BV308*BV288+BW308*BW288+BX308*BX288+BY308*BY288+BZ308*BZ288+CA308*CA288+CB308*CB288+CC308*CC288+CD308*CD288+CE308*CE288+CF308*CF288+CG308*CG288+CH308*CH288+CI308*CI288+CJ308*CJ288+CK308*CK288+CL308*CL288+CM308*CM288+CN308*CN288+CO308*CO288+CP308*CP288+CQ308*CQ288+CR308*CR288+CS308*CS288+CT308*CT288+CU308*CU288</f>
        <v>0</v>
      </c>
      <c r="DH288" s="2882">
        <f>E309*E288+F309*F288+G309*G288+H309*H288+I309*I288+J309*J288+K309*K288+L309*L288+M309*M288+N309*N288+O309*O288+P309*P288+Q309*Q288+R309*R288+S309*S288+T309*T288+U309*U288+V309*V288+W309*W288+X309*X288+Y309*Y288+Z309*Z288+AA309*AA288+AB309*AB288+AC309*AC288+AD309*AD288+AE309*AE288+AF309*AF288+AG309*AG288+AH309*AH288+AI309*AI288+AJ309*AJ288+AK309*AK288+AL309*AL288+AM309*AM288+AN309*AN288+AO309*AO288+AP309*AP288+AQ309*AQ288+AR309*AR288+AS309*AS288+AT309*AT288+AU309*AU288+AV309*AV288+AW309*AW288+AX309*AX288+AY309*AY288+AZ309*AZ288+BA309*BA288+BB309*BB288+BC309*BC288+BD309*BD288+BE309*BE288+BF309*BF288+BG309*BG288+BH309*BH288+BI309*BI288+BJ309*BJ288+BK309*BK288+BL309*BL288+BM309*BM288+BN309*BN288+BO309*BO288+BP309*BP288+BQ309*BQ288+BR309*BR288+BS309*BS288+BT309*BT288+BU309*BU288+BV309*BV288+BW309*BW288+BX309*BX288+BY309*BY288+BZ309*BZ288+CA309*CA288+CB309*CB288+CC309*CC288+CD309*CD288+CE309*CE288+CF309*CF288+CG309*CG288+CH309*CH288+CI309*CI288+CJ309*CJ288+CK309*CK288+CL309*CL288+CM309*CM288+CN309*CN288+CO309*CO288+CP309*CP288+CQ309*CQ288+CR309*CR288+CS309*CS288+CT309*CT288+CU309*CU288</f>
        <v>0</v>
      </c>
      <c r="DI288" s="2882">
        <f>E310*E288+F310*F288+G310*G288+H310*H288+I310*I288+J310*J288+K310*K288+L310*L288+M310*M288+N310*N288+O310*O288+P310*P288+Q310*Q288+R310*R288+S310*S288+T310*T288+U310*U288+V310*V288+W310*W288+X310*X288+Y310*Y288+Z310*Z288+AA310*AA288+AB310*AB288+AC310*AC288+AD310*AD288+AE310*AE288+AF310*AF288+AG310*AG288+AH310*AH288+AI310*AI288+AJ310*AJ288+AK310*AK288+AL310*AL288+AM310*AM288+AN310*AN288+AO310*AO288+AP310*AP288+AQ310*AQ288+AR310*AR288+AS310*AS288+AT310*AT288+AU310*AU288+AV310*AV288+AW310*AW288+AX310*AX288+AY310*AY288+AZ310*AZ288+BA310*BA288+BB310*BB288+BC310*BC288+BD310*BD288+BE310*BE288+BF310*BF288+BG310*BG288+BH310*BH288+BI310*BI288+BJ310*BJ288+BK310*BK288+BL310*BL288+BM310*BM288+BN310*BN288+BO310*BO288+BP310*BP288+BQ310*BQ288+BR310*BR288+BS310*BS288+BT310*BT288+BU310*BU288+BV310*BV288+BW310*BW288+BX310*BX288+BY310*BY288+BZ310*BZ288+CA310*CA288+CB310*CB288+CC310*CC288+CD310*CD288+CE310*CE288+CF310*CF288+CG310*CG288+CH310*CH288+CI310*CI288+CJ310*CJ288+CK310*CK288+CL310*CL288+CM310*CM288+CN310*CN288+CO310*CO288+CP310*CP288+CQ310*CQ288+CR310*CR288+CS310*CS288+CT310*CT288+CU310*CU288</f>
        <v>0</v>
      </c>
    </row>
    <row r="289" spans="2:113" ht="16.149999999999999" thickBot="1" x14ac:dyDescent="0.5">
      <c r="B289" s="2221">
        <v>130</v>
      </c>
      <c r="C289" s="2221" t="s">
        <v>5808</v>
      </c>
      <c r="D289" s="805" t="s">
        <v>5480</v>
      </c>
      <c r="E289" s="736">
        <f>0</f>
        <v>0</v>
      </c>
      <c r="F289" s="736">
        <f>0</f>
        <v>0</v>
      </c>
      <c r="G289" s="736">
        <f>0</f>
        <v>0</v>
      </c>
      <c r="H289" s="736">
        <f>0</f>
        <v>0</v>
      </c>
      <c r="I289" s="736">
        <f>0</f>
        <v>0</v>
      </c>
      <c r="J289" s="736">
        <f>0</f>
        <v>0</v>
      </c>
      <c r="K289" s="736">
        <f>0</f>
        <v>0</v>
      </c>
      <c r="L289" s="736">
        <f>0</f>
        <v>0</v>
      </c>
      <c r="M289" s="736">
        <f>0</f>
        <v>0</v>
      </c>
      <c r="N289" s="736">
        <f>0</f>
        <v>0</v>
      </c>
      <c r="O289" s="736">
        <f>0</f>
        <v>0</v>
      </c>
      <c r="P289" s="736">
        <f>0</f>
        <v>0</v>
      </c>
      <c r="Q289" s="806">
        <f>0</f>
        <v>0</v>
      </c>
      <c r="R289" s="736">
        <f>0</f>
        <v>0</v>
      </c>
      <c r="S289" s="736">
        <f>0</f>
        <v>0</v>
      </c>
      <c r="T289" s="736">
        <f>0</f>
        <v>0</v>
      </c>
      <c r="U289" s="736">
        <f>0</f>
        <v>0</v>
      </c>
      <c r="V289" s="736">
        <f>0</f>
        <v>0</v>
      </c>
      <c r="W289" s="736">
        <f>0</f>
        <v>0</v>
      </c>
      <c r="X289" s="736">
        <f>0</f>
        <v>0</v>
      </c>
      <c r="Y289" s="736">
        <f>0</f>
        <v>0</v>
      </c>
      <c r="Z289" s="736">
        <f>0</f>
        <v>0</v>
      </c>
      <c r="AA289" s="736">
        <f>0</f>
        <v>0</v>
      </c>
      <c r="AB289" s="736">
        <f>0</f>
        <v>0</v>
      </c>
      <c r="AC289" s="736">
        <f>0</f>
        <v>0</v>
      </c>
      <c r="AD289" s="736">
        <f>0</f>
        <v>0</v>
      </c>
      <c r="AE289" s="736">
        <f>0</f>
        <v>0</v>
      </c>
      <c r="AF289" s="736">
        <f>0</f>
        <v>0</v>
      </c>
      <c r="AG289" s="736">
        <f>0</f>
        <v>0</v>
      </c>
      <c r="AH289" s="736">
        <f>0</f>
        <v>0</v>
      </c>
      <c r="AI289" s="736">
        <f>0</f>
        <v>0</v>
      </c>
      <c r="AJ289" s="736">
        <f>0</f>
        <v>0</v>
      </c>
      <c r="AK289" s="736">
        <f>0</f>
        <v>0</v>
      </c>
      <c r="AL289" s="736">
        <f>0</f>
        <v>0</v>
      </c>
      <c r="AM289" s="2599">
        <f>X_HFO_P/X_HFO</f>
        <v>1.5529865549288207E-48</v>
      </c>
      <c r="AN289" s="736">
        <f>0</f>
        <v>0</v>
      </c>
      <c r="AO289" s="736">
        <f>0</f>
        <v>0</v>
      </c>
      <c r="AP289" s="736">
        <f>0</f>
        <v>0</v>
      </c>
      <c r="AQ289" s="736">
        <f>0</f>
        <v>0</v>
      </c>
      <c r="AR289" s="736">
        <f>0</f>
        <v>0</v>
      </c>
      <c r="AS289" s="736">
        <f>0</f>
        <v>0</v>
      </c>
      <c r="AT289" s="736">
        <f>0</f>
        <v>0</v>
      </c>
      <c r="AU289" s="806">
        <f>0</f>
        <v>0</v>
      </c>
      <c r="AV289" s="736">
        <f>0</f>
        <v>0</v>
      </c>
      <c r="AW289" s="736">
        <f>0</f>
        <v>0</v>
      </c>
      <c r="AX289" s="736">
        <f>0</f>
        <v>0</v>
      </c>
      <c r="AY289" s="736">
        <f>0</f>
        <v>0</v>
      </c>
      <c r="AZ289" s="736">
        <f>0</f>
        <v>0</v>
      </c>
      <c r="BA289" s="736">
        <f>0</f>
        <v>0</v>
      </c>
      <c r="BB289" s="806">
        <f>-E_EQFe2/(E_EQH2S-E_EQS)</f>
        <v>-0.28710003118088545</v>
      </c>
      <c r="BC289" s="736">
        <f>0</f>
        <v>0</v>
      </c>
      <c r="BD289" s="806">
        <f>E_EQFe2/(E_EQH2S-E_EQS)</f>
        <v>0.28710003118088545</v>
      </c>
      <c r="BE289" s="806">
        <f>1</f>
        <v>1</v>
      </c>
      <c r="BF289" s="2599">
        <f>-X_HFO_H/X_HFO</f>
        <v>-9.9999999999999997E-49</v>
      </c>
      <c r="BG289" s="2599">
        <f>-X_HFO_L/X_HFO</f>
        <v>-9.9999999999999997E-49</v>
      </c>
      <c r="BH289" s="2599">
        <f>-X_HFO_old/X_HFO</f>
        <v>-1</v>
      </c>
      <c r="BI289" s="2599">
        <f>-X_HFO_H_P/X_HFO</f>
        <v>-9.9999999999999997E-49</v>
      </c>
      <c r="BJ289" s="2599">
        <f>-X_HFO_L_P/X_HFO</f>
        <v>-9.9999999999999997E-49</v>
      </c>
      <c r="BK289" s="2599">
        <f>-X_HFO_H_P_old/X_HFO</f>
        <v>-9.9999999999999997E-49</v>
      </c>
      <c r="BL289" s="2599">
        <f>-X_HFO_L_P_old/X_HFO</f>
        <v>-9.9999999999999997E-49</v>
      </c>
      <c r="BM289" s="2599">
        <f>0</f>
        <v>0</v>
      </c>
      <c r="BN289" s="2599">
        <f>0</f>
        <v>0</v>
      </c>
      <c r="BO289" s="2599">
        <f>0</f>
        <v>0</v>
      </c>
      <c r="BP289" s="2599">
        <f>0</f>
        <v>0</v>
      </c>
      <c r="BQ289" s="2599">
        <f>0</f>
        <v>0</v>
      </c>
      <c r="BR289" s="2599">
        <f>0</f>
        <v>0</v>
      </c>
      <c r="BS289" s="2599">
        <f>0</f>
        <v>0</v>
      </c>
      <c r="BT289" s="806">
        <f>0</f>
        <v>0</v>
      </c>
      <c r="BU289" s="806">
        <f>0</f>
        <v>0</v>
      </c>
      <c r="BV289" s="806">
        <f>0</f>
        <v>0</v>
      </c>
      <c r="BW289" s="806">
        <f>0</f>
        <v>0</v>
      </c>
      <c r="BX289" s="806">
        <f>0</f>
        <v>0</v>
      </c>
      <c r="BY289" s="806">
        <f>0</f>
        <v>0</v>
      </c>
      <c r="BZ289" s="806">
        <f>0</f>
        <v>0</v>
      </c>
      <c r="CA289" s="806">
        <f>0</f>
        <v>0</v>
      </c>
      <c r="CB289" s="806">
        <f>0</f>
        <v>0</v>
      </c>
      <c r="CC289" s="806">
        <f>0</f>
        <v>0</v>
      </c>
      <c r="CD289" s="806">
        <f>0</f>
        <v>0</v>
      </c>
      <c r="CE289" s="806">
        <f>0</f>
        <v>0</v>
      </c>
      <c r="CF289" s="806">
        <f>0</f>
        <v>0</v>
      </c>
      <c r="CG289" s="806">
        <f>0</f>
        <v>0</v>
      </c>
      <c r="CH289" s="806">
        <f>0</f>
        <v>0</v>
      </c>
      <c r="CI289" s="806">
        <f>0</f>
        <v>0</v>
      </c>
      <c r="CJ289" s="806">
        <f>0</f>
        <v>0</v>
      </c>
      <c r="CK289" s="806">
        <f>0</f>
        <v>0</v>
      </c>
      <c r="CL289" s="806">
        <f>0</f>
        <v>0</v>
      </c>
      <c r="CM289" s="806">
        <f>0</f>
        <v>0</v>
      </c>
      <c r="CN289" s="806">
        <f>0</f>
        <v>0</v>
      </c>
      <c r="CO289" s="806">
        <f>0</f>
        <v>0</v>
      </c>
      <c r="CP289" s="806">
        <f>0</f>
        <v>0</v>
      </c>
      <c r="CQ289" s="806">
        <f>0</f>
        <v>0</v>
      </c>
      <c r="CR289" s="806">
        <f>0</f>
        <v>0</v>
      </c>
      <c r="CS289" s="806">
        <f>0</f>
        <v>0</v>
      </c>
      <c r="CT289" s="806">
        <f>0</f>
        <v>0</v>
      </c>
      <c r="CU289" s="806">
        <f>0</f>
        <v>0</v>
      </c>
      <c r="CV289" s="2865">
        <f>q_HFO_H2S_RED_T*X_HFO*M_inhSO2_KO2_OHO*M_inhSNO2_KNO2_OHO*M_inhSNO3_KNO3_OHO*M_inhSSO4_KiSO4_RED*H_satSH2S_KH2S_SOO</f>
        <v>4.1190572223340895E-9</v>
      </c>
      <c r="CX289" s="2880">
        <f>E299*E289+F299*F289+G299*G289+H299*H289+I299*I289+J299*J289+K299*K289+L299*L289+M299*M289+N299*N289+O299*O289+P299*P289+Q299*Q289+R299*R289+S299*S289+T299*T289+U299*U289+V299*V289+W299*W289+X299*X289+Y299*Y289+Z299*Z289+AA299*AA289+AB299*AB289+AC299*AC289+AD299*AD289+AE299*AE289+AF299*AF289+AG299*AG289+AH299*AH289+AI299*AI289+AJ299*AJ289+AK299*AK289+AL299*AL289+AM299*AM289+AN299*AN289+AO299*AO289+AP299*AP289+AQ299*AQ289+AR299*AR289+AS299*AS289+AT299*AT289+AU299*AU289+AV299*AV289+AW299*AW289+AX299*AX289+AY299*AY289+AZ299*AZ289+BA299*BA289+BB299*BB289+BC299*BC289+BD299*BD289+BE299*BE289+BF299*BF289+BG299*BG289+BH299*BH289+BI299*BI289+BJ299*BJ289+BK299*BK289+BL299*BL289+BM299*BM289+BN299*BN289+BO299*BO289+BP299*BP289+BQ299*BQ289+BR299*BR289+BS299*BS289+BT299*BT289+BU299*BU289+BV299*BV289+BW299*BW289+BX299*BX289+BY299*BY289+BZ299*BZ289+CA299*CA289+CB299*CB289+CC299*CC289+CD299*CD289+CE299*CE289+CF299*CF289+CG299*CG289+CH299*CH289+CI299*CI289+CJ299*CJ289+CK299*CK289+CL299*CL289+CM299*CM289+CN299*CN289+CO299*CO289+CP299*CP289+CQ299*CQ289+CR299*CR289+CS299*CS289+CT299*CT289+CU299*CU289</f>
        <v>-5.5511151231257827E-17</v>
      </c>
      <c r="CY289" s="2880">
        <f>E300*E289+F300*F289+G300*G289+H300*H289+I300*I289+J300*J289+K300*K289+L300*L289+M300*M289+N300*N289+O300*O289+P300*P289+Q300*Q289+R300*R289+S300*S289+T300*T289+U300*U289+V300*V289+W300*W289+X300*X289+Y300*Y289+Z300*Z289+AA300*AA289+AB300*AB289+AC300*AC289+AD300*AD289+AE300*AE289+AF300*AF289+AG300*AG289+AH300*AH289+AI300*AI289+AJ300*AJ289+AK300*AK289+AL300*AL289+AM300*AM289+AN300*AN289+AO300*AO289+AP300*AP289+AQ300*AQ289+AR300*AR289+AS300*AS289+AT300*AT289+AU300*AU289+AV300*AV289+AW300*AW289+AX300*AX289+AY300*AY289+AZ300*AZ289+BA300*BA289+BB300*BB289+BC300*BC289+BD300*BD289+BE300*BE289+BF300*BF289+BG300*BG289+BH300*BH289+BI300*BI289+BJ300*BJ289+BK300*BK289+BL300*BL289+BM300*BM289+BN300*BN289+BO300*BO289+BP300*BP289+BQ300*BQ289+BR300*BR289+BS300*BS289+BT300*BT289+BU300*BU289+BV300*BV289+BW300*BW289+BX300*BX289+BY300*BY289+BZ300*BZ289+CA300*CA289+CB300*CB289+CC300*CC289+CD300*CD289+CE300*CE289+CF300*CF289+CG300*CG289+CH300*CH289+CI300*CI289+CJ300*CJ289+CK300*CK289+CL300*CL289+CM300*CM289+CN300*CN289+CO300*CO289+CP300*CP289+CQ300*CQ289+CR300*CR289+CS300*CS289+CT300*CT289+CU300*CU289</f>
        <v>0</v>
      </c>
      <c r="CZ289" s="2881">
        <f>E301*E289+F301*F289+G301*G289+H301*H289+I301*I289+J301*J289+K301*K289+L301*L289+M301*M289+N301*N289+O301*O289+P301*P289+Q301*Q289+R301*R289+S301*S289+T301*T289+U301*U289+V301*V289+W301*W289+X301*X289+Y301*Y289+Z301*Z289+AA301*AA289+AB301*AB289+AC301*AC289+AD301*AD289+AE301*AE289+AF301*AF289+AG301*AG289+AH301*AH289+AI301*AI289+AJ301*AJ289+AK301*AK289+AL301*AL289+AM301*AM289+AN301*AN289+AO301*AO289+AP301*AP289+AQ301*AQ289+AR301*AR289+AS301*AS289+AT301*AT289+AU301*AU289+AV301*AV289+AW301*AW289+AX301*AX289+AY301*AY289+AZ301*AZ289+BA301*BA289+BB301*BB289+BC301*BC289+BD301*BD289+BE301*BE289+BF301*BF289+BG301*BG289+BH301*BH289+BI301*BI289+BJ301*BJ289+BK301*BK289+BL301*BL289+BM301*BM289+BN301*BN289+BO301*BO289+BP301*BP289+BQ301*BQ289+BR301*BR289+BS301*BS289+BT301*BT289+BU301*BU289+BV301*BV289+BW301*BW289+BX301*BX289+BY301*BY289+BZ301*BZ289+CA301*CA289+CB301*CB289+CC301*CC289+CD301*CD289+CE301*CE289+CF301*CF289+CG301*CG289+CH301*CH289+CI301*CI289+CJ301*CJ289+CK301*CK289+CL301*CL289+CM301*CM289+CN301*CN289+CO301*CO289+CP301*CP289+CQ301*CQ289+CR301*CR289+CS301*CS289+CT301*CT289+CU301*CU289</f>
        <v>0</v>
      </c>
      <c r="DA289" s="2882">
        <f>E302*E289+F302*F289+G302*G289+H302*H289+I302*I289+J302*J289+K302*K289+L302*L289+M302*M289+N302*N289+O302*O289+P302*P289+Q302*Q289+R302*R289+S302*S289+T302*T289+U302*U289+V302*V289+W302*W289+X302*X289+Y302*Y289+Z302*Z289+AA302*AA289+AB302*AB289+AC302*AC289+AD302*AD289+AE302*AE289+AF302*AF289+AG302*AG289+AH302*AH289+AI302*AI289+AJ302*AJ289+AK302*AK289+AL302*AL289+AM302*AM289+AN302*AN289+AO302*AO289+AP302*AP289+AQ302*AQ289+AR302*AR289+AS302*AS289+AT302*AT289+AU302*AU289+AV302*AV289+AW302*AW289+AX302*AX289+AY302*AY289+AZ302*AZ289+BA302*BA289+BB302*BB289+BC302*BC289+BD302*BD289+BE302*BE289+BF302*BF289+BG302*BG289+BH302*BH289+BI302*BI289+BJ302*BJ289+BK302*BK289+BL302*BL289+BM302*BM289+BN302*BN289+BO302*BO289+BP302*BP289+BQ302*BQ289+BR302*BR289+BS302*BS289+BT302*BT289+BU302*BU289+BV302*BV289+BW302*BW289+BX302*BX289+BY302*BY289+BZ302*BZ289+CA302*CA289+CB302*CB289+CC302*CC289+CD302*CD289+CE302*CE289+CF302*CF289+CG302*CG289+CH302*CH289+CI302*CI289+CJ302*CJ289+CK302*CK289+CL302*CL289+CM302*CM289+CN302*CN289+CO302*CO289+CP302*CP289+CQ302*CQ289+CR302*CR289+CS302*CS289+CT302*CT289+CU302*CU289</f>
        <v>0</v>
      </c>
      <c r="DB289" s="2882">
        <f>E303*E289+F303*F289+G303*G289+H303*H289+I303*I289+J303*J289+K303*K289+L303*L289+M303*M289+N303*N289+O303*O289+P303*P289+Q303*Q289+R303*R289+S303*S289+T303*T289+U303*U289+V303*V289+W303*W289+X303*X289+Y303*Y289+Z303*Z289+AA303*AA289+AB303*AB289+AC303*AC289+AD303*AD289+AE303*AE289+AF303*AF289+AG303*AG289+AH303*AH289+AI303*AI289+AJ303*AJ289+AK303*AK289+AL303*AL289+AM303*AM289+AN303*AN289+AO303*AO289+AP303*AP289+AQ303*AQ289+AR303*AR289+AS303*AS289+AT303*AT289+AU303*AU289+AV303*AV289+AW303*AW289+AX303*AX289+AY303*AY289+AZ303*AZ289+BA303*BA289+BB303*BB289+BC303*BC289+BD303*BD289+BE303*BE289+BF303*BF289+BG303*BG289+BH303*BH289+BI303*BI289+BJ303*BJ289+BK303*BK289+BL303*BL289+BM303*BM289+BN303*BN289+BO303*BO289+BP303*BP289+BQ303*BQ289+BR303*BR289+BS303*BS289+BT303*BT289+BU303*BU289+BV303*BV289+BW303*BW289+BX303*BX289+BY303*BY289+BZ303*BZ289+CA303*CA289+CB303*CB289+CC303*CC289+CD303*CD289+CE303*CE289+CF303*CF289+CG303*CG289+CH303*CH289+CI303*CI289+CJ303*CJ289+CK303*CK289+CL303*CL289+CM303*CM289+CN303*CN289+CO303*CO289+CP303*CP289+CQ303*CQ289+CR303*CR289+CS303*CS289+CT303*CT289+CU303*CU289</f>
        <v>0</v>
      </c>
      <c r="DC289" s="2882">
        <f>E304*E289+F304*F289+G304*G289+H304*H289+I304*I289+J304*J289+K304*K289+L304*L289+M304*M289+N304*N289+O304*O289+P304*P289+Q304*Q289+R304*R289+S304*S289+T304*T289+U304*U289+V304*V289+W304*W289+X304*X289+Y304*Y289+Z304*Z289+AA304*AA289+AB304*AB289+AC304*AC289+AD304*AD289+AE304*AE289+AF304*AF289+AG304*AG289+AH304*AH289+AI304*AI289+AJ304*AJ289+AK304*AK289+AL304*AL289+AM304*AM289+AN304*AN289+AO304*AO289+AP304*AP289+AQ304*AQ289+AR304*AR289+AS304*AS289+AT304*AT289+AU304*AU289+AV304*AV289+AW304*AW289+AX304*AX289+AY304*AY289+AZ304*AZ289+BA304*BA289+BB304*BB289+BC304*BC289+BD304*BD289+BE304*BE289+BF304*BF289+BG304*BG289+BH304*BH289+BI304*BI289+BJ304*BJ289+BK304*BK289+BL304*BL289+BM304*BM289+BN304*BN289+BO304*BO289+BP304*BP289+BQ304*BQ289+BR304*BR289+BS304*BS289+BT304*BT289+BU304*BU289+BV304*BV289+BW304*BW289+BX304*BX289+BY304*BY289+BZ304*BZ289+CA304*CA289+CB304*CB289+CC304*CC289+CD304*CD289+CE304*CE289+CF304*CF289+CG304*CG289+CH304*CH289+CI304*CI289+CJ304*CJ289+CK304*CK289+CL304*CL289+CM304*CM289+CN304*CN289+CO304*CO289+CP304*CP289+CQ304*CQ289+CR304*CR289+CS304*CS289+CT304*CT289+CU304*CU289</f>
        <v>0</v>
      </c>
      <c r="DD289" s="2882">
        <f>E305*E289+F305*F289+G305*G289+H305*H289+I305*I289+J305*J289+K305*K289+L305*L289+M305*M289+N305*N289+O305*O289+P305*P289+Q305*Q289+R305*R289+S305*S289+T305*T289+U305*U289+V305*V289+W305*W289+X305*X289+Y305*Y289+Z305*Z289+AA305*AA289+AB305*AB289+AC305*AC289+AD305*AD289+AE305*AE289+AF305*AF289+AG305*AG289+AH305*AH289+AI305*AI289+AJ305*AJ289+AK305*AK289+AL305*AL289+AM305*AM289+AN305*AN289+AO305*AO289+AP305*AP289+AQ305*AQ289+AR305*AR289+AS305*AS289+AT305*AT289+AU305*AU289+AV305*AV289+AW305*AW289+AX305*AX289+AY305*AY289+AZ305*AZ289+BA305*BA289+BB305*BB289+BC305*BC289+BD305*BD289+BE305*BE289+BF305*BF289+BG305*BG289+BH305*BH289+BI305*BI289+BJ305*BJ289+BK305*BK289+BL305*BL289+BM305*BM289+BN305*BN289+BO305*BO289+BP305*BP289+BQ305*BQ289+BR305*BR289+BS305*BS289+BT305*BT289+BU305*BU289+BV305*BV289+BW305*BW289+BX305*BX289+BY305*BY289+BZ305*BZ289+CA305*CA289+CB305*CB289+CC305*CC289+CD305*CD289+CE305*CE289+CF305*CF289+CG305*CG289+CH305*CH289+CI305*CI289+CJ305*CJ289+CK305*CK289+CL305*CL289+CM305*CM289+CN305*CN289+CO305*CO289+CP305*CP289+CQ305*CQ289+CR305*CR289+CS305*CS289+CT305*CT289+CU305*CU289</f>
        <v>0</v>
      </c>
      <c r="DE289" s="2882">
        <f>E306*E289+F306*F289+G306*G289+H306*H289+I306*I289+J306*J289+K306*K289+L306*L289+M306*M289+N306*N289+O306*O289+P306*P289+Q306*Q289+R306*R289+S306*S289+T306*T289+U306*U289+V306*V289+W306*W289+X306*X289+Y306*Y289+Z306*Z289+AA306*AA289+AB306*AB289+AC306*AC289+AD306*AD289+AE306*AE289+AF306*AF289+AG306*AG289+AH306*AH289+AI306*AI289+AJ306*AJ289+AK306*AK289+AL306*AL289+AM306*AM289+AN306*AN289+AO306*AO289+AP306*AP289+AQ306*AQ289+AR306*AR289+AS306*AS289+AT306*AT289+AU306*AU289+AV306*AV289+AW306*AW289+AX306*AX289+AY306*AY289+AZ306*AZ289+BA306*BA289+BB306*BB289+BC306*BC289+BD306*BD289+BE306*BE289+BF306*BF289+BG306*BG289+BH306*BH289+BI306*BI289+BJ306*BJ289+BK306*BK289+BL306*BL289+BM306*BM289+BN306*BN289+BO306*BO289+BP306*BP289+BQ306*BQ289+BR306*BR289+BS306*BS289+BT306*BT289+BU306*BU289+BV306*BV289+BW306*BW289+BX306*BX289+BY306*BY289+BZ306*BZ289+CA306*CA289+CB306*CB289+CC306*CC289+CD306*CD289+CE306*CE289+CF306*CF289+CG306*CG289+CH306*CH289+CI306*CI289+CJ306*CJ289+CK306*CK289+CL306*CL289+CM306*CM289+CN306*CN289+CO306*CO289+CP306*CP289+CQ306*CQ289+CR306*CR289+CS306*CS289+CT306*CT289+CU306*CU289</f>
        <v>0</v>
      </c>
      <c r="DF289" s="2882">
        <f>E307*E289+F307*F289+G307*G289+H307*H289+I307*I289+J307*J289+K307*K289+L307*L289+M307*M289+N307*N289+O307*O289+P307*P289+Q307*Q289+R307*R289+S307*S289+T307*T289+U307*U289+V307*V289+W307*W289+X307*X289+Y307*Y289+Z307*Z289+AA307*AA289+AB307*AB289+AC307*AC289+AD307*AD289+AE307*AE289+AF307*AF289+AG307*AG289+AH307*AH289+AI307*AI289+AJ307*AJ289+AK307*AK289+AL307*AL289+AM307*AM289+AN307*AN289+AO307*AO289+AP307*AP289+AQ307*AQ289+AR307*AR289+AS307*AS289+AT307*AT289+AU307*AU289+AV307*AV289+AW307*AW289+AX307*AX289+AY307*AY289+AZ307*AZ289+BA307*BA289+BB307*BB289+BC307*BC289+BD307*BD289+BE307*BE289+BF307*BF289+BG307*BG289+BH307*BH289+BI307*BI289+BJ307*BJ289+BK307*BK289+BL307*BL289+BM307*BM289+BN307*BN289+BO307*BO289+BP307*BP289+BQ307*BQ289+BR307*BR289+BS307*BS289+BT307*BT289+BU307*BU289+BV307*BV289+BW307*BW289+BX307*BX289+BY307*BY289+BZ307*BZ289+CA307*CA289+CB307*CB289+CC307*CC289+CD307*CD289+CE307*CE289+CF307*CF289+CG307*CG289+CH307*CH289+CI307*CI289+CJ307*CJ289+CK307*CK289+CL307*CL289+CM307*CM289+CN307*CN289+CO307*CO289+CP307*CP289+CQ307*CQ289+CR307*CR289+CS307*CS289+CT307*CT289+CU307*CU289</f>
        <v>0</v>
      </c>
      <c r="DG289" s="2882">
        <f>E308*E289+F308*F289+G308*G289+H308*H289+I308*I289+J308*J289+K308*K289+L308*L289+M308*M289+N308*N289+O308*O289+P308*P289+Q308*Q289+R308*R289+S308*S289+T308*T289+U308*U289+V308*V289+W308*W289+X308*X289+Y308*Y289+Z308*Z289+AA308*AA289+AB308*AB289+AC308*AC289+AD308*AD289+AE308*AE289+AF308*AF289+AG308*AG289+AH308*AH289+AI308*AI289+AJ308*AJ289+AK308*AK289+AL308*AL289+AM308*AM289+AN308*AN289+AO308*AO289+AP308*AP289+AQ308*AQ289+AR308*AR289+AS308*AS289+AT308*AT289+AU308*AU289+AV308*AV289+AW308*AW289+AX308*AX289+AY308*AY289+AZ308*AZ289+BA308*BA289+BB308*BB289+BC308*BC289+BD308*BD289+BE308*BE289+BF308*BF289+BG308*BG289+BH308*BH289+BI308*BI289+BJ308*BJ289+BK308*BK289+BL308*BL289+BM308*BM289+BN308*BN289+BO308*BO289+BP308*BP289+BQ308*BQ289+BR308*BR289+BS308*BS289+BT308*BT289+BU308*BU289+BV308*BV289+BW308*BW289+BX308*BX289+BY308*BY289+BZ308*BZ289+CA308*CA289+CB308*CB289+CC308*CC289+CD308*CD289+CE308*CE289+CF308*CF289+CG308*CG289+CH308*CH289+CI308*CI289+CJ308*CJ289+CK308*CK289+CL308*CL289+CM308*CM289+CN308*CN289+CO308*CO289+CP308*CP289+CQ308*CQ289+CR308*CR289+CS308*CS289+CT308*CT289+CU308*CU289</f>
        <v>0</v>
      </c>
      <c r="DH289" s="2882">
        <f>E309*E289+F309*F289+G309*G289+H309*H289+I309*I289+J309*J289+K309*K289+L309*L289+M309*M289+N309*N289+O309*O289+P309*P289+Q309*Q289+R309*R289+S309*S289+T309*T289+U309*U289+V309*V289+W309*W289+X309*X289+Y309*Y289+Z309*Z289+AA309*AA289+AB309*AB289+AC309*AC289+AD309*AD289+AE309*AE289+AF309*AF289+AG309*AG289+AH309*AH289+AI309*AI289+AJ309*AJ289+AK309*AK289+AL309*AL289+AM309*AM289+AN309*AN289+AO309*AO289+AP309*AP289+AQ309*AQ289+AR309*AR289+AS309*AS289+AT309*AT289+AU309*AU289+AV309*AV289+AW309*AW289+AX309*AX289+AY309*AY289+AZ309*AZ289+BA309*BA289+BB309*BB289+BC309*BC289+BD309*BD289+BE309*BE289+BF309*BF289+BG309*BG289+BH309*BH289+BI309*BI289+BJ309*BJ289+BK309*BK289+BL309*BL289+BM309*BM289+BN309*BN289+BO309*BO289+BP309*BP289+BQ309*BQ289+BR309*BR289+BS309*BS289+BT309*BT289+BU309*BU289+BV309*BV289+BW309*BW289+BX309*BX289+BY309*BY289+BZ309*BZ289+CA309*CA289+CB309*CB289+CC309*CC289+CD309*CD289+CE309*CE289+CF309*CF289+CG309*CG289+CH309*CH289+CI309*CI289+CJ309*CJ289+CK309*CK289+CL309*CL289+CM309*CM289+CN309*CN289+CO309*CO289+CP309*CP289+CQ309*CQ289+CR309*CR289+CS309*CS289+CT309*CT289+CU309*CU289</f>
        <v>-3.9999999999999999E-48</v>
      </c>
      <c r="DI289" s="2882">
        <f>E310*E289+F310*F289+G310*G289+H310*H289+I310*I289+J310*J289+K310*K289+L310*L289+M310*M289+N310*N289+O310*O289+P310*P289+Q310*Q289+R310*R289+S310*S289+T310*T289+U310*U289+V310*V289+W310*W289+X310*X289+Y310*Y289+Z310*Z289+AA310*AA289+AB310*AB289+AC310*AC289+AD310*AD289+AE310*AE289+AF310*AF289+AG310*AG289+AH310*AH289+AI310*AI289+AJ310*AJ289+AK310*AK289+AL310*AL289+AM310*AM289+AN310*AN289+AO310*AO289+AP310*AP289+AQ310*AQ289+AR310*AR289+AS310*AS289+AT310*AT289+AU310*AU289+AV310*AV289+AW310*AW289+AX310*AX289+AY310*AY289+AZ310*AZ289+BA310*BA289+BB310*BB289+BC310*BC289+BD310*BD289+BE310*BE289+BF310*BF289+BG310*BG289+BH310*BH289+BI310*BI289+BJ310*BJ289+BK310*BK289+BL310*BL289+BM310*BM289+BN310*BN289+BO310*BO289+BP310*BP289+BQ310*BQ289+BR310*BR289+BS310*BS289+BT310*BT289+BU310*BU289+BV310*BV289+BW310*BW289+BX310*BX289+BY310*BY289+BZ310*BZ289+CA310*CA289+CB310*CB289+CC310*CC289+CD310*CD289+CE310*CE289+CF310*CF289+CG310*CG289+CH310*CH289+CI310*CI289+CJ310*CJ289+CK310*CK289+CL310*CL289+CM310*CM289+CN310*CN289+CO310*CO289+CP310*CP289+CQ310*CQ289+CR310*CR289+CS310*CS289+CT310*CT289+CU310*CU289</f>
        <v>0</v>
      </c>
    </row>
    <row r="290" spans="2:113" x14ac:dyDescent="0.45">
      <c r="B290" s="2219">
        <v>131</v>
      </c>
      <c r="C290" s="2219" t="s">
        <v>5809</v>
      </c>
      <c r="D290" s="2600" t="s">
        <v>5484</v>
      </c>
      <c r="E290" s="736">
        <f>0</f>
        <v>0</v>
      </c>
      <c r="F290" s="736">
        <f>0</f>
        <v>0</v>
      </c>
      <c r="G290" s="736">
        <f>0</f>
        <v>0</v>
      </c>
      <c r="H290" s="736">
        <f>0</f>
        <v>0</v>
      </c>
      <c r="I290" s="736">
        <f>0</f>
        <v>0</v>
      </c>
      <c r="J290" s="736">
        <f>0</f>
        <v>0</v>
      </c>
      <c r="K290" s="736">
        <f>0</f>
        <v>0</v>
      </c>
      <c r="L290" s="736">
        <f>0</f>
        <v>0</v>
      </c>
      <c r="M290" s="736">
        <f>0</f>
        <v>0</v>
      </c>
      <c r="N290" s="736">
        <f>0</f>
        <v>0</v>
      </c>
      <c r="O290" s="736">
        <f>0</f>
        <v>0</v>
      </c>
      <c r="P290" s="736">
        <f>0</f>
        <v>0</v>
      </c>
      <c r="Q290" s="806">
        <f>0</f>
        <v>0</v>
      </c>
      <c r="R290" s="736">
        <f>0</f>
        <v>0</v>
      </c>
      <c r="S290" s="736">
        <f>0</f>
        <v>0</v>
      </c>
      <c r="T290" s="736">
        <f>0</f>
        <v>0</v>
      </c>
      <c r="U290" s="736">
        <f>0</f>
        <v>0</v>
      </c>
      <c r="V290" s="736">
        <f>0</f>
        <v>0</v>
      </c>
      <c r="W290" s="736">
        <f>0</f>
        <v>0</v>
      </c>
      <c r="X290" s="736">
        <f>0</f>
        <v>0</v>
      </c>
      <c r="Y290" s="736">
        <f>0</f>
        <v>0</v>
      </c>
      <c r="Z290" s="736">
        <f>0</f>
        <v>0</v>
      </c>
      <c r="AA290" s="736">
        <f>0</f>
        <v>0</v>
      </c>
      <c r="AB290" s="736">
        <f>0</f>
        <v>0</v>
      </c>
      <c r="AC290" s="736">
        <f>0</f>
        <v>0</v>
      </c>
      <c r="AD290" s="736">
        <f>0</f>
        <v>0</v>
      </c>
      <c r="AE290" s="736">
        <f>0</f>
        <v>0</v>
      </c>
      <c r="AF290" s="736">
        <f>0</f>
        <v>0</v>
      </c>
      <c r="AG290" s="736">
        <f>0</f>
        <v>0</v>
      </c>
      <c r="AH290" s="736">
        <f>0</f>
        <v>0</v>
      </c>
      <c r="AI290" s="736">
        <f>0</f>
        <v>0</v>
      </c>
      <c r="AJ290" s="736">
        <f>0</f>
        <v>0</v>
      </c>
      <c r="AK290" s="736">
        <f>0</f>
        <v>0</v>
      </c>
      <c r="AL290" s="736">
        <f>0</f>
        <v>0</v>
      </c>
      <c r="AM290" s="806">
        <f>0</f>
        <v>0</v>
      </c>
      <c r="AN290" s="736">
        <f>0</f>
        <v>0</v>
      </c>
      <c r="AO290" s="736">
        <f>0</f>
        <v>0</v>
      </c>
      <c r="AP290" s="736">
        <f>0</f>
        <v>0</v>
      </c>
      <c r="AQ290" s="736">
        <f>0</f>
        <v>0</v>
      </c>
      <c r="AR290" s="806">
        <f>-E_EQFe2*A_MFe/M_MFeS</f>
        <v>-9.1002161301330917E-2</v>
      </c>
      <c r="AS290" s="736">
        <f>0</f>
        <v>0</v>
      </c>
      <c r="AT290" s="736">
        <f>0</f>
        <v>0</v>
      </c>
      <c r="AU290" s="806">
        <f>0</f>
        <v>0</v>
      </c>
      <c r="AV290" s="736">
        <f>0</f>
        <v>0</v>
      </c>
      <c r="AW290" s="736">
        <f>0</f>
        <v>0</v>
      </c>
      <c r="AX290" s="736">
        <f>0</f>
        <v>0</v>
      </c>
      <c r="AY290" s="736">
        <f>0</f>
        <v>0</v>
      </c>
      <c r="AZ290" s="736">
        <f>0</f>
        <v>0</v>
      </c>
      <c r="BA290" s="736">
        <f>0</f>
        <v>0</v>
      </c>
      <c r="BB290" s="806">
        <f>A_MS/M_MFeS</f>
        <v>0.36474803776589693</v>
      </c>
      <c r="BC290" s="736">
        <f>0</f>
        <v>0</v>
      </c>
      <c r="BD290" s="736">
        <f>0</f>
        <v>0</v>
      </c>
      <c r="BE290" s="806">
        <f>0</f>
        <v>0</v>
      </c>
      <c r="BF290" s="736">
        <f>A_MFe/M_MFeS</f>
        <v>0.63525196223410307</v>
      </c>
      <c r="BG290" s="736">
        <f>0</f>
        <v>0</v>
      </c>
      <c r="BH290" s="736">
        <f>0</f>
        <v>0</v>
      </c>
      <c r="BI290" s="806">
        <f>0</f>
        <v>0</v>
      </c>
      <c r="BJ290" s="736">
        <f>0</f>
        <v>0</v>
      </c>
      <c r="BK290" s="806">
        <f>0</f>
        <v>0</v>
      </c>
      <c r="BL290" s="806">
        <f>0</f>
        <v>0</v>
      </c>
      <c r="BM290" s="736">
        <f>0</f>
        <v>0</v>
      </c>
      <c r="BN290" s="736">
        <f>0</f>
        <v>0</v>
      </c>
      <c r="BO290" s="736">
        <f>0</f>
        <v>0</v>
      </c>
      <c r="BP290" s="806">
        <f>0</f>
        <v>0</v>
      </c>
      <c r="BQ290" s="736">
        <f>0</f>
        <v>0</v>
      </c>
      <c r="BR290" s="806">
        <f>0</f>
        <v>0</v>
      </c>
      <c r="BS290" s="806">
        <f>0</f>
        <v>0</v>
      </c>
      <c r="BT290" s="806">
        <f>0</f>
        <v>0</v>
      </c>
      <c r="BU290" s="806">
        <f>0</f>
        <v>0</v>
      </c>
      <c r="BV290" s="806">
        <f>0</f>
        <v>0</v>
      </c>
      <c r="BW290" s="806">
        <f>0</f>
        <v>0</v>
      </c>
      <c r="BX290" s="806">
        <f>0</f>
        <v>0</v>
      </c>
      <c r="BY290" s="806">
        <f>-1</f>
        <v>-1</v>
      </c>
      <c r="BZ290" s="806">
        <f>0</f>
        <v>0</v>
      </c>
      <c r="CA290" s="806">
        <f>0</f>
        <v>0</v>
      </c>
      <c r="CB290" s="806">
        <f>0</f>
        <v>0</v>
      </c>
      <c r="CC290" s="806">
        <f>0</f>
        <v>0</v>
      </c>
      <c r="CD290" s="806">
        <f>0</f>
        <v>0</v>
      </c>
      <c r="CE290" s="806">
        <f>0</f>
        <v>0</v>
      </c>
      <c r="CF290" s="806">
        <f>0</f>
        <v>0</v>
      </c>
      <c r="CG290" s="806">
        <f>0</f>
        <v>0</v>
      </c>
      <c r="CH290" s="806">
        <f>0</f>
        <v>0</v>
      </c>
      <c r="CI290" s="806">
        <f>0</f>
        <v>0</v>
      </c>
      <c r="CJ290" s="806">
        <f>0</f>
        <v>0</v>
      </c>
      <c r="CK290" s="806">
        <f>0</f>
        <v>0</v>
      </c>
      <c r="CL290" s="806">
        <f>0</f>
        <v>0</v>
      </c>
      <c r="CM290" s="806">
        <f>0</f>
        <v>0</v>
      </c>
      <c r="CN290" s="806">
        <f>0</f>
        <v>0</v>
      </c>
      <c r="CO290" s="806">
        <f>0</f>
        <v>0</v>
      </c>
      <c r="CP290" s="806">
        <f>0</f>
        <v>0</v>
      </c>
      <c r="CQ290" s="806">
        <f>0</f>
        <v>0</v>
      </c>
      <c r="CR290" s="806">
        <f>0</f>
        <v>0</v>
      </c>
      <c r="CS290" s="806">
        <f>0</f>
        <v>0</v>
      </c>
      <c r="CT290" s="806">
        <f>0</f>
        <v>0</v>
      </c>
      <c r="CU290" s="806">
        <f>0</f>
        <v>0</v>
      </c>
      <c r="CV290" s="2865">
        <f>q_FeS_OX_T*X_FeS*M_satSO2_KO2_OHO</f>
        <v>9.3023255813953485E-51</v>
      </c>
      <c r="CX290" s="2880">
        <f>E299*E290+F299*F290+G299*G290+H299*H290+I299*I290+J299*J290+K299*K290+L299*L290+M299*M290+N299*N290+O299*O290+P299*P290+Q299*Q290+R299*R290+S299*S290+T299*T290+U299*U290+V299*V290+W299*W290+X299*X290+Y299*Y290+Z299*Z290+AA299*AA290+AB299*AB290+AC299*AC290+AD299*AD290+AE299*AE290+AF299*AF290+AG299*AG290+AH299*AH290+AI299*AI290+AJ299*AJ290+AK299*AK290+AL299*AL290+AM299*AM290+AN299*AN290+AO299*AO290+AP299*AP290+AQ299*AQ290+AR299*AR290+AS299*AS290+AT299*AT290+AU299*AU290+AV299*AV290+AW299*AW290+AX299*AX290+AY299*AY290+AZ299*AZ290+BA299*BA290+BB299*BB290+BC299*BC290+BD299*BD290+BE299*BE290+BF299*BF290+BG299*BG290+BH299*BH290+BI299*BI290+BJ299*BJ290+BK299*BK290+BL299*BL290+BM299*BM290+BN299*BN290+BO299*BO290+BP299*BP290+BQ299*BQ290+BR299*BR290+BS299*BS290+BT299*BT290+BU299*BU290+BV299*BV290+BW299*BW290+BX299*BX290+BY299*BY290+BZ299*BZ290+CA299*CA290+CB299*CB290+CC299*CC290+CD299*CD290+CE299*CE290+CF299*CF290+CG299*CG290+CH299*CH290+CI299*CI290+CJ299*CJ290+CK299*CK290+CL299*CL290+CM299*CM290+CN299*CN290+CO299*CO290+CP299*CP290+CQ299*CQ290+CR299*CR290+CS299*CS290+CT299*CT290+CU299*CU290</f>
        <v>0</v>
      </c>
      <c r="CY290" s="2880">
        <f>E300*E290+F300*F290+G300*G290+H300*H290+I300*I290+J300*J290+K300*K290+L300*L290+M300*M290+N300*N290+O300*O290+P300*P290+Q300*Q290+R300*R290+S300*S290+T300*T290+U300*U290+V300*V290+W300*W290+X300*X290+Y300*Y290+Z300*Z290+AA300*AA290+AB300*AB290+AC300*AC290+AD300*AD290+AE300*AE290+AF300*AF290+AG300*AG290+AH300*AH290+AI300*AI290+AJ300*AJ290+AK300*AK290+AL300*AL290+AM300*AM290+AN300*AN290+AO300*AO290+AP300*AP290+AQ300*AQ290+AR300*AR290+AS300*AS290+AT300*AT290+AU300*AU290+AV300*AV290+AW300*AW290+AX300*AX290+AY300*AY290+AZ300*AZ290+BA300*BA290+BB300*BB290+BC300*BC290+BD300*BD290+BE300*BE290+BF300*BF290+BG300*BG290+BH300*BH290+BI300*BI290+BJ300*BJ290+BK300*BK290+BL300*BL290+BM300*BM290+BN300*BN290+BO300*BO290+BP300*BP290+BQ300*BQ290+BR300*BR290+BS300*BS290+BT300*BT290+BU300*BU290+BV300*BV290+BW300*BW290+BX300*BX290+BY300*BY290+BZ300*BZ290+CA300*CA290+CB300*CB290+CC300*CC290+CD300*CD290+CE300*CE290+CF300*CF290+CG300*CG290+CH300*CH290+CI300*CI290+CJ300*CJ290+CK300*CK290+CL300*CL290+CM300*CM290+CN300*CN290+CO300*CO290+CP300*CP290+CQ300*CQ290+CR300*CR290+CS300*CS290+CT300*CT290+CU300*CU290</f>
        <v>0</v>
      </c>
      <c r="CZ290" s="2881">
        <f>E301*E290+F301*F290+G301*G290+H301*H290+I301*I290+J301*J290+K301*K290+L301*L290+M301*M290+N301*N290+O301*O290+P301*P290+Q301*Q290+R301*R290+S301*S290+T301*T290+U301*U290+V301*V290+W301*W290+X301*X290+Y301*Y290+Z301*Z290+AA301*AA290+AB301*AB290+AC301*AC290+AD301*AD290+AE301*AE290+AF301*AF290+AG301*AG290+AH301*AH290+AI301*AI290+AJ301*AJ290+AK301*AK290+AL301*AL290+AM301*AM290+AN301*AN290+AO301*AO290+AP301*AP290+AQ301*AQ290+AR301*AR290+AS301*AS290+AT301*AT290+AU301*AU290+AV301*AV290+AW301*AW290+AX301*AX290+AY301*AY290+AZ301*AZ290+BA301*BA290+BB301*BB290+BC301*BC290+BD301*BD290+BE301*BE290+BF301*BF290+BG301*BG290+BH301*BH290+BI301*BI290+BJ301*BJ290+BK301*BK290+BL301*BL290+BM301*BM290+BN301*BN290+BO301*BO290+BP301*BP290+BQ301*BQ290+BR301*BR290+BS301*BS290+BT301*BT290+BU301*BU290+BV301*BV290+BW301*BW290+BX301*BX290+BY301*BY290+BZ301*BZ290+CA301*CA290+CB301*CB290+CC301*CC290+CD301*CD290+CE301*CE290+CF301*CF290+CG301*CG290+CH301*CH290+CI301*CI290+CJ301*CJ290+CK301*CK290+CL301*CL290+CM301*CM290+CN301*CN290+CO301*CO290+CP301*CP290+CQ301*CQ290+CR301*CR290+CS301*CS290+CT301*CT290+CU301*CU290</f>
        <v>0</v>
      </c>
      <c r="DA290" s="2882">
        <f>E302*E290+F302*F290+G302*G290+H302*H290+I302*I290+J302*J290+K302*K290+L302*L290+M302*M290+N302*N290+O302*O290+P302*P290+Q302*Q290+R302*R290+S302*S290+T302*T290+U302*U290+V302*V290+W302*W290+X302*X290+Y302*Y290+Z302*Z290+AA302*AA290+AB302*AB290+AC302*AC290+AD302*AD290+AE302*AE290+AF302*AF290+AG302*AG290+AH302*AH290+AI302*AI290+AJ302*AJ290+AK302*AK290+AL302*AL290+AM302*AM290+AN302*AN290+AO302*AO290+AP302*AP290+AQ302*AQ290+AR302*AR290+AS302*AS290+AT302*AT290+AU302*AU290+AV302*AV290+AW302*AW290+AX302*AX290+AY302*AY290+AZ302*AZ290+BA302*BA290+BB302*BB290+BC302*BC290+BD302*BD290+BE302*BE290+BF302*BF290+BG302*BG290+BH302*BH290+BI302*BI290+BJ302*BJ290+BK302*BK290+BL302*BL290+BM302*BM290+BN302*BN290+BO302*BO290+BP302*BP290+BQ302*BQ290+BR302*BR290+BS302*BS290+BT302*BT290+BU302*BU290+BV302*BV290+BW302*BW290+BX302*BX290+BY302*BY290+BZ302*BZ290+CA302*CA290+CB302*CB290+CC302*CC290+CD302*CD290+CE302*CE290+CF302*CF290+CG302*CG290+CH302*CH290+CI302*CI290+CJ302*CJ290+CK302*CK290+CL302*CL290+CM302*CM290+CN302*CN290+CO302*CO290+CP302*CP290+CQ302*CQ290+CR302*CR290+CS302*CS290+CT302*CT290+CU302*CU290</f>
        <v>0</v>
      </c>
      <c r="DB290" s="2882">
        <f>E303*E290+F303*F290+G303*G290+H303*H290+I303*I290+J303*J290+K303*K290+L303*L290+M303*M290+N303*N290+O303*O290+P303*P290+Q303*Q290+R303*R290+S303*S290+T303*T290+U303*U290+V303*V290+W303*W290+X303*X290+Y303*Y290+Z303*Z290+AA303*AA290+AB303*AB290+AC303*AC290+AD303*AD290+AE303*AE290+AF303*AF290+AG303*AG290+AH303*AH290+AI303*AI290+AJ303*AJ290+AK303*AK290+AL303*AL290+AM303*AM290+AN303*AN290+AO303*AO290+AP303*AP290+AQ303*AQ290+AR303*AR290+AS303*AS290+AT303*AT290+AU303*AU290+AV303*AV290+AW303*AW290+AX303*AX290+AY303*AY290+AZ303*AZ290+BA303*BA290+BB303*BB290+BC303*BC290+BD303*BD290+BE303*BE290+BF303*BF290+BG303*BG290+BH303*BH290+BI303*BI290+BJ303*BJ290+BK303*BK290+BL303*BL290+BM303*BM290+BN303*BN290+BO303*BO290+BP303*BP290+BQ303*BQ290+BR303*BR290+BS303*BS290+BT303*BT290+BU303*BU290+BV303*BV290+BW303*BW290+BX303*BX290+BY303*BY290+BZ303*BZ290+CA303*CA290+CB303*CB290+CC303*CC290+CD303*CD290+CE303*CE290+CF303*CF290+CG303*CG290+CH303*CH290+CI303*CI290+CJ303*CJ290+CK303*CK290+CL303*CL290+CM303*CM290+CN303*CN290+CO303*CO290+CP303*CP290+CQ303*CQ290+CR303*CR290+CS303*CS290+CT303*CT290+CU303*CU290</f>
        <v>0</v>
      </c>
      <c r="DC290" s="2882">
        <f>E304*E290+F304*F290+G304*G290+H304*H290+I304*I290+J304*J290+K304*K290+L304*L290+M304*M290+N304*N290+O304*O290+P304*P290+Q304*Q290+R304*R290+S304*S290+T304*T290+U304*U290+V304*V290+W304*W290+X304*X290+Y304*Y290+Z304*Z290+AA304*AA290+AB304*AB290+AC304*AC290+AD304*AD290+AE304*AE290+AF304*AF290+AG304*AG290+AH304*AH290+AI304*AI290+AJ304*AJ290+AK304*AK290+AL304*AL290+AM304*AM290+AN304*AN290+AO304*AO290+AP304*AP290+AQ304*AQ290+AR304*AR290+AS304*AS290+AT304*AT290+AU304*AU290+AV304*AV290+AW304*AW290+AX304*AX290+AY304*AY290+AZ304*AZ290+BA304*BA290+BB304*BB290+BC304*BC290+BD304*BD290+BE304*BE290+BF304*BF290+BG304*BG290+BH304*BH290+BI304*BI290+BJ304*BJ290+BK304*BK290+BL304*BL290+BM304*BM290+BN304*BN290+BO304*BO290+BP304*BP290+BQ304*BQ290+BR304*BR290+BS304*BS290+BT304*BT290+BU304*BU290+BV304*BV290+BW304*BW290+BX304*BX290+BY304*BY290+BZ304*BZ290+CA304*CA290+CB304*CB290+CC304*CC290+CD304*CD290+CE304*CE290+CF304*CF290+CG304*CG290+CH304*CH290+CI304*CI290+CJ304*CJ290+CK304*CK290+CL304*CL290+CM304*CM290+CN304*CN290+CO304*CO290+CP304*CP290+CQ304*CQ290+CR304*CR290+CS304*CS290+CT304*CT290+CU304*CU290</f>
        <v>0</v>
      </c>
      <c r="DD290" s="2882">
        <f>E305*E290+F305*F290+G305*G290+H305*H290+I305*I290+J305*J290+K305*K290+L305*L290+M305*M290+N305*N290+O305*O290+P305*P290+Q305*Q290+R305*R290+S305*S290+T305*T290+U305*U290+V305*V290+W305*W290+X305*X290+Y305*Y290+Z305*Z290+AA305*AA290+AB305*AB290+AC305*AC290+AD305*AD290+AE305*AE290+AF305*AF290+AG305*AG290+AH305*AH290+AI305*AI290+AJ305*AJ290+AK305*AK290+AL305*AL290+AM305*AM290+AN305*AN290+AO305*AO290+AP305*AP290+AQ305*AQ290+AR305*AR290+AS305*AS290+AT305*AT290+AU305*AU290+AV305*AV290+AW305*AW290+AX305*AX290+AY305*AY290+AZ305*AZ290+BA305*BA290+BB305*BB290+BC305*BC290+BD305*BD290+BE305*BE290+BF305*BF290+BG305*BG290+BH305*BH290+BI305*BI290+BJ305*BJ290+BK305*BK290+BL305*BL290+BM305*BM290+BN305*BN290+BO305*BO290+BP305*BP290+BQ305*BQ290+BR305*BR290+BS305*BS290+BT305*BT290+BU305*BU290+BV305*BV290+BW305*BW290+BX305*BX290+BY305*BY290+BZ305*BZ290+CA305*CA290+CB305*CB290+CC305*CC290+CD305*CD290+CE305*CE290+CF305*CF290+CG305*CG290+CH305*CH290+CI305*CI290+CJ305*CJ290+CK305*CK290+CL305*CL290+CM305*CM290+CN305*CN290+CO305*CO290+CP305*CP290+CQ305*CQ290+CR305*CR290+CS305*CS290+CT305*CT290+CU305*CU290</f>
        <v>0</v>
      </c>
      <c r="DE290" s="2882">
        <f>E306*E290+F306*F290+G306*G290+H306*H290+I306*I290+J306*J290+K306*K290+L306*L290+M306*M290+N306*N290+O306*O290+P306*P290+Q306*Q290+R306*R290+S306*S290+T306*T290+U306*U290+V306*V290+W306*W290+X306*X290+Y306*Y290+Z306*Z290+AA306*AA290+AB306*AB290+AC306*AC290+AD306*AD290+AE306*AE290+AF306*AF290+AG306*AG290+AH306*AH290+AI306*AI290+AJ306*AJ290+AK306*AK290+AL306*AL290+AM306*AM290+AN306*AN290+AO306*AO290+AP306*AP290+AQ306*AQ290+AR306*AR290+AS306*AS290+AT306*AT290+AU306*AU290+AV306*AV290+AW306*AW290+AX306*AX290+AY306*AY290+AZ306*AZ290+BA306*BA290+BB306*BB290+BC306*BC290+BD306*BD290+BE306*BE290+BF306*BF290+BG306*BG290+BH306*BH290+BI306*BI290+BJ306*BJ290+BK306*BK290+BL306*BL290+BM306*BM290+BN306*BN290+BO306*BO290+BP306*BP290+BQ306*BQ290+BR306*BR290+BS306*BS290+BT306*BT290+BU306*BU290+BV306*BV290+BW306*BW290+BX306*BX290+BY306*BY290+BZ306*BZ290+CA306*CA290+CB306*CB290+CC306*CC290+CD306*CD290+CE306*CE290+CF306*CF290+CG306*CG290+CH306*CH290+CI306*CI290+CJ306*CJ290+CK306*CK290+CL306*CL290+CM306*CM290+CN306*CN290+CO306*CO290+CP306*CP290+CQ306*CQ290+CR306*CR290+CS306*CS290+CT306*CT290+CU306*CU290</f>
        <v>0</v>
      </c>
      <c r="DF290" s="2882">
        <f>E307*E290+F307*F290+G307*G290+H307*H290+I307*I290+J307*J290+K307*K290+L307*L290+M307*M290+N307*N290+O307*O290+P307*P290+Q307*Q290+R307*R290+S307*S290+T307*T290+U307*U290+V307*V290+W307*W290+X307*X290+Y307*Y290+Z307*Z290+AA307*AA290+AB307*AB290+AC307*AC290+AD307*AD290+AE307*AE290+AF307*AF290+AG307*AG290+AH307*AH290+AI307*AI290+AJ307*AJ290+AK307*AK290+AL307*AL290+AM307*AM290+AN307*AN290+AO307*AO290+AP307*AP290+AQ307*AQ290+AR307*AR290+AS307*AS290+AT307*AT290+AU307*AU290+AV307*AV290+AW307*AW290+AX307*AX290+AY307*AY290+AZ307*AZ290+BA307*BA290+BB307*BB290+BC307*BC290+BD307*BD290+BE307*BE290+BF307*BF290+BG307*BG290+BH307*BH290+BI307*BI290+BJ307*BJ290+BK307*BK290+BL307*BL290+BM307*BM290+BN307*BN290+BO307*BO290+BP307*BP290+BQ307*BQ290+BR307*BR290+BS307*BS290+BT307*BT290+BU307*BU290+BV307*BV290+BW307*BW290+BX307*BX290+BY307*BY290+BZ307*BZ290+CA307*CA290+CB307*CB290+CC307*CC290+CD307*CD290+CE307*CE290+CF307*CF290+CG307*CG290+CH307*CH290+CI307*CI290+CJ307*CJ290+CK307*CK290+CL307*CL290+CM307*CM290+CN307*CN290+CO307*CO290+CP307*CP290+CQ307*CQ290+CR307*CR290+CS307*CS290+CT307*CT290+CU307*CU290</f>
        <v>0</v>
      </c>
      <c r="DG290" s="2882">
        <f>E308*E290+F308*F290+G308*G290+H308*H290+I308*I290+J308*J290+K308*K290+L308*L290+M308*M290+N308*N290+O308*O290+P308*P290+Q308*Q290+R308*R290+S308*S290+T308*T290+U308*U290+V308*V290+W308*W290+X308*X290+Y308*Y290+Z308*Z290+AA308*AA290+AB308*AB290+AC308*AC290+AD308*AD290+AE308*AE290+AF308*AF290+AG308*AG290+AH308*AH290+AI308*AI290+AJ308*AJ290+AK308*AK290+AL308*AL290+AM308*AM290+AN308*AN290+AO308*AO290+AP308*AP290+AQ308*AQ290+AR308*AR290+AS308*AS290+AT308*AT290+AU308*AU290+AV308*AV290+AW308*AW290+AX308*AX290+AY308*AY290+AZ308*AZ290+BA308*BA290+BB308*BB290+BC308*BC290+BD308*BD290+BE308*BE290+BF308*BF290+BG308*BG290+BH308*BH290+BI308*BI290+BJ308*BJ290+BK308*BK290+BL308*BL290+BM308*BM290+BN308*BN290+BO308*BO290+BP308*BP290+BQ308*BQ290+BR308*BR290+BS308*BS290+BT308*BT290+BU308*BU290+BV308*BV290+BW308*BW290+BX308*BX290+BY308*BY290+BZ308*BZ290+CA308*CA290+CB308*CB290+CC308*CC290+CD308*CD290+CE308*CE290+CF308*CF290+CG308*CG290+CH308*CH290+CI308*CI290+CJ308*CJ290+CK308*CK290+CL308*CL290+CM308*CM290+CN308*CN290+CO308*CO290+CP308*CP290+CQ308*CQ290+CR308*CR290+CS308*CS290+CT308*CT290+CU308*CU290</f>
        <v>0</v>
      </c>
      <c r="DH290" s="2882">
        <f>E309*E290+F309*F290+G309*G290+H309*H290+I309*I290+J309*J290+K309*K290+L309*L290+M309*M290+N309*N290+O309*O290+P309*P290+Q309*Q290+R309*R290+S309*S290+T309*T290+U309*U290+V309*V290+W309*W290+X309*X290+Y309*Y290+Z309*Z290+AA309*AA290+AB309*AB290+AC309*AC290+AD309*AD290+AE309*AE290+AF309*AF290+AG309*AG290+AH309*AH290+AI309*AI290+AJ309*AJ290+AK309*AK290+AL309*AL290+AM309*AM290+AN309*AN290+AO309*AO290+AP309*AP290+AQ309*AQ290+AR309*AR290+AS309*AS290+AT309*AT290+AU309*AU290+AV309*AV290+AW309*AW290+AX309*AX290+AY309*AY290+AZ309*AZ290+BA309*BA290+BB309*BB290+BC309*BC290+BD309*BD290+BE309*BE290+BF309*BF290+BG309*BG290+BH309*BH290+BI309*BI290+BJ309*BJ290+BK309*BK290+BL309*BL290+BM309*BM290+BN309*BN290+BO309*BO290+BP309*BP290+BQ309*BQ290+BR309*BR290+BS309*BS290+BT309*BT290+BU309*BU290+BV309*BV290+BW309*BW290+BX309*BX290+BY309*BY290+BZ309*BZ290+CA309*CA290+CB309*CB290+CC309*CC290+CD309*CD290+CE309*CE290+CF309*CF290+CG309*CG290+CH309*CH290+CI309*CI290+CJ309*CJ290+CK309*CK290+CL309*CL290+CM309*CM290+CN309*CN290+CO309*CO290+CP309*CP290+CQ309*CQ290+CR309*CR290+CS309*CS290+CT309*CT290+CU309*CU290</f>
        <v>0</v>
      </c>
      <c r="DI290" s="2882">
        <f>E310*E290+F310*F290+G310*G290+H310*H290+I310*I290+J310*J290+K310*K290+L310*L290+M310*M290+N310*N290+O310*O290+P310*P290+Q310*Q290+R310*R290+S310*S290+T310*T290+U310*U290+V310*V290+W310*W290+X310*X290+Y310*Y290+Z310*Z290+AA310*AA290+AB310*AB290+AC310*AC290+AD310*AD290+AE310*AE290+AF310*AF290+AG310*AG290+AH310*AH290+AI310*AI290+AJ310*AJ290+AK310*AK290+AL310*AL290+AM310*AM290+AN310*AN290+AO310*AO290+AP310*AP290+AQ310*AQ290+AR310*AR290+AS310*AS290+AT310*AT290+AU310*AU290+AV310*AV290+AW310*AW290+AX310*AX290+AY310*AY290+AZ310*AZ290+BA310*BA290+BB310*BB290+BC310*BC290+BD310*BD290+BE310*BE290+BF310*BF290+BG310*BG290+BH310*BH290+BI310*BI290+BJ310*BJ290+BK310*BK290+BL310*BL290+BM310*BM290+BN310*BN290+BO310*BO290+BP310*BP290+BQ310*BQ290+BR310*BR290+BS310*BS290+BT310*BT290+BU310*BU290+BV310*BV290+BW310*BW290+BX310*BX290+BY310*BY290+BZ310*BZ290+CA310*CA290+CB310*CB290+CC310*CC290+CD310*CD290+CE310*CE290+CF310*CF290+CG310*CG290+CH310*CH290+CI310*CI290+CJ310*CJ290+CK310*CK290+CL310*CL290+CM310*CM290+CN310*CN290+CO310*CO290+CP310*CP290+CQ310*CQ290+CR310*CR290+CS310*CS290+CT310*CT290+CU310*CU290</f>
        <v>0</v>
      </c>
    </row>
    <row r="291" spans="2:113" ht="14.65" thickBot="1" x14ac:dyDescent="0.5">
      <c r="B291" s="2221">
        <v>132</v>
      </c>
      <c r="C291" s="2221" t="s">
        <v>5810</v>
      </c>
      <c r="D291" s="2212" t="s">
        <v>5489</v>
      </c>
      <c r="E291" s="737">
        <f>0</f>
        <v>0</v>
      </c>
      <c r="F291" s="737">
        <f>0</f>
        <v>0</v>
      </c>
      <c r="G291" s="737">
        <f>0</f>
        <v>0</v>
      </c>
      <c r="H291" s="737">
        <f>0</f>
        <v>0</v>
      </c>
      <c r="I291" s="737">
        <f>0</f>
        <v>0</v>
      </c>
      <c r="J291" s="737">
        <f>0</f>
        <v>0</v>
      </c>
      <c r="K291" s="737">
        <f>0</f>
        <v>0</v>
      </c>
      <c r="L291" s="737">
        <f>0</f>
        <v>0</v>
      </c>
      <c r="M291" s="737">
        <f>0</f>
        <v>0</v>
      </c>
      <c r="N291" s="737">
        <f>0</f>
        <v>0</v>
      </c>
      <c r="O291" s="737">
        <f>0</f>
        <v>0</v>
      </c>
      <c r="P291" s="737">
        <f>0</f>
        <v>0</v>
      </c>
      <c r="Q291" s="738">
        <f>0</f>
        <v>0</v>
      </c>
      <c r="R291" s="737">
        <f>0</f>
        <v>0</v>
      </c>
      <c r="S291" s="737">
        <f>0</f>
        <v>0</v>
      </c>
      <c r="T291" s="737">
        <f>0</f>
        <v>0</v>
      </c>
      <c r="U291" s="737">
        <f>0</f>
        <v>0</v>
      </c>
      <c r="V291" s="737">
        <f>0</f>
        <v>0</v>
      </c>
      <c r="W291" s="737">
        <f>0</f>
        <v>0</v>
      </c>
      <c r="X291" s="737">
        <f>0</f>
        <v>0</v>
      </c>
      <c r="Y291" s="737">
        <f>0</f>
        <v>0</v>
      </c>
      <c r="Z291" s="737">
        <f>0</f>
        <v>0</v>
      </c>
      <c r="AA291" s="737">
        <f>0</f>
        <v>0</v>
      </c>
      <c r="AB291" s="738">
        <f>0</f>
        <v>0</v>
      </c>
      <c r="AC291" s="738">
        <f>0</f>
        <v>0</v>
      </c>
      <c r="AD291" s="737">
        <f>0</f>
        <v>0</v>
      </c>
      <c r="AE291" s="737">
        <f>0</f>
        <v>0</v>
      </c>
      <c r="AF291" s="737">
        <f>0</f>
        <v>0</v>
      </c>
      <c r="AG291" s="737">
        <f>0</f>
        <v>0</v>
      </c>
      <c r="AH291" s="737">
        <f>0</f>
        <v>0</v>
      </c>
      <c r="AI291" s="737">
        <f>0</f>
        <v>0</v>
      </c>
      <c r="AJ291" s="737">
        <f>0</f>
        <v>0</v>
      </c>
      <c r="AK291" s="737">
        <f>0</f>
        <v>0</v>
      </c>
      <c r="AL291" s="737">
        <f>0</f>
        <v>0</v>
      </c>
      <c r="AM291" s="738">
        <f>0</f>
        <v>0</v>
      </c>
      <c r="AN291" s="737">
        <f>0</f>
        <v>0</v>
      </c>
      <c r="AO291" s="737">
        <f>0</f>
        <v>0</v>
      </c>
      <c r="AP291" s="737">
        <f>0</f>
        <v>0</v>
      </c>
      <c r="AQ291" s="737">
        <f>0</f>
        <v>0</v>
      </c>
      <c r="AR291" s="737">
        <f>0</f>
        <v>0</v>
      </c>
      <c r="AS291" s="737">
        <f>0</f>
        <v>0</v>
      </c>
      <c r="AT291" s="737">
        <f>0</f>
        <v>0</v>
      </c>
      <c r="AU291" s="737">
        <f>0</f>
        <v>0</v>
      </c>
      <c r="AV291" s="737">
        <f>0</f>
        <v>0</v>
      </c>
      <c r="AW291" s="737">
        <f>0</f>
        <v>0</v>
      </c>
      <c r="AX291" s="737">
        <f>0</f>
        <v>0</v>
      </c>
      <c r="AY291" s="737">
        <f>0</f>
        <v>0</v>
      </c>
      <c r="AZ291" s="738">
        <f>0</f>
        <v>0</v>
      </c>
      <c r="BA291" s="737">
        <f>0</f>
        <v>0</v>
      </c>
      <c r="BB291" s="738">
        <f>-A_MS/M_MFeS</f>
        <v>-0.36474803776589693</v>
      </c>
      <c r="BC291" s="737">
        <f>0</f>
        <v>0</v>
      </c>
      <c r="BD291" s="737">
        <f>0</f>
        <v>0</v>
      </c>
      <c r="BE291" s="738">
        <f>-A_MFe/M_MFeS</f>
        <v>-0.63525196223410307</v>
      </c>
      <c r="BF291" s="737">
        <f>0</f>
        <v>0</v>
      </c>
      <c r="BG291" s="737">
        <f>0</f>
        <v>0</v>
      </c>
      <c r="BH291" s="738">
        <f>0</f>
        <v>0</v>
      </c>
      <c r="BI291" s="738">
        <f>0</f>
        <v>0</v>
      </c>
      <c r="BJ291" s="737">
        <f>0</f>
        <v>0</v>
      </c>
      <c r="BK291" s="738">
        <f>0</f>
        <v>0</v>
      </c>
      <c r="BL291" s="738">
        <f>0</f>
        <v>0</v>
      </c>
      <c r="BM291" s="737">
        <f>0</f>
        <v>0</v>
      </c>
      <c r="BN291" s="737">
        <f>0</f>
        <v>0</v>
      </c>
      <c r="BO291" s="738">
        <f>0</f>
        <v>0</v>
      </c>
      <c r="BP291" s="738">
        <f>0</f>
        <v>0</v>
      </c>
      <c r="BQ291" s="737">
        <f>0</f>
        <v>0</v>
      </c>
      <c r="BR291" s="738">
        <f>0</f>
        <v>0</v>
      </c>
      <c r="BS291" s="738">
        <f>0</f>
        <v>0</v>
      </c>
      <c r="BT291" s="738">
        <f>0</f>
        <v>0</v>
      </c>
      <c r="BU291" s="738">
        <f>0</f>
        <v>0</v>
      </c>
      <c r="BV291" s="738">
        <f>0</f>
        <v>0</v>
      </c>
      <c r="BW291" s="738">
        <f>0</f>
        <v>0</v>
      </c>
      <c r="BX291" s="738">
        <f>0</f>
        <v>0</v>
      </c>
      <c r="BY291" s="738">
        <f>1</f>
        <v>1</v>
      </c>
      <c r="BZ291" s="738">
        <f>0</f>
        <v>0</v>
      </c>
      <c r="CA291" s="738">
        <f>0</f>
        <v>0</v>
      </c>
      <c r="CB291" s="738">
        <f>0</f>
        <v>0</v>
      </c>
      <c r="CC291" s="738">
        <f>0</f>
        <v>0</v>
      </c>
      <c r="CD291" s="738">
        <f>0</f>
        <v>0</v>
      </c>
      <c r="CE291" s="738">
        <f>0</f>
        <v>0</v>
      </c>
      <c r="CF291" s="738">
        <f>0</f>
        <v>0</v>
      </c>
      <c r="CG291" s="738">
        <f>0</f>
        <v>0</v>
      </c>
      <c r="CH291" s="738">
        <f>0</f>
        <v>0</v>
      </c>
      <c r="CI291" s="738">
        <f>0</f>
        <v>0</v>
      </c>
      <c r="CJ291" s="738">
        <f>0</f>
        <v>0</v>
      </c>
      <c r="CK291" s="738">
        <f>0</f>
        <v>0</v>
      </c>
      <c r="CL291" s="738">
        <f>0</f>
        <v>0</v>
      </c>
      <c r="CM291" s="738">
        <f>0</f>
        <v>0</v>
      </c>
      <c r="CN291" s="738">
        <f>0</f>
        <v>0</v>
      </c>
      <c r="CO291" s="738">
        <f>0</f>
        <v>0</v>
      </c>
      <c r="CP291" s="738">
        <f>0</f>
        <v>0</v>
      </c>
      <c r="CQ291" s="738">
        <f>0</f>
        <v>0</v>
      </c>
      <c r="CR291" s="738">
        <f>0</f>
        <v>0</v>
      </c>
      <c r="CS291" s="738">
        <f>0</f>
        <v>0</v>
      </c>
      <c r="CT291" s="738">
        <f>0</f>
        <v>0</v>
      </c>
      <c r="CU291" s="738">
        <f>0</f>
        <v>0</v>
      </c>
      <c r="CV291" s="2867">
        <f>q_FeS*P_recipDrivingForceFeS^2</f>
        <v>-2E-55</v>
      </c>
      <c r="CX291" s="2880">
        <f>E299*E291+F299*F291+G299*G291+H299*H291+I299*I291+J299*J291+K299*K291+L299*L291+M299*M291+N299*N291+O299*O291+P299*P291+Q299*Q291+R299*R291+S299*S291+T299*T291+U299*U291+V299*V291+W299*W291+X299*X291+Y299*Y291+Z299*Z291+AA299*AA291+AB299*AB291+AC299*AC291+AD299*AD291+AE299*AE291+AF299*AF291+AG299*AG291+AH299*AH291+AI299*AI291+AJ299*AJ291+AK299*AK291+AL299*AL291+AM299*AM291+AN299*AN291+AO299*AO291+AP299*AP291+AQ299*AQ291+AR299*AR291+AS299*AS291+AT299*AT291+AU299*AU291+AV299*AV291+AW299*AW291+AX299*AX291+AY299*AY291+AZ299*AZ291+BA299*BA291+BB299*BB291+BC299*BC291+BD299*BD291+BE299*BE291+BF299*BF291+BG299*BG291+BH299*BH291+BI299*BI291+BJ299*BJ291+BK299*BK291+BL299*BL291+BM299*BM291+BN299*BN291+BO299*BO291+BP299*BP291+BQ299*BQ291+BR299*BR291+BS299*BS291+BT299*BT291+BU299*BU291+BV299*BV291+BW299*BW291+BX299*BX291+BY299*BY291+BZ299*BZ291+CA299*CA291+CB299*CB291+CC299*CC291+CD299*CD291+CE299*CE291+CF299*CF291+CG299*CG291+CH299*CH291+CI299*CI291+CJ299*CJ291+CK299*CK291+CL299*CL291+CM299*CM291+CN299*CN291+CO299*CO291+CP299*CP291+CQ299*CQ291+CR299*CR291+CS299*CS291+CT299*CT291+CU299*CU291</f>
        <v>0</v>
      </c>
      <c r="CY291" s="2880">
        <f>E300*E291+F300*F291+G300*G291+H300*H291+I300*I291+J300*J291+K300*K291+L300*L291+M300*M291+N300*N291+O300*O291+P300*P291+Q300*Q291+R300*R291+S300*S291+T300*T291+U300*U291+V300*V291+W300*W291+X300*X291+Y300*Y291+Z300*Z291+AA300*AA291+AB300*AB291+AC300*AC291+AD300*AD291+AE300*AE291+AF300*AF291+AG300*AG291+AH300*AH291+AI300*AI291+AJ300*AJ291+AK300*AK291+AL300*AL291+AM300*AM291+AN300*AN291+AO300*AO291+AP300*AP291+AQ300*AQ291+AR300*AR291+AS300*AS291+AT300*AT291+AU300*AU291+AV300*AV291+AW300*AW291+AX300*AX291+AY300*AY291+AZ300*AZ291+BA300*BA291+BB300*BB291+BC300*BC291+BD300*BD291+BE300*BE291+BF300*BF291+BG300*BG291+BH300*BH291+BI300*BI291+BJ300*BJ291+BK300*BK291+BL300*BL291+BM300*BM291+BN300*BN291+BO300*BO291+BP300*BP291+BQ300*BQ291+BR300*BR291+BS300*BS291+BT300*BT291+BU300*BU291+BV300*BV291+BW300*BW291+BX300*BX291+BY300*BY291+BZ300*BZ291+CA300*CA291+CB300*CB291+CC300*CC291+CD300*CD291+CE300*CE291+CF300*CF291+CG300*CG291+CH300*CH291+CI300*CI291+CJ300*CJ291+CK300*CK291+CL300*CL291+CM300*CM291+CN300*CN291+CO300*CO291+CP300*CP291+CQ300*CQ291+CR300*CR291+CS300*CS291+CT300*CT291+CU300*CU291</f>
        <v>0</v>
      </c>
      <c r="CZ291" s="2881">
        <f>E301*E291+F301*F291+G301*G291+H301*H291+I301*I291+J301*J291+K301*K291+L301*L291+M301*M291+N301*N291+O301*O291+P301*P291+Q301*Q291+R301*R291+S301*S291+T301*T291+U301*U291+V301*V291+W301*W291+X301*X291+Y301*Y291+Z301*Z291+AA301*AA291+AB301*AB291+AC301*AC291+AD301*AD291+AE301*AE291+AF301*AF291+AG301*AG291+AH301*AH291+AI301*AI291+AJ301*AJ291+AK301*AK291+AL301*AL291+AM301*AM291+AN301*AN291+AO301*AO291+AP301*AP291+AQ301*AQ291+AR301*AR291+AS301*AS291+AT301*AT291+AU301*AU291+AV301*AV291+AW301*AW291+AX301*AX291+AY301*AY291+AZ301*AZ291+BA301*BA291+BB301*BB291+BC301*BC291+BD301*BD291+BE301*BE291+BF301*BF291+BG301*BG291+BH301*BH291+BI301*BI291+BJ301*BJ291+BK301*BK291+BL301*BL291+BM301*BM291+BN301*BN291+BO301*BO291+BP301*BP291+BQ301*BQ291+BR301*BR291+BS301*BS291+BT301*BT291+BU301*BU291+BV301*BV291+BW301*BW291+BX301*BX291+BY301*BY291+BZ301*BZ291+CA301*CA291+CB301*CB291+CC301*CC291+CD301*CD291+CE301*CE291+CF301*CF291+CG301*CG291+CH301*CH291+CI301*CI291+CJ301*CJ291+CK301*CK291+CL301*CL291+CM301*CM291+CN301*CN291+CO301*CO291+CP301*CP291+CQ301*CQ291+CR301*CR291+CS301*CS291+CT301*CT291+CU301*CU291</f>
        <v>0</v>
      </c>
      <c r="DA291" s="2882">
        <f>E302*E291+F302*F291+G302*G291+H302*H291+I302*I291+J302*J291+K302*K291+L302*L291+M302*M291+N302*N291+O302*O291+P302*P291+Q302*Q291+R302*R291+S302*S291+T302*T291+U302*U291+V302*V291+W302*W291+X302*X291+Y302*Y291+Z302*Z291+AA302*AA291+AB302*AB291+AC302*AC291+AD302*AD291+AE302*AE291+AF302*AF291+AG302*AG291+AH302*AH291+AI302*AI291+AJ302*AJ291+AK302*AK291+AL302*AL291+AM302*AM291+AN302*AN291+AO302*AO291+AP302*AP291+AQ302*AQ291+AR302*AR291+AS302*AS291+AT302*AT291+AU302*AU291+AV302*AV291+AW302*AW291+AX302*AX291+AY302*AY291+AZ302*AZ291+BA302*BA291+BB302*BB291+BC302*BC291+BD302*BD291+BE302*BE291+BF302*BF291+BG302*BG291+BH302*BH291+BI302*BI291+BJ302*BJ291+BK302*BK291+BL302*BL291+BM302*BM291+BN302*BN291+BO302*BO291+BP302*BP291+BQ302*BQ291+BR302*BR291+BS302*BS291+BT302*BT291+BU302*BU291+BV302*BV291+BW302*BW291+BX302*BX291+BY302*BY291+BZ302*BZ291+CA302*CA291+CB302*CB291+CC302*CC291+CD302*CD291+CE302*CE291+CF302*CF291+CG302*CG291+CH302*CH291+CI302*CI291+CJ302*CJ291+CK302*CK291+CL302*CL291+CM302*CM291+CN302*CN291+CO302*CO291+CP302*CP291+CQ302*CQ291+CR302*CR291+CS302*CS291+CT302*CT291+CU302*CU291</f>
        <v>0</v>
      </c>
      <c r="DB291" s="2882">
        <f>E303*E291+F303*F291+G303*G291+H303*H291+I303*I291+J303*J291+K303*K291+L303*L291+M303*M291+N303*N291+O303*O291+P303*P291+Q303*Q291+R303*R291+S303*S291+T303*T291+U303*U291+V303*V291+W303*W291+X303*X291+Y303*Y291+Z303*Z291+AA303*AA291+AB303*AB291+AC303*AC291+AD303*AD291+AE303*AE291+AF303*AF291+AG303*AG291+AH303*AH291+AI303*AI291+AJ303*AJ291+AK303*AK291+AL303*AL291+AM303*AM291+AN303*AN291+AO303*AO291+AP303*AP291+AQ303*AQ291+AR303*AR291+AS303*AS291+AT303*AT291+AU303*AU291+AV303*AV291+AW303*AW291+AX303*AX291+AY303*AY291+AZ303*AZ291+BA303*BA291+BB303*BB291+BC303*BC291+BD303*BD291+BE303*BE291+BF303*BF291+BG303*BG291+BH303*BH291+BI303*BI291+BJ303*BJ291+BK303*BK291+BL303*BL291+BM303*BM291+BN303*BN291+BO303*BO291+BP303*BP291+BQ303*BQ291+BR303*BR291+BS303*BS291+BT303*BT291+BU303*BU291+BV303*BV291+BW303*BW291+BX303*BX291+BY303*BY291+BZ303*BZ291+CA303*CA291+CB303*CB291+CC303*CC291+CD303*CD291+CE303*CE291+CF303*CF291+CG303*CG291+CH303*CH291+CI303*CI291+CJ303*CJ291+CK303*CK291+CL303*CL291+CM303*CM291+CN303*CN291+CO303*CO291+CP303*CP291+CQ303*CQ291+CR303*CR291+CS303*CS291+CT303*CT291+CU303*CU291</f>
        <v>0</v>
      </c>
      <c r="DC291" s="2882">
        <f>E304*E291+F304*F291+G304*G291+H304*H291+I304*I291+J304*J291+K304*K291+L304*L291+M304*M291+N304*N291+O304*O291+P304*P291+Q304*Q291+R304*R291+S304*S291+T304*T291+U304*U291+V304*V291+W304*W291+X304*X291+Y304*Y291+Z304*Z291+AA304*AA291+AB304*AB291+AC304*AC291+AD304*AD291+AE304*AE291+AF304*AF291+AG304*AG291+AH304*AH291+AI304*AI291+AJ304*AJ291+AK304*AK291+AL304*AL291+AM304*AM291+AN304*AN291+AO304*AO291+AP304*AP291+AQ304*AQ291+AR304*AR291+AS304*AS291+AT304*AT291+AU304*AU291+AV304*AV291+AW304*AW291+AX304*AX291+AY304*AY291+AZ304*AZ291+BA304*BA291+BB304*BB291+BC304*BC291+BD304*BD291+BE304*BE291+BF304*BF291+BG304*BG291+BH304*BH291+BI304*BI291+BJ304*BJ291+BK304*BK291+BL304*BL291+BM304*BM291+BN304*BN291+BO304*BO291+BP304*BP291+BQ304*BQ291+BR304*BR291+BS304*BS291+BT304*BT291+BU304*BU291+BV304*BV291+BW304*BW291+BX304*BX291+BY304*BY291+BZ304*BZ291+CA304*CA291+CB304*CB291+CC304*CC291+CD304*CD291+CE304*CE291+CF304*CF291+CG304*CG291+CH304*CH291+CI304*CI291+CJ304*CJ291+CK304*CK291+CL304*CL291+CM304*CM291+CN304*CN291+CO304*CO291+CP304*CP291+CQ304*CQ291+CR304*CR291+CS304*CS291+CT304*CT291+CU304*CU291</f>
        <v>0</v>
      </c>
      <c r="DD291" s="2882">
        <f>E305*E291+F305*F291+G305*G291+H305*H291+I305*I291+J305*J291+K305*K291+L305*L291+M305*M291+N305*N291+O305*O291+P305*P291+Q305*Q291+R305*R291+S305*S291+T305*T291+U305*U291+V305*V291+W305*W291+X305*X291+Y305*Y291+Z305*Z291+AA305*AA291+AB305*AB291+AC305*AC291+AD305*AD291+AE305*AE291+AF305*AF291+AG305*AG291+AH305*AH291+AI305*AI291+AJ305*AJ291+AK305*AK291+AL305*AL291+AM305*AM291+AN305*AN291+AO305*AO291+AP305*AP291+AQ305*AQ291+AR305*AR291+AS305*AS291+AT305*AT291+AU305*AU291+AV305*AV291+AW305*AW291+AX305*AX291+AY305*AY291+AZ305*AZ291+BA305*BA291+BB305*BB291+BC305*BC291+BD305*BD291+BE305*BE291+BF305*BF291+BG305*BG291+BH305*BH291+BI305*BI291+BJ305*BJ291+BK305*BK291+BL305*BL291+BM305*BM291+BN305*BN291+BO305*BO291+BP305*BP291+BQ305*BQ291+BR305*BR291+BS305*BS291+BT305*BT291+BU305*BU291+BV305*BV291+BW305*BW291+BX305*BX291+BY305*BY291+BZ305*BZ291+CA305*CA291+CB305*CB291+CC305*CC291+CD305*CD291+CE305*CE291+CF305*CF291+CG305*CG291+CH305*CH291+CI305*CI291+CJ305*CJ291+CK305*CK291+CL305*CL291+CM305*CM291+CN305*CN291+CO305*CO291+CP305*CP291+CQ305*CQ291+CR305*CR291+CS305*CS291+CT305*CT291+CU305*CU291</f>
        <v>0</v>
      </c>
      <c r="DE291" s="2882">
        <f>E306*E291+F306*F291+G306*G291+H306*H291+I306*I291+J306*J291+K306*K291+L306*L291+M306*M291+N306*N291+O306*O291+P306*P291+Q306*Q291+R306*R291+S306*S291+T306*T291+U306*U291+V306*V291+W306*W291+X306*X291+Y306*Y291+Z306*Z291+AA306*AA291+AB306*AB291+AC306*AC291+AD306*AD291+AE306*AE291+AF306*AF291+AG306*AG291+AH306*AH291+AI306*AI291+AJ306*AJ291+AK306*AK291+AL306*AL291+AM306*AM291+AN306*AN291+AO306*AO291+AP306*AP291+AQ306*AQ291+AR306*AR291+AS306*AS291+AT306*AT291+AU306*AU291+AV306*AV291+AW306*AW291+AX306*AX291+AY306*AY291+AZ306*AZ291+BA306*BA291+BB306*BB291+BC306*BC291+BD306*BD291+BE306*BE291+BF306*BF291+BG306*BG291+BH306*BH291+BI306*BI291+BJ306*BJ291+BK306*BK291+BL306*BL291+BM306*BM291+BN306*BN291+BO306*BO291+BP306*BP291+BQ306*BQ291+BR306*BR291+BS306*BS291+BT306*BT291+BU306*BU291+BV306*BV291+BW306*BW291+BX306*BX291+BY306*BY291+BZ306*BZ291+CA306*CA291+CB306*CB291+CC306*CC291+CD306*CD291+CE306*CE291+CF306*CF291+CG306*CG291+CH306*CH291+CI306*CI291+CJ306*CJ291+CK306*CK291+CL306*CL291+CM306*CM291+CN306*CN291+CO306*CO291+CP306*CP291+CQ306*CQ291+CR306*CR291+CS306*CS291+CT306*CT291+CU306*CU291</f>
        <v>0</v>
      </c>
      <c r="DF291" s="2882">
        <f>E307*E291+F307*F291+G307*G291+H307*H291+I307*I291+J307*J291+K307*K291+L307*L291+M307*M291+N307*N291+O307*O291+P307*P291+Q307*Q291+R307*R291+S307*S291+T307*T291+U307*U291+V307*V291+W307*W291+X307*X291+Y307*Y291+Z307*Z291+AA307*AA291+AB307*AB291+AC307*AC291+AD307*AD291+AE307*AE291+AF307*AF291+AG307*AG291+AH307*AH291+AI307*AI291+AJ307*AJ291+AK307*AK291+AL307*AL291+AM307*AM291+AN307*AN291+AO307*AO291+AP307*AP291+AQ307*AQ291+AR307*AR291+AS307*AS291+AT307*AT291+AU307*AU291+AV307*AV291+AW307*AW291+AX307*AX291+AY307*AY291+AZ307*AZ291+BA307*BA291+BB307*BB291+BC307*BC291+BD307*BD291+BE307*BE291+BF307*BF291+BG307*BG291+BH307*BH291+BI307*BI291+BJ307*BJ291+BK307*BK291+BL307*BL291+BM307*BM291+BN307*BN291+BO307*BO291+BP307*BP291+BQ307*BQ291+BR307*BR291+BS307*BS291+BT307*BT291+BU307*BU291+BV307*BV291+BW307*BW291+BX307*BX291+BY307*BY291+BZ307*BZ291+CA307*CA291+CB307*CB291+CC307*CC291+CD307*CD291+CE307*CE291+CF307*CF291+CG307*CG291+CH307*CH291+CI307*CI291+CJ307*CJ291+CK307*CK291+CL307*CL291+CM307*CM291+CN307*CN291+CO307*CO291+CP307*CP291+CQ307*CQ291+CR307*CR291+CS307*CS291+CT307*CT291+CU307*CU291</f>
        <v>0</v>
      </c>
      <c r="DG291" s="2882">
        <f>E308*E291+F308*F291+G308*G291+H308*H291+I308*I291+J308*J291+K308*K291+L308*L291+M308*M291+N308*N291+O308*O291+P308*P291+Q308*Q291+R308*R291+S308*S291+T308*T291+U308*U291+V308*V291+W308*W291+X308*X291+Y308*Y291+Z308*Z291+AA308*AA291+AB308*AB291+AC308*AC291+AD308*AD291+AE308*AE291+AF308*AF291+AG308*AG291+AH308*AH291+AI308*AI291+AJ308*AJ291+AK308*AK291+AL308*AL291+AM308*AM291+AN308*AN291+AO308*AO291+AP308*AP291+AQ308*AQ291+AR308*AR291+AS308*AS291+AT308*AT291+AU308*AU291+AV308*AV291+AW308*AW291+AX308*AX291+AY308*AY291+AZ308*AZ291+BA308*BA291+BB308*BB291+BC308*BC291+BD308*BD291+BE308*BE291+BF308*BF291+BG308*BG291+BH308*BH291+BI308*BI291+BJ308*BJ291+BK308*BK291+BL308*BL291+BM308*BM291+BN308*BN291+BO308*BO291+BP308*BP291+BQ308*BQ291+BR308*BR291+BS308*BS291+BT308*BT291+BU308*BU291+BV308*BV291+BW308*BW291+BX308*BX291+BY308*BY291+BZ308*BZ291+CA308*CA291+CB308*CB291+CC308*CC291+CD308*CD291+CE308*CE291+CF308*CF291+CG308*CG291+CH308*CH291+CI308*CI291+CJ308*CJ291+CK308*CK291+CL308*CL291+CM308*CM291+CN308*CN291+CO308*CO291+CP308*CP291+CQ308*CQ291+CR308*CR291+CS308*CS291+CT308*CT291+CU308*CU291</f>
        <v>0</v>
      </c>
      <c r="DH291" s="2882">
        <f>E309*E291+F309*F291+G309*G291+H309*H291+I309*I291+J309*J291+K309*K291+L309*L291+M309*M291+N309*N291+O309*O291+P309*P291+Q309*Q291+R309*R291+S309*S291+T309*T291+U309*U291+V309*V291+W309*W291+X309*X291+Y309*Y291+Z309*Z291+AA309*AA291+AB309*AB291+AC309*AC291+AD309*AD291+AE309*AE291+AF309*AF291+AG309*AG291+AH309*AH291+AI309*AI291+AJ309*AJ291+AK309*AK291+AL309*AL291+AM309*AM291+AN309*AN291+AO309*AO291+AP309*AP291+AQ309*AQ291+AR309*AR291+AS309*AS291+AT309*AT291+AU309*AU291+AV309*AV291+AW309*AW291+AX309*AX291+AY309*AY291+AZ309*AZ291+BA309*BA291+BB309*BB291+BC309*BC291+BD309*BD291+BE309*BE291+BF309*BF291+BG309*BG291+BH309*BH291+BI309*BI291+BJ309*BJ291+BK309*BK291+BL309*BL291+BM309*BM291+BN309*BN291+BO309*BO291+BP309*BP291+BQ309*BQ291+BR309*BR291+BS309*BS291+BT309*BT291+BU309*BU291+BV309*BV291+BW309*BW291+BX309*BX291+BY309*BY291+BZ309*BZ291+CA309*CA291+CB309*CB291+CC309*CC291+CD309*CD291+CE309*CE291+CF309*CF291+CG309*CG291+CH309*CH291+CI309*CI291+CJ309*CJ291+CK309*CK291+CL309*CL291+CM309*CM291+CN309*CN291+CO309*CO291+CP309*CP291+CQ309*CQ291+CR309*CR291+CS309*CS291+CT309*CT291+CU309*CU291</f>
        <v>0</v>
      </c>
      <c r="DI291" s="2882">
        <f>E310*E291+F310*F291+G310*G291+H310*H291+I310*I291+J310*J291+K310*K291+L310*L291+M310*M291+N310*N291+O310*O291+P310*P291+Q310*Q291+R310*R291+S310*S291+T310*T291+U310*U291+V310*V291+W310*W291+X310*X291+Y310*Y291+Z310*Z291+AA310*AA291+AB310*AB291+AC310*AC291+AD310*AD291+AE310*AE291+AF310*AF291+AG310*AG291+AH310*AH291+AI310*AI291+AJ310*AJ291+AK310*AK291+AL310*AL291+AM310*AM291+AN310*AN291+AO310*AO291+AP310*AP291+AQ310*AQ291+AR310*AR291+AS310*AS291+AT310*AT291+AU310*AU291+AV310*AV291+AW310*AW291+AX310*AX291+AY310*AY291+AZ310*AZ291+BA310*BA291+BB310*BB291+BC310*BC291+BD310*BD291+BE310*BE291+BF310*BF291+BG310*BG291+BH310*BH291+BI310*BI291+BJ310*BJ291+BK310*BK291+BL310*BL291+BM310*BM291+BN310*BN291+BO310*BO291+BP310*BP291+BQ310*BQ291+BR310*BR291+BS310*BS291+BT310*BT291+BU310*BU291+BV310*BV291+BW310*BW291+BX310*BX291+BY310*BY291+BZ310*BZ291+CA310*CA291+CB310*CB291+CC310*CC291+CD310*CD291+CE310*CE291+CF310*CF291+CG310*CG291+CH310*CH291+CI310*CI291+CJ310*CJ291+CK310*CK291+CL310*CL291+CM310*CM291+CN310*CN291+CO310*CO291+CP310*CP291+CQ310*CQ291+CR310*CR291+CS310*CS291+CT310*CT291+CU310*CU291</f>
        <v>0</v>
      </c>
    </row>
    <row r="292" spans="2:113" x14ac:dyDescent="0.45">
      <c r="B292" s="2219">
        <v>133</v>
      </c>
      <c r="C292" s="2219" t="s">
        <v>5811</v>
      </c>
      <c r="D292" s="816" t="s">
        <v>5494</v>
      </c>
      <c r="E292" s="739">
        <f>0</f>
        <v>0</v>
      </c>
      <c r="F292" s="739">
        <f>0</f>
        <v>0</v>
      </c>
      <c r="G292" s="739">
        <f>0</f>
        <v>0</v>
      </c>
      <c r="H292" s="739">
        <f>0</f>
        <v>0</v>
      </c>
      <c r="I292" s="739">
        <f>0</f>
        <v>0</v>
      </c>
      <c r="J292" s="739">
        <f>0</f>
        <v>0</v>
      </c>
      <c r="K292" s="739">
        <f>0</f>
        <v>0</v>
      </c>
      <c r="L292" s="739">
        <f>0</f>
        <v>0</v>
      </c>
      <c r="M292" s="739">
        <f>0</f>
        <v>0</v>
      </c>
      <c r="N292" s="739">
        <f>0</f>
        <v>0</v>
      </c>
      <c r="O292" s="739">
        <f>0</f>
        <v>0</v>
      </c>
      <c r="P292" s="739">
        <f>0</f>
        <v>0</v>
      </c>
      <c r="Q292" s="817">
        <f>0</f>
        <v>0</v>
      </c>
      <c r="R292" s="739">
        <f>0</f>
        <v>0</v>
      </c>
      <c r="S292" s="739">
        <f>0</f>
        <v>0</v>
      </c>
      <c r="T292" s="739">
        <f>0</f>
        <v>0</v>
      </c>
      <c r="U292" s="739">
        <f>0</f>
        <v>0</v>
      </c>
      <c r="V292" s="739">
        <f>0</f>
        <v>0</v>
      </c>
      <c r="W292" s="739">
        <f>0</f>
        <v>0</v>
      </c>
      <c r="X292" s="739">
        <f>0</f>
        <v>0</v>
      </c>
      <c r="Y292" s="739">
        <f>0</f>
        <v>0</v>
      </c>
      <c r="Z292" s="739">
        <f>0</f>
        <v>0</v>
      </c>
      <c r="AA292" s="739">
        <f>0</f>
        <v>0</v>
      </c>
      <c r="AB292" s="739">
        <f>0</f>
        <v>0</v>
      </c>
      <c r="AC292" s="739">
        <f>0</f>
        <v>0</v>
      </c>
      <c r="AD292" s="739">
        <f>0</f>
        <v>0</v>
      </c>
      <c r="AE292" s="739">
        <f>0</f>
        <v>0</v>
      </c>
      <c r="AF292" s="739">
        <f>0</f>
        <v>0</v>
      </c>
      <c r="AG292" s="739">
        <f>0</f>
        <v>0</v>
      </c>
      <c r="AH292" s="739">
        <f>0</f>
        <v>0</v>
      </c>
      <c r="AI292" s="739">
        <f>0</f>
        <v>0</v>
      </c>
      <c r="AJ292" s="739">
        <f>0</f>
        <v>0</v>
      </c>
      <c r="AK292" s="739">
        <f>0</f>
        <v>0</v>
      </c>
      <c r="AL292" s="739">
        <f>0</f>
        <v>0</v>
      </c>
      <c r="AM292" s="739">
        <f>0</f>
        <v>0</v>
      </c>
      <c r="AN292" s="739">
        <f>0</f>
        <v>0</v>
      </c>
      <c r="AO292" s="739">
        <f>0</f>
        <v>0</v>
      </c>
      <c r="AP292" s="739">
        <f>0</f>
        <v>0</v>
      </c>
      <c r="AQ292" s="739">
        <f>0</f>
        <v>0</v>
      </c>
      <c r="AR292" s="739">
        <f>0</f>
        <v>0</v>
      </c>
      <c r="AS292" s="739">
        <f>0</f>
        <v>0</v>
      </c>
      <c r="AT292" s="739">
        <f>0</f>
        <v>0</v>
      </c>
      <c r="AU292" s="739">
        <f>0</f>
        <v>0</v>
      </c>
      <c r="AV292" s="739">
        <f>0</f>
        <v>0</v>
      </c>
      <c r="AW292" s="739">
        <f>0</f>
        <v>0</v>
      </c>
      <c r="AX292" s="739">
        <f>0</f>
        <v>0</v>
      </c>
      <c r="AY292" s="739">
        <f>0</f>
        <v>0</v>
      </c>
      <c r="AZ292" s="739">
        <f>0</f>
        <v>0</v>
      </c>
      <c r="BA292" s="739">
        <f>0</f>
        <v>0</v>
      </c>
      <c r="BB292" s="739">
        <f>1</f>
        <v>1</v>
      </c>
      <c r="BC292" s="739">
        <f>0</f>
        <v>0</v>
      </c>
      <c r="BD292" s="739">
        <f>0</f>
        <v>0</v>
      </c>
      <c r="BE292" s="817">
        <f>0</f>
        <v>0</v>
      </c>
      <c r="BF292" s="817">
        <f>0</f>
        <v>0</v>
      </c>
      <c r="BG292" s="817">
        <f>0</f>
        <v>0</v>
      </c>
      <c r="BH292" s="817">
        <f>0</f>
        <v>0</v>
      </c>
      <c r="BI292" s="817">
        <f>0</f>
        <v>0</v>
      </c>
      <c r="BJ292" s="817">
        <f>0</f>
        <v>0</v>
      </c>
      <c r="BK292" s="817">
        <f>0</f>
        <v>0</v>
      </c>
      <c r="BL292" s="817">
        <f>0</f>
        <v>0</v>
      </c>
      <c r="BM292" s="817">
        <f>0</f>
        <v>0</v>
      </c>
      <c r="BN292" s="817">
        <f>0</f>
        <v>0</v>
      </c>
      <c r="BO292" s="817">
        <f>0</f>
        <v>0</v>
      </c>
      <c r="BP292" s="817">
        <f>0</f>
        <v>0</v>
      </c>
      <c r="BQ292" s="817">
        <f>0</f>
        <v>0</v>
      </c>
      <c r="BR292" s="817">
        <f>0</f>
        <v>0</v>
      </c>
      <c r="BS292" s="817">
        <f>0</f>
        <v>0</v>
      </c>
      <c r="BT292" s="817">
        <f>0</f>
        <v>0</v>
      </c>
      <c r="BU292" s="817">
        <f>0</f>
        <v>0</v>
      </c>
      <c r="BV292" s="817">
        <f>0</f>
        <v>0</v>
      </c>
      <c r="BW292" s="817">
        <f>0</f>
        <v>0</v>
      </c>
      <c r="BX292" s="817">
        <f>0</f>
        <v>0</v>
      </c>
      <c r="BY292" s="817">
        <f>0</f>
        <v>0</v>
      </c>
      <c r="BZ292" s="817">
        <f>0</f>
        <v>0</v>
      </c>
      <c r="CA292" s="817">
        <f>0</f>
        <v>0</v>
      </c>
      <c r="CB292" s="817">
        <f>0</f>
        <v>0</v>
      </c>
      <c r="CC292" s="817">
        <f>0</f>
        <v>0</v>
      </c>
      <c r="CD292" s="817">
        <f>0</f>
        <v>0</v>
      </c>
      <c r="CE292" s="817">
        <f>0</f>
        <v>0</v>
      </c>
      <c r="CF292" s="817">
        <f>0</f>
        <v>0</v>
      </c>
      <c r="CG292" s="817">
        <f>0</f>
        <v>0</v>
      </c>
      <c r="CH292" s="817">
        <f>0</f>
        <v>0</v>
      </c>
      <c r="CI292" s="817">
        <f>0</f>
        <v>0</v>
      </c>
      <c r="CJ292" s="817">
        <f>-1</f>
        <v>-1</v>
      </c>
      <c r="CK292" s="817">
        <f>0</f>
        <v>0</v>
      </c>
      <c r="CL292" s="817">
        <f>0</f>
        <v>0</v>
      </c>
      <c r="CM292" s="817">
        <f>0</f>
        <v>0</v>
      </c>
      <c r="CN292" s="817">
        <f>0</f>
        <v>0</v>
      </c>
      <c r="CO292" s="817">
        <f>0</f>
        <v>0</v>
      </c>
      <c r="CP292" s="817">
        <f>0</f>
        <v>0</v>
      </c>
      <c r="CQ292" s="817">
        <f>0</f>
        <v>0</v>
      </c>
      <c r="CR292" s="817">
        <f>0</f>
        <v>0</v>
      </c>
      <c r="CS292" s="817">
        <f>0</f>
        <v>0</v>
      </c>
      <c r="CT292" s="817">
        <f>0</f>
        <v>0</v>
      </c>
      <c r="CU292" s="817">
        <f>0</f>
        <v>0</v>
      </c>
      <c r="CV292" s="2869">
        <f>k_transfer_GH2S_bub</f>
        <v>286423.9357096504</v>
      </c>
      <c r="CX292" s="2880">
        <f>E299*E292+F299*F292+G299*G292+H299*H292+I299*I292+J299*J292+K299*K292+L299*L292+M299*M292+N299*N292+O299*O292+P299*P292+Q299*Q292+R299*R292+S299*S292+T299*T292+U299*U292+V299*V292+W299*W292+X299*X292+Y299*Y292+Z299*Z292+AA299*AA292+AB299*AB292+AC299*AC292+AD299*AD292+AE299*AE292+AF299*AF292+AG299*AG292+AH299*AH292+AI299*AI292+AJ299*AJ292+AK299*AK292+AL299*AL292+AM299*AM292+AN299*AN292+AO299*AO292+AP299*AP292+AQ299*AQ292+AR299*AR292+AS299*AS292+AT299*AT292+AU299*AU292+AV299*AV292+AW299*AW292+AX299*AX292+AY299*AY292+AZ299*AZ292+BA299*BA292+BB299*BB292+BC299*BC292+BD299*BD292+BE299*BE292+BF299*BF292+BG299*BG292+BH299*BH292+BI299*BI292+BJ299*BJ292+BK299*BK292+BL299*BL292+BM299*BM292+BN299*BN292+BO299*BO292+BP299*BP292+BQ299*BQ292+BR299*BR292+BS299*BS292+BT299*BT292+BU299*BU292+BV299*BV292+BW299*BW292+BX299*BX292+BY299*BY292+BZ299*BZ292+CA299*CA292+CB299*CB292+CC299*CC292+CD299*CD292+CE299*CE292+CF299*CF292+CG299*CG292+CH299*CH292+CI299*CI292+CJ299*CJ292+CK299*CK292+CL299*CL292+CM299*CM292+CN299*CN292+CO299*CO292+CP299*CP292+CQ299*CQ292+CR299*CR292+CS299*CS292+CT299*CT292+CU299*CU292</f>
        <v>0</v>
      </c>
      <c r="CY292" s="2880">
        <f>E300*E292+F300*F292+G300*G292+H300*H292+I300*I292+J300*J292+K300*K292+L300*L292+M300*M292+N300*N292+O300*O292+P300*P292+Q300*Q292+R300*R292+S300*S292+T300*T292+U300*U292+V300*V292+W300*W292+X300*X292+Y300*Y292+Z300*Z292+AA300*AA292+AB300*AB292+AC300*AC292+AD300*AD292+AE300*AE292+AF300*AF292+AG300*AG292+AH300*AH292+AI300*AI292+AJ300*AJ292+AK300*AK292+AL300*AL292+AM300*AM292+AN300*AN292+AO300*AO292+AP300*AP292+AQ300*AQ292+AR300*AR292+AS300*AS292+AT300*AT292+AU300*AU292+AV300*AV292+AW300*AW292+AX300*AX292+AY300*AY292+AZ300*AZ292+BA300*BA292+BB300*BB292+BC300*BC292+BD300*BD292+BE300*BE292+BF300*BF292+BG300*BG292+BH300*BH292+BI300*BI292+BJ300*BJ292+BK300*BK292+BL300*BL292+BM300*BM292+BN300*BN292+BO300*BO292+BP300*BP292+BQ300*BQ292+BR300*BR292+BS300*BS292+BT300*BT292+BU300*BU292+BV300*BV292+BW300*BW292+BX300*BX292+BY300*BY292+BZ300*BZ292+CA300*CA292+CB300*CB292+CC300*CC292+CD300*CD292+CE300*CE292+CF300*CF292+CG300*CG292+CH300*CH292+CI300*CI292+CJ300*CJ292+CK300*CK292+CL300*CL292+CM300*CM292+CN300*CN292+CO300*CO292+CP300*CP292+CQ300*CQ292+CR300*CR292+CS300*CS292+CT300*CT292+CU300*CU292</f>
        <v>0</v>
      </c>
      <c r="CZ292" s="2881">
        <f>E301*E292+F301*F292+G301*G292+H301*H292+I301*I292+J301*J292+K301*K292+L301*L292+M301*M292+N301*N292+O301*O292+P301*P292+Q301*Q292+R301*R292+S301*S292+T301*T292+U301*U292+V301*V292+W301*W292+X301*X292+Y301*Y292+Z301*Z292+AA301*AA292+AB301*AB292+AC301*AC292+AD301*AD292+AE301*AE292+AF301*AF292+AG301*AG292+AH301*AH292+AI301*AI292+AJ301*AJ292+AK301*AK292+AL301*AL292+AM301*AM292+AN301*AN292+AO301*AO292+AP301*AP292+AQ301*AQ292+AR301*AR292+AS301*AS292+AT301*AT292+AU301*AU292+AV301*AV292+AW301*AW292+AX301*AX292+AY301*AY292+AZ301*AZ292+BA301*BA292+BB301*BB292+BC301*BC292+BD301*BD292+BE301*BE292+BF301*BF292+BG301*BG292+BH301*BH292+BI301*BI292+BJ301*BJ292+BK301*BK292+BL301*BL292+BM301*BM292+BN301*BN292+BO301*BO292+BP301*BP292+BQ301*BQ292+BR301*BR292+BS301*BS292+BT301*BT292+BU301*BU292+BV301*BV292+BW301*BW292+BX301*BX292+BY301*BY292+BZ301*BZ292+CA301*CA292+CB301*CB292+CC301*CC292+CD301*CD292+CE301*CE292+CF301*CF292+CG301*CG292+CH301*CH292+CI301*CI292+CJ301*CJ292+CK301*CK292+CL301*CL292+CM301*CM292+CN301*CN292+CO301*CO292+CP301*CP292+CQ301*CQ292+CR301*CR292+CS301*CS292+CT301*CT292+CU301*CU292</f>
        <v>0</v>
      </c>
      <c r="DA292" s="2882">
        <f>E302*E292+F302*F292+G302*G292+H302*H292+I302*I292+J302*J292+K302*K292+L302*L292+M302*M292+N302*N292+O302*O292+P302*P292+Q302*Q292+R302*R292+S302*S292+T302*T292+U302*U292+V302*V292+W302*W292+X302*X292+Y302*Y292+Z302*Z292+AA302*AA292+AB302*AB292+AC302*AC292+AD302*AD292+AE302*AE292+AF302*AF292+AG302*AG292+AH302*AH292+AI302*AI292+AJ302*AJ292+AK302*AK292+AL302*AL292+AM302*AM292+AN302*AN292+AO302*AO292+AP302*AP292+AQ302*AQ292+AR302*AR292+AS302*AS292+AT302*AT292+AU302*AU292+AV302*AV292+AW302*AW292+AX302*AX292+AY302*AY292+AZ302*AZ292+BA302*BA292+BB302*BB292+BC302*BC292+BD302*BD292+BE302*BE292+BF302*BF292+BG302*BG292+BH302*BH292+BI302*BI292+BJ302*BJ292+BK302*BK292+BL302*BL292+BM302*BM292+BN302*BN292+BO302*BO292+BP302*BP292+BQ302*BQ292+BR302*BR292+BS302*BS292+BT302*BT292+BU302*BU292+BV302*BV292+BW302*BW292+BX302*BX292+BY302*BY292+BZ302*BZ292+CA302*CA292+CB302*CB292+CC302*CC292+CD302*CD292+CE302*CE292+CF302*CF292+CG302*CG292+CH302*CH292+CI302*CI292+CJ302*CJ292+CK302*CK292+CL302*CL292+CM302*CM292+CN302*CN292+CO302*CO292+CP302*CP292+CQ302*CQ292+CR302*CR292+CS302*CS292+CT302*CT292+CU302*CU292</f>
        <v>0</v>
      </c>
      <c r="DB292" s="2882">
        <f>E303*E292+F303*F292+G303*G292+H303*H292+I303*I292+J303*J292+K303*K292+L303*L292+M303*M292+N303*N292+O303*O292+P303*P292+Q303*Q292+R303*R292+S303*S292+T303*T292+U303*U292+V303*V292+W303*W292+X303*X292+Y303*Y292+Z303*Z292+AA303*AA292+AB303*AB292+AC303*AC292+AD303*AD292+AE303*AE292+AF303*AF292+AG303*AG292+AH303*AH292+AI303*AI292+AJ303*AJ292+AK303*AK292+AL303*AL292+AM303*AM292+AN303*AN292+AO303*AO292+AP303*AP292+AQ303*AQ292+AR303*AR292+AS303*AS292+AT303*AT292+AU303*AU292+AV303*AV292+AW303*AW292+AX303*AX292+AY303*AY292+AZ303*AZ292+BA303*BA292+BB303*BB292+BC303*BC292+BD303*BD292+BE303*BE292+BF303*BF292+BG303*BG292+BH303*BH292+BI303*BI292+BJ303*BJ292+BK303*BK292+BL303*BL292+BM303*BM292+BN303*BN292+BO303*BO292+BP303*BP292+BQ303*BQ292+BR303*BR292+BS303*BS292+BT303*BT292+BU303*BU292+BV303*BV292+BW303*BW292+BX303*BX292+BY303*BY292+BZ303*BZ292+CA303*CA292+CB303*CB292+CC303*CC292+CD303*CD292+CE303*CE292+CF303*CF292+CG303*CG292+CH303*CH292+CI303*CI292+CJ303*CJ292+CK303*CK292+CL303*CL292+CM303*CM292+CN303*CN292+CO303*CO292+CP303*CP292+CQ303*CQ292+CR303*CR292+CS303*CS292+CT303*CT292+CU303*CU292</f>
        <v>0</v>
      </c>
      <c r="DC292" s="2882">
        <f>E304*E292+F304*F292+G304*G292+H304*H292+I304*I292+J304*J292+K304*K292+L304*L292+M304*M292+N304*N292+O304*O292+P304*P292+Q304*Q292+R304*R292+S304*S292+T304*T292+U304*U292+V304*V292+W304*W292+X304*X292+Y304*Y292+Z304*Z292+AA304*AA292+AB304*AB292+AC304*AC292+AD304*AD292+AE304*AE292+AF304*AF292+AG304*AG292+AH304*AH292+AI304*AI292+AJ304*AJ292+AK304*AK292+AL304*AL292+AM304*AM292+AN304*AN292+AO304*AO292+AP304*AP292+AQ304*AQ292+AR304*AR292+AS304*AS292+AT304*AT292+AU304*AU292+AV304*AV292+AW304*AW292+AX304*AX292+AY304*AY292+AZ304*AZ292+BA304*BA292+BB304*BB292+BC304*BC292+BD304*BD292+BE304*BE292+BF304*BF292+BG304*BG292+BH304*BH292+BI304*BI292+BJ304*BJ292+BK304*BK292+BL304*BL292+BM304*BM292+BN304*BN292+BO304*BO292+BP304*BP292+BQ304*BQ292+BR304*BR292+BS304*BS292+BT304*BT292+BU304*BU292+BV304*BV292+BW304*BW292+BX304*BX292+BY304*BY292+BZ304*BZ292+CA304*CA292+CB304*CB292+CC304*CC292+CD304*CD292+CE304*CE292+CF304*CF292+CG304*CG292+CH304*CH292+CI304*CI292+CJ304*CJ292+CK304*CK292+CL304*CL292+CM304*CM292+CN304*CN292+CO304*CO292+CP304*CP292+CQ304*CQ292+CR304*CR292+CS304*CS292+CT304*CT292+CU304*CU292</f>
        <v>0</v>
      </c>
      <c r="DD292" s="2882">
        <f>E305*E292+F305*F292+G305*G292+H305*H292+I305*I292+J305*J292+K305*K292+L305*L292+M305*M292+N305*N292+O305*O292+P305*P292+Q305*Q292+R305*R292+S305*S292+T305*T292+U305*U292+V305*V292+W305*W292+X305*X292+Y305*Y292+Z305*Z292+AA305*AA292+AB305*AB292+AC305*AC292+AD305*AD292+AE305*AE292+AF305*AF292+AG305*AG292+AH305*AH292+AI305*AI292+AJ305*AJ292+AK305*AK292+AL305*AL292+AM305*AM292+AN305*AN292+AO305*AO292+AP305*AP292+AQ305*AQ292+AR305*AR292+AS305*AS292+AT305*AT292+AU305*AU292+AV305*AV292+AW305*AW292+AX305*AX292+AY305*AY292+AZ305*AZ292+BA305*BA292+BB305*BB292+BC305*BC292+BD305*BD292+BE305*BE292+BF305*BF292+BG305*BG292+BH305*BH292+BI305*BI292+BJ305*BJ292+BK305*BK292+BL305*BL292+BM305*BM292+BN305*BN292+BO305*BO292+BP305*BP292+BQ305*BQ292+BR305*BR292+BS305*BS292+BT305*BT292+BU305*BU292+BV305*BV292+BW305*BW292+BX305*BX292+BY305*BY292+BZ305*BZ292+CA305*CA292+CB305*CB292+CC305*CC292+CD305*CD292+CE305*CE292+CF305*CF292+CG305*CG292+CH305*CH292+CI305*CI292+CJ305*CJ292+CK305*CK292+CL305*CL292+CM305*CM292+CN305*CN292+CO305*CO292+CP305*CP292+CQ305*CQ292+CR305*CR292+CS305*CS292+CT305*CT292+CU305*CU292</f>
        <v>0</v>
      </c>
      <c r="DE292" s="2882">
        <f>E306*E292+F306*F292+G306*G292+H306*H292+I306*I292+J306*J292+K306*K292+L306*L292+M306*M292+N306*N292+O306*O292+P306*P292+Q306*Q292+R306*R292+S306*S292+T306*T292+U306*U292+V306*V292+W306*W292+X306*X292+Y306*Y292+Z306*Z292+AA306*AA292+AB306*AB292+AC306*AC292+AD306*AD292+AE306*AE292+AF306*AF292+AG306*AG292+AH306*AH292+AI306*AI292+AJ306*AJ292+AK306*AK292+AL306*AL292+AM306*AM292+AN306*AN292+AO306*AO292+AP306*AP292+AQ306*AQ292+AR306*AR292+AS306*AS292+AT306*AT292+AU306*AU292+AV306*AV292+AW306*AW292+AX306*AX292+AY306*AY292+AZ306*AZ292+BA306*BA292+BB306*BB292+BC306*BC292+BD306*BD292+BE306*BE292+BF306*BF292+BG306*BG292+BH306*BH292+BI306*BI292+BJ306*BJ292+BK306*BK292+BL306*BL292+BM306*BM292+BN306*BN292+BO306*BO292+BP306*BP292+BQ306*BQ292+BR306*BR292+BS306*BS292+BT306*BT292+BU306*BU292+BV306*BV292+BW306*BW292+BX306*BX292+BY306*BY292+BZ306*BZ292+CA306*CA292+CB306*CB292+CC306*CC292+CD306*CD292+CE306*CE292+CF306*CF292+CG306*CG292+CH306*CH292+CI306*CI292+CJ306*CJ292+CK306*CK292+CL306*CL292+CM306*CM292+CN306*CN292+CO306*CO292+CP306*CP292+CQ306*CQ292+CR306*CR292+CS306*CS292+CT306*CT292+CU306*CU292</f>
        <v>0</v>
      </c>
      <c r="DF292" s="2882">
        <f>E307*E292+F307*F292+G307*G292+H307*H292+I307*I292+J307*J292+K307*K292+L307*L292+M307*M292+N307*N292+O307*O292+P307*P292+Q307*Q292+R307*R292+S307*S292+T307*T292+U307*U292+V307*V292+W307*W292+X307*X292+Y307*Y292+Z307*Z292+AA307*AA292+AB307*AB292+AC307*AC292+AD307*AD292+AE307*AE292+AF307*AF292+AG307*AG292+AH307*AH292+AI307*AI292+AJ307*AJ292+AK307*AK292+AL307*AL292+AM307*AM292+AN307*AN292+AO307*AO292+AP307*AP292+AQ307*AQ292+AR307*AR292+AS307*AS292+AT307*AT292+AU307*AU292+AV307*AV292+AW307*AW292+AX307*AX292+AY307*AY292+AZ307*AZ292+BA307*BA292+BB307*BB292+BC307*BC292+BD307*BD292+BE307*BE292+BF307*BF292+BG307*BG292+BH307*BH292+BI307*BI292+BJ307*BJ292+BK307*BK292+BL307*BL292+BM307*BM292+BN307*BN292+BO307*BO292+BP307*BP292+BQ307*BQ292+BR307*BR292+BS307*BS292+BT307*BT292+BU307*BU292+BV307*BV292+BW307*BW292+BX307*BX292+BY307*BY292+BZ307*BZ292+CA307*CA292+CB307*CB292+CC307*CC292+CD307*CD292+CE307*CE292+CF307*CF292+CG307*CG292+CH307*CH292+CI307*CI292+CJ307*CJ292+CK307*CK292+CL307*CL292+CM307*CM292+CN307*CN292+CO307*CO292+CP307*CP292+CQ307*CQ292+CR307*CR292+CS307*CS292+CT307*CT292+CU307*CU292</f>
        <v>0</v>
      </c>
      <c r="DG292" s="2882">
        <f>E308*E292+F308*F292+G308*G292+H308*H292+I308*I292+J308*J292+K308*K292+L308*L292+M308*M292+N308*N292+O308*O292+P308*P292+Q308*Q292+R308*R292+S308*S292+T308*T292+U308*U292+V308*V292+W308*W292+X308*X292+Y308*Y292+Z308*Z292+AA308*AA292+AB308*AB292+AC308*AC292+AD308*AD292+AE308*AE292+AF308*AF292+AG308*AG292+AH308*AH292+AI308*AI292+AJ308*AJ292+AK308*AK292+AL308*AL292+AM308*AM292+AN308*AN292+AO308*AO292+AP308*AP292+AQ308*AQ292+AR308*AR292+AS308*AS292+AT308*AT292+AU308*AU292+AV308*AV292+AW308*AW292+AX308*AX292+AY308*AY292+AZ308*AZ292+BA308*BA292+BB308*BB292+BC308*BC292+BD308*BD292+BE308*BE292+BF308*BF292+BG308*BG292+BH308*BH292+BI308*BI292+BJ308*BJ292+BK308*BK292+BL308*BL292+BM308*BM292+BN308*BN292+BO308*BO292+BP308*BP292+BQ308*BQ292+BR308*BR292+BS308*BS292+BT308*BT292+BU308*BU292+BV308*BV292+BW308*BW292+BX308*BX292+BY308*BY292+BZ308*BZ292+CA308*CA292+CB308*CB292+CC308*CC292+CD308*CD292+CE308*CE292+CF308*CF292+CG308*CG292+CH308*CH292+CI308*CI292+CJ308*CJ292+CK308*CK292+CL308*CL292+CM308*CM292+CN308*CN292+CO308*CO292+CP308*CP292+CQ308*CQ292+CR308*CR292+CS308*CS292+CT308*CT292+CU308*CU292</f>
        <v>0</v>
      </c>
      <c r="DH292" s="2882">
        <f>E309*E292+F309*F292+G309*G292+H309*H292+I309*I292+J309*J292+K309*K292+L309*L292+M309*M292+N309*N292+O309*O292+P309*P292+Q309*Q292+R309*R292+S309*S292+T309*T292+U309*U292+V309*V292+W309*W292+X309*X292+Y309*Y292+Z309*Z292+AA309*AA292+AB309*AB292+AC309*AC292+AD309*AD292+AE309*AE292+AF309*AF292+AG309*AG292+AH309*AH292+AI309*AI292+AJ309*AJ292+AK309*AK292+AL309*AL292+AM309*AM292+AN309*AN292+AO309*AO292+AP309*AP292+AQ309*AQ292+AR309*AR292+AS309*AS292+AT309*AT292+AU309*AU292+AV309*AV292+AW309*AW292+AX309*AX292+AY309*AY292+AZ309*AZ292+BA309*BA292+BB309*BB292+BC309*BC292+BD309*BD292+BE309*BE292+BF309*BF292+BG309*BG292+BH309*BH292+BI309*BI292+BJ309*BJ292+BK309*BK292+BL309*BL292+BM309*BM292+BN309*BN292+BO309*BO292+BP309*BP292+BQ309*BQ292+BR309*BR292+BS309*BS292+BT309*BT292+BU309*BU292+BV309*BV292+BW309*BW292+BX309*BX292+BY309*BY292+BZ309*BZ292+CA309*CA292+CB309*CB292+CC309*CC292+CD309*CD292+CE309*CE292+CF309*CF292+CG309*CG292+CH309*CH292+CI309*CI292+CJ309*CJ292+CK309*CK292+CL309*CL292+CM309*CM292+CN309*CN292+CO309*CO292+CP309*CP292+CQ309*CQ292+CR309*CR292+CS309*CS292+CT309*CT292+CU309*CU292</f>
        <v>0</v>
      </c>
      <c r="DI292" s="2882">
        <f>E310*E292+F310*F292+G310*G292+H310*H292+I310*I292+J310*J292+K310*K292+L310*L292+M310*M292+N310*N292+O310*O292+P310*P292+Q310*Q292+R310*R292+S310*S292+T310*T292+U310*U292+V310*V292+W310*W292+X310*X292+Y310*Y292+Z310*Z292+AA310*AA292+AB310*AB292+AC310*AC292+AD310*AD292+AE310*AE292+AF310*AF292+AG310*AG292+AH310*AH292+AI310*AI292+AJ310*AJ292+AK310*AK292+AL310*AL292+AM310*AM292+AN310*AN292+AO310*AO292+AP310*AP292+AQ310*AQ292+AR310*AR292+AS310*AS292+AT310*AT292+AU310*AU292+AV310*AV292+AW310*AW292+AX310*AX292+AY310*AY292+AZ310*AZ292+BA310*BA292+BB310*BB292+BC310*BC292+BD310*BD292+BE310*BE292+BF310*BF292+BG310*BG292+BH310*BH292+BI310*BI292+BJ310*BJ292+BK310*BK292+BL310*BL292+BM310*BM292+BN310*BN292+BO310*BO292+BP310*BP292+BQ310*BQ292+BR310*BR292+BS310*BS292+BT310*BT292+BU310*BU292+BV310*BV292+BW310*BW292+BX310*BX292+BY310*BY292+BZ310*BZ292+CA310*CA292+CB310*CB292+CC310*CC292+CD310*CD292+CE310*CE292+CF310*CF292+CG310*CG292+CH310*CH292+CI310*CI292+CJ310*CJ292+CK310*CK292+CL310*CL292+CM310*CM292+CN310*CN292+CO310*CO292+CP310*CP292+CQ310*CQ292+CR310*CR292+CS310*CS292+CT310*CT292+CU310*CU292</f>
        <v>0</v>
      </c>
    </row>
    <row r="293" spans="2:113" x14ac:dyDescent="0.45">
      <c r="B293" s="2830">
        <v>134</v>
      </c>
      <c r="C293" s="2830" t="s">
        <v>5851</v>
      </c>
      <c r="D293" s="2831" t="s">
        <v>5852</v>
      </c>
      <c r="E293" s="2832">
        <f>0</f>
        <v>0</v>
      </c>
      <c r="F293" s="2832">
        <f>0</f>
        <v>0</v>
      </c>
      <c r="G293" s="2832">
        <f>0</f>
        <v>0</v>
      </c>
      <c r="H293" s="2832">
        <f>0</f>
        <v>0</v>
      </c>
      <c r="I293" s="2832">
        <f>0</f>
        <v>0</v>
      </c>
      <c r="J293" s="2832">
        <f>0</f>
        <v>0</v>
      </c>
      <c r="K293" s="2832">
        <f>0</f>
        <v>0</v>
      </c>
      <c r="L293" s="2832">
        <f>0</f>
        <v>0</v>
      </c>
      <c r="M293" s="2832">
        <f>0</f>
        <v>0</v>
      </c>
      <c r="N293" s="2832">
        <f>0</f>
        <v>0</v>
      </c>
      <c r="O293" s="2832">
        <f>0</f>
        <v>0</v>
      </c>
      <c r="P293" s="2832">
        <f>0</f>
        <v>0</v>
      </c>
      <c r="Q293" s="2833">
        <f>0</f>
        <v>0</v>
      </c>
      <c r="R293" s="2832">
        <f>0</f>
        <v>0</v>
      </c>
      <c r="S293" s="2832">
        <f>0</f>
        <v>0</v>
      </c>
      <c r="T293" s="2832">
        <f>0</f>
        <v>0</v>
      </c>
      <c r="U293" s="2832">
        <f>0</f>
        <v>0</v>
      </c>
      <c r="V293" s="2832">
        <f>0</f>
        <v>0</v>
      </c>
      <c r="W293" s="2832">
        <f>0</f>
        <v>0</v>
      </c>
      <c r="X293" s="2832">
        <f>0</f>
        <v>0</v>
      </c>
      <c r="Y293" s="2832">
        <f>0</f>
        <v>0</v>
      </c>
      <c r="Z293" s="2832">
        <f>0</f>
        <v>0</v>
      </c>
      <c r="AA293" s="2832">
        <f>0</f>
        <v>0</v>
      </c>
      <c r="AB293" s="2850">
        <f>-i_N_BIO</f>
        <v>-7.0000000000000007E-2</v>
      </c>
      <c r="AC293" s="2832">
        <f>0</f>
        <v>0</v>
      </c>
      <c r="AD293" s="2832">
        <f>0</f>
        <v>0</v>
      </c>
      <c r="AE293" s="2832">
        <f>0</f>
        <v>0</v>
      </c>
      <c r="AF293" s="2832">
        <f>0</f>
        <v>0</v>
      </c>
      <c r="AG293" s="2832">
        <f>0</f>
        <v>0</v>
      </c>
      <c r="AH293" s="2832">
        <f>0</f>
        <v>0</v>
      </c>
      <c r="AI293" s="2832">
        <f>0</f>
        <v>0</v>
      </c>
      <c r="AJ293" s="2832">
        <f>0</f>
        <v>0</v>
      </c>
      <c r="AK293" s="2832">
        <f>0</f>
        <v>0</v>
      </c>
      <c r="AL293" s="2832">
        <f>0</f>
        <v>0</v>
      </c>
      <c r="AM293" s="2851">
        <f>-i_P_BIO</f>
        <v>-0.02</v>
      </c>
      <c r="AN293" s="2832">
        <f>0</f>
        <v>0</v>
      </c>
      <c r="AO293" s="2832">
        <f>0</f>
        <v>0</v>
      </c>
      <c r="AP293" s="2832">
        <f>0</f>
        <v>0</v>
      </c>
      <c r="AQ293" s="2832">
        <f>0</f>
        <v>0</v>
      </c>
      <c r="AR293" s="2833">
        <f>-(1-Y_MOB)/Y_MOB</f>
        <v>-7.3333333333333339</v>
      </c>
      <c r="AS293" s="2833">
        <f>-1/Y_MOB</f>
        <v>-8.3333333333333339</v>
      </c>
      <c r="AT293" s="2832">
        <f>0</f>
        <v>0</v>
      </c>
      <c r="AU293" s="2832">
        <f>i_CIT_CH4/Y_MOB-i_CIT_BIO</f>
        <v>1.2146666666666666</v>
      </c>
      <c r="AV293" s="2832">
        <f>i_INORG</f>
        <v>0.11</v>
      </c>
      <c r="AW293" s="2851">
        <f>-i_INORG*(1-i_Ca_INORG*(A_MCa+2*A_MCl)/A_MCa-i_Mg_INORG*(A_MMg+2*A_MCl)/A_MMg)*f_Na</f>
        <v>-2.8804303582798466E-2</v>
      </c>
      <c r="AX293" s="2851">
        <f>-i_INORG*(i_Ca_INORG*(2*A_MCl)/A_MCa+i_Mg_INORG*(2*A_MCl)/A_MMg)-i_INORG*(1-i_Ca_INORG*(A_MCa+2*A_MCl)/A_MCa-i_Mg_INORG*(A_MMg+2*A_MCl)/A_MMg)*(1-f_Na)</f>
        <v>-7.0195696417201539E-2</v>
      </c>
      <c r="AY293" s="2851">
        <f>-i_INORG*i_Ca_INORG</f>
        <v>-5.5000000000000005E-3</v>
      </c>
      <c r="AZ293" s="2851">
        <f>-i_INORG*i_Mg_INORG</f>
        <v>-5.5000000000000005E-3</v>
      </c>
      <c r="BA293" s="2832">
        <f>0</f>
        <v>0</v>
      </c>
      <c r="BB293" s="2832">
        <f>0</f>
        <v>0</v>
      </c>
      <c r="BC293" s="2851">
        <f>-i_S_BIO</f>
        <v>-0.01</v>
      </c>
      <c r="BD293" s="2832">
        <f>0</f>
        <v>0</v>
      </c>
      <c r="BE293" s="2833">
        <f>0</f>
        <v>0</v>
      </c>
      <c r="BF293" s="2833">
        <f>0</f>
        <v>0</v>
      </c>
      <c r="BG293" s="2833">
        <f>0</f>
        <v>0</v>
      </c>
      <c r="BH293" s="2833">
        <f>0</f>
        <v>0</v>
      </c>
      <c r="BI293" s="2833">
        <f>0</f>
        <v>0</v>
      </c>
      <c r="BJ293" s="2833">
        <f>0</f>
        <v>0</v>
      </c>
      <c r="BK293" s="2833">
        <f>0</f>
        <v>0</v>
      </c>
      <c r="BL293" s="2833">
        <f>0</f>
        <v>0</v>
      </c>
      <c r="BM293" s="2833">
        <f>0</f>
        <v>0</v>
      </c>
      <c r="BN293" s="2833">
        <f>0</f>
        <v>0</v>
      </c>
      <c r="BO293" s="2833">
        <f>0</f>
        <v>0</v>
      </c>
      <c r="BP293" s="2833">
        <f>0</f>
        <v>0</v>
      </c>
      <c r="BQ293" s="2833">
        <f>0</f>
        <v>0</v>
      </c>
      <c r="BR293" s="2833">
        <f>0</f>
        <v>0</v>
      </c>
      <c r="BS293" s="2833">
        <f>0</f>
        <v>0</v>
      </c>
      <c r="BT293" s="2833">
        <f>0</f>
        <v>0</v>
      </c>
      <c r="BU293" s="2833">
        <f>0</f>
        <v>0</v>
      </c>
      <c r="BV293" s="2833">
        <f>0</f>
        <v>0</v>
      </c>
      <c r="BW293" s="2833">
        <f>0</f>
        <v>0</v>
      </c>
      <c r="BX293" s="2833">
        <f>0</f>
        <v>0</v>
      </c>
      <c r="BY293" s="2833">
        <f>0</f>
        <v>0</v>
      </c>
      <c r="BZ293" s="2833">
        <f>0</f>
        <v>0</v>
      </c>
      <c r="CA293" s="2833">
        <f>0</f>
        <v>0</v>
      </c>
      <c r="CB293" s="2833">
        <f>0</f>
        <v>0</v>
      </c>
      <c r="CC293" s="2833">
        <f>0</f>
        <v>0</v>
      </c>
      <c r="CD293" s="2833">
        <f>0</f>
        <v>0</v>
      </c>
      <c r="CE293" s="2833">
        <f>0</f>
        <v>0</v>
      </c>
      <c r="CF293" s="2833">
        <f>0</f>
        <v>0</v>
      </c>
      <c r="CG293" s="2833">
        <f>0</f>
        <v>0</v>
      </c>
      <c r="CH293" s="2833">
        <f>0</f>
        <v>0</v>
      </c>
      <c r="CI293" s="2833">
        <f>0</f>
        <v>0</v>
      </c>
      <c r="CJ293" s="2833">
        <f>0</f>
        <v>0</v>
      </c>
      <c r="CK293" s="2833">
        <f>0</f>
        <v>0</v>
      </c>
      <c r="CL293" s="2833">
        <f>0</f>
        <v>0</v>
      </c>
      <c r="CM293" s="2833">
        <f>0</f>
        <v>0</v>
      </c>
      <c r="CN293" s="2833">
        <f>0</f>
        <v>0</v>
      </c>
      <c r="CO293" s="2833">
        <f>0</f>
        <v>0</v>
      </c>
      <c r="CP293" s="2833">
        <f>0</f>
        <v>0</v>
      </c>
      <c r="CQ293" s="2833">
        <f>0</f>
        <v>0</v>
      </c>
      <c r="CR293" s="2833">
        <f>0</f>
        <v>0</v>
      </c>
      <c r="CS293" s="2833">
        <f>0</f>
        <v>0</v>
      </c>
      <c r="CT293" s="2833">
        <f>0</f>
        <v>0</v>
      </c>
      <c r="CU293" s="2833">
        <f>1</f>
        <v>1</v>
      </c>
      <c r="CV293" s="2878">
        <f>µ_MOB_T*M_satSO2_KO2_MOB*M_satSCH4_MOB*X_MOB</f>
        <v>3.6802413273001513E-3</v>
      </c>
      <c r="CX293" s="2880">
        <f>E299*E293+F299*F293+G299*G293+H299*H293+I299*I293+J299*J293+K299*K293+L299*L293+M299*M293+N299*N293+O299*O293+P299*P293+Q299*Q293+R299*R293+S299*S293+T299*T293+U299*U293+V299*V293+W299*W293+X299*X293+Y299*Y293+Z299*Z293+AA299*AA293+AB299*AB293+AC299*AC293+AD299*AD293+AE299*AE293+AF299*AF293+AG299*AG293+AH299*AH293+AI299*AI293+AJ299*AJ293+AK299*AK293+AL299*AL293+AM299*AM293+AN299*AN293+AO299*AO293+AP299*AP293+AQ299*AQ293+AR299*AR293+AS299*AS293+AT299*AT293+AU299*AU293+AV299*AV293+AW299*AW293+AX299*AX293+AY299*AY293+AZ299*AZ293+BA299*BA293+BB299*BB293+BC299*BC293+BD299*BD293+BE299*BE293+BF299*BF293+BG299*BG293+BH299*BH293+BI299*BI293+BJ299*BJ293+BK299*BK293+BL299*BL293+BM299*BM293+BN299*BN293+BO299*BO293+BP299*BP293+BQ299*BQ293+BR299*BR293+BS299*BS293+BT299*BT293+BU299*BU293+BV299*BV293+BW299*BW293+BX299*BX293+BY299*BY293+BZ299*BZ293+CA299*CA293+CB299*CB293+CC299*CC293+CD299*CD293+CE299*CE293+CF299*CF293+CG299*CG293+CH299*CH293+CI299*CI293+CJ299*CJ293+CK299*CK293+CL299*CL293+CM299*CM293+CN299*CN293+CO299*CO293+CP299*CP293+CQ299*CQ293+CR299*CR293+CS299*CS293+CT299*CT293+CU299*CU293</f>
        <v>0</v>
      </c>
      <c r="CY293" s="2880">
        <f>E300*E293+F300*F293+G300*G293+H300*H293+I300*I293+J300*J293+K300*K293+L300*L293+M300*M293+N300*N293+O300*O293+P300*P293+Q300*Q293+R300*R293+S300*S293+T300*T293+U300*U293+V300*V293+W300*W293+X300*X293+Y300*Y293+Z300*Z293+AA300*AA293+AB300*AB293+AC300*AC293+AD300*AD293+AE300*AE293+AF300*AF293+AG300*AG293+AH300*AH293+AI300*AI293+AJ300*AJ293+AK300*AK293+AL300*AL293+AM300*AM293+AN300*AN293+AO300*AO293+AP300*AP293+AQ300*AQ293+AR300*AR293+AS300*AS293+AT300*AT293+AU300*AU293+AV300*AV293+AW300*AW293+AX300*AX293+AY300*AY293+AZ300*AZ293+BA300*BA293+BB300*BB293+BC300*BC293+BD300*BD293+BE300*BE293+BF300*BF293+BG300*BG293+BH300*BH293+BI300*BI293+BJ300*BJ293+BK300*BK293+BL300*BL293+BM300*BM293+BN300*BN293+BO300*BO293+BP300*BP293+BQ300*BQ293+BR300*BR293+BS300*BS293+BT300*BT293+BU300*BU293+BV300*BV293+BW300*BW293+BX300*BX293+BY300*BY293+BZ300*BZ293+CA300*CA293+CB300*CB293+CC300*CC293+CD300*CD293+CE300*CE293+CF300*CF293+CG300*CG293+CH300*CH293+CI300*CI293+CJ300*CJ293+CK300*CK293+CL300*CL293+CM300*CM293+CN300*CN293+CO300*CO293+CP300*CP293+CQ300*CQ293+CR300*CR293+CS300*CS293+CT300*CT293+CU300*CU293</f>
        <v>0</v>
      </c>
      <c r="CZ293" s="2881">
        <f>E301*E293+F301*F293+G301*G293+H301*H293+I301*I293+J301*J293+K301*K293+L301*L293+M301*M293+N301*N293+O301*O293+P301*P293+Q301*Q293+R301*R293+S301*S293+T301*T293+U301*U293+V301*V293+W301*W293+X301*X293+Y301*Y293+Z301*Z293+AA301*AA293+AB301*AB293+AC301*AC293+AD301*AD293+AE301*AE293+AF301*AF293+AG301*AG293+AH301*AH293+AI301*AI293+AJ301*AJ293+AK301*AK293+AL301*AL293+AM301*AM293+AN301*AN293+AO301*AO293+AP301*AP293+AQ301*AQ293+AR301*AR293+AS301*AS293+AT301*AT293+AU301*AU293+AV301*AV293+AW301*AW293+AX301*AX293+AY301*AY293+AZ301*AZ293+BA301*BA293+BB301*BB293+BC301*BC293+BD301*BD293+BE301*BE293+BF301*BF293+BG301*BG293+BH301*BH293+BI301*BI293+BJ301*BJ293+BK301*BK293+BL301*BL293+BM301*BM293+BN301*BN293+BO301*BO293+BP301*BP293+BQ301*BQ293+BR301*BR293+BS301*BS293+BT301*BT293+BU301*BU293+BV301*BV293+BW301*BW293+BX301*BX293+BY301*BY293+BZ301*BZ293+CA301*CA293+CB301*CB293+CC301*CC293+CD301*CD293+CE301*CE293+CF301*CF293+CG301*CG293+CH301*CH293+CI301*CI293+CJ301*CJ293+CK301*CK293+CL301*CL293+CM301*CM293+CN301*CN293+CO301*CO293+CP301*CP293+CQ301*CQ293+CR301*CR293+CS301*CS293+CT301*CT293+CU301*CU293</f>
        <v>0</v>
      </c>
      <c r="DA293" s="2882">
        <f>E302*E293+F302*F293+G302*G293+H302*H293+I302*I293+J302*J293+K302*K293+L302*L293+M302*M293+N302*N293+O302*O293+P302*P293+Q302*Q293+R302*R293+S302*S293+T302*T293+U302*U293+V302*V293+W302*W293+X302*X293+Y302*Y293+Z302*Z293+AA302*AA293+AB302*AB293+AC302*AC293+AD302*AD293+AE302*AE293+AF302*AF293+AG302*AG293+AH302*AH293+AI302*AI293+AJ302*AJ293+AK302*AK293+AL302*AL293+AM302*AM293+AN302*AN293+AO302*AO293+AP302*AP293+AQ302*AQ293+AR302*AR293+AS302*AS293+AT302*AT293+AU302*AU293+AV302*AV293+AW302*AW293+AX302*AX293+AY302*AY293+AZ302*AZ293+BA302*BA293+BB302*BB293+BC302*BC293+BD302*BD293+BE302*BE293+BF302*BF293+BG302*BG293+BH302*BH293+BI302*BI293+BJ302*BJ293+BK302*BK293+BL302*BL293+BM302*BM293+BN302*BN293+BO302*BO293+BP302*BP293+BQ302*BQ293+BR302*BR293+BS302*BS293+BT302*BT293+BU302*BU293+BV302*BV293+BW302*BW293+BX302*BX293+BY302*BY293+BZ302*BZ293+CA302*CA293+CB302*CB293+CC302*CC293+CD302*CD293+CE302*CE293+CF302*CF293+CG302*CG293+CH302*CH293+CI302*CI293+CJ302*CJ293+CK302*CK293+CL302*CL293+CM302*CM293+CN302*CN293+CO302*CO293+CP302*CP293+CQ302*CQ293+CR302*CR293+CS302*CS293+CT302*CT293+CU302*CU293</f>
        <v>0</v>
      </c>
      <c r="DB293" s="2882">
        <f>E303*E293+F303*F293+G303*G293+H303*H293+I303*I293+J303*J293+K303*K293+L303*L293+M303*M293+N303*N293+O303*O293+P303*P293+Q303*Q293+R303*R293+S303*S293+T303*T293+U303*U293+V303*V293+W303*W293+X303*X293+Y303*Y293+Z303*Z293+AA303*AA293+AB303*AB293+AC303*AC293+AD303*AD293+AE303*AE293+AF303*AF293+AG303*AG293+AH303*AH293+AI303*AI293+AJ303*AJ293+AK303*AK293+AL303*AL293+AM303*AM293+AN303*AN293+AO303*AO293+AP303*AP293+AQ303*AQ293+AR303*AR293+AS303*AS293+AT303*AT293+AU303*AU293+AV303*AV293+AW303*AW293+AX303*AX293+AY303*AY293+AZ303*AZ293+BA303*BA293+BB303*BB293+BC303*BC293+BD303*BD293+BE303*BE293+BF303*BF293+BG303*BG293+BH303*BH293+BI303*BI293+BJ303*BJ293+BK303*BK293+BL303*BL293+BM303*BM293+BN303*BN293+BO303*BO293+BP303*BP293+BQ303*BQ293+BR303*BR293+BS303*BS293+BT303*BT293+BU303*BU293+BV303*BV293+BW303*BW293+BX303*BX293+BY303*BY293+BZ303*BZ293+CA303*CA293+CB303*CB293+CC303*CC293+CD303*CD293+CE303*CE293+CF303*CF293+CG303*CG293+CH303*CH293+CI303*CI293+CJ303*CJ293+CK303*CK293+CL303*CL293+CM303*CM293+CN303*CN293+CO303*CO293+CP303*CP293+CQ303*CQ293+CR303*CR293+CS303*CS293+CT303*CT293+CU303*CU293</f>
        <v>0</v>
      </c>
      <c r="DC293" s="2882">
        <f>E304*E293+F304*F293+G304*G293+H304*H293+I304*I293+J304*J293+K304*K293+L304*L293+M304*M293+N304*N293+O304*O293+P304*P293+Q304*Q293+R304*R293+S304*S293+T304*T293+U304*U293+V304*V293+W304*W293+X304*X293+Y304*Y293+Z304*Z293+AA304*AA293+AB304*AB293+AC304*AC293+AD304*AD293+AE304*AE293+AF304*AF293+AG304*AG293+AH304*AH293+AI304*AI293+AJ304*AJ293+AK304*AK293+AL304*AL293+AM304*AM293+AN304*AN293+AO304*AO293+AP304*AP293+AQ304*AQ293+AR304*AR293+AS304*AS293+AT304*AT293+AU304*AU293+AV304*AV293+AW304*AW293+AX304*AX293+AY304*AY293+AZ304*AZ293+BA304*BA293+BB304*BB293+BC304*BC293+BD304*BD293+BE304*BE293+BF304*BF293+BG304*BG293+BH304*BH293+BI304*BI293+BJ304*BJ293+BK304*BK293+BL304*BL293+BM304*BM293+BN304*BN293+BO304*BO293+BP304*BP293+BQ304*BQ293+BR304*BR293+BS304*BS293+BT304*BT293+BU304*BU293+BV304*BV293+BW304*BW293+BX304*BX293+BY304*BY293+BZ304*BZ293+CA304*CA293+CB304*CB293+CC304*CC293+CD304*CD293+CE304*CE293+CF304*CF293+CG304*CG293+CH304*CH293+CI304*CI293+CJ304*CJ293+CK304*CK293+CL304*CL293+CM304*CM293+CN304*CN293+CO304*CO293+CP304*CP293+CQ304*CQ293+CR304*CR293+CS304*CS293+CT304*CT293+CU304*CU293</f>
        <v>0</v>
      </c>
      <c r="DD293" s="2882">
        <f>E305*E293+F305*F293+G305*G293+H305*H293+I305*I293+J305*J293+K305*K293+L305*L293+M305*M293+N305*N293+O305*O293+P305*P293+Q305*Q293+R305*R293+S305*S293+T305*T293+U305*U293+V305*V293+W305*W293+X305*X293+Y305*Y293+Z305*Z293+AA305*AA293+AB305*AB293+AC305*AC293+AD305*AD293+AE305*AE293+AF305*AF293+AG305*AG293+AH305*AH293+AI305*AI293+AJ305*AJ293+AK305*AK293+AL305*AL293+AM305*AM293+AN305*AN293+AO305*AO293+AP305*AP293+AQ305*AQ293+AR305*AR293+AS305*AS293+AT305*AT293+AU305*AU293+AV305*AV293+AW305*AW293+AX305*AX293+AY305*AY293+AZ305*AZ293+BA305*BA293+BB305*BB293+BC305*BC293+BD305*BD293+BE305*BE293+BF305*BF293+BG305*BG293+BH305*BH293+BI305*BI293+BJ305*BJ293+BK305*BK293+BL305*BL293+BM305*BM293+BN305*BN293+BO305*BO293+BP305*BP293+BQ305*BQ293+BR305*BR293+BS305*BS293+BT305*BT293+BU305*BU293+BV305*BV293+BW305*BW293+BX305*BX293+BY305*BY293+BZ305*BZ293+CA305*CA293+CB305*CB293+CC305*CC293+CD305*CD293+CE305*CE293+CF305*CF293+CG305*CG293+CH305*CH293+CI305*CI293+CJ305*CJ293+CK305*CK293+CL305*CL293+CM305*CM293+CN305*CN293+CO305*CO293+CP305*CP293+CQ305*CQ293+CR305*CR293+CS305*CS293+CT305*CT293+CU305*CU293</f>
        <v>0</v>
      </c>
      <c r="DE293" s="2882">
        <f>E306*E293+F306*F293+G306*G293+H306*H293+I306*I293+J306*J293+K306*K293+L306*L293+M306*M293+N306*N293+O306*O293+P306*P293+Q306*Q293+R306*R293+S306*S293+T306*T293+U306*U293+V306*V293+W306*W293+X306*X293+Y306*Y293+Z306*Z293+AA306*AA293+AB306*AB293+AC306*AC293+AD306*AD293+AE306*AE293+AF306*AF293+AG306*AG293+AH306*AH293+AI306*AI293+AJ306*AJ293+AK306*AK293+AL306*AL293+AM306*AM293+AN306*AN293+AO306*AO293+AP306*AP293+AQ306*AQ293+AR306*AR293+AS306*AS293+AT306*AT293+AU306*AU293+AV306*AV293+AW306*AW293+AX306*AX293+AY306*AY293+AZ306*AZ293+BA306*BA293+BB306*BB293+BC306*BC293+BD306*BD293+BE306*BE293+BF306*BF293+BG306*BG293+BH306*BH293+BI306*BI293+BJ306*BJ293+BK306*BK293+BL306*BL293+BM306*BM293+BN306*BN293+BO306*BO293+BP306*BP293+BQ306*BQ293+BR306*BR293+BS306*BS293+BT306*BT293+BU306*BU293+BV306*BV293+BW306*BW293+BX306*BX293+BY306*BY293+BZ306*BZ293+CA306*CA293+CB306*CB293+CC306*CC293+CD306*CD293+CE306*CE293+CF306*CF293+CG306*CG293+CH306*CH293+CI306*CI293+CJ306*CJ293+CK306*CK293+CL306*CL293+CM306*CM293+CN306*CN293+CO306*CO293+CP306*CP293+CQ306*CQ293+CR306*CR293+CS306*CS293+CT306*CT293+CU306*CU293</f>
        <v>0</v>
      </c>
      <c r="DF293" s="2882">
        <f>E307*E293+F307*F293+G307*G293+H307*H293+I307*I293+J307*J293+K307*K293+L307*L293+M307*M293+N307*N293+O307*O293+P307*P293+Q307*Q293+R307*R293+S307*S293+T307*T293+U307*U293+V307*V293+W307*W293+X307*X293+Y307*Y293+Z307*Z293+AA307*AA293+AB307*AB293+AC307*AC293+AD307*AD293+AE307*AE293+AF307*AF293+AG307*AG293+AH307*AH293+AI307*AI293+AJ307*AJ293+AK307*AK293+AL307*AL293+AM307*AM293+AN307*AN293+AO307*AO293+AP307*AP293+AQ307*AQ293+AR307*AR293+AS307*AS293+AT307*AT293+AU307*AU293+AV307*AV293+AW307*AW293+AX307*AX293+AY307*AY293+AZ307*AZ293+BA307*BA293+BB307*BB293+BC307*BC293+BD307*BD293+BE307*BE293+BF307*BF293+BG307*BG293+BH307*BH293+BI307*BI293+BJ307*BJ293+BK307*BK293+BL307*BL293+BM307*BM293+BN307*BN293+BO307*BO293+BP307*BP293+BQ307*BQ293+BR307*BR293+BS307*BS293+BT307*BT293+BU307*BU293+BV307*BV293+BW307*BW293+BX307*BX293+BY307*BY293+BZ307*BZ293+CA307*CA293+CB307*CB293+CC307*CC293+CD307*CD293+CE307*CE293+CF307*CF293+CG307*CG293+CH307*CH293+CI307*CI293+CJ307*CJ293+CK307*CK293+CL307*CL293+CM307*CM293+CN307*CN293+CO307*CO293+CP307*CP293+CQ307*CQ293+CR307*CR293+CS307*CS293+CT307*CT293+CU307*CU293</f>
        <v>0</v>
      </c>
      <c r="DG293" s="2882">
        <f>E308*E293+F308*F293+G308*G293+H308*H293+I308*I293+J308*J293+K308*K293+L308*L293+M308*M293+N308*N293+O308*O293+P308*P293+Q308*Q293+R308*R293+S308*S293+T308*T293+U308*U293+V308*V293+W308*W293+X308*X293+Y308*Y293+Z308*Z293+AA308*AA293+AB308*AB293+AC308*AC293+AD308*AD293+AE308*AE293+AF308*AF293+AG308*AG293+AH308*AH293+AI308*AI293+AJ308*AJ293+AK308*AK293+AL308*AL293+AM308*AM293+AN308*AN293+AO308*AO293+AP308*AP293+AQ308*AQ293+AR308*AR293+AS308*AS293+AT308*AT293+AU308*AU293+AV308*AV293+AW308*AW293+AX308*AX293+AY308*AY293+AZ308*AZ293+BA308*BA293+BB308*BB293+BC308*BC293+BD308*BD293+BE308*BE293+BF308*BF293+BG308*BG293+BH308*BH293+BI308*BI293+BJ308*BJ293+BK308*BK293+BL308*BL293+BM308*BM293+BN308*BN293+BO308*BO293+BP308*BP293+BQ308*BQ293+BR308*BR293+BS308*BS293+BT308*BT293+BU308*BU293+BV308*BV293+BW308*BW293+BX308*BX293+BY308*BY293+BZ308*BZ293+CA308*CA293+CB308*CB293+CC308*CC293+CD308*CD293+CE308*CE293+CF308*CF293+CG308*CG293+CH308*CH293+CI308*CI293+CJ308*CJ293+CK308*CK293+CL308*CL293+CM308*CM293+CN308*CN293+CO308*CO293+CP308*CP293+CQ308*CQ293+CR308*CR293+CS308*CS293+CT308*CT293+CU308*CU293</f>
        <v>0</v>
      </c>
      <c r="DH293" s="2882">
        <f>E309*E293+F309*F293+G309*G293+H309*H293+I309*I293+J309*J293+K309*K293+L309*L293+M309*M293+N309*N293+O309*O293+P309*P293+Q309*Q293+R309*R293+S309*S293+T309*T293+U309*U293+V309*V293+W309*W293+X309*X293+Y309*Y293+Z309*Z293+AA309*AA293+AB309*AB293+AC309*AC293+AD309*AD293+AE309*AE293+AF309*AF293+AG309*AG293+AH309*AH293+AI309*AI293+AJ309*AJ293+AK309*AK293+AL309*AL293+AM309*AM293+AN309*AN293+AO309*AO293+AP309*AP293+AQ309*AQ293+AR309*AR293+AS309*AS293+AT309*AT293+AU309*AU293+AV309*AV293+AW309*AW293+AX309*AX293+AY309*AY293+AZ309*AZ293+BA309*BA293+BB309*BB293+BC309*BC293+BD309*BD293+BE309*BE293+BF309*BF293+BG309*BG293+BH309*BH293+BI309*BI293+BJ309*BJ293+BK309*BK293+BL309*BL293+BM309*BM293+BN309*BN293+BO309*BO293+BP309*BP293+BQ309*BQ293+BR309*BR293+BS309*BS293+BT309*BT293+BU309*BU293+BV309*BV293+BW309*BW293+BX309*BX293+BY309*BY293+BZ309*BZ293+CA309*CA293+CB309*CB293+CC309*CC293+CD309*CD293+CE309*CE293+CF309*CF293+CG309*CG293+CH309*CH293+CI309*CI293+CJ309*CJ293+CK309*CK293+CL309*CL293+CM309*CM293+CN309*CN293+CO309*CO293+CP309*CP293+CQ309*CQ293+CR309*CR293+CS309*CS293+CT309*CT293+CU309*CU293</f>
        <v>0</v>
      </c>
      <c r="DI293" s="2882">
        <f>E310*E293+F310*F293+G310*G293+H310*H293+I310*I293+J310*J293+K310*K293+L310*L293+M310*M293+N310*N293+O310*O293+P310*P293+Q310*Q293+R310*R293+S310*S293+T310*T293+U310*U293+V310*V293+W310*W293+X310*X293+Y310*Y293+Z310*Z293+AA310*AA293+AB310*AB293+AC310*AC293+AD310*AD293+AE310*AE293+AF310*AF293+AG310*AG293+AH310*AH293+AI310*AI293+AJ310*AJ293+AK310*AK293+AL310*AL293+AM310*AM293+AN310*AN293+AO310*AO293+AP310*AP293+AQ310*AQ293+AR310*AR293+AS310*AS293+AT310*AT293+AU310*AU293+AV310*AV293+AW310*AW293+AX310*AX293+AY310*AY293+AZ310*AZ293+BA310*BA293+BB310*BB293+BC310*BC293+BD310*BD293+BE310*BE293+BF310*BF293+BG310*BG293+BH310*BH293+BI310*BI293+BJ310*BJ293+BK310*BK293+BL310*BL293+BM310*BM293+BN310*BN293+BO310*BO293+BP310*BP293+BQ310*BQ293+BR310*BR293+BS310*BS293+BT310*BT293+BU310*BU293+BV310*BV293+BW310*BW293+BX310*BX293+BY310*BY293+BZ310*BZ293+CA310*CA293+CB310*CB293+CC310*CC293+CD310*CD293+CE310*CE293+CF310*CF293+CG310*CG293+CH310*CH293+CI310*CI293+CJ310*CJ293+CK310*CK293+CL310*CL293+CM310*CM293+CN310*CN293+CO310*CO293+CP310*CP293+CQ310*CQ293+CR310*CR293+CS310*CS293+CT310*CT293+CU310*CU293</f>
        <v>0</v>
      </c>
    </row>
    <row r="294" spans="2:113" x14ac:dyDescent="0.45">
      <c r="B294" s="2219">
        <v>135</v>
      </c>
      <c r="C294" s="2219" t="s">
        <v>5853</v>
      </c>
      <c r="D294" s="2831" t="s">
        <v>5854</v>
      </c>
      <c r="E294" s="2832">
        <f>0</f>
        <v>0</v>
      </c>
      <c r="F294" s="2832">
        <f>0</f>
        <v>0</v>
      </c>
      <c r="G294" s="2832">
        <f>0</f>
        <v>0</v>
      </c>
      <c r="H294" s="2832">
        <f>0</f>
        <v>0</v>
      </c>
      <c r="I294" s="2832">
        <f>1-f_E</f>
        <v>0.92</v>
      </c>
      <c r="J294" s="2832">
        <f>0</f>
        <v>0</v>
      </c>
      <c r="K294" s="2832">
        <f>0</f>
        <v>0</v>
      </c>
      <c r="L294" s="2832">
        <f>0</f>
        <v>0</v>
      </c>
      <c r="M294" s="2832">
        <f>0</f>
        <v>0</v>
      </c>
      <c r="N294" s="2832">
        <f>0</f>
        <v>0</v>
      </c>
      <c r="O294" s="2832">
        <f>f_E</f>
        <v>0.08</v>
      </c>
      <c r="P294" s="2832">
        <f>0</f>
        <v>0</v>
      </c>
      <c r="Q294" s="2833">
        <f>0</f>
        <v>0</v>
      </c>
      <c r="R294" s="2832">
        <f>0</f>
        <v>0</v>
      </c>
      <c r="S294" s="2832">
        <f>0</f>
        <v>0</v>
      </c>
      <c r="T294" s="2832">
        <f>0</f>
        <v>0</v>
      </c>
      <c r="U294" s="2832">
        <f>0</f>
        <v>0</v>
      </c>
      <c r="V294" s="2832">
        <f>0</f>
        <v>0</v>
      </c>
      <c r="W294" s="2832">
        <f>0</f>
        <v>0</v>
      </c>
      <c r="X294" s="2832">
        <f>0</f>
        <v>0</v>
      </c>
      <c r="Y294" s="2832">
        <f>0</f>
        <v>0</v>
      </c>
      <c r="Z294" s="2832">
        <f>0</f>
        <v>0</v>
      </c>
      <c r="AA294" s="2832">
        <f>0</f>
        <v>0</v>
      </c>
      <c r="AB294" s="2833">
        <f>-f_E*(i_N_XE-i_N_BIO)</f>
        <v>8.0000000000000069E-4</v>
      </c>
      <c r="AC294" s="2832">
        <f>0</f>
        <v>0</v>
      </c>
      <c r="AD294" s="2832">
        <f>0</f>
        <v>0</v>
      </c>
      <c r="AE294" s="2832">
        <f>0</f>
        <v>0</v>
      </c>
      <c r="AF294" s="2832">
        <f>0</f>
        <v>0</v>
      </c>
      <c r="AG294" s="2832">
        <f>0</f>
        <v>0</v>
      </c>
      <c r="AH294" s="2832">
        <f>0</f>
        <v>0</v>
      </c>
      <c r="AI294" s="2832">
        <f>0</f>
        <v>0</v>
      </c>
      <c r="AJ294" s="2832">
        <f>0</f>
        <v>0</v>
      </c>
      <c r="AK294" s="2832">
        <f>(1-f_E)*i_N_BIO</f>
        <v>6.4400000000000013E-2</v>
      </c>
      <c r="AL294" s="2832">
        <f>0</f>
        <v>0</v>
      </c>
      <c r="AM294" s="2832">
        <f>0</f>
        <v>0</v>
      </c>
      <c r="AN294" s="2832">
        <f>0</f>
        <v>0</v>
      </c>
      <c r="AO294" s="2832">
        <f>0</f>
        <v>0</v>
      </c>
      <c r="AP294" s="2832">
        <f>(1-f_E)*i_P_BIO</f>
        <v>1.84E-2</v>
      </c>
      <c r="AQ294" s="2832">
        <f>0</f>
        <v>0</v>
      </c>
      <c r="AR294" s="2832">
        <f>0</f>
        <v>0</v>
      </c>
      <c r="AS294" s="2832">
        <f>0</f>
        <v>0</v>
      </c>
      <c r="AT294" s="2832">
        <f>0</f>
        <v>0</v>
      </c>
      <c r="AU294" s="2832">
        <f>(1-f_E)*(i_CIT_BIO-i_CIT_SB)</f>
        <v>6.0720000000000003E-2</v>
      </c>
      <c r="AV294" s="2832">
        <f>-i_INORG</f>
        <v>-0.11</v>
      </c>
      <c r="AW294" s="2832">
        <f>i_INORG*(1-i_Ca_INORG*(A_MCa+2*A_MCl)/A_MCa-i_Mg_INORG*(A_MMg+2*A_MCl)/A_MMg)*f_Na</f>
        <v>2.8804303582798466E-2</v>
      </c>
      <c r="AX294" s="2832">
        <f>i_INORG*(i_Ca_INORG*(2*A_MCl)/A_MCa+i_Mg_INORG*(2*A_MCl)/A_MMg)+i_INORG*(1-i_Ca_INORG*(A_MCa+2*A_MCl)/A_MCa-i_Mg_INORG*(A_MMg+2*A_MCl)/A_MMg)*(1-f_Na)</f>
        <v>7.0195696417201539E-2</v>
      </c>
      <c r="AY294" s="2832">
        <f>i_INORG*i_Ca_INORG</f>
        <v>5.5000000000000005E-3</v>
      </c>
      <c r="AZ294" s="2832">
        <f>i_INORG*i_Mg_INORG</f>
        <v>5.5000000000000005E-3</v>
      </c>
      <c r="BA294" s="2832">
        <f>0</f>
        <v>0</v>
      </c>
      <c r="BB294" s="2832">
        <f>0</f>
        <v>0</v>
      </c>
      <c r="BC294" s="2832">
        <f>(1-f_E)*i_S_BIO-(1-f_E)*i_S_XB</f>
        <v>7.8200000000000006E-3</v>
      </c>
      <c r="BD294" s="2832">
        <f>0</f>
        <v>0</v>
      </c>
      <c r="BE294" s="2833">
        <f>0</f>
        <v>0</v>
      </c>
      <c r="BF294" s="2833">
        <f>0</f>
        <v>0</v>
      </c>
      <c r="BG294" s="2833">
        <f>0</f>
        <v>0</v>
      </c>
      <c r="BH294" s="2833">
        <f>0</f>
        <v>0</v>
      </c>
      <c r="BI294" s="2833">
        <f>0</f>
        <v>0</v>
      </c>
      <c r="BJ294" s="2833">
        <f>0</f>
        <v>0</v>
      </c>
      <c r="BK294" s="2833">
        <f>0</f>
        <v>0</v>
      </c>
      <c r="BL294" s="2833">
        <f>0</f>
        <v>0</v>
      </c>
      <c r="BM294" s="2833">
        <f>0</f>
        <v>0</v>
      </c>
      <c r="BN294" s="2833">
        <f>0</f>
        <v>0</v>
      </c>
      <c r="BO294" s="2833">
        <f>0</f>
        <v>0</v>
      </c>
      <c r="BP294" s="2833">
        <f>0</f>
        <v>0</v>
      </c>
      <c r="BQ294" s="2833">
        <f>0</f>
        <v>0</v>
      </c>
      <c r="BR294" s="2833">
        <f>0</f>
        <v>0</v>
      </c>
      <c r="BS294" s="2833">
        <f>0</f>
        <v>0</v>
      </c>
      <c r="BT294" s="2833">
        <f>0</f>
        <v>0</v>
      </c>
      <c r="BU294" s="2833">
        <f>0</f>
        <v>0</v>
      </c>
      <c r="BV294" s="2833">
        <f>0</f>
        <v>0</v>
      </c>
      <c r="BW294" s="2833">
        <f>0</f>
        <v>0</v>
      </c>
      <c r="BX294" s="2833">
        <f>0</f>
        <v>0</v>
      </c>
      <c r="BY294" s="2833">
        <f>0</f>
        <v>0</v>
      </c>
      <c r="BZ294" s="2833">
        <f>0</f>
        <v>0</v>
      </c>
      <c r="CA294" s="2833">
        <f>0</f>
        <v>0</v>
      </c>
      <c r="CB294" s="2833">
        <f>0</f>
        <v>0</v>
      </c>
      <c r="CC294" s="2833">
        <f>0</f>
        <v>0</v>
      </c>
      <c r="CD294" s="2833">
        <f>0</f>
        <v>0</v>
      </c>
      <c r="CE294" s="2833">
        <f>0</f>
        <v>0</v>
      </c>
      <c r="CF294" s="2833">
        <f>0</f>
        <v>0</v>
      </c>
      <c r="CG294" s="2833">
        <f>0</f>
        <v>0</v>
      </c>
      <c r="CH294" s="2833">
        <f>0</f>
        <v>0</v>
      </c>
      <c r="CI294" s="2833">
        <f>0</f>
        <v>0</v>
      </c>
      <c r="CJ294" s="2833">
        <f>0</f>
        <v>0</v>
      </c>
      <c r="CK294" s="2833">
        <f>0</f>
        <v>0</v>
      </c>
      <c r="CL294" s="2833">
        <f>0</f>
        <v>0</v>
      </c>
      <c r="CM294" s="2833">
        <f>0</f>
        <v>0</v>
      </c>
      <c r="CN294" s="2833">
        <f>0</f>
        <v>0</v>
      </c>
      <c r="CO294" s="2833">
        <f>0</f>
        <v>0</v>
      </c>
      <c r="CP294" s="2833">
        <f>0</f>
        <v>0</v>
      </c>
      <c r="CQ294" s="2833">
        <f>0</f>
        <v>0</v>
      </c>
      <c r="CR294" s="2833">
        <f>0</f>
        <v>0</v>
      </c>
      <c r="CS294" s="2833">
        <f>0</f>
        <v>0</v>
      </c>
      <c r="CT294" s="2833">
        <f>0</f>
        <v>0</v>
      </c>
      <c r="CU294" s="2833">
        <f>-1</f>
        <v>-1</v>
      </c>
      <c r="CV294" s="2878">
        <f>b_MOB_T*X_MOB</f>
        <v>0.10980000000000001</v>
      </c>
      <c r="CX294" s="2880">
        <f>E299*E294+F299*F294+G299*G294+H299*H294+I299*I294+J299*J294+K299*K294+L299*L294+M299*M294+N299*N294+O299*O294+P299*P294+Q299*Q294+R299*R294+S299*S294+T299*T294+U299*U294+V299*V294+W299*W294+X299*X294+Y299*Y294+Z299*Z294+AA299*AA294+AB299*AB294+AC299*AC294+AD299*AD294+AE299*AE294+AF299*AF294+AG299*AG294+AH299*AH294+AI299*AI294+AJ299*AJ294+AK299*AK294+AL299*AL294+AM299*AM294+AN299*AN294+AO299*AO294+AP299*AP294+AQ299*AQ294+AR299*AR294+AS299*AS294+AT299*AT294+AU299*AU294+AV299*AV294+AW299*AW294+AX299*AX294+AY299*AY294+AZ299*AZ294+BA299*BA294+BB299*BB294+BC299*BC294+BD299*BD294+BE299*BE294+BF299*BF294+BG299*BG294+BH299*BH294+BI299*BI294+BJ299*BJ294+BK299*BK294+BL299*BL294+BM299*BM294+BN299*BN294+BO299*BO294+BP299*BP294+BQ299*BQ294+BR299*BR294+BS299*BS294+BT299*BT294+BU299*BU294+BV299*BV294+BW299*BW294+BX299*BX294+BY299*BY294+BZ299*BZ294+CA299*CA294+CB299*CB294+CC299*CC294+CD299*CD294+CE299*CE294+CF299*CF294+CG299*CG294+CH299*CH294+CI299*CI294+CJ299*CJ294+CK299*CK294+CL299*CL294+CM299*CM294+CN299*CN294+CO299*CO294+CP299*CP294+CQ299*CQ294+CR299*CR294+CS299*CS294+CT299*CT294+CU299*CU294</f>
        <v>0</v>
      </c>
      <c r="CY294" s="2880">
        <f>E300*E294+F300*F294+G300*G294+H300*H294+I300*I294+J300*J294+K300*K294+L300*L294+M300*M294+N300*N294+O300*O294+P300*P294+Q300*Q294+R300*R294+S300*S294+T300*T294+U300*U294+V300*V294+W300*W294+X300*X294+Y300*Y294+Z300*Z294+AA300*AA294+AB300*AB294+AC300*AC294+AD300*AD294+AE300*AE294+AF300*AF294+AG300*AG294+AH300*AH294+AI300*AI294+AJ300*AJ294+AK300*AK294+AL300*AL294+AM300*AM294+AN300*AN294+AO300*AO294+AP300*AP294+AQ300*AQ294+AR300*AR294+AS300*AS294+AT300*AT294+AU300*AU294+AV300*AV294+AW300*AW294+AX300*AX294+AY300*AY294+AZ300*AZ294+BA300*BA294+BB300*BB294+BC300*BC294+BD300*BD294+BE300*BE294+BF300*BF294+BG300*BG294+BH300*BH294+BI300*BI294+BJ300*BJ294+BK300*BK294+BL300*BL294+BM300*BM294+BN300*BN294+BO300*BO294+BP300*BP294+BQ300*BQ294+BR300*BR294+BS300*BS294+BT300*BT294+BU300*BU294+BV300*BV294+BW300*BW294+BX300*BX294+BY300*BY294+BZ300*BZ294+CA300*CA294+CB300*CB294+CC300*CC294+CD300*CD294+CE300*CE294+CF300*CF294+CG300*CG294+CH300*CH294+CI300*CI294+CJ300*CJ294+CK300*CK294+CL300*CL294+CM300*CM294+CN300*CN294+CO300*CO294+CP300*CP294+CQ300*CQ294+CR300*CR294+CS300*CS294+CT300*CT294+CU300*CU294</f>
        <v>0</v>
      </c>
      <c r="CZ294" s="2881">
        <f>E301*E294+F301*F294+G301*G294+H301*H294+I301*I294+J301*J294+K301*K294+L301*L294+M301*M294+N301*N294+O301*O294+P301*P294+Q301*Q294+R301*R294+S301*S294+T301*T294+U301*U294+V301*V294+W301*W294+X301*X294+Y301*Y294+Z301*Z294+AA301*AA294+AB301*AB294+AC301*AC294+AD301*AD294+AE301*AE294+AF301*AF294+AG301*AG294+AH301*AH294+AI301*AI294+AJ301*AJ294+AK301*AK294+AL301*AL294+AM301*AM294+AN301*AN294+AO301*AO294+AP301*AP294+AQ301*AQ294+AR301*AR294+AS301*AS294+AT301*AT294+AU301*AU294+AV301*AV294+AW301*AW294+AX301*AX294+AY301*AY294+AZ301*AZ294+BA301*BA294+BB301*BB294+BC301*BC294+BD301*BD294+BE301*BE294+BF301*BF294+BG301*BG294+BH301*BH294+BI301*BI294+BJ301*BJ294+BK301*BK294+BL301*BL294+BM301*BM294+BN301*BN294+BO301*BO294+BP301*BP294+BQ301*BQ294+BR301*BR294+BS301*BS294+BT301*BT294+BU301*BU294+BV301*BV294+BW301*BW294+BX301*BX294+BY301*BY294+BZ301*BZ294+CA301*CA294+CB301*CB294+CC301*CC294+CD301*CD294+CE301*CE294+CF301*CF294+CG301*CG294+CH301*CH294+CI301*CI294+CJ301*CJ294+CK301*CK294+CL301*CL294+CM301*CM294+CN301*CN294+CO301*CO294+CP301*CP294+CQ301*CQ294+CR301*CR294+CS301*CS294+CT301*CT294+CU301*CU294</f>
        <v>0</v>
      </c>
      <c r="DA294" s="2882">
        <f>E302*E294+F302*F294+G302*G294+H302*H294+I302*I294+J302*J294+K302*K294+L302*L294+M302*M294+N302*N294+O302*O294+P302*P294+Q302*Q294+R302*R294+S302*S294+T302*T294+U302*U294+V302*V294+W302*W294+X302*X294+Y302*Y294+Z302*Z294+AA302*AA294+AB302*AB294+AC302*AC294+AD302*AD294+AE302*AE294+AF302*AF294+AG302*AG294+AH302*AH294+AI302*AI294+AJ302*AJ294+AK302*AK294+AL302*AL294+AM302*AM294+AN302*AN294+AO302*AO294+AP302*AP294+AQ302*AQ294+AR302*AR294+AS302*AS294+AT302*AT294+AU302*AU294+AV302*AV294+AW302*AW294+AX302*AX294+AY302*AY294+AZ302*AZ294+BA302*BA294+BB302*BB294+BC302*BC294+BD302*BD294+BE302*BE294+BF302*BF294+BG302*BG294+BH302*BH294+BI302*BI294+BJ302*BJ294+BK302*BK294+BL302*BL294+BM302*BM294+BN302*BN294+BO302*BO294+BP302*BP294+BQ302*BQ294+BR302*BR294+BS302*BS294+BT302*BT294+BU302*BU294+BV302*BV294+BW302*BW294+BX302*BX294+BY302*BY294+BZ302*BZ294+CA302*CA294+CB302*CB294+CC302*CC294+CD302*CD294+CE302*CE294+CF302*CF294+CG302*CG294+CH302*CH294+CI302*CI294+CJ302*CJ294+CK302*CK294+CL302*CL294+CM302*CM294+CN302*CN294+CO302*CO294+CP302*CP294+CQ302*CQ294+CR302*CR294+CS302*CS294+CT302*CT294+CU302*CU294</f>
        <v>0</v>
      </c>
      <c r="DB294" s="2882">
        <f>E303*E294+F303*F294+G303*G294+H303*H294+I303*I294+J303*J294+K303*K294+L303*L294+M303*M294+N303*N294+O303*O294+P303*P294+Q303*Q294+R303*R294+S303*S294+T303*T294+U303*U294+V303*V294+W303*W294+X303*X294+Y303*Y294+Z303*Z294+AA303*AA294+AB303*AB294+AC303*AC294+AD303*AD294+AE303*AE294+AF303*AF294+AG303*AG294+AH303*AH294+AI303*AI294+AJ303*AJ294+AK303*AK294+AL303*AL294+AM303*AM294+AN303*AN294+AO303*AO294+AP303*AP294+AQ303*AQ294+AR303*AR294+AS303*AS294+AT303*AT294+AU303*AU294+AV303*AV294+AW303*AW294+AX303*AX294+AY303*AY294+AZ303*AZ294+BA303*BA294+BB303*BB294+BC303*BC294+BD303*BD294+BE303*BE294+BF303*BF294+BG303*BG294+BH303*BH294+BI303*BI294+BJ303*BJ294+BK303*BK294+BL303*BL294+BM303*BM294+BN303*BN294+BO303*BO294+BP303*BP294+BQ303*BQ294+BR303*BR294+BS303*BS294+BT303*BT294+BU303*BU294+BV303*BV294+BW303*BW294+BX303*BX294+BY303*BY294+BZ303*BZ294+CA303*CA294+CB303*CB294+CC303*CC294+CD303*CD294+CE303*CE294+CF303*CF294+CG303*CG294+CH303*CH294+CI303*CI294+CJ303*CJ294+CK303*CK294+CL303*CL294+CM303*CM294+CN303*CN294+CO303*CO294+CP303*CP294+CQ303*CQ294+CR303*CR294+CS303*CS294+CT303*CT294+CU303*CU294</f>
        <v>0</v>
      </c>
      <c r="DC294" s="2882">
        <f>E304*E294+F304*F294+G304*G294+H304*H294+I304*I294+J304*J294+K304*K294+L304*L294+M304*M294+N304*N294+O304*O294+P304*P294+Q304*Q294+R304*R294+S304*S294+T304*T294+U304*U294+V304*V294+W304*W294+X304*X294+Y304*Y294+Z304*Z294+AA304*AA294+AB304*AB294+AC304*AC294+AD304*AD294+AE304*AE294+AF304*AF294+AG304*AG294+AH304*AH294+AI304*AI294+AJ304*AJ294+AK304*AK294+AL304*AL294+AM304*AM294+AN304*AN294+AO304*AO294+AP304*AP294+AQ304*AQ294+AR304*AR294+AS304*AS294+AT304*AT294+AU304*AU294+AV304*AV294+AW304*AW294+AX304*AX294+AY304*AY294+AZ304*AZ294+BA304*BA294+BB304*BB294+BC304*BC294+BD304*BD294+BE304*BE294+BF304*BF294+BG304*BG294+BH304*BH294+BI304*BI294+BJ304*BJ294+BK304*BK294+BL304*BL294+BM304*BM294+BN304*BN294+BO304*BO294+BP304*BP294+BQ304*BQ294+BR304*BR294+BS304*BS294+BT304*BT294+BU304*BU294+BV304*BV294+BW304*BW294+BX304*BX294+BY304*BY294+BZ304*BZ294+CA304*CA294+CB304*CB294+CC304*CC294+CD304*CD294+CE304*CE294+CF304*CF294+CG304*CG294+CH304*CH294+CI304*CI294+CJ304*CJ294+CK304*CK294+CL304*CL294+CM304*CM294+CN304*CN294+CO304*CO294+CP304*CP294+CQ304*CQ294+CR304*CR294+CS304*CS294+CT304*CT294+CU304*CU294</f>
        <v>0</v>
      </c>
      <c r="DD294" s="2882">
        <f>E305*E294+F305*F294+G305*G294+H305*H294+I305*I294+J305*J294+K305*K294+L305*L294+M305*M294+N305*N294+O305*O294+P305*P294+Q305*Q294+R305*R294+S305*S294+T305*T294+U305*U294+V305*V294+W305*W294+X305*X294+Y305*Y294+Z305*Z294+AA305*AA294+AB305*AB294+AC305*AC294+AD305*AD294+AE305*AE294+AF305*AF294+AG305*AG294+AH305*AH294+AI305*AI294+AJ305*AJ294+AK305*AK294+AL305*AL294+AM305*AM294+AN305*AN294+AO305*AO294+AP305*AP294+AQ305*AQ294+AR305*AR294+AS305*AS294+AT305*AT294+AU305*AU294+AV305*AV294+AW305*AW294+AX305*AX294+AY305*AY294+AZ305*AZ294+BA305*BA294+BB305*BB294+BC305*BC294+BD305*BD294+BE305*BE294+BF305*BF294+BG305*BG294+BH305*BH294+BI305*BI294+BJ305*BJ294+BK305*BK294+BL305*BL294+BM305*BM294+BN305*BN294+BO305*BO294+BP305*BP294+BQ305*BQ294+BR305*BR294+BS305*BS294+BT305*BT294+BU305*BU294+BV305*BV294+BW305*BW294+BX305*BX294+BY305*BY294+BZ305*BZ294+CA305*CA294+CB305*CB294+CC305*CC294+CD305*CD294+CE305*CE294+CF305*CF294+CG305*CG294+CH305*CH294+CI305*CI294+CJ305*CJ294+CK305*CK294+CL305*CL294+CM305*CM294+CN305*CN294+CO305*CO294+CP305*CP294+CQ305*CQ294+CR305*CR294+CS305*CS294+CT305*CT294+CU305*CU294</f>
        <v>0</v>
      </c>
      <c r="DE294" s="2882">
        <f>E306*E294+F306*F294+G306*G294+H306*H294+I306*I294+J306*J294+K306*K294+L306*L294+M306*M294+N306*N294+O306*O294+P306*P294+Q306*Q294+R306*R294+S306*S294+T306*T294+U306*U294+V306*V294+W306*W294+X306*X294+Y306*Y294+Z306*Z294+AA306*AA294+AB306*AB294+AC306*AC294+AD306*AD294+AE306*AE294+AF306*AF294+AG306*AG294+AH306*AH294+AI306*AI294+AJ306*AJ294+AK306*AK294+AL306*AL294+AM306*AM294+AN306*AN294+AO306*AO294+AP306*AP294+AQ306*AQ294+AR306*AR294+AS306*AS294+AT306*AT294+AU306*AU294+AV306*AV294+AW306*AW294+AX306*AX294+AY306*AY294+AZ306*AZ294+BA306*BA294+BB306*BB294+BC306*BC294+BD306*BD294+BE306*BE294+BF306*BF294+BG306*BG294+BH306*BH294+BI306*BI294+BJ306*BJ294+BK306*BK294+BL306*BL294+BM306*BM294+BN306*BN294+BO306*BO294+BP306*BP294+BQ306*BQ294+BR306*BR294+BS306*BS294+BT306*BT294+BU306*BU294+BV306*BV294+BW306*BW294+BX306*BX294+BY306*BY294+BZ306*BZ294+CA306*CA294+CB306*CB294+CC306*CC294+CD306*CD294+CE306*CE294+CF306*CF294+CG306*CG294+CH306*CH294+CI306*CI294+CJ306*CJ294+CK306*CK294+CL306*CL294+CM306*CM294+CN306*CN294+CO306*CO294+CP306*CP294+CQ306*CQ294+CR306*CR294+CS306*CS294+CT306*CT294+CU306*CU294</f>
        <v>0</v>
      </c>
      <c r="DF294" s="2882">
        <f>E307*E294+F307*F294+G307*G294+H307*H294+I307*I294+J307*J294+K307*K294+L307*L294+M307*M294+N307*N294+O307*O294+P307*P294+Q307*Q294+R307*R294+S307*S294+T307*T294+U307*U294+V307*V294+W307*W294+X307*X294+Y307*Y294+Z307*Z294+AA307*AA294+AB307*AB294+AC307*AC294+AD307*AD294+AE307*AE294+AF307*AF294+AG307*AG294+AH307*AH294+AI307*AI294+AJ307*AJ294+AK307*AK294+AL307*AL294+AM307*AM294+AN307*AN294+AO307*AO294+AP307*AP294+AQ307*AQ294+AR307*AR294+AS307*AS294+AT307*AT294+AU307*AU294+AV307*AV294+AW307*AW294+AX307*AX294+AY307*AY294+AZ307*AZ294+BA307*BA294+BB307*BB294+BC307*BC294+BD307*BD294+BE307*BE294+BF307*BF294+BG307*BG294+BH307*BH294+BI307*BI294+BJ307*BJ294+BK307*BK294+BL307*BL294+BM307*BM294+BN307*BN294+BO307*BO294+BP307*BP294+BQ307*BQ294+BR307*BR294+BS307*BS294+BT307*BT294+BU307*BU294+BV307*BV294+BW307*BW294+BX307*BX294+BY307*BY294+BZ307*BZ294+CA307*CA294+CB307*CB294+CC307*CC294+CD307*CD294+CE307*CE294+CF307*CF294+CG307*CG294+CH307*CH294+CI307*CI294+CJ307*CJ294+CK307*CK294+CL307*CL294+CM307*CM294+CN307*CN294+CO307*CO294+CP307*CP294+CQ307*CQ294+CR307*CR294+CS307*CS294+CT307*CT294+CU307*CU294</f>
        <v>0</v>
      </c>
      <c r="DG294" s="2882">
        <f>E308*E294+F308*F294+G308*G294+H308*H294+I308*I294+J308*J294+K308*K294+L308*L294+M308*M294+N308*N294+O308*O294+P308*P294+Q308*Q294+R308*R294+S308*S294+T308*T294+U308*U294+V308*V294+W308*W294+X308*X294+Y308*Y294+Z308*Z294+AA308*AA294+AB308*AB294+AC308*AC294+AD308*AD294+AE308*AE294+AF308*AF294+AG308*AG294+AH308*AH294+AI308*AI294+AJ308*AJ294+AK308*AK294+AL308*AL294+AM308*AM294+AN308*AN294+AO308*AO294+AP308*AP294+AQ308*AQ294+AR308*AR294+AS308*AS294+AT308*AT294+AU308*AU294+AV308*AV294+AW308*AW294+AX308*AX294+AY308*AY294+AZ308*AZ294+BA308*BA294+BB308*BB294+BC308*BC294+BD308*BD294+BE308*BE294+BF308*BF294+BG308*BG294+BH308*BH294+BI308*BI294+BJ308*BJ294+BK308*BK294+BL308*BL294+BM308*BM294+BN308*BN294+BO308*BO294+BP308*BP294+BQ308*BQ294+BR308*BR294+BS308*BS294+BT308*BT294+BU308*BU294+BV308*BV294+BW308*BW294+BX308*BX294+BY308*BY294+BZ308*BZ294+CA308*CA294+CB308*CB294+CC308*CC294+CD308*CD294+CE308*CE294+CF308*CF294+CG308*CG294+CH308*CH294+CI308*CI294+CJ308*CJ294+CK308*CK294+CL308*CL294+CM308*CM294+CN308*CN294+CO308*CO294+CP308*CP294+CQ308*CQ294+CR308*CR294+CS308*CS294+CT308*CT294+CU308*CU294</f>
        <v>0</v>
      </c>
      <c r="DH294" s="2882">
        <f>E309*E294+F309*F294+G309*G294+H309*H294+I309*I294+J309*J294+K309*K294+L309*L294+M309*M294+N309*N294+O309*O294+P309*P294+Q309*Q294+R309*R294+S309*S294+T309*T294+U309*U294+V309*V294+W309*W294+X309*X294+Y309*Y294+Z309*Z294+AA309*AA294+AB309*AB294+AC309*AC294+AD309*AD294+AE309*AE294+AF309*AF294+AG309*AG294+AH309*AH294+AI309*AI294+AJ309*AJ294+AK309*AK294+AL309*AL294+AM309*AM294+AN309*AN294+AO309*AO294+AP309*AP294+AQ309*AQ294+AR309*AR294+AS309*AS294+AT309*AT294+AU309*AU294+AV309*AV294+AW309*AW294+AX309*AX294+AY309*AY294+AZ309*AZ294+BA309*BA294+BB309*BB294+BC309*BC294+BD309*BD294+BE309*BE294+BF309*BF294+BG309*BG294+BH309*BH294+BI309*BI294+BJ309*BJ294+BK309*BK294+BL309*BL294+BM309*BM294+BN309*BN294+BO309*BO294+BP309*BP294+BQ309*BQ294+BR309*BR294+BS309*BS294+BT309*BT294+BU309*BU294+BV309*BV294+BW309*BW294+BX309*BX294+BY309*BY294+BZ309*BZ294+CA309*CA294+CB309*CB294+CC309*CC294+CD309*CD294+CE309*CE294+CF309*CF294+CG309*CG294+CH309*CH294+CI309*CI294+CJ309*CJ294+CK309*CK294+CL309*CL294+CM309*CM294+CN309*CN294+CO309*CO294+CP309*CP294+CQ309*CQ294+CR309*CR294+CS309*CS294+CT309*CT294+CU309*CU294</f>
        <v>0</v>
      </c>
      <c r="DI294" s="2882">
        <f>E310*E294+F310*F294+G310*G294+H310*H294+I310*I294+J310*J294+K310*K294+L310*L294+M310*M294+N310*N294+O310*O294+P310*P294+Q310*Q294+R310*R294+S310*S294+T310*T294+U310*U294+V310*V294+W310*W294+X310*X294+Y310*Y294+Z310*Z294+AA310*AA294+AB310*AB294+AC310*AC294+AD310*AD294+AE310*AE294+AF310*AF294+AG310*AG294+AH310*AH294+AI310*AI294+AJ310*AJ294+AK310*AK294+AL310*AL294+AM310*AM294+AN310*AN294+AO310*AO294+AP310*AP294+AQ310*AQ294+AR310*AR294+AS310*AS294+AT310*AT294+AU310*AU294+AV310*AV294+AW310*AW294+AX310*AX294+AY310*AY294+AZ310*AZ294+BA310*BA294+BB310*BB294+BC310*BC294+BD310*BD294+BE310*BE294+BF310*BF294+BG310*BG294+BH310*BH294+BI310*BI294+BJ310*BJ294+BK310*BK294+BL310*BL294+BM310*BM294+BN310*BN294+BO310*BO294+BP310*BP294+BQ310*BQ294+BR310*BR294+BS310*BS294+BT310*BT294+BU310*BU294+BV310*BV294+BW310*BW294+BX310*BX294+BY310*BY294+BZ310*BZ294+CA310*CA294+CB310*CB294+CC310*CC294+CD310*CD294+CE310*CE294+CF310*CF294+CG310*CG294+CH310*CH294+CI310*CI294+CJ310*CJ294+CK310*CK294+CL310*CL294+CM310*CM294+CN310*CN294+CO310*CO294+CP310*CP294+CQ310*CQ294+CR310*CR294+CS310*CS294+CT310*CT294+CU310*CU294</f>
        <v>0</v>
      </c>
    </row>
    <row r="295" spans="2:113" x14ac:dyDescent="0.45">
      <c r="B295" s="2219">
        <v>136</v>
      </c>
      <c r="C295" s="2219" t="s">
        <v>5888</v>
      </c>
      <c r="D295" s="2831" t="s">
        <v>5889</v>
      </c>
      <c r="E295" s="2832">
        <f>0</f>
        <v>0</v>
      </c>
      <c r="F295" s="2832">
        <f>0</f>
        <v>0</v>
      </c>
      <c r="G295" s="2832">
        <f>0</f>
        <v>0</v>
      </c>
      <c r="H295" s="2832">
        <f>0</f>
        <v>0</v>
      </c>
      <c r="I295" s="2832">
        <f>1-f_E</f>
        <v>0.92</v>
      </c>
      <c r="J295" s="2832">
        <f>0</f>
        <v>0</v>
      </c>
      <c r="K295" s="2832">
        <f>0</f>
        <v>0</v>
      </c>
      <c r="L295" s="2832">
        <f>0</f>
        <v>0</v>
      </c>
      <c r="M295" s="2832">
        <f>0</f>
        <v>0</v>
      </c>
      <c r="N295" s="2832">
        <f>0</f>
        <v>0</v>
      </c>
      <c r="O295" s="2832">
        <f>0</f>
        <v>0</v>
      </c>
      <c r="P295" s="2832">
        <f>f_E</f>
        <v>0.08</v>
      </c>
      <c r="Q295" s="2833">
        <f>0</f>
        <v>0</v>
      </c>
      <c r="R295" s="2832">
        <f>0</f>
        <v>0</v>
      </c>
      <c r="S295" s="2832">
        <f>0</f>
        <v>0</v>
      </c>
      <c r="T295" s="2832">
        <f>0</f>
        <v>0</v>
      </c>
      <c r="U295" s="2832">
        <f>0</f>
        <v>0</v>
      </c>
      <c r="V295" s="2832">
        <f>0</f>
        <v>0</v>
      </c>
      <c r="W295" s="2832">
        <f>0</f>
        <v>0</v>
      </c>
      <c r="X295" s="2832">
        <f>0</f>
        <v>0</v>
      </c>
      <c r="Y295" s="2832">
        <f>0</f>
        <v>0</v>
      </c>
      <c r="Z295" s="2832">
        <f>0</f>
        <v>0</v>
      </c>
      <c r="AA295" s="2832">
        <f>0</f>
        <v>0</v>
      </c>
      <c r="AB295" s="2833">
        <f>-f_E*(i_N_XE-i_N_BIO)</f>
        <v>8.0000000000000069E-4</v>
      </c>
      <c r="AC295" s="2832">
        <f>0</f>
        <v>0</v>
      </c>
      <c r="AD295" s="2832">
        <f>0</f>
        <v>0</v>
      </c>
      <c r="AE295" s="2832">
        <f>0</f>
        <v>0</v>
      </c>
      <c r="AF295" s="2832">
        <f>0</f>
        <v>0</v>
      </c>
      <c r="AG295" s="2832">
        <f>0</f>
        <v>0</v>
      </c>
      <c r="AH295" s="2832">
        <f>0</f>
        <v>0</v>
      </c>
      <c r="AI295" s="2832">
        <f>0</f>
        <v>0</v>
      </c>
      <c r="AJ295" s="2832">
        <f>0</f>
        <v>0</v>
      </c>
      <c r="AK295" s="2832">
        <f>(1-f_E)*i_N_BIO</f>
        <v>6.4400000000000013E-2</v>
      </c>
      <c r="AL295" s="2832">
        <f>0</f>
        <v>0</v>
      </c>
      <c r="AM295" s="2832">
        <f>0</f>
        <v>0</v>
      </c>
      <c r="AN295" s="2832">
        <f>0</f>
        <v>0</v>
      </c>
      <c r="AO295" s="2832">
        <f>0</f>
        <v>0</v>
      </c>
      <c r="AP295" s="2832">
        <f>(1-f_E)*i_P_BIO</f>
        <v>1.84E-2</v>
      </c>
      <c r="AQ295" s="2832">
        <f>0</f>
        <v>0</v>
      </c>
      <c r="AR295" s="2832">
        <f>0</f>
        <v>0</v>
      </c>
      <c r="AS295" s="2832">
        <f>0</f>
        <v>0</v>
      </c>
      <c r="AT295" s="2832">
        <f>0</f>
        <v>0</v>
      </c>
      <c r="AU295" s="2832">
        <f>(1-f_E)*(i_CIT_BIO-i_CIT_SB)</f>
        <v>6.0720000000000003E-2</v>
      </c>
      <c r="AV295" s="2851">
        <f>-i_INORG</f>
        <v>-0.11</v>
      </c>
      <c r="AW295" s="2832">
        <f>i_INORG*(1-i_Ca_INORG*(A_MCa+2*A_MCl)/A_MCa-i_Mg_INORG*(A_MMg+2*A_MCl)/A_MMg)*f_Na</f>
        <v>2.8804303582798466E-2</v>
      </c>
      <c r="AX295" s="2832">
        <f>i_INORG*(i_Ca_INORG*(2*A_MCl)/A_MCa+i_Mg_INORG*(2*A_MCl)/A_MMg)+i_INORG*(1-i_Ca_INORG*(A_MCa+2*A_MCl)/A_MCa-i_Mg_INORG*(A_MMg+2*A_MCl)/A_MMg)*(1-f_Na)</f>
        <v>7.0195696417201539E-2</v>
      </c>
      <c r="AY295" s="2832">
        <f>i_INORG*i_Ca_INORG</f>
        <v>5.5000000000000005E-3</v>
      </c>
      <c r="AZ295" s="2832">
        <f>i_INORG*i_Mg_INORG</f>
        <v>5.5000000000000005E-3</v>
      </c>
      <c r="BA295" s="2832">
        <f>0</f>
        <v>0</v>
      </c>
      <c r="BB295" s="2832">
        <f>0</f>
        <v>0</v>
      </c>
      <c r="BC295" s="2832">
        <f>(1-f_E)*i_S_BIO-(1-f_E)*i_S_XB</f>
        <v>7.8200000000000006E-3</v>
      </c>
      <c r="BD295" s="2832">
        <f>0</f>
        <v>0</v>
      </c>
      <c r="BE295" s="2833">
        <f>0</f>
        <v>0</v>
      </c>
      <c r="BF295" s="2833">
        <f>0</f>
        <v>0</v>
      </c>
      <c r="BG295" s="2833">
        <f>0</f>
        <v>0</v>
      </c>
      <c r="BH295" s="2833">
        <f>0</f>
        <v>0</v>
      </c>
      <c r="BI295" s="2833">
        <f>0</f>
        <v>0</v>
      </c>
      <c r="BJ295" s="2833">
        <f>0</f>
        <v>0</v>
      </c>
      <c r="BK295" s="2833">
        <f>0</f>
        <v>0</v>
      </c>
      <c r="BL295" s="2833">
        <f>0</f>
        <v>0</v>
      </c>
      <c r="BM295" s="2833">
        <f>0</f>
        <v>0</v>
      </c>
      <c r="BN295" s="2833">
        <f>0</f>
        <v>0</v>
      </c>
      <c r="BO295" s="2833">
        <f>0</f>
        <v>0</v>
      </c>
      <c r="BP295" s="2833">
        <f>0</f>
        <v>0</v>
      </c>
      <c r="BQ295" s="2833">
        <f>0</f>
        <v>0</v>
      </c>
      <c r="BR295" s="2833">
        <f>0</f>
        <v>0</v>
      </c>
      <c r="BS295" s="2833">
        <f>0</f>
        <v>0</v>
      </c>
      <c r="BT295" s="2833">
        <f>0</f>
        <v>0</v>
      </c>
      <c r="BU295" s="2833">
        <f>0</f>
        <v>0</v>
      </c>
      <c r="BV295" s="2833">
        <f>0</f>
        <v>0</v>
      </c>
      <c r="BW295" s="2833">
        <f>0</f>
        <v>0</v>
      </c>
      <c r="BX295" s="2833">
        <f>0</f>
        <v>0</v>
      </c>
      <c r="BY295" s="2833">
        <f>0</f>
        <v>0</v>
      </c>
      <c r="BZ295" s="2833">
        <f>0</f>
        <v>0</v>
      </c>
      <c r="CA295" s="2833">
        <f>0</f>
        <v>0</v>
      </c>
      <c r="CB295" s="2833">
        <f>0</f>
        <v>0</v>
      </c>
      <c r="CC295" s="2833">
        <f>0</f>
        <v>0</v>
      </c>
      <c r="CD295" s="2833">
        <f>0</f>
        <v>0</v>
      </c>
      <c r="CE295" s="2833">
        <f>0</f>
        <v>0</v>
      </c>
      <c r="CF295" s="2833">
        <f>0</f>
        <v>0</v>
      </c>
      <c r="CG295" s="2833">
        <f>0</f>
        <v>0</v>
      </c>
      <c r="CH295" s="2833">
        <f>0</f>
        <v>0</v>
      </c>
      <c r="CI295" s="2833">
        <f>0</f>
        <v>0</v>
      </c>
      <c r="CJ295" s="2833">
        <f>0</f>
        <v>0</v>
      </c>
      <c r="CK295" s="2833">
        <f>0</f>
        <v>0</v>
      </c>
      <c r="CL295" s="2833">
        <f>0</f>
        <v>0</v>
      </c>
      <c r="CM295" s="2833">
        <f>0</f>
        <v>0</v>
      </c>
      <c r="CN295" s="2833">
        <f>0</f>
        <v>0</v>
      </c>
      <c r="CO295" s="2833">
        <f>0</f>
        <v>0</v>
      </c>
      <c r="CP295" s="2833">
        <f>0</f>
        <v>0</v>
      </c>
      <c r="CQ295" s="2833">
        <f>0</f>
        <v>0</v>
      </c>
      <c r="CR295" s="2833">
        <f>0</f>
        <v>0</v>
      </c>
      <c r="CS295" s="2833">
        <f>0</f>
        <v>0</v>
      </c>
      <c r="CT295" s="2833">
        <f>0</f>
        <v>0</v>
      </c>
      <c r="CU295" s="2850">
        <f>-1</f>
        <v>-1</v>
      </c>
      <c r="CV295" s="2878">
        <f>0</f>
        <v>0</v>
      </c>
      <c r="CX295" s="2880">
        <f>E299*E295+F299*F295+G299*G295+H299*H295+I299*I295+J299*J295+K299*K295+L299*L295+M299*M295+N299*N295+O299*O295+P299*P295+Q299*Q295+R299*R295+S299*S295+T299*T295+U299*U295+V299*V295+W299*W295+X299*X295+Y299*Y295+Z299*Z295+AA299*AA295+AB299*AB295+AC299*AC295+AD299*AD295+AE299*AE295+AF299*AF295+AG299*AG295+AH299*AH295+AI299*AI295+AJ299*AJ295+AK299*AK295+AL299*AL295+AM299*AM295+AN299*AN295+AO299*AO295+AP299*AP295+AQ299*AQ295+AR299*AR295+AS299*AS295+AT299*AT295+AU299*AU295+AV299*AV295+AW299*AW295+AX299*AX295+AY299*AY295+AZ299*AZ295+BA299*BA295+BB299*BB295+BC299*BC295+BD299*BD295+BE299*BE295+BF299*BF295+BG299*BG295+BH299*BH295+BI299*BI295+BJ299*BJ295+BK299*BK295+BL299*BL295+BM299*BM295+BN299*BN295+BO299*BO295+BP299*BP295+BQ299*BQ295+BR299*BR295+BS299*BS295+BT299*BT295+BU299*BU295+BV299*BV295+BW299*BW295+BX299*BX295+BY299*BY295+BZ299*BZ295+CA299*CA295+CB299*CB295+CC299*CC295+CD299*CD295+CE299*CE295+CF299*CF295+CG299*CG295+CH299*CH295+CI299*CI295+CJ299*CJ295+CK299*CK295+CL299*CL295+CM299*CM295+CN299*CN295+CO299*CO295+CP299*CP295+CQ299*CQ295+CR299*CR295+CS299*CS295+CT299*CT295+CU299*CU295</f>
        <v>0</v>
      </c>
      <c r="CY295" s="2880">
        <f>E300*E295+F300*F295+G300*G295+H300*H295+I300*I295+J300*J295+K300*K295+L300*L295+M300*M295+N300*N295+O300*O295+P300*P295+Q300*Q295+R300*R295+S300*S295+T300*T295+U300*U295+V300*V295+W300*W295+X300*X295+Y300*Y295+Z300*Z295+AA300*AA295+AB300*AB295+AC300*AC295+AD300*AD295+AE300*AE295+AF300*AF295+AG300*AG295+AH300*AH295+AI300*AI295+AJ300*AJ295+AK300*AK295+AL300*AL295+AM300*AM295+AN300*AN295+AO300*AO295+AP300*AP295+AQ300*AQ295+AR300*AR295+AS300*AS295+AT300*AT295+AU300*AU295+AV300*AV295+AW300*AW295+AX300*AX295+AY300*AY295+AZ300*AZ295+BA300*BA295+BB300*BB295+BC300*BC295+BD300*BD295+BE300*BE295+BF300*BF295+BG300*BG295+BH300*BH295+BI300*BI295+BJ300*BJ295+BK300*BK295+BL300*BL295+BM300*BM295+BN300*BN295+BO300*BO295+BP300*BP295+BQ300*BQ295+BR300*BR295+BS300*BS295+BT300*BT295+BU300*BU295+BV300*BV295+BW300*BW295+BX300*BX295+BY300*BY295+BZ300*BZ295+CA300*CA295+CB300*CB295+CC300*CC295+CD300*CD295+CE300*CE295+CF300*CF295+CG300*CG295+CH300*CH295+CI300*CI295+CJ300*CJ295+CK300*CK295+CL300*CL295+CM300*CM295+CN300*CN295+CO300*CO295+CP300*CP295+CQ300*CQ295+CR300*CR295+CS300*CS295+CT300*CT295+CU300*CU295</f>
        <v>0</v>
      </c>
      <c r="CZ295" s="2881">
        <f>E301*E295+F301*F295+G301*G295+H301*H295+I301*I295+J301*J295+K301*K295+L301*L295+M301*M295+N301*N295+O301*O295+P301*P295+Q301*Q295+R301*R295+S301*S295+T301*T295+U301*U295+V301*V295+W301*W295+X301*X295+Y301*Y295+Z301*Z295+AA301*AA295+AB301*AB295+AC301*AC295+AD301*AD295+AE301*AE295+AF301*AF295+AG301*AG295+AH301*AH295+AI301*AI295+AJ301*AJ295+AK301*AK295+AL301*AL295+AM301*AM295+AN301*AN295+AO301*AO295+AP301*AP295+AQ301*AQ295+AR301*AR295+AS301*AS295+AT301*AT295+AU301*AU295+AV301*AV295+AW301*AW295+AX301*AX295+AY301*AY295+AZ301*AZ295+BA301*BA295+BB301*BB295+BC301*BC295+BD301*BD295+BE301*BE295+BF301*BF295+BG301*BG295+BH301*BH295+BI301*BI295+BJ301*BJ295+BK301*BK295+BL301*BL295+BM301*BM295+BN301*BN295+BO301*BO295+BP301*BP295+BQ301*BQ295+BR301*BR295+BS301*BS295+BT301*BT295+BU301*BU295+BV301*BV295+BW301*BW295+BX301*BX295+BY301*BY295+BZ301*BZ295+CA301*CA295+CB301*CB295+CC301*CC295+CD301*CD295+CE301*CE295+CF301*CF295+CG301*CG295+CH301*CH295+CI301*CI295+CJ301*CJ295+CK301*CK295+CL301*CL295+CM301*CM295+CN301*CN295+CO301*CO295+CP301*CP295+CQ301*CQ295+CR301*CR295+CS301*CS295+CT301*CT295+CU301*CU295</f>
        <v>0</v>
      </c>
      <c r="DA295" s="2882">
        <f>E302*E295+F302*F295+G302*G295+H302*H295+I302*I295+J302*J295+K302*K295+L302*L295+M302*M295+N302*N295+O302*O295+P302*P295+Q302*Q295+R302*R295+S302*S295+T302*T295+U302*U295+V302*V295+W302*W295+X302*X295+Y302*Y295+Z302*Z295+AA302*AA295+AB302*AB295+AC302*AC295+AD302*AD295+AE302*AE295+AF302*AF295+AG302*AG295+AH302*AH295+AI302*AI295+AJ302*AJ295+AK302*AK295+AL302*AL295+AM302*AM295+AN302*AN295+AO302*AO295+AP302*AP295+AQ302*AQ295+AR302*AR295+AS302*AS295+AT302*AT295+AU302*AU295+AV302*AV295+AW302*AW295+AX302*AX295+AY302*AY295+AZ302*AZ295+BA302*BA295+BB302*BB295+BC302*BC295+BD302*BD295+BE302*BE295+BF302*BF295+BG302*BG295+BH302*BH295+BI302*BI295+BJ302*BJ295+BK302*BK295+BL302*BL295+BM302*BM295+BN302*BN295+BO302*BO295+BP302*BP295+BQ302*BQ295+BR302*BR295+BS302*BS295+BT302*BT295+BU302*BU295+BV302*BV295+BW302*BW295+BX302*BX295+BY302*BY295+BZ302*BZ295+CA302*CA295+CB302*CB295+CC302*CC295+CD302*CD295+CE302*CE295+CF302*CF295+CG302*CG295+CH302*CH295+CI302*CI295+CJ302*CJ295+CK302*CK295+CL302*CL295+CM302*CM295+CN302*CN295+CO302*CO295+CP302*CP295+CQ302*CQ295+CR302*CR295+CS302*CS295+CT302*CT295+CU302*CU295</f>
        <v>0</v>
      </c>
      <c r="DB295" s="2882">
        <f>E303*E295+F303*F295+G303*G295+H303*H295+I303*I295+J303*J295+K303*K295+L303*L295+M303*M295+N303*N295+O303*O295+P303*P295+Q303*Q295+R303*R295+S303*S295+T303*T295+U303*U295+V303*V295+W303*W295+X303*X295+Y303*Y295+Z303*Z295+AA303*AA295+AB303*AB295+AC303*AC295+AD303*AD295+AE303*AE295+AF303*AF295+AG303*AG295+AH303*AH295+AI303*AI295+AJ303*AJ295+AK303*AK295+AL303*AL295+AM303*AM295+AN303*AN295+AO303*AO295+AP303*AP295+AQ303*AQ295+AR303*AR295+AS303*AS295+AT303*AT295+AU303*AU295+AV303*AV295+AW303*AW295+AX303*AX295+AY303*AY295+AZ303*AZ295+BA303*BA295+BB303*BB295+BC303*BC295+BD303*BD295+BE303*BE295+BF303*BF295+BG303*BG295+BH303*BH295+BI303*BI295+BJ303*BJ295+BK303*BK295+BL303*BL295+BM303*BM295+BN303*BN295+BO303*BO295+BP303*BP295+BQ303*BQ295+BR303*BR295+BS303*BS295+BT303*BT295+BU303*BU295+BV303*BV295+BW303*BW295+BX303*BX295+BY303*BY295+BZ303*BZ295+CA303*CA295+CB303*CB295+CC303*CC295+CD303*CD295+CE303*CE295+CF303*CF295+CG303*CG295+CH303*CH295+CI303*CI295+CJ303*CJ295+CK303*CK295+CL303*CL295+CM303*CM295+CN303*CN295+CO303*CO295+CP303*CP295+CQ303*CQ295+CR303*CR295+CS303*CS295+CT303*CT295+CU303*CU295</f>
        <v>0</v>
      </c>
      <c r="DC295" s="2882">
        <f>E304*E295+F304*F295+G304*G295+H304*H295+I304*I295+J304*J295+K304*K295+L304*L295+M304*M295+N304*N295+O304*O295+P304*P295+Q304*Q295+R304*R295+S304*S295+T304*T295+U304*U295+V304*V295+W304*W295+X304*X295+Y304*Y295+Z304*Z295+AA304*AA295+AB304*AB295+AC304*AC295+AD304*AD295+AE304*AE295+AF304*AF295+AG304*AG295+AH304*AH295+AI304*AI295+AJ304*AJ295+AK304*AK295+AL304*AL295+AM304*AM295+AN304*AN295+AO304*AO295+AP304*AP295+AQ304*AQ295+AR304*AR295+AS304*AS295+AT304*AT295+AU304*AU295+AV304*AV295+AW304*AW295+AX304*AX295+AY304*AY295+AZ304*AZ295+BA304*BA295+BB304*BB295+BC304*BC295+BD304*BD295+BE304*BE295+BF304*BF295+BG304*BG295+BH304*BH295+BI304*BI295+BJ304*BJ295+BK304*BK295+BL304*BL295+BM304*BM295+BN304*BN295+BO304*BO295+BP304*BP295+BQ304*BQ295+BR304*BR295+BS304*BS295+BT304*BT295+BU304*BU295+BV304*BV295+BW304*BW295+BX304*BX295+BY304*BY295+BZ304*BZ295+CA304*CA295+CB304*CB295+CC304*CC295+CD304*CD295+CE304*CE295+CF304*CF295+CG304*CG295+CH304*CH295+CI304*CI295+CJ304*CJ295+CK304*CK295+CL304*CL295+CM304*CM295+CN304*CN295+CO304*CO295+CP304*CP295+CQ304*CQ295+CR304*CR295+CS304*CS295+CT304*CT295+CU304*CU295</f>
        <v>0</v>
      </c>
      <c r="DD295" s="2882">
        <f>E305*E295+F305*F295+G305*G295+H305*H295+I305*I295+J305*J295+K305*K295+L305*L295+M305*M295+N305*N295+O305*O295+P305*P295+Q305*Q295+R305*R295+S305*S295+T305*T295+U305*U295+V305*V295+W305*W295+X305*X295+Y305*Y295+Z305*Z295+AA305*AA295+AB305*AB295+AC305*AC295+AD305*AD295+AE305*AE295+AF305*AF295+AG305*AG295+AH305*AH295+AI305*AI295+AJ305*AJ295+AK305*AK295+AL305*AL295+AM305*AM295+AN305*AN295+AO305*AO295+AP305*AP295+AQ305*AQ295+AR305*AR295+AS305*AS295+AT305*AT295+AU305*AU295+AV305*AV295+AW305*AW295+AX305*AX295+AY305*AY295+AZ305*AZ295+BA305*BA295+BB305*BB295+BC305*BC295+BD305*BD295+BE305*BE295+BF305*BF295+BG305*BG295+BH305*BH295+BI305*BI295+BJ305*BJ295+BK305*BK295+BL305*BL295+BM305*BM295+BN305*BN295+BO305*BO295+BP305*BP295+BQ305*BQ295+BR305*BR295+BS305*BS295+BT305*BT295+BU305*BU295+BV305*BV295+BW305*BW295+BX305*BX295+BY305*BY295+BZ305*BZ295+CA305*CA295+CB305*CB295+CC305*CC295+CD305*CD295+CE305*CE295+CF305*CF295+CG305*CG295+CH305*CH295+CI305*CI295+CJ305*CJ295+CK305*CK295+CL305*CL295+CM305*CM295+CN305*CN295+CO305*CO295+CP305*CP295+CQ305*CQ295+CR305*CR295+CS305*CS295+CT305*CT295+CU305*CU295</f>
        <v>0</v>
      </c>
      <c r="DE295" s="2882">
        <f>E306*E295+F306*F295+G306*G295+H306*H295+I306*I295+J306*J295+K306*K295+L306*L295+M306*M295+N306*N295+O306*O295+P306*P295+Q306*Q295+R306*R295+S306*S295+T306*T295+U306*U295+V306*V295+W306*W295+X306*X295+Y306*Y295+Z306*Z295+AA306*AA295+AB306*AB295+AC306*AC295+AD306*AD295+AE306*AE295+AF306*AF295+AG306*AG295+AH306*AH295+AI306*AI295+AJ306*AJ295+AK306*AK295+AL306*AL295+AM306*AM295+AN306*AN295+AO306*AO295+AP306*AP295+AQ306*AQ295+AR306*AR295+AS306*AS295+AT306*AT295+AU306*AU295+AV306*AV295+AW306*AW295+AX306*AX295+AY306*AY295+AZ306*AZ295+BA306*BA295+BB306*BB295+BC306*BC295+BD306*BD295+BE306*BE295+BF306*BF295+BG306*BG295+BH306*BH295+BI306*BI295+BJ306*BJ295+BK306*BK295+BL306*BL295+BM306*BM295+BN306*BN295+BO306*BO295+BP306*BP295+BQ306*BQ295+BR306*BR295+BS306*BS295+BT306*BT295+BU306*BU295+BV306*BV295+BW306*BW295+BX306*BX295+BY306*BY295+BZ306*BZ295+CA306*CA295+CB306*CB295+CC306*CC295+CD306*CD295+CE306*CE295+CF306*CF295+CG306*CG295+CH306*CH295+CI306*CI295+CJ306*CJ295+CK306*CK295+CL306*CL295+CM306*CM295+CN306*CN295+CO306*CO295+CP306*CP295+CQ306*CQ295+CR306*CR295+CS306*CS295+CT306*CT295+CU306*CU295</f>
        <v>0</v>
      </c>
      <c r="DF295" s="2882">
        <f>E307*E295+F307*F295+G307*G295+H307*H295+I307*I295+J307*J295+K307*K295+L307*L295+M307*M295+N307*N295+O307*O295+P307*P295+Q307*Q295+R307*R295+S307*S295+T307*T295+U307*U295+V307*V295+W307*W295+X307*X295+Y307*Y295+Z307*Z295+AA307*AA295+AB307*AB295+AC307*AC295+AD307*AD295+AE307*AE295+AF307*AF295+AG307*AG295+AH307*AH295+AI307*AI295+AJ307*AJ295+AK307*AK295+AL307*AL295+AM307*AM295+AN307*AN295+AO307*AO295+AP307*AP295+AQ307*AQ295+AR307*AR295+AS307*AS295+AT307*AT295+AU307*AU295+AV307*AV295+AW307*AW295+AX307*AX295+AY307*AY295+AZ307*AZ295+BA307*BA295+BB307*BB295+BC307*BC295+BD307*BD295+BE307*BE295+BF307*BF295+BG307*BG295+BH307*BH295+BI307*BI295+BJ307*BJ295+BK307*BK295+BL307*BL295+BM307*BM295+BN307*BN295+BO307*BO295+BP307*BP295+BQ307*BQ295+BR307*BR295+BS307*BS295+BT307*BT295+BU307*BU295+BV307*BV295+BW307*BW295+BX307*BX295+BY307*BY295+BZ307*BZ295+CA307*CA295+CB307*CB295+CC307*CC295+CD307*CD295+CE307*CE295+CF307*CF295+CG307*CG295+CH307*CH295+CI307*CI295+CJ307*CJ295+CK307*CK295+CL307*CL295+CM307*CM295+CN307*CN295+CO307*CO295+CP307*CP295+CQ307*CQ295+CR307*CR295+CS307*CS295+CT307*CT295+CU307*CU295</f>
        <v>0</v>
      </c>
      <c r="DG295" s="2882">
        <f>E308*E295+F308*F295+G308*G295+H308*H295+I308*I295+J308*J295+K308*K295+L308*L295+M308*M295+N308*N295+O308*O295+P308*P295+Q308*Q295+R308*R295+S308*S295+T308*T295+U308*U295+V308*V295+W308*W295+X308*X295+Y308*Y295+Z308*Z295+AA308*AA295+AB308*AB295+AC308*AC295+AD308*AD295+AE308*AE295+AF308*AF295+AG308*AG295+AH308*AH295+AI308*AI295+AJ308*AJ295+AK308*AK295+AL308*AL295+AM308*AM295+AN308*AN295+AO308*AO295+AP308*AP295+AQ308*AQ295+AR308*AR295+AS308*AS295+AT308*AT295+AU308*AU295+AV308*AV295+AW308*AW295+AX308*AX295+AY308*AY295+AZ308*AZ295+BA308*BA295+BB308*BB295+BC308*BC295+BD308*BD295+BE308*BE295+BF308*BF295+BG308*BG295+BH308*BH295+BI308*BI295+BJ308*BJ295+BK308*BK295+BL308*BL295+BM308*BM295+BN308*BN295+BO308*BO295+BP308*BP295+BQ308*BQ295+BR308*BR295+BS308*BS295+BT308*BT295+BU308*BU295+BV308*BV295+BW308*BW295+BX308*BX295+BY308*BY295+BZ308*BZ295+CA308*CA295+CB308*CB295+CC308*CC295+CD308*CD295+CE308*CE295+CF308*CF295+CG308*CG295+CH308*CH295+CI308*CI295+CJ308*CJ295+CK308*CK295+CL308*CL295+CM308*CM295+CN308*CN295+CO308*CO295+CP308*CP295+CQ308*CQ295+CR308*CR295+CS308*CS295+CT308*CT295+CU308*CU295</f>
        <v>0</v>
      </c>
      <c r="DH295" s="2882">
        <f>E309*E295+F309*F295+G309*G295+H309*H295+I309*I295+J309*J295+K309*K295+L309*L295+M309*M295+N309*N295+O309*O295+P309*P295+Q309*Q295+R309*R295+S309*S295+T309*T295+U309*U295+V309*V295+W309*W295+X309*X295+Y309*Y295+Z309*Z295+AA309*AA295+AB309*AB295+AC309*AC295+AD309*AD295+AE309*AE295+AF309*AF295+AG309*AG295+AH309*AH295+AI309*AI295+AJ309*AJ295+AK309*AK295+AL309*AL295+AM309*AM295+AN309*AN295+AO309*AO295+AP309*AP295+AQ309*AQ295+AR309*AR295+AS309*AS295+AT309*AT295+AU309*AU295+AV309*AV295+AW309*AW295+AX309*AX295+AY309*AY295+AZ309*AZ295+BA309*BA295+BB309*BB295+BC309*BC295+BD309*BD295+BE309*BE295+BF309*BF295+BG309*BG295+BH309*BH295+BI309*BI295+BJ309*BJ295+BK309*BK295+BL309*BL295+BM309*BM295+BN309*BN295+BO309*BO295+BP309*BP295+BQ309*BQ295+BR309*BR295+BS309*BS295+BT309*BT295+BU309*BU295+BV309*BV295+BW309*BW295+BX309*BX295+BY309*BY295+BZ309*BZ295+CA309*CA295+CB309*CB295+CC309*CC295+CD309*CD295+CE309*CE295+CF309*CF295+CG309*CG295+CH309*CH295+CI309*CI295+CJ309*CJ295+CK309*CK295+CL309*CL295+CM309*CM295+CN309*CN295+CO309*CO295+CP309*CP295+CQ309*CQ295+CR309*CR295+CS309*CS295+CT309*CT295+CU309*CU295</f>
        <v>0</v>
      </c>
      <c r="DI295" s="2882">
        <f>E310*E295+F310*F295+G310*G295+H310*H295+I310*I295+J310*J295+K310*K295+L310*L295+M310*M295+N310*N295+O310*O295+P310*P295+Q310*Q295+R310*R295+S310*S295+T310*T295+U310*U295+V310*V295+W310*W295+X310*X295+Y310*Y295+Z310*Z295+AA310*AA295+AB310*AB295+AC310*AC295+AD310*AD295+AE310*AE295+AF310*AF295+AG310*AG295+AH310*AH295+AI310*AI295+AJ310*AJ295+AK310*AK295+AL310*AL295+AM310*AM295+AN310*AN295+AO310*AO295+AP310*AP295+AQ310*AQ295+AR310*AR295+AS310*AS295+AT310*AT295+AU310*AU295+AV310*AV295+AW310*AW295+AX310*AX295+AY310*AY295+AZ310*AZ295+BA310*BA295+BB310*BB295+BC310*BC295+BD310*BD295+BE310*BE295+BF310*BF295+BG310*BG295+BH310*BH295+BI310*BI295+BJ310*BJ295+BK310*BK295+BL310*BL295+BM310*BM295+BN310*BN295+BO310*BO295+BP310*BP295+BQ310*BQ295+BR310*BR295+BS310*BS295+BT310*BT295+BU310*BU295+BV310*BV295+BW310*BW295+BX310*BX295+BY310*BY295+BZ310*BZ295+CA310*CA295+CB310*CB295+CC310*CC295+CD310*CD295+CE310*CE295+CF310*CF295+CG310*CG295+CH310*CH295+CI310*CI295+CJ310*CJ295+CK310*CK295+CL310*CL295+CM310*CM295+CN310*CN295+CO310*CO295+CP310*CP295+CQ310*CQ295+CR310*CR295+CS310*CS295+CT310*CT295+CU310*CU295</f>
        <v>0</v>
      </c>
    </row>
    <row r="297" spans="2:113" ht="14.65" thickBot="1" x14ac:dyDescent="0.5"/>
    <row r="298" spans="2:113" ht="14.65" thickBot="1" x14ac:dyDescent="0.5">
      <c r="D298" s="55" t="s">
        <v>6</v>
      </c>
      <c r="E298" s="72"/>
      <c r="F298" s="72"/>
      <c r="G298" s="72"/>
      <c r="H298" s="72"/>
      <c r="I298" s="72"/>
      <c r="J298" s="72"/>
      <c r="K298" s="72"/>
      <c r="L298" s="72"/>
      <c r="M298" s="72"/>
      <c r="N298" s="72"/>
      <c r="O298" s="72"/>
      <c r="P298" s="72"/>
      <c r="Q298" s="72"/>
      <c r="R298" s="72"/>
      <c r="S298" s="72"/>
      <c r="T298" s="72"/>
      <c r="U298" s="72"/>
      <c r="V298" s="72"/>
      <c r="W298" s="72"/>
      <c r="X298" s="72"/>
      <c r="Y298" s="72"/>
      <c r="Z298" s="72"/>
      <c r="AA298" s="72"/>
      <c r="AB298" s="72"/>
      <c r="AC298" s="72"/>
      <c r="AD298" s="72"/>
      <c r="AE298" s="72"/>
      <c r="AF298" s="72"/>
      <c r="AG298" s="72"/>
      <c r="AH298" s="72"/>
      <c r="AI298" s="72"/>
      <c r="AJ298" s="72"/>
      <c r="AK298" s="72"/>
      <c r="AL298" s="72"/>
      <c r="AM298" s="72"/>
      <c r="AN298" s="72"/>
      <c r="AO298" s="72"/>
      <c r="AP298" s="72"/>
      <c r="AQ298" s="72"/>
      <c r="AR298" s="72"/>
      <c r="AS298" s="72"/>
      <c r="AT298" s="72"/>
      <c r="AU298" s="72"/>
      <c r="AV298" s="72"/>
      <c r="AW298" s="72"/>
      <c r="AX298" s="72"/>
      <c r="AY298" s="72"/>
      <c r="AZ298" s="72"/>
      <c r="BA298" s="72"/>
      <c r="BB298" s="72"/>
      <c r="BC298" s="72"/>
      <c r="BD298" s="72"/>
      <c r="BE298" s="72"/>
      <c r="BF298" s="72"/>
      <c r="BG298" s="72"/>
      <c r="BH298" s="72"/>
      <c r="BI298" s="72"/>
      <c r="BJ298" s="72"/>
      <c r="BK298" s="72"/>
      <c r="BL298" s="72"/>
      <c r="BM298" s="72"/>
      <c r="BN298" s="72"/>
      <c r="BO298" s="72"/>
      <c r="BP298" s="72"/>
      <c r="BQ298" s="72"/>
      <c r="BR298" s="72"/>
      <c r="BS298" s="72"/>
      <c r="BT298" s="72"/>
      <c r="BU298" s="72"/>
      <c r="BV298" s="72"/>
      <c r="BW298" s="72"/>
      <c r="BX298" s="72"/>
      <c r="BY298" s="72"/>
      <c r="BZ298" s="72"/>
      <c r="CA298" s="72"/>
      <c r="CB298" s="72"/>
      <c r="CC298" s="72"/>
      <c r="CD298" s="72"/>
      <c r="CE298" s="72"/>
      <c r="CF298" s="72"/>
      <c r="CG298" s="72"/>
      <c r="CH298" s="72"/>
      <c r="CI298" s="72"/>
      <c r="CJ298" s="72"/>
      <c r="CK298" s="72"/>
      <c r="CL298" s="72"/>
      <c r="CM298" s="72"/>
      <c r="CN298" s="72"/>
      <c r="CO298" s="72"/>
      <c r="CP298" s="72"/>
      <c r="CQ298" s="72"/>
      <c r="CR298" s="72"/>
      <c r="CS298" s="72"/>
      <c r="CT298" s="72"/>
      <c r="CU298" s="72"/>
    </row>
    <row r="299" spans="2:113" x14ac:dyDescent="0.45">
      <c r="D299" s="278" t="s">
        <v>148</v>
      </c>
      <c r="E299" s="279">
        <v>1</v>
      </c>
      <c r="F299" s="279">
        <v>1</v>
      </c>
      <c r="G299" s="279">
        <v>1</v>
      </c>
      <c r="H299" s="279">
        <v>1</v>
      </c>
      <c r="I299" s="279">
        <v>1</v>
      </c>
      <c r="J299" s="279">
        <v>1</v>
      </c>
      <c r="K299" s="279">
        <v>1</v>
      </c>
      <c r="L299" s="279">
        <v>1</v>
      </c>
      <c r="M299" s="279">
        <v>1</v>
      </c>
      <c r="N299" s="279">
        <v>1</v>
      </c>
      <c r="O299" s="279">
        <v>1</v>
      </c>
      <c r="P299" s="279">
        <v>1</v>
      </c>
      <c r="Q299" s="279">
        <v>1</v>
      </c>
      <c r="R299" s="279">
        <v>1</v>
      </c>
      <c r="S299" s="279">
        <v>1</v>
      </c>
      <c r="T299" s="279">
        <v>1</v>
      </c>
      <c r="U299" s="279">
        <v>1</v>
      </c>
      <c r="V299" s="279">
        <v>1</v>
      </c>
      <c r="W299" s="279">
        <v>1</v>
      </c>
      <c r="X299" s="279">
        <v>1</v>
      </c>
      <c r="Y299" s="2553">
        <v>1</v>
      </c>
      <c r="Z299" s="2553">
        <v>1</v>
      </c>
      <c r="AA299" s="2553">
        <v>1</v>
      </c>
      <c r="AB299" s="279"/>
      <c r="AC299" s="280">
        <f>-E_EQNH2OH</f>
        <v>-1.1422676290632339</v>
      </c>
      <c r="AD299" s="280">
        <f>-E_EQNO3</f>
        <v>-4.5690705162529355</v>
      </c>
      <c r="AE299" s="280">
        <f>-E_EQNO2</f>
        <v>-3.4268028871897016</v>
      </c>
      <c r="AF299" s="663">
        <f>-E_EQNO</f>
        <v>-2.8556690726580851</v>
      </c>
      <c r="AG299" s="663">
        <f>-E_EQNO</f>
        <v>-2.8556690726580851</v>
      </c>
      <c r="AH299" s="663">
        <f>-E_EQN2O</f>
        <v>-2.2845352581264677</v>
      </c>
      <c r="AI299" s="280">
        <f>-E_EQN2</f>
        <v>-1.7134014435948508</v>
      </c>
      <c r="AJ299" s="279"/>
      <c r="AK299" s="279"/>
      <c r="AL299" s="279"/>
      <c r="AM299" s="279"/>
      <c r="AN299" s="279"/>
      <c r="AO299" s="279"/>
      <c r="AP299" s="279"/>
      <c r="AQ299" s="279"/>
      <c r="AR299" s="279">
        <v>-1</v>
      </c>
      <c r="AS299" s="279">
        <v>1</v>
      </c>
      <c r="AT299" s="279">
        <v>1</v>
      </c>
      <c r="AU299" s="279"/>
      <c r="AV299" s="279"/>
      <c r="AW299" s="279"/>
      <c r="AX299" s="279"/>
      <c r="AY299" s="279"/>
      <c r="AZ299" s="279"/>
      <c r="BA299" s="279"/>
      <c r="BB299" s="2571">
        <f>E_EQH2S</f>
        <v>1.9958708872602526</v>
      </c>
      <c r="BC299" s="2553"/>
      <c r="BD299" s="2571">
        <f>E_EQS</f>
        <v>1.4969031654451894</v>
      </c>
      <c r="BE299" s="279">
        <f>E_EQFe2</f>
        <v>0.14325364849136002</v>
      </c>
      <c r="BF299" s="279"/>
      <c r="BG299" s="279"/>
      <c r="BH299" s="279"/>
      <c r="BI299" s="279"/>
      <c r="BJ299" s="279"/>
      <c r="BK299" s="279"/>
      <c r="BL299" s="279"/>
      <c r="BM299" s="279"/>
      <c r="BN299" s="279"/>
      <c r="BO299" s="279"/>
      <c r="BP299" s="279"/>
      <c r="BQ299" s="279"/>
      <c r="BR299" s="279"/>
      <c r="BS299" s="279"/>
      <c r="BT299" s="279"/>
      <c r="BU299" s="279"/>
      <c r="BV299" s="909"/>
      <c r="BW299" s="279"/>
      <c r="BX299" s="281">
        <f>3*A_MFe/M_MVivi*E_EQFe2</f>
        <v>4.7846893347985253E-2</v>
      </c>
      <c r="BY299" s="2560">
        <f>A_MS/M_MFeS*E_EQH2S+A_MFe/M_MFeS*E_EQFe2</f>
        <v>0.81899215106358769</v>
      </c>
      <c r="BZ299" s="281"/>
      <c r="CA299" s="914"/>
      <c r="CB299" s="490"/>
      <c r="CC299" s="491" t="s">
        <v>3401</v>
      </c>
      <c r="CD299" s="491" t="s">
        <v>3401</v>
      </c>
      <c r="CE299" s="491" t="s">
        <v>1150</v>
      </c>
      <c r="CF299" s="490"/>
      <c r="CG299" s="491">
        <f>-E_EQNO</f>
        <v>-2.8556690726580851</v>
      </c>
      <c r="CH299" s="491">
        <f>-E_EQN2O</f>
        <v>-2.2845352581264677</v>
      </c>
      <c r="CI299" s="491">
        <f>-E_EQN2</f>
        <v>-1.7134014435948508</v>
      </c>
      <c r="CJ299" s="2553">
        <f>E_EQH2S</f>
        <v>1.9958708872602526</v>
      </c>
      <c r="CK299" s="469"/>
      <c r="CL299" s="469">
        <f>1/Δ_atm</f>
        <v>1</v>
      </c>
      <c r="CM299" s="469">
        <f>1/Δ_atm</f>
        <v>1</v>
      </c>
      <c r="CN299" s="469">
        <f>-1/Δ_atm</f>
        <v>-1</v>
      </c>
      <c r="CO299" s="469"/>
      <c r="CP299" s="491">
        <f>-E_EQNO/Δ_atm</f>
        <v>-2.8556690726580851</v>
      </c>
      <c r="CQ299" s="491">
        <f>-E_EQN2O/Δ_atm</f>
        <v>-2.2845352581264677</v>
      </c>
      <c r="CR299" s="491">
        <f>-E_EQN2/Δ_atm</f>
        <v>-1.7134014435948508</v>
      </c>
      <c r="CS299" s="2571">
        <f>E_EQH2S/Δ_atm</f>
        <v>1.9958708872602526</v>
      </c>
      <c r="CT299" s="2568"/>
      <c r="CU299" s="279">
        <v>1</v>
      </c>
    </row>
    <row r="300" spans="2:113" x14ac:dyDescent="0.45">
      <c r="D300" s="254" t="s">
        <v>259</v>
      </c>
      <c r="E300" s="227">
        <f>i_CIT_VFA</f>
        <v>0.375</v>
      </c>
      <c r="F300" s="227">
        <f>i_CIT_SB</f>
        <v>0.28599999999999998</v>
      </c>
      <c r="G300" s="227">
        <f>i_CIT_MEOL</f>
        <v>0.25</v>
      </c>
      <c r="H300" s="227">
        <f>i_CIT_SB</f>
        <v>0.28599999999999998</v>
      </c>
      <c r="I300" s="227">
        <f>i_CIT_SB</f>
        <v>0.28599999999999998</v>
      </c>
      <c r="J300" s="227">
        <f>i_CIT_SB</f>
        <v>0.28599999999999998</v>
      </c>
      <c r="K300" s="227">
        <f>i_CIT_SB</f>
        <v>0.28599999999999998</v>
      </c>
      <c r="L300" s="227">
        <f>i_CIT_SB</f>
        <v>0.28599999999999998</v>
      </c>
      <c r="M300" s="227">
        <f>i_CIT_PHA</f>
        <v>0.33300000000000002</v>
      </c>
      <c r="N300" s="227">
        <f>i_CIT_GLY</f>
        <v>0.375</v>
      </c>
      <c r="O300" s="227">
        <f t="shared" ref="O300:AA300" si="15">i_CIT_BIO</f>
        <v>0.35199999999999998</v>
      </c>
      <c r="P300" s="227">
        <f t="shared" si="15"/>
        <v>0.35199999999999998</v>
      </c>
      <c r="Q300" s="227">
        <f t="shared" si="15"/>
        <v>0.35199999999999998</v>
      </c>
      <c r="R300" s="227">
        <f t="shared" si="15"/>
        <v>0.35199999999999998</v>
      </c>
      <c r="S300" s="227">
        <f t="shared" si="15"/>
        <v>0.35199999999999998</v>
      </c>
      <c r="T300" s="227">
        <f t="shared" si="15"/>
        <v>0.35199999999999998</v>
      </c>
      <c r="U300" s="227">
        <f t="shared" si="15"/>
        <v>0.35199999999999998</v>
      </c>
      <c r="V300" s="227">
        <f t="shared" si="15"/>
        <v>0.35199999999999998</v>
      </c>
      <c r="W300" s="227">
        <f t="shared" si="15"/>
        <v>0.35199999999999998</v>
      </c>
      <c r="X300" s="227">
        <f t="shared" si="15"/>
        <v>0.35199999999999998</v>
      </c>
      <c r="Y300" s="740">
        <f t="shared" si="15"/>
        <v>0.35199999999999998</v>
      </c>
      <c r="Z300" s="740">
        <f t="shared" si="15"/>
        <v>0.35199999999999998</v>
      </c>
      <c r="AA300" s="740">
        <f t="shared" si="15"/>
        <v>0.35199999999999998</v>
      </c>
      <c r="AB300" s="227"/>
      <c r="AC300" s="740"/>
      <c r="AD300" s="277"/>
      <c r="AE300" s="277"/>
      <c r="AF300" s="660"/>
      <c r="AG300" s="660"/>
      <c r="AH300" s="660"/>
      <c r="AI300" s="277"/>
      <c r="AJ300" s="227"/>
      <c r="AK300" s="227"/>
      <c r="AL300" s="227"/>
      <c r="AM300" s="227"/>
      <c r="AN300" s="227"/>
      <c r="AO300" s="227"/>
      <c r="AP300" s="227"/>
      <c r="AQ300" s="227"/>
      <c r="AR300" s="227"/>
      <c r="AS300" s="227">
        <f>i_CIT_CH4</f>
        <v>0.188</v>
      </c>
      <c r="AT300" s="227"/>
      <c r="AU300" s="227">
        <v>1</v>
      </c>
      <c r="AV300" s="227"/>
      <c r="AW300" s="227"/>
      <c r="AX300" s="227"/>
      <c r="AY300" s="227"/>
      <c r="AZ300" s="227"/>
      <c r="BA300" s="227"/>
      <c r="BB300" s="740"/>
      <c r="BC300" s="740"/>
      <c r="BD300" s="740"/>
      <c r="BE300" s="227"/>
      <c r="BF300" s="227"/>
      <c r="BG300" s="227"/>
      <c r="BH300" s="227"/>
      <c r="BI300" s="227"/>
      <c r="BJ300" s="227"/>
      <c r="BK300" s="227"/>
      <c r="BL300" s="227"/>
      <c r="BM300" s="227"/>
      <c r="BN300" s="227"/>
      <c r="BO300" s="227"/>
      <c r="BP300" s="227"/>
      <c r="BQ300" s="227"/>
      <c r="BR300" s="227"/>
      <c r="BS300" s="227"/>
      <c r="BT300" s="227">
        <f>A_MC/M_MCaCO3</f>
        <v>0.12000271763837225</v>
      </c>
      <c r="BU300" s="227"/>
      <c r="BV300" s="658"/>
      <c r="BW300" s="227"/>
      <c r="BX300" s="228"/>
      <c r="BY300" s="2561"/>
      <c r="BZ300" s="228"/>
      <c r="CA300" s="910"/>
      <c r="CB300" s="492" t="s">
        <v>3401</v>
      </c>
      <c r="CC300" s="493">
        <f>i_CIT_CH4</f>
        <v>0.188</v>
      </c>
      <c r="CD300" s="493"/>
      <c r="CE300" s="492"/>
      <c r="CF300" s="493"/>
      <c r="CG300" s="658"/>
      <c r="CH300" s="658"/>
      <c r="CI300" s="492"/>
      <c r="CJ300" s="2563"/>
      <c r="CK300" s="470">
        <f>1/Δ_atm</f>
        <v>1</v>
      </c>
      <c r="CL300" s="470">
        <f>i_CIT_CH4/Δ_atm</f>
        <v>0.188</v>
      </c>
      <c r="CM300" s="470"/>
      <c r="CN300" s="470"/>
      <c r="CO300" s="470"/>
      <c r="CP300" s="658"/>
      <c r="CQ300" s="658"/>
      <c r="CR300" s="658"/>
      <c r="CS300" s="661"/>
      <c r="CT300" s="661"/>
      <c r="CU300" s="227">
        <f>i_CIT_BIO</f>
        <v>0.35199999999999998</v>
      </c>
    </row>
    <row r="301" spans="2:113" x14ac:dyDescent="0.45">
      <c r="D301" s="254" t="s">
        <v>255</v>
      </c>
      <c r="E301" s="227"/>
      <c r="F301" s="227"/>
      <c r="G301" s="227"/>
      <c r="H301" s="227">
        <f>i_N_CB</f>
        <v>0.01</v>
      </c>
      <c r="I301" s="227"/>
      <c r="J301" s="227">
        <f>i_N_SU</f>
        <v>0.01</v>
      </c>
      <c r="K301" s="227">
        <f>i_N_CU</f>
        <v>0.01</v>
      </c>
      <c r="L301" s="227"/>
      <c r="M301" s="227"/>
      <c r="N301" s="227"/>
      <c r="O301" s="227">
        <f>i_N_XE</f>
        <v>0.06</v>
      </c>
      <c r="P301" s="227">
        <f>i_N_XE</f>
        <v>0.06</v>
      </c>
      <c r="Q301" s="227">
        <f t="shared" ref="Q301:AA301" si="16">i_N_BIO</f>
        <v>7.0000000000000007E-2</v>
      </c>
      <c r="R301" s="227">
        <f t="shared" si="16"/>
        <v>7.0000000000000007E-2</v>
      </c>
      <c r="S301" s="227">
        <f t="shared" si="16"/>
        <v>7.0000000000000007E-2</v>
      </c>
      <c r="T301" s="227">
        <f t="shared" si="16"/>
        <v>7.0000000000000007E-2</v>
      </c>
      <c r="U301" s="227">
        <f t="shared" si="16"/>
        <v>7.0000000000000007E-2</v>
      </c>
      <c r="V301" s="227">
        <f t="shared" si="16"/>
        <v>7.0000000000000007E-2</v>
      </c>
      <c r="W301" s="227">
        <f t="shared" si="16"/>
        <v>7.0000000000000007E-2</v>
      </c>
      <c r="X301" s="227">
        <f t="shared" si="16"/>
        <v>7.0000000000000007E-2</v>
      </c>
      <c r="Y301" s="740">
        <f t="shared" si="16"/>
        <v>7.0000000000000007E-2</v>
      </c>
      <c r="Z301" s="740">
        <f t="shared" si="16"/>
        <v>7.0000000000000007E-2</v>
      </c>
      <c r="AA301" s="740">
        <f t="shared" si="16"/>
        <v>7.0000000000000007E-2</v>
      </c>
      <c r="AB301" s="227">
        <v>1</v>
      </c>
      <c r="AC301" s="740">
        <v>1</v>
      </c>
      <c r="AD301" s="227">
        <v>1</v>
      </c>
      <c r="AE301" s="227">
        <v>1</v>
      </c>
      <c r="AF301" s="664">
        <v>1</v>
      </c>
      <c r="AG301" s="664">
        <v>1</v>
      </c>
      <c r="AH301" s="664">
        <v>1</v>
      </c>
      <c r="AI301" s="227">
        <v>1</v>
      </c>
      <c r="AJ301" s="227">
        <v>1</v>
      </c>
      <c r="AK301" s="227">
        <v>1</v>
      </c>
      <c r="AL301" s="227">
        <v>1</v>
      </c>
      <c r="AM301" s="227"/>
      <c r="AN301" s="227"/>
      <c r="AO301" s="227"/>
      <c r="AP301" s="227"/>
      <c r="AQ301" s="227"/>
      <c r="AR301" s="227"/>
      <c r="AS301" s="227"/>
      <c r="AT301" s="227"/>
      <c r="AU301" s="227"/>
      <c r="AV301" s="227"/>
      <c r="AW301" s="227"/>
      <c r="AX301" s="227"/>
      <c r="AY301" s="227"/>
      <c r="AZ301" s="227"/>
      <c r="BA301" s="227"/>
      <c r="BB301" s="740"/>
      <c r="BC301" s="740"/>
      <c r="BD301" s="740"/>
      <c r="BE301" s="227"/>
      <c r="BF301" s="227"/>
      <c r="BG301" s="227"/>
      <c r="BH301" s="227"/>
      <c r="BI301" s="227"/>
      <c r="BJ301" s="227"/>
      <c r="BK301" s="227"/>
      <c r="BL301" s="227"/>
      <c r="BM301" s="227"/>
      <c r="BN301" s="227"/>
      <c r="BO301" s="227"/>
      <c r="BP301" s="227"/>
      <c r="BQ301" s="227"/>
      <c r="BR301" s="227"/>
      <c r="BS301" s="227"/>
      <c r="BT301" s="227"/>
      <c r="BU301" s="227"/>
      <c r="BV301" s="658"/>
      <c r="BW301" s="227">
        <f>A_MN/M_MSTR</f>
        <v>5.7075504823359977E-2</v>
      </c>
      <c r="BX301" s="227"/>
      <c r="BY301" s="740"/>
      <c r="BZ301" s="227"/>
      <c r="CA301" s="658"/>
      <c r="CB301" s="493"/>
      <c r="CC301" s="493"/>
      <c r="CD301" s="493"/>
      <c r="CE301" s="493"/>
      <c r="CF301" s="492" t="s">
        <v>3401</v>
      </c>
      <c r="CG301" s="660">
        <v>1</v>
      </c>
      <c r="CH301" s="660">
        <v>1</v>
      </c>
      <c r="CI301" s="492" t="s">
        <v>3401</v>
      </c>
      <c r="CJ301" s="2563"/>
      <c r="CK301" s="471"/>
      <c r="CL301" s="471"/>
      <c r="CM301" s="471"/>
      <c r="CN301" s="471"/>
      <c r="CO301" s="471">
        <f>1/Δ_atm</f>
        <v>1</v>
      </c>
      <c r="CP301" s="660">
        <f>1/Δ_atm</f>
        <v>1</v>
      </c>
      <c r="CQ301" s="660">
        <f>1/Δ_atm</f>
        <v>1</v>
      </c>
      <c r="CR301" s="660">
        <f>1/Δ_atm</f>
        <v>1</v>
      </c>
      <c r="CS301" s="2569"/>
      <c r="CT301" s="2569"/>
      <c r="CU301" s="227">
        <f>i_N_BIO</f>
        <v>7.0000000000000007E-2</v>
      </c>
    </row>
    <row r="302" spans="2:113" x14ac:dyDescent="0.45">
      <c r="D302" s="254" t="s">
        <v>256</v>
      </c>
      <c r="E302" s="227"/>
      <c r="F302" s="227"/>
      <c r="G302" s="227"/>
      <c r="H302" s="227">
        <f>i_P_CB</f>
        <v>2E-3</v>
      </c>
      <c r="I302" s="227"/>
      <c r="J302" s="227">
        <f>i_P_SU</f>
        <v>2E-3</v>
      </c>
      <c r="K302" s="227">
        <f>i_P_CU</f>
        <v>2E-3</v>
      </c>
      <c r="L302" s="227"/>
      <c r="M302" s="227"/>
      <c r="N302" s="227"/>
      <c r="O302" s="227">
        <f t="shared" ref="O302:AA302" si="17">i_P_BIO</f>
        <v>0.02</v>
      </c>
      <c r="P302" s="227">
        <f t="shared" si="17"/>
        <v>0.02</v>
      </c>
      <c r="Q302" s="227">
        <f t="shared" si="17"/>
        <v>0.02</v>
      </c>
      <c r="R302" s="227">
        <f t="shared" si="17"/>
        <v>0.02</v>
      </c>
      <c r="S302" s="227">
        <f t="shared" si="17"/>
        <v>0.02</v>
      </c>
      <c r="T302" s="227">
        <f t="shared" si="17"/>
        <v>0.02</v>
      </c>
      <c r="U302" s="227">
        <f t="shared" si="17"/>
        <v>0.02</v>
      </c>
      <c r="V302" s="227">
        <f t="shared" si="17"/>
        <v>0.02</v>
      </c>
      <c r="W302" s="227">
        <f t="shared" si="17"/>
        <v>0.02</v>
      </c>
      <c r="X302" s="227">
        <f t="shared" si="17"/>
        <v>0.02</v>
      </c>
      <c r="Y302" s="740">
        <f t="shared" si="17"/>
        <v>0.02</v>
      </c>
      <c r="Z302" s="740">
        <f t="shared" si="17"/>
        <v>0.02</v>
      </c>
      <c r="AA302" s="740">
        <f t="shared" si="17"/>
        <v>0.02</v>
      </c>
      <c r="AB302" s="227"/>
      <c r="AC302" s="740"/>
      <c r="AD302" s="227"/>
      <c r="AE302" s="227"/>
      <c r="AF302" s="658"/>
      <c r="AG302" s="658"/>
      <c r="AH302" s="658"/>
      <c r="AI302" s="227"/>
      <c r="AJ302" s="227"/>
      <c r="AK302" s="227"/>
      <c r="AL302" s="227"/>
      <c r="AM302" s="227">
        <v>1</v>
      </c>
      <c r="AN302" s="227">
        <v>1</v>
      </c>
      <c r="AO302" s="227">
        <v>1</v>
      </c>
      <c r="AP302" s="227">
        <v>1</v>
      </c>
      <c r="AQ302" s="227">
        <v>1</v>
      </c>
      <c r="AR302" s="227"/>
      <c r="AS302" s="227"/>
      <c r="AT302" s="227"/>
      <c r="AU302" s="227"/>
      <c r="AV302" s="227"/>
      <c r="AW302" s="227"/>
      <c r="AX302" s="227"/>
      <c r="AY302" s="227"/>
      <c r="AZ302" s="227"/>
      <c r="BA302" s="227"/>
      <c r="BB302" s="740"/>
      <c r="BC302" s="740"/>
      <c r="BD302" s="740"/>
      <c r="BE302" s="228"/>
      <c r="BF302" s="227"/>
      <c r="BG302" s="227"/>
      <c r="BH302" s="228"/>
      <c r="BI302" s="658">
        <f>A_SFHFO_H*(A_MP/A_MFe)</f>
        <v>0.66556566639806602</v>
      </c>
      <c r="BJ302" s="658">
        <f>A_SFHFO_L*(A_MP/A_MFe)</f>
        <v>0.11092761106634436</v>
      </c>
      <c r="BK302" s="658">
        <f>A_SFHFO_H*(A_MP/A_MFe)</f>
        <v>0.66556566639806602</v>
      </c>
      <c r="BL302" s="658">
        <f>A_SFHFO_L*(A_MP/A_MFe)</f>
        <v>0.11092761106634436</v>
      </c>
      <c r="BM302" s="658"/>
      <c r="BN302" s="658"/>
      <c r="BO302" s="910"/>
      <c r="BP302" s="658">
        <f>A_SFHAO_H*(A_MP/A_MAl)</f>
        <v>1.1479629449808202</v>
      </c>
      <c r="BQ302" s="658">
        <f>A_SFHAO_L*(A_MP/A_MAl)</f>
        <v>0.11479629449808203</v>
      </c>
      <c r="BR302" s="658">
        <f>A_SFHAO_H*(A_MP/A_MAl)</f>
        <v>1.1479629449808202</v>
      </c>
      <c r="BS302" s="658">
        <f>A_SFHAO_L*(A_MP/A_MAl)</f>
        <v>0.11479629449808203</v>
      </c>
      <c r="BT302" s="228"/>
      <c r="BU302" s="227">
        <f>2*A_MP/M_MACP</f>
        <v>0.16206538757887573</v>
      </c>
      <c r="BV302" s="658">
        <f>A_MP/M_MBSH</f>
        <v>0.17998807007087103</v>
      </c>
      <c r="BW302" s="227">
        <f>A_MP/M_MSTR</f>
        <v>0.12621410566683836</v>
      </c>
      <c r="BX302" s="228">
        <f>2*A_MP/M_MVivi</f>
        <v>0.1234998580474381</v>
      </c>
      <c r="BY302" s="2561"/>
      <c r="BZ302" s="228"/>
      <c r="CA302" s="910"/>
      <c r="CB302" s="493"/>
      <c r="CC302" s="493"/>
      <c r="CD302" s="493"/>
      <c r="CE302" s="493"/>
      <c r="CF302" s="493"/>
      <c r="CG302" s="658"/>
      <c r="CH302" s="658"/>
      <c r="CI302" s="493"/>
      <c r="CJ302" s="2564"/>
      <c r="CK302" s="471"/>
      <c r="CL302" s="471"/>
      <c r="CM302" s="471"/>
      <c r="CN302" s="471"/>
      <c r="CO302" s="471"/>
      <c r="CP302" s="658"/>
      <c r="CQ302" s="658"/>
      <c r="CR302" s="658"/>
      <c r="CS302" s="661"/>
      <c r="CT302" s="661"/>
      <c r="CU302" s="227">
        <f>i_P_BIO</f>
        <v>0.02</v>
      </c>
    </row>
    <row r="303" spans="2:113" x14ac:dyDescent="0.45">
      <c r="D303" s="2613" t="s">
        <v>258</v>
      </c>
      <c r="E303" s="740"/>
      <c r="F303" s="740">
        <f>i_S_SB</f>
        <v>1.5E-3</v>
      </c>
      <c r="G303" s="740"/>
      <c r="H303" s="740">
        <f>i_S_CB</f>
        <v>1.5E-3</v>
      </c>
      <c r="I303" s="740">
        <f>i_S_XB</f>
        <v>1.5E-3</v>
      </c>
      <c r="J303" s="740">
        <f>i_S_SU</f>
        <v>1.5E-3</v>
      </c>
      <c r="K303" s="740">
        <f>i_S_CU</f>
        <v>1.5E-3</v>
      </c>
      <c r="L303" s="740">
        <f>i_S_XU</f>
        <v>1.5E-3</v>
      </c>
      <c r="M303" s="740"/>
      <c r="N303" s="740"/>
      <c r="O303" s="740">
        <f t="shared" ref="O303:AA303" si="18">i_S_BIO</f>
        <v>0.01</v>
      </c>
      <c r="P303" s="740">
        <f t="shared" si="18"/>
        <v>0.01</v>
      </c>
      <c r="Q303" s="740">
        <f t="shared" si="18"/>
        <v>0.01</v>
      </c>
      <c r="R303" s="740">
        <f t="shared" si="18"/>
        <v>0.01</v>
      </c>
      <c r="S303" s="740">
        <f t="shared" si="18"/>
        <v>0.01</v>
      </c>
      <c r="T303" s="740">
        <f t="shared" si="18"/>
        <v>0.01</v>
      </c>
      <c r="U303" s="740">
        <f t="shared" si="18"/>
        <v>0.01</v>
      </c>
      <c r="V303" s="740">
        <f t="shared" si="18"/>
        <v>0.01</v>
      </c>
      <c r="W303" s="740">
        <f t="shared" si="18"/>
        <v>0.01</v>
      </c>
      <c r="X303" s="740">
        <f t="shared" si="18"/>
        <v>0.01</v>
      </c>
      <c r="Y303" s="740">
        <f t="shared" si="18"/>
        <v>0.01</v>
      </c>
      <c r="Z303" s="740">
        <f t="shared" si="18"/>
        <v>0.01</v>
      </c>
      <c r="AA303" s="740">
        <f t="shared" si="18"/>
        <v>0.01</v>
      </c>
      <c r="AB303" s="740"/>
      <c r="AC303" s="740"/>
      <c r="AD303" s="740"/>
      <c r="AE303" s="740"/>
      <c r="AF303" s="740"/>
      <c r="AG303" s="740"/>
      <c r="AH303" s="740"/>
      <c r="AI303" s="740"/>
      <c r="AJ303" s="740"/>
      <c r="AK303" s="740"/>
      <c r="AL303" s="740"/>
      <c r="AM303" s="740"/>
      <c r="AN303" s="740"/>
      <c r="AO303" s="740"/>
      <c r="AP303" s="740"/>
      <c r="AQ303" s="740"/>
      <c r="AR303" s="740"/>
      <c r="AS303" s="740"/>
      <c r="AT303" s="740"/>
      <c r="AU303" s="740"/>
      <c r="AV303" s="740"/>
      <c r="AW303" s="740"/>
      <c r="AX303" s="740"/>
      <c r="AY303" s="740"/>
      <c r="AZ303" s="740"/>
      <c r="BA303" s="740"/>
      <c r="BB303" s="740">
        <v>1</v>
      </c>
      <c r="BC303" s="740">
        <v>1</v>
      </c>
      <c r="BD303" s="740">
        <v>1</v>
      </c>
      <c r="BE303" s="740"/>
      <c r="BF303" s="2561"/>
      <c r="BG303" s="740"/>
      <c r="BH303" s="740"/>
      <c r="BI303" s="2561"/>
      <c r="BJ303" s="740"/>
      <c r="BK303" s="740"/>
      <c r="BL303" s="740"/>
      <c r="BM303" s="2561"/>
      <c r="BN303" s="740"/>
      <c r="BO303" s="740"/>
      <c r="BP303" s="2561"/>
      <c r="BQ303" s="740"/>
      <c r="BR303" s="740"/>
      <c r="BS303" s="740"/>
      <c r="BT303" s="2614"/>
      <c r="BU303" s="2561"/>
      <c r="BV303" s="2615"/>
      <c r="BW303" s="740"/>
      <c r="BX303" s="740"/>
      <c r="BY303" s="2561">
        <f>A_MS/M_MFeS</f>
        <v>0.36474803776589693</v>
      </c>
      <c r="BZ303" s="2561"/>
      <c r="CA303" s="2561"/>
      <c r="CB303" s="2561"/>
      <c r="CC303" s="740"/>
      <c r="CD303" s="740"/>
      <c r="CE303" s="740"/>
      <c r="CF303" s="740"/>
      <c r="CG303" s="740"/>
      <c r="CH303" s="740"/>
      <c r="CI303" s="740"/>
      <c r="CJ303" s="740">
        <v>1</v>
      </c>
      <c r="CK303" s="2561"/>
      <c r="CL303" s="740"/>
      <c r="CM303" s="740"/>
      <c r="CN303" s="740"/>
      <c r="CO303" s="740"/>
      <c r="CP303" s="740"/>
      <c r="CQ303" s="740"/>
      <c r="CR303" s="740"/>
      <c r="CS303" s="740">
        <f>1/Δ_atm</f>
        <v>1</v>
      </c>
      <c r="CT303" s="740"/>
      <c r="CU303" s="740">
        <f>i_S_BIO</f>
        <v>0.01</v>
      </c>
    </row>
    <row r="304" spans="2:113" x14ac:dyDescent="0.45">
      <c r="D304" s="254" t="s">
        <v>1114</v>
      </c>
      <c r="E304" s="227"/>
      <c r="F304" s="227"/>
      <c r="G304" s="227"/>
      <c r="H304" s="227"/>
      <c r="I304" s="227"/>
      <c r="J304" s="227"/>
      <c r="K304" s="227"/>
      <c r="L304" s="227"/>
      <c r="M304" s="227"/>
      <c r="N304" s="227"/>
      <c r="O304" s="227"/>
      <c r="P304" s="227"/>
      <c r="Q304" s="227"/>
      <c r="R304" s="227"/>
      <c r="S304" s="227"/>
      <c r="T304" s="227"/>
      <c r="U304" s="227"/>
      <c r="V304" s="227"/>
      <c r="W304" s="227"/>
      <c r="X304" s="227"/>
      <c r="Y304" s="740"/>
      <c r="Z304" s="740"/>
      <c r="AA304" s="740"/>
      <c r="AB304" s="227"/>
      <c r="AC304" s="740"/>
      <c r="AD304" s="227"/>
      <c r="AE304" s="227"/>
      <c r="AF304" s="658"/>
      <c r="AG304" s="658"/>
      <c r="AH304" s="658"/>
      <c r="AI304" s="227"/>
      <c r="AJ304" s="227"/>
      <c r="AK304" s="227"/>
      <c r="AL304" s="227"/>
      <c r="AM304" s="227"/>
      <c r="AN304" s="227"/>
      <c r="AO304" s="227"/>
      <c r="AP304" s="227"/>
      <c r="AQ304" s="227"/>
      <c r="AR304" s="227"/>
      <c r="AS304" s="227"/>
      <c r="AT304" s="227"/>
      <c r="AU304" s="227"/>
      <c r="AV304" s="621">
        <f>(1-i_Ca_INORG*(A_MCa+2*A_MCl)/A_MCa-i_Mg_INORG*(A_MMg+2*A_MCl)/A_MMg)*f_Na</f>
        <v>0.26185730529816786</v>
      </c>
      <c r="AW304" s="227">
        <v>1</v>
      </c>
      <c r="AX304" s="227"/>
      <c r="AY304" s="227"/>
      <c r="AZ304" s="227"/>
      <c r="BA304" s="227"/>
      <c r="BB304" s="740"/>
      <c r="BC304" s="740"/>
      <c r="BD304" s="740"/>
      <c r="BE304" s="228"/>
      <c r="BF304" s="227"/>
      <c r="BG304" s="227"/>
      <c r="BH304" s="228"/>
      <c r="BI304" s="228"/>
      <c r="BJ304" s="227"/>
      <c r="BK304" s="228"/>
      <c r="BL304" s="228"/>
      <c r="BM304" s="227"/>
      <c r="BN304" s="227"/>
      <c r="BO304" s="228"/>
      <c r="BP304" s="228"/>
      <c r="BQ304" s="227"/>
      <c r="BR304" s="228"/>
      <c r="BS304" s="228"/>
      <c r="BT304" s="228"/>
      <c r="BU304" s="228"/>
      <c r="BV304" s="910"/>
      <c r="BW304" s="227"/>
      <c r="BX304" s="228"/>
      <c r="BY304" s="2561"/>
      <c r="BZ304" s="228"/>
      <c r="CA304" s="910"/>
      <c r="CB304" s="493"/>
      <c r="CC304" s="493"/>
      <c r="CD304" s="493"/>
      <c r="CE304" s="493"/>
      <c r="CF304" s="493"/>
      <c r="CG304" s="658"/>
      <c r="CH304" s="658"/>
      <c r="CI304" s="493"/>
      <c r="CJ304" s="2564"/>
      <c r="CK304" s="472"/>
      <c r="CL304" s="472"/>
      <c r="CM304" s="472"/>
      <c r="CN304" s="472"/>
      <c r="CO304" s="472"/>
      <c r="CP304" s="658"/>
      <c r="CQ304" s="658"/>
      <c r="CR304" s="658"/>
      <c r="CS304" s="661"/>
      <c r="CT304" s="661"/>
      <c r="CU304" s="661"/>
    </row>
    <row r="305" spans="4:99" x14ac:dyDescent="0.45">
      <c r="D305" s="254" t="s">
        <v>475</v>
      </c>
      <c r="E305" s="227"/>
      <c r="F305" s="227"/>
      <c r="G305" s="227"/>
      <c r="H305" s="227"/>
      <c r="I305" s="227"/>
      <c r="J305" s="227"/>
      <c r="K305" s="227"/>
      <c r="L305" s="227"/>
      <c r="M305" s="227"/>
      <c r="N305" s="227"/>
      <c r="O305" s="227"/>
      <c r="P305" s="227"/>
      <c r="Q305" s="227"/>
      <c r="R305" s="227"/>
      <c r="S305" s="227"/>
      <c r="T305" s="227"/>
      <c r="U305" s="227"/>
      <c r="V305" s="227"/>
      <c r="W305" s="227"/>
      <c r="X305" s="227"/>
      <c r="Y305" s="740"/>
      <c r="Z305" s="740"/>
      <c r="AA305" s="740"/>
      <c r="AB305" s="227"/>
      <c r="AC305" s="740"/>
      <c r="AD305" s="227"/>
      <c r="AE305" s="227"/>
      <c r="AF305" s="658"/>
      <c r="AG305" s="658"/>
      <c r="AH305" s="658"/>
      <c r="AI305" s="227"/>
      <c r="AJ305" s="227"/>
      <c r="AK305" s="227"/>
      <c r="AL305" s="227"/>
      <c r="AM305" s="227"/>
      <c r="AN305" s="227">
        <f>i_K_PP*A_MK/A_MP</f>
        <v>0.12623038734377579</v>
      </c>
      <c r="AO305" s="227"/>
      <c r="AP305" s="227"/>
      <c r="AQ305" s="227"/>
      <c r="AR305" s="227"/>
      <c r="AS305" s="227"/>
      <c r="AT305" s="227"/>
      <c r="AU305" s="227"/>
      <c r="AV305" s="621"/>
      <c r="AW305" s="227"/>
      <c r="AX305" s="227"/>
      <c r="AY305" s="227"/>
      <c r="AZ305" s="227"/>
      <c r="BA305" s="227">
        <v>1</v>
      </c>
      <c r="BB305" s="740"/>
      <c r="BC305" s="740"/>
      <c r="BD305" s="740"/>
      <c r="BE305" s="227"/>
      <c r="BF305" s="227"/>
      <c r="BG305" s="227"/>
      <c r="BH305" s="227"/>
      <c r="BI305" s="227"/>
      <c r="BJ305" s="227"/>
      <c r="BK305" s="227"/>
      <c r="BL305" s="227"/>
      <c r="BM305" s="227"/>
      <c r="BN305" s="227"/>
      <c r="BO305" s="227"/>
      <c r="BP305" s="227"/>
      <c r="BQ305" s="227"/>
      <c r="BR305" s="227"/>
      <c r="BS305" s="227"/>
      <c r="BT305" s="227"/>
      <c r="BU305" s="227"/>
      <c r="BV305" s="658"/>
      <c r="BW305" s="227"/>
      <c r="BX305" s="227"/>
      <c r="BY305" s="740"/>
      <c r="BZ305" s="227"/>
      <c r="CA305" s="658"/>
      <c r="CB305" s="227"/>
      <c r="CC305" s="227"/>
      <c r="CD305" s="227"/>
      <c r="CE305" s="227"/>
      <c r="CF305" s="227"/>
      <c r="CG305" s="661"/>
      <c r="CH305" s="661"/>
      <c r="CI305" s="282"/>
      <c r="CJ305" s="2565"/>
      <c r="CK305" s="472"/>
      <c r="CL305" s="472"/>
      <c r="CM305" s="472"/>
      <c r="CN305" s="472"/>
      <c r="CO305" s="472"/>
      <c r="CP305" s="661"/>
      <c r="CQ305" s="661"/>
      <c r="CR305" s="661"/>
      <c r="CS305" s="661"/>
      <c r="CT305" s="661"/>
      <c r="CU305" s="661"/>
    </row>
    <row r="306" spans="4:99" x14ac:dyDescent="0.45">
      <c r="D306" s="254" t="s">
        <v>987</v>
      </c>
      <c r="E306" s="227"/>
      <c r="F306" s="227"/>
      <c r="G306" s="227"/>
      <c r="H306" s="227"/>
      <c r="I306" s="227"/>
      <c r="J306" s="227"/>
      <c r="K306" s="227"/>
      <c r="L306" s="227"/>
      <c r="M306" s="227"/>
      <c r="N306" s="227"/>
      <c r="O306" s="227"/>
      <c r="P306" s="227"/>
      <c r="Q306" s="227"/>
      <c r="R306" s="227"/>
      <c r="S306" s="227"/>
      <c r="T306" s="227"/>
      <c r="U306" s="227"/>
      <c r="V306" s="227"/>
      <c r="W306" s="227"/>
      <c r="X306" s="227"/>
      <c r="Y306" s="740"/>
      <c r="Z306" s="740"/>
      <c r="AA306" s="740"/>
      <c r="AB306" s="227"/>
      <c r="AC306" s="740"/>
      <c r="AD306" s="227"/>
      <c r="AE306" s="227"/>
      <c r="AF306" s="658"/>
      <c r="AG306" s="658"/>
      <c r="AH306" s="658"/>
      <c r="AI306" s="227"/>
      <c r="AJ306" s="227"/>
      <c r="AK306" s="227"/>
      <c r="AL306" s="227"/>
      <c r="AM306" s="227"/>
      <c r="AN306" s="227">
        <f>i_Ca_PP*A_MCa/A_MP</f>
        <v>0.12939338702613273</v>
      </c>
      <c r="AO306" s="227"/>
      <c r="AP306" s="227"/>
      <c r="AQ306" s="227"/>
      <c r="AR306" s="227"/>
      <c r="AS306" s="227"/>
      <c r="AT306" s="227"/>
      <c r="AU306" s="227"/>
      <c r="AV306" s="621">
        <f>i_Ca_INORG</f>
        <v>0.05</v>
      </c>
      <c r="AW306" s="227"/>
      <c r="AX306" s="227"/>
      <c r="AY306" s="227">
        <v>1</v>
      </c>
      <c r="AZ306" s="227"/>
      <c r="BA306" s="227"/>
      <c r="BB306" s="740"/>
      <c r="BC306" s="740"/>
      <c r="BD306" s="740"/>
      <c r="BE306" s="227"/>
      <c r="BF306" s="227"/>
      <c r="BG306" s="227"/>
      <c r="BH306" s="227"/>
      <c r="BI306" s="227"/>
      <c r="BJ306" s="227"/>
      <c r="BK306" s="227"/>
      <c r="BL306" s="227"/>
      <c r="BM306" s="227"/>
      <c r="BN306" s="227"/>
      <c r="BO306" s="227"/>
      <c r="BP306" s="227"/>
      <c r="BQ306" s="227"/>
      <c r="BR306" s="227"/>
      <c r="BS306" s="227"/>
      <c r="BT306" s="227">
        <f>A_MCa/M_MCaCO3</f>
        <v>0.40043202457064814</v>
      </c>
      <c r="BU306" s="227">
        <f>3*A_MCa/M_MACP</f>
        <v>0.31455284127800509</v>
      </c>
      <c r="BV306" s="658">
        <f>A_MCa/M_MBSH</f>
        <v>0.2328926601076691</v>
      </c>
      <c r="BW306" s="227"/>
      <c r="BX306" s="227"/>
      <c r="BY306" s="740"/>
      <c r="BZ306" s="227"/>
      <c r="CA306" s="658"/>
      <c r="CB306" s="227"/>
      <c r="CC306" s="227"/>
      <c r="CD306" s="227"/>
      <c r="CE306" s="227"/>
      <c r="CF306" s="227"/>
      <c r="CG306" s="661"/>
      <c r="CH306" s="661"/>
      <c r="CI306" s="282"/>
      <c r="CJ306" s="2565"/>
      <c r="CK306" s="472"/>
      <c r="CL306" s="472"/>
      <c r="CM306" s="472"/>
      <c r="CN306" s="472"/>
      <c r="CO306" s="472"/>
      <c r="CP306" s="661"/>
      <c r="CQ306" s="661"/>
      <c r="CR306" s="661"/>
      <c r="CS306" s="661"/>
      <c r="CT306" s="661"/>
      <c r="CU306" s="661"/>
    </row>
    <row r="307" spans="4:99" x14ac:dyDescent="0.45">
      <c r="D307" s="254" t="s">
        <v>988</v>
      </c>
      <c r="E307" s="227"/>
      <c r="F307" s="227"/>
      <c r="G307" s="227"/>
      <c r="H307" s="227"/>
      <c r="I307" s="227"/>
      <c r="J307" s="227"/>
      <c r="K307" s="227"/>
      <c r="L307" s="227"/>
      <c r="M307" s="227"/>
      <c r="N307" s="227"/>
      <c r="O307" s="227"/>
      <c r="P307" s="227"/>
      <c r="Q307" s="227"/>
      <c r="R307" s="227"/>
      <c r="S307" s="227"/>
      <c r="T307" s="227"/>
      <c r="U307" s="227"/>
      <c r="V307" s="227"/>
      <c r="W307" s="227"/>
      <c r="X307" s="227"/>
      <c r="Y307" s="740"/>
      <c r="Z307" s="740"/>
      <c r="AA307" s="740"/>
      <c r="AB307" s="227"/>
      <c r="AC307" s="740"/>
      <c r="AD307" s="227"/>
      <c r="AE307" s="227"/>
      <c r="AF307" s="658"/>
      <c r="AG307" s="658"/>
      <c r="AH307" s="658"/>
      <c r="AI307" s="227"/>
      <c r="AJ307" s="227"/>
      <c r="AK307" s="227"/>
      <c r="AL307" s="227"/>
      <c r="AM307" s="227"/>
      <c r="AN307" s="227">
        <f>i_Mg_PP*A_MMg/A_MP</f>
        <v>0.27464374347136938</v>
      </c>
      <c r="AO307" s="227"/>
      <c r="AP307" s="227"/>
      <c r="AQ307" s="227"/>
      <c r="AR307" s="227"/>
      <c r="AS307" s="227"/>
      <c r="AT307" s="227"/>
      <c r="AU307" s="227"/>
      <c r="AV307" s="621">
        <f>i_Mg_INORG</f>
        <v>0.05</v>
      </c>
      <c r="AW307" s="227"/>
      <c r="AX307" s="227"/>
      <c r="AY307" s="227"/>
      <c r="AZ307" s="227">
        <v>1</v>
      </c>
      <c r="BA307" s="227"/>
      <c r="BB307" s="740"/>
      <c r="BC307" s="740"/>
      <c r="BD307" s="740"/>
      <c r="BE307" s="227"/>
      <c r="BF307" s="227"/>
      <c r="BG307" s="227"/>
      <c r="BH307" s="227"/>
      <c r="BI307" s="227"/>
      <c r="BJ307" s="227"/>
      <c r="BK307" s="227"/>
      <c r="BL307" s="227"/>
      <c r="BM307" s="227"/>
      <c r="BN307" s="227"/>
      <c r="BO307" s="227"/>
      <c r="BP307" s="227"/>
      <c r="BQ307" s="227"/>
      <c r="BR307" s="227"/>
      <c r="BS307" s="227"/>
      <c r="BT307" s="227"/>
      <c r="BU307" s="227"/>
      <c r="BV307" s="658"/>
      <c r="BW307" s="227">
        <f>A_MMg/M_MSTR</f>
        <v>9.9039755597804202E-2</v>
      </c>
      <c r="BX307" s="227"/>
      <c r="BY307" s="740"/>
      <c r="BZ307" s="227"/>
      <c r="CA307" s="658"/>
      <c r="CB307" s="227"/>
      <c r="CC307" s="227"/>
      <c r="CD307" s="227"/>
      <c r="CE307" s="227"/>
      <c r="CF307" s="227"/>
      <c r="CG307" s="661"/>
      <c r="CH307" s="661"/>
      <c r="CI307" s="282"/>
      <c r="CJ307" s="2565"/>
      <c r="CK307" s="472"/>
      <c r="CL307" s="472"/>
      <c r="CM307" s="472"/>
      <c r="CN307" s="472"/>
      <c r="CO307" s="472"/>
      <c r="CP307" s="661"/>
      <c r="CQ307" s="661"/>
      <c r="CR307" s="661"/>
      <c r="CS307" s="661"/>
      <c r="CT307" s="661"/>
      <c r="CU307" s="661"/>
    </row>
    <row r="308" spans="4:99" x14ac:dyDescent="0.45">
      <c r="D308" s="254" t="s">
        <v>142</v>
      </c>
      <c r="E308" s="227"/>
      <c r="F308" s="227"/>
      <c r="G308" s="227"/>
      <c r="H308" s="227"/>
      <c r="I308" s="227"/>
      <c r="J308" s="227"/>
      <c r="K308" s="227"/>
      <c r="L308" s="227"/>
      <c r="M308" s="227"/>
      <c r="N308" s="227"/>
      <c r="O308" s="227"/>
      <c r="P308" s="227"/>
      <c r="Q308" s="227"/>
      <c r="R308" s="227"/>
      <c r="S308" s="227"/>
      <c r="T308" s="227"/>
      <c r="U308" s="227"/>
      <c r="V308" s="227"/>
      <c r="W308" s="227"/>
      <c r="X308" s="227"/>
      <c r="Y308" s="740"/>
      <c r="Z308" s="740"/>
      <c r="AA308" s="740"/>
      <c r="AB308" s="227"/>
      <c r="AC308" s="740"/>
      <c r="AD308" s="227"/>
      <c r="AE308" s="227"/>
      <c r="AF308" s="658"/>
      <c r="AG308" s="658"/>
      <c r="AH308" s="658"/>
      <c r="AI308" s="227"/>
      <c r="AJ308" s="227"/>
      <c r="AK308" s="227"/>
      <c r="AL308" s="227"/>
      <c r="AM308" s="227"/>
      <c r="AN308" s="227"/>
      <c r="AO308" s="227"/>
      <c r="AP308" s="227"/>
      <c r="AQ308" s="227"/>
      <c r="AR308" s="227"/>
      <c r="AS308" s="227"/>
      <c r="AT308" s="227"/>
      <c r="AU308" s="227"/>
      <c r="AV308" s="621">
        <f>(i_Ca_INORG*(2*A_MCl)/A_MCa+i_Mg_INORG*(2*A_MCl)/A_MMg)+(1-i_Ca_INORG*(A_MCa+2*A_MCl)/A_MCa-i_Mg_INORG*(A_MMg+2*A_MCl)/A_MMg)*(1-f_Na)</f>
        <v>0.63814269470183216</v>
      </c>
      <c r="AW308" s="227"/>
      <c r="AX308" s="227">
        <v>1</v>
      </c>
      <c r="AY308" s="227"/>
      <c r="AZ308" s="227"/>
      <c r="BA308" s="227"/>
      <c r="BB308" s="740"/>
      <c r="BC308" s="740"/>
      <c r="BD308" s="740"/>
      <c r="BE308" s="227"/>
      <c r="BF308" s="227"/>
      <c r="BG308" s="227"/>
      <c r="BH308" s="227"/>
      <c r="BI308" s="227"/>
      <c r="BJ308" s="227"/>
      <c r="BK308" s="227"/>
      <c r="BL308" s="227"/>
      <c r="BM308" s="227"/>
      <c r="BN308" s="227"/>
      <c r="BO308" s="227"/>
      <c r="BP308" s="227"/>
      <c r="BQ308" s="227"/>
      <c r="BR308" s="227"/>
      <c r="BS308" s="227"/>
      <c r="BT308" s="227"/>
      <c r="BU308" s="227"/>
      <c r="BV308" s="658"/>
      <c r="BW308" s="227"/>
      <c r="BX308" s="227"/>
      <c r="BY308" s="740"/>
      <c r="BZ308" s="227"/>
      <c r="CA308" s="658"/>
      <c r="CB308" s="227"/>
      <c r="CC308" s="227"/>
      <c r="CD308" s="227"/>
      <c r="CE308" s="227"/>
      <c r="CF308" s="227"/>
      <c r="CG308" s="661"/>
      <c r="CH308" s="661"/>
      <c r="CI308" s="282"/>
      <c r="CJ308" s="2565"/>
      <c r="CK308" s="472"/>
      <c r="CL308" s="472"/>
      <c r="CM308" s="472"/>
      <c r="CN308" s="472"/>
      <c r="CO308" s="472"/>
      <c r="CP308" s="661"/>
      <c r="CQ308" s="661"/>
      <c r="CR308" s="661"/>
      <c r="CS308" s="661"/>
      <c r="CT308" s="661"/>
      <c r="CU308" s="661"/>
    </row>
    <row r="309" spans="4:99" x14ac:dyDescent="0.45">
      <c r="D309" s="254" t="s">
        <v>3054</v>
      </c>
      <c r="E309" s="227"/>
      <c r="F309" s="227"/>
      <c r="G309" s="227"/>
      <c r="H309" s="227"/>
      <c r="I309" s="227"/>
      <c r="J309" s="227"/>
      <c r="K309" s="227"/>
      <c r="L309" s="227"/>
      <c r="M309" s="227"/>
      <c r="N309" s="227"/>
      <c r="O309" s="227"/>
      <c r="P309" s="227"/>
      <c r="Q309" s="227"/>
      <c r="R309" s="227"/>
      <c r="S309" s="227"/>
      <c r="T309" s="227"/>
      <c r="U309" s="227"/>
      <c r="V309" s="227"/>
      <c r="W309" s="227"/>
      <c r="X309" s="227"/>
      <c r="Y309" s="740"/>
      <c r="Z309" s="740"/>
      <c r="AA309" s="740"/>
      <c r="AB309" s="227"/>
      <c r="AC309" s="740"/>
      <c r="AD309" s="227"/>
      <c r="AE309" s="227"/>
      <c r="AF309" s="658"/>
      <c r="AG309" s="658"/>
      <c r="AH309" s="658"/>
      <c r="AI309" s="227"/>
      <c r="AJ309" s="227"/>
      <c r="AK309" s="227"/>
      <c r="AL309" s="227"/>
      <c r="AM309" s="227"/>
      <c r="AN309" s="227"/>
      <c r="AO309" s="227"/>
      <c r="AP309" s="227"/>
      <c r="AQ309" s="227"/>
      <c r="AR309" s="227"/>
      <c r="AS309" s="227"/>
      <c r="AT309" s="227"/>
      <c r="AU309" s="227"/>
      <c r="AV309" s="227"/>
      <c r="AW309" s="227"/>
      <c r="AX309" s="227"/>
      <c r="AY309" s="227"/>
      <c r="AZ309" s="227"/>
      <c r="BA309" s="227"/>
      <c r="BB309" s="740"/>
      <c r="BC309" s="740"/>
      <c r="BD309" s="740"/>
      <c r="BE309" s="227">
        <v>1</v>
      </c>
      <c r="BF309" s="227">
        <v>1</v>
      </c>
      <c r="BG309" s="227">
        <v>1</v>
      </c>
      <c r="BH309" s="227">
        <v>1</v>
      </c>
      <c r="BI309" s="227">
        <v>1</v>
      </c>
      <c r="BJ309" s="227">
        <v>1</v>
      </c>
      <c r="BK309" s="227">
        <v>1</v>
      </c>
      <c r="BL309" s="227">
        <v>1</v>
      </c>
      <c r="BM309" s="740">
        <v>1</v>
      </c>
      <c r="BN309" s="740">
        <v>1</v>
      </c>
      <c r="BO309" s="740">
        <v>1</v>
      </c>
      <c r="BP309" s="740">
        <v>1</v>
      </c>
      <c r="BQ309" s="740">
        <v>1</v>
      </c>
      <c r="BR309" s="740">
        <v>1</v>
      </c>
      <c r="BS309" s="740">
        <v>1</v>
      </c>
      <c r="BT309" s="227"/>
      <c r="BU309" s="227"/>
      <c r="BV309" s="658"/>
      <c r="BW309" s="227"/>
      <c r="BX309" s="227">
        <f>3*A_MFe/M_MVivi</f>
        <v>0.33400121987727954</v>
      </c>
      <c r="BY309" s="740">
        <f>A_MFe/M_MFeS</f>
        <v>0.63525196223410307</v>
      </c>
      <c r="BZ309" s="227"/>
      <c r="CA309" s="658"/>
      <c r="CB309" s="227"/>
      <c r="CC309" s="227"/>
      <c r="CD309" s="227"/>
      <c r="CE309" s="227"/>
      <c r="CF309" s="227"/>
      <c r="CG309" s="661"/>
      <c r="CH309" s="661"/>
      <c r="CI309" s="282"/>
      <c r="CJ309" s="2565"/>
      <c r="CK309" s="472"/>
      <c r="CL309" s="472"/>
      <c r="CM309" s="472"/>
      <c r="CN309" s="472"/>
      <c r="CO309" s="472"/>
      <c r="CP309" s="661"/>
      <c r="CQ309" s="661"/>
      <c r="CR309" s="661"/>
      <c r="CS309" s="661"/>
      <c r="CT309" s="661"/>
      <c r="CU309" s="661"/>
    </row>
    <row r="310" spans="4:99" ht="14.65" thickBot="1" x14ac:dyDescent="0.5">
      <c r="D310" s="255" t="s">
        <v>3055</v>
      </c>
      <c r="E310" s="256"/>
      <c r="F310" s="256"/>
      <c r="G310" s="256"/>
      <c r="H310" s="256"/>
      <c r="I310" s="256"/>
      <c r="J310" s="256"/>
      <c r="K310" s="256"/>
      <c r="L310" s="256"/>
      <c r="M310" s="256"/>
      <c r="N310" s="256"/>
      <c r="O310" s="256"/>
      <c r="P310" s="256"/>
      <c r="Q310" s="256"/>
      <c r="R310" s="256"/>
      <c r="S310" s="256"/>
      <c r="T310" s="256"/>
      <c r="U310" s="256"/>
      <c r="V310" s="256"/>
      <c r="W310" s="256"/>
      <c r="X310" s="256"/>
      <c r="Y310" s="2554"/>
      <c r="Z310" s="2554"/>
      <c r="AA310" s="2554"/>
      <c r="AB310" s="256"/>
      <c r="AC310" s="659"/>
      <c r="AD310" s="256"/>
      <c r="AE310" s="256"/>
      <c r="AF310" s="659"/>
      <c r="AG310" s="659"/>
      <c r="AH310" s="659"/>
      <c r="AI310" s="256"/>
      <c r="AJ310" s="256"/>
      <c r="AK310" s="256"/>
      <c r="AL310" s="256"/>
      <c r="AM310" s="256"/>
      <c r="AN310" s="256"/>
      <c r="AO310" s="256"/>
      <c r="AP310" s="256"/>
      <c r="AQ310" s="256"/>
      <c r="AR310" s="256"/>
      <c r="AS310" s="256"/>
      <c r="AT310" s="256"/>
      <c r="AU310" s="256"/>
      <c r="AV310" s="256"/>
      <c r="AW310" s="256"/>
      <c r="AX310" s="256"/>
      <c r="AY310" s="256"/>
      <c r="AZ310" s="256"/>
      <c r="BA310" s="256"/>
      <c r="BB310" s="2554"/>
      <c r="BC310" s="2554"/>
      <c r="BD310" s="2554"/>
      <c r="BE310" s="257"/>
      <c r="BF310" s="256"/>
      <c r="BG310" s="256"/>
      <c r="BH310" s="257"/>
      <c r="BI310" s="257"/>
      <c r="BJ310" s="256"/>
      <c r="BK310" s="257"/>
      <c r="BL310" s="257"/>
      <c r="BM310" s="256">
        <v>1</v>
      </c>
      <c r="BN310" s="256">
        <v>1</v>
      </c>
      <c r="BO310" s="257">
        <v>1</v>
      </c>
      <c r="BP310" s="257">
        <v>1</v>
      </c>
      <c r="BQ310" s="256">
        <v>1</v>
      </c>
      <c r="BR310" s="257">
        <v>1</v>
      </c>
      <c r="BS310" s="257">
        <v>1</v>
      </c>
      <c r="BT310" s="257"/>
      <c r="BU310" s="257"/>
      <c r="BV310" s="911"/>
      <c r="BW310" s="256"/>
      <c r="BX310" s="257"/>
      <c r="BY310" s="2562"/>
      <c r="BZ310" s="257"/>
      <c r="CA310" s="911"/>
      <c r="CB310" s="256"/>
      <c r="CC310" s="256"/>
      <c r="CD310" s="256"/>
      <c r="CE310" s="256"/>
      <c r="CF310" s="256"/>
      <c r="CG310" s="662"/>
      <c r="CH310" s="662"/>
      <c r="CI310" s="283"/>
      <c r="CJ310" s="2566"/>
      <c r="CK310" s="473"/>
      <c r="CL310" s="473"/>
      <c r="CM310" s="473"/>
      <c r="CN310" s="473"/>
      <c r="CO310" s="473"/>
      <c r="CP310" s="662"/>
      <c r="CQ310" s="662"/>
      <c r="CR310" s="662"/>
      <c r="CS310" s="2570"/>
      <c r="CT310" s="2570"/>
      <c r="CU310" s="662"/>
    </row>
  </sheetData>
  <phoneticPr fontId="31" type="noConversion"/>
  <conditionalFormatting sqref="Y3:AA3">
    <cfRule type="duplicateValues" dxfId="155" priority="80"/>
  </conditionalFormatting>
  <conditionalFormatting sqref="BB3:BD3">
    <cfRule type="duplicateValues" dxfId="154" priority="79"/>
  </conditionalFormatting>
  <conditionalFormatting sqref="BY3">
    <cfRule type="duplicateValues" dxfId="153" priority="78"/>
  </conditionalFormatting>
  <conditionalFormatting sqref="CJ3">
    <cfRule type="duplicateValues" dxfId="152" priority="77"/>
  </conditionalFormatting>
  <conditionalFormatting sqref="CS3:CU3">
    <cfRule type="duplicateValues" dxfId="151" priority="76"/>
  </conditionalFormatting>
  <conditionalFormatting sqref="Y159:AA159">
    <cfRule type="duplicateValues" dxfId="150" priority="5"/>
  </conditionalFormatting>
  <conditionalFormatting sqref="BB159:BD159">
    <cfRule type="duplicateValues" dxfId="149" priority="4"/>
  </conditionalFormatting>
  <conditionalFormatting sqref="BY159">
    <cfRule type="duplicateValues" dxfId="148" priority="3"/>
  </conditionalFormatting>
  <conditionalFormatting sqref="CJ159">
    <cfRule type="duplicateValues" dxfId="147" priority="2"/>
  </conditionalFormatting>
  <conditionalFormatting sqref="CS159:CU159">
    <cfRule type="duplicateValues" dxfId="146" priority="1"/>
  </conditionalFormatting>
  <pageMargins left="0.7" right="0.7" top="0.75" bottom="0.75" header="0.3" footer="0.3"/>
  <pageSetup orientation="portrait" r:id="rId1"/>
  <ignoredErrors>
    <ignoredError sqref="BE82" numberStoredAsText="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unka4"/>
  <dimension ref="A1:AL50"/>
  <sheetViews>
    <sheetView showGridLines="0" zoomScale="70" zoomScaleNormal="70" workbookViewId="0">
      <pane xSplit="3" ySplit="3" topLeftCell="D25" activePane="bottomRight" state="frozen"/>
      <selection pane="topRight" activeCell="D1" sqref="D1"/>
      <selection pane="bottomLeft" activeCell="A4" sqref="A4"/>
      <selection pane="bottomRight" activeCell="B47" sqref="B47:AL50"/>
    </sheetView>
  </sheetViews>
  <sheetFormatPr defaultColWidth="9.1328125" defaultRowHeight="14.25" x14ac:dyDescent="0.45"/>
  <cols>
    <col min="1" max="1" width="6" customWidth="1"/>
    <col min="2" max="2" width="17.6640625" bestFit="1" customWidth="1"/>
    <col min="3" max="3" width="34.6640625" customWidth="1"/>
    <col min="4" max="4" width="20.1328125" bestFit="1" customWidth="1"/>
    <col min="5" max="5" width="9.86328125" bestFit="1" customWidth="1"/>
    <col min="6" max="6" width="34" customWidth="1"/>
    <col min="7" max="7" width="32.86328125" bestFit="1" customWidth="1"/>
    <col min="8" max="9" width="32.86328125" customWidth="1"/>
    <col min="10" max="10" width="16" bestFit="1" customWidth="1"/>
    <col min="11" max="11" width="48.1328125" bestFit="1" customWidth="1"/>
    <col min="12" max="12" width="49.6640625" bestFit="1" customWidth="1"/>
    <col min="13" max="13" width="49" bestFit="1" customWidth="1"/>
    <col min="14" max="14" width="63.6640625" bestFit="1" customWidth="1"/>
    <col min="15" max="15" width="67.46484375" bestFit="1" customWidth="1"/>
    <col min="16" max="16" width="69" bestFit="1" customWidth="1"/>
    <col min="17" max="17" width="68.1328125" bestFit="1" customWidth="1"/>
    <col min="18" max="18" width="35.86328125" customWidth="1"/>
    <col min="19" max="19" width="36.19921875" customWidth="1"/>
    <col min="20" max="20" width="20.46484375" customWidth="1"/>
    <col min="21" max="21" width="19.19921875" customWidth="1"/>
    <col min="22" max="22" width="16.86328125" customWidth="1"/>
    <col min="23" max="24" width="15.46484375" bestFit="1" customWidth="1"/>
    <col min="25" max="30" width="15.46484375" customWidth="1"/>
    <col min="31" max="31" width="20.1328125" customWidth="1"/>
    <col min="32" max="32" width="15.86328125" customWidth="1"/>
    <col min="33" max="33" width="7" bestFit="1" customWidth="1"/>
    <col min="34" max="34" width="9" bestFit="1" customWidth="1"/>
    <col min="35" max="35" width="5" bestFit="1" customWidth="1"/>
    <col min="36" max="36" width="18.46484375" bestFit="1" customWidth="1"/>
  </cols>
  <sheetData>
    <row r="1" spans="1:36" s="47" customFormat="1" ht="48" customHeight="1" thickBot="1" x14ac:dyDescent="0.5">
      <c r="A1" s="49"/>
    </row>
    <row r="2" spans="1:36" ht="21" customHeight="1" thickBot="1" x14ac:dyDescent="0.5">
      <c r="A2" t="s">
        <v>1122</v>
      </c>
      <c r="C2" s="56" t="s">
        <v>4</v>
      </c>
      <c r="D2" s="141" t="s">
        <v>319</v>
      </c>
      <c r="J2" s="1"/>
      <c r="K2" s="1"/>
    </row>
    <row r="3" spans="1:36" s="8" customFormat="1" ht="16.149999999999999" thickBot="1" x14ac:dyDescent="0.5">
      <c r="B3" s="295" t="s">
        <v>0</v>
      </c>
      <c r="C3" s="290" t="s">
        <v>1</v>
      </c>
      <c r="D3" s="518" t="s">
        <v>396</v>
      </c>
      <c r="E3" s="518" t="s">
        <v>398</v>
      </c>
      <c r="F3" s="518" t="s">
        <v>400</v>
      </c>
      <c r="G3" s="518" t="s">
        <v>402</v>
      </c>
      <c r="H3" s="519" t="s">
        <v>2259</v>
      </c>
      <c r="I3" s="519" t="s">
        <v>2261</v>
      </c>
      <c r="J3" s="518" t="s">
        <v>423</v>
      </c>
      <c r="K3" s="518" t="s">
        <v>404</v>
      </c>
      <c r="L3" s="518" t="s">
        <v>406</v>
      </c>
      <c r="M3" s="518" t="s">
        <v>408</v>
      </c>
      <c r="N3" s="518" t="s">
        <v>410</v>
      </c>
      <c r="O3" s="518" t="s">
        <v>412</v>
      </c>
      <c r="P3" s="518" t="s">
        <v>414</v>
      </c>
      <c r="Q3" s="518" t="s">
        <v>416</v>
      </c>
      <c r="R3" s="518" t="s">
        <v>418</v>
      </c>
      <c r="S3" s="518" t="s">
        <v>420</v>
      </c>
      <c r="T3" s="518" t="s">
        <v>995</v>
      </c>
      <c r="U3" s="518" t="s">
        <v>996</v>
      </c>
      <c r="V3" s="518" t="s">
        <v>1254</v>
      </c>
      <c r="W3" s="520" t="s">
        <v>1054</v>
      </c>
      <c r="X3" s="520" t="s">
        <v>1253</v>
      </c>
      <c r="Y3" s="2617" t="s">
        <v>5516</v>
      </c>
      <c r="Z3" s="2617" t="s">
        <v>5355</v>
      </c>
      <c r="AA3" s="2617" t="s">
        <v>5357</v>
      </c>
      <c r="AB3" s="2617" t="s">
        <v>5359</v>
      </c>
      <c r="AC3" s="2617" t="s">
        <v>5362</v>
      </c>
      <c r="AD3" s="2621" t="s">
        <v>5364</v>
      </c>
      <c r="AE3" s="520" t="s">
        <v>1056</v>
      </c>
      <c r="AF3" s="296" t="s">
        <v>152</v>
      </c>
      <c r="AG3" s="296" t="s">
        <v>2</v>
      </c>
      <c r="AH3" s="296" t="s">
        <v>300</v>
      </c>
      <c r="AI3" s="296" t="s">
        <v>116</v>
      </c>
      <c r="AJ3" s="297" t="s">
        <v>117</v>
      </c>
    </row>
    <row r="4" spans="1:36" ht="16.5" x14ac:dyDescent="0.45">
      <c r="B4" s="246" t="s">
        <v>424</v>
      </c>
      <c r="C4" s="244" t="s">
        <v>308</v>
      </c>
      <c r="D4" s="244" t="s">
        <v>309</v>
      </c>
      <c r="E4" s="244" t="s">
        <v>425</v>
      </c>
      <c r="F4" s="244"/>
      <c r="G4" s="244"/>
      <c r="H4" s="350"/>
      <c r="I4" s="350"/>
      <c r="J4" s="244"/>
      <c r="K4" s="244"/>
      <c r="L4" s="244"/>
      <c r="M4" s="244"/>
      <c r="N4" s="244"/>
      <c r="O4" s="244"/>
      <c r="P4" s="244"/>
      <c r="Q4" s="244"/>
      <c r="R4" s="244"/>
      <c r="S4" s="244"/>
      <c r="T4" s="244"/>
      <c r="U4" s="244"/>
      <c r="V4" s="244"/>
      <c r="W4" s="244"/>
      <c r="X4" s="244"/>
      <c r="Y4" s="349"/>
      <c r="Z4" s="349"/>
      <c r="AA4" s="349"/>
      <c r="AB4" s="349"/>
      <c r="AC4" s="349"/>
      <c r="AD4" s="349"/>
      <c r="AE4" s="244"/>
      <c r="AF4" s="245"/>
      <c r="AG4" s="243" t="s">
        <v>843</v>
      </c>
      <c r="AH4" s="245"/>
      <c r="AI4" s="245" t="s">
        <v>11</v>
      </c>
      <c r="AJ4" s="247"/>
    </row>
    <row r="5" spans="1:36" ht="21" customHeight="1" x14ac:dyDescent="0.45">
      <c r="B5" s="376" t="s">
        <v>2510</v>
      </c>
      <c r="C5" s="240" t="s">
        <v>310</v>
      </c>
      <c r="D5" s="240"/>
      <c r="E5" s="240"/>
      <c r="F5" s="240" t="s">
        <v>2506</v>
      </c>
      <c r="G5" s="240" t="s">
        <v>2507</v>
      </c>
      <c r="H5" s="240"/>
      <c r="I5" s="240"/>
      <c r="J5" s="240"/>
      <c r="K5" s="240"/>
      <c r="L5" s="240"/>
      <c r="M5" s="240"/>
      <c r="N5" s="240"/>
      <c r="O5" s="240"/>
      <c r="P5" s="240"/>
      <c r="Q5" s="240"/>
      <c r="R5" s="240"/>
      <c r="S5" s="240"/>
      <c r="T5" s="240"/>
      <c r="U5" s="240"/>
      <c r="V5" s="240"/>
      <c r="W5" s="240"/>
      <c r="X5" s="240"/>
      <c r="Y5" s="2618"/>
      <c r="Z5" s="2618"/>
      <c r="AA5" s="2618"/>
      <c r="AB5" s="2618"/>
      <c r="AC5" s="2618"/>
      <c r="AD5" s="2618"/>
      <c r="AE5" s="240"/>
      <c r="AF5" s="241"/>
      <c r="AG5" s="239" t="s">
        <v>843</v>
      </c>
      <c r="AH5" s="241"/>
      <c r="AI5" s="245" t="s">
        <v>11</v>
      </c>
      <c r="AJ5" s="299"/>
    </row>
    <row r="6" spans="1:36" ht="21" customHeight="1" x14ac:dyDescent="0.45">
      <c r="B6" s="298" t="s">
        <v>2263</v>
      </c>
      <c r="C6" s="240" t="s">
        <v>758</v>
      </c>
      <c r="D6" s="240"/>
      <c r="E6" s="240"/>
      <c r="F6" s="240"/>
      <c r="G6" s="240"/>
      <c r="H6" s="240" t="s">
        <v>2504</v>
      </c>
      <c r="I6" s="240" t="s">
        <v>2505</v>
      </c>
      <c r="J6" s="240"/>
      <c r="K6" s="240"/>
      <c r="L6" s="240"/>
      <c r="M6" s="240"/>
      <c r="N6" s="240"/>
      <c r="O6" s="240"/>
      <c r="P6" s="240"/>
      <c r="Q6" s="240"/>
      <c r="R6" s="240"/>
      <c r="S6" s="240"/>
      <c r="T6" s="240"/>
      <c r="U6" s="240"/>
      <c r="V6" s="240"/>
      <c r="W6" s="240"/>
      <c r="X6" s="240"/>
      <c r="Y6" s="2618"/>
      <c r="Z6" s="2618"/>
      <c r="AA6" s="2618"/>
      <c r="AB6" s="2618"/>
      <c r="AC6" s="2618"/>
      <c r="AD6" s="2618"/>
      <c r="AE6" s="240"/>
      <c r="AF6" s="241"/>
      <c r="AG6" s="239" t="s">
        <v>843</v>
      </c>
      <c r="AH6" s="241"/>
      <c r="AI6" s="245" t="s">
        <v>11</v>
      </c>
      <c r="AJ6" s="299"/>
    </row>
    <row r="7" spans="1:36" ht="21" customHeight="1" x14ac:dyDescent="0.45">
      <c r="B7" s="298" t="s">
        <v>1105</v>
      </c>
      <c r="C7" s="240" t="s">
        <v>311</v>
      </c>
      <c r="D7" s="240"/>
      <c r="E7" s="240"/>
      <c r="F7" s="240"/>
      <c r="G7" s="240"/>
      <c r="H7" s="240"/>
      <c r="I7" s="240"/>
      <c r="J7" s="240" t="s">
        <v>3507</v>
      </c>
      <c r="K7" s="240"/>
      <c r="L7" s="240"/>
      <c r="M7" s="240"/>
      <c r="N7" s="240"/>
      <c r="O7" s="240"/>
      <c r="P7" s="240"/>
      <c r="Q7" s="240"/>
      <c r="R7" s="240"/>
      <c r="S7" s="240"/>
      <c r="T7" s="240"/>
      <c r="U7" s="240"/>
      <c r="V7" s="240"/>
      <c r="W7" s="240"/>
      <c r="X7" s="240"/>
      <c r="Y7" s="2618"/>
      <c r="Z7" s="2618"/>
      <c r="AA7" s="2618"/>
      <c r="AB7" s="2618"/>
      <c r="AC7" s="2618"/>
      <c r="AD7" s="2618"/>
      <c r="AE7" s="240"/>
      <c r="AF7" s="241"/>
      <c r="AG7" s="239" t="s">
        <v>843</v>
      </c>
      <c r="AH7" s="241"/>
      <c r="AI7" s="245" t="s">
        <v>11</v>
      </c>
      <c r="AJ7" s="299"/>
    </row>
    <row r="8" spans="1:36" ht="21" customHeight="1" x14ac:dyDescent="0.45">
      <c r="B8" s="298" t="s">
        <v>426</v>
      </c>
      <c r="C8" s="240" t="s">
        <v>314</v>
      </c>
      <c r="D8" s="240"/>
      <c r="E8" s="240"/>
      <c r="F8" s="240"/>
      <c r="G8" s="240"/>
      <c r="H8" s="240"/>
      <c r="I8" s="240"/>
      <c r="J8" s="240"/>
      <c r="K8" s="240" t="s">
        <v>2503</v>
      </c>
      <c r="L8" s="240" t="s">
        <v>2508</v>
      </c>
      <c r="M8" s="240" t="s">
        <v>2509</v>
      </c>
      <c r="N8" s="240"/>
      <c r="O8" s="240"/>
      <c r="P8" s="240"/>
      <c r="Q8" s="240"/>
      <c r="R8" s="240"/>
      <c r="S8" s="240"/>
      <c r="T8" s="240"/>
      <c r="U8" s="240"/>
      <c r="V8" s="240"/>
      <c r="W8" s="240"/>
      <c r="X8" s="240"/>
      <c r="Y8" s="2618"/>
      <c r="Z8" s="2618"/>
      <c r="AA8" s="2618"/>
      <c r="AB8" s="2618"/>
      <c r="AC8" s="2618"/>
      <c r="AD8" s="2618"/>
      <c r="AE8" s="240"/>
      <c r="AF8" s="241"/>
      <c r="AG8" s="239" t="s">
        <v>843</v>
      </c>
      <c r="AH8" s="241"/>
      <c r="AI8" s="245" t="s">
        <v>11</v>
      </c>
      <c r="AJ8" s="299"/>
    </row>
    <row r="9" spans="1:36" ht="21" customHeight="1" x14ac:dyDescent="0.45">
      <c r="B9" s="298" t="s">
        <v>427</v>
      </c>
      <c r="C9" s="240" t="s">
        <v>315</v>
      </c>
      <c r="D9" s="240"/>
      <c r="E9" s="240"/>
      <c r="F9" s="240"/>
      <c r="G9" s="240"/>
      <c r="H9" s="240"/>
      <c r="I9" s="240"/>
      <c r="J9" s="240"/>
      <c r="K9" s="240"/>
      <c r="L9" s="240"/>
      <c r="M9" s="240"/>
      <c r="N9" s="240" t="s">
        <v>428</v>
      </c>
      <c r="O9" s="240" t="s">
        <v>429</v>
      </c>
      <c r="P9" s="240" t="s">
        <v>430</v>
      </c>
      <c r="Q9" s="240" t="s">
        <v>431</v>
      </c>
      <c r="R9" s="240"/>
      <c r="S9" s="240"/>
      <c r="T9" s="240"/>
      <c r="U9" s="240"/>
      <c r="V9" s="240"/>
      <c r="W9" s="240"/>
      <c r="X9" s="240"/>
      <c r="Y9" s="2618"/>
      <c r="Z9" s="2618"/>
      <c r="AA9" s="2618"/>
      <c r="AB9" s="2618"/>
      <c r="AC9" s="2618"/>
      <c r="AD9" s="2618"/>
      <c r="AE9" s="240"/>
      <c r="AF9" s="241"/>
      <c r="AG9" s="239" t="s">
        <v>843</v>
      </c>
      <c r="AH9" s="241"/>
      <c r="AI9" s="245" t="s">
        <v>11</v>
      </c>
      <c r="AJ9" s="299"/>
    </row>
    <row r="10" spans="1:36" ht="21" customHeight="1" x14ac:dyDescent="0.45">
      <c r="B10" s="298" t="s">
        <v>432</v>
      </c>
      <c r="C10" s="240" t="s">
        <v>316</v>
      </c>
      <c r="D10" s="240"/>
      <c r="E10" s="240"/>
      <c r="F10" s="240"/>
      <c r="G10" s="240"/>
      <c r="H10" s="240"/>
      <c r="I10" s="240"/>
      <c r="J10" s="240"/>
      <c r="K10" s="240"/>
      <c r="L10" s="240"/>
      <c r="M10" s="240"/>
      <c r="N10" s="240"/>
      <c r="O10" s="240"/>
      <c r="P10" s="240"/>
      <c r="Q10" s="240"/>
      <c r="R10" s="240" t="s">
        <v>2945</v>
      </c>
      <c r="S10" s="240" t="s">
        <v>2946</v>
      </c>
      <c r="T10" s="240"/>
      <c r="U10" s="240"/>
      <c r="V10" s="240"/>
      <c r="W10" s="240"/>
      <c r="X10" s="240"/>
      <c r="Y10" s="2618"/>
      <c r="Z10" s="2618"/>
      <c r="AA10" s="2618"/>
      <c r="AB10" s="2618"/>
      <c r="AC10" s="2618"/>
      <c r="AD10" s="2618"/>
      <c r="AE10" s="240"/>
      <c r="AF10" s="241"/>
      <c r="AG10" s="239" t="s">
        <v>843</v>
      </c>
      <c r="AH10" s="241"/>
      <c r="AI10" s="245" t="s">
        <v>11</v>
      </c>
      <c r="AJ10" s="299"/>
    </row>
    <row r="11" spans="1:36" ht="21" customHeight="1" x14ac:dyDescent="0.45">
      <c r="B11" s="298" t="s">
        <v>989</v>
      </c>
      <c r="C11" s="240" t="s">
        <v>991</v>
      </c>
      <c r="D11" s="240"/>
      <c r="E11" s="240"/>
      <c r="F11" s="240"/>
      <c r="G11" s="240"/>
      <c r="H11" s="240"/>
      <c r="I11" s="240"/>
      <c r="J11" s="240"/>
      <c r="K11" s="240"/>
      <c r="L11" s="240"/>
      <c r="M11" s="240"/>
      <c r="N11" s="240"/>
      <c r="O11" s="240"/>
      <c r="P11" s="240"/>
      <c r="Q11" s="240"/>
      <c r="R11" s="240"/>
      <c r="S11" s="240"/>
      <c r="T11" s="240" t="s">
        <v>993</v>
      </c>
      <c r="U11" s="240"/>
      <c r="V11" s="240"/>
      <c r="W11" s="240"/>
      <c r="X11" s="240"/>
      <c r="Y11" s="2618"/>
      <c r="Z11" s="2618"/>
      <c r="AA11" s="2618"/>
      <c r="AB11" s="2618"/>
      <c r="AC11" s="2618"/>
      <c r="AD11" s="2618"/>
      <c r="AE11" s="240"/>
      <c r="AF11" s="241"/>
      <c r="AG11" s="239" t="s">
        <v>844</v>
      </c>
      <c r="AH11" s="241"/>
      <c r="AI11" s="245" t="s">
        <v>11</v>
      </c>
      <c r="AJ11" s="299"/>
    </row>
    <row r="12" spans="1:36" ht="21" customHeight="1" x14ac:dyDescent="0.45">
      <c r="B12" s="298" t="s">
        <v>990</v>
      </c>
      <c r="C12" s="240" t="s">
        <v>992</v>
      </c>
      <c r="D12" s="240"/>
      <c r="E12" s="240"/>
      <c r="F12" s="240"/>
      <c r="G12" s="240"/>
      <c r="H12" s="240"/>
      <c r="I12" s="240"/>
      <c r="J12" s="240"/>
      <c r="K12" s="240"/>
      <c r="L12" s="240"/>
      <c r="M12" s="240"/>
      <c r="N12" s="240"/>
      <c r="O12" s="240"/>
      <c r="P12" s="240"/>
      <c r="Q12" s="240"/>
      <c r="R12" s="240"/>
      <c r="S12" s="240"/>
      <c r="T12" s="240"/>
      <c r="U12" s="240" t="s">
        <v>994</v>
      </c>
      <c r="V12" s="240"/>
      <c r="W12" s="240"/>
      <c r="X12" s="240"/>
      <c r="Y12" s="2618"/>
      <c r="Z12" s="2618"/>
      <c r="AA12" s="2618"/>
      <c r="AB12" s="2618"/>
      <c r="AC12" s="2618"/>
      <c r="AD12" s="2618"/>
      <c r="AE12" s="240"/>
      <c r="AF12" s="241"/>
      <c r="AG12" s="239" t="s">
        <v>844</v>
      </c>
      <c r="AH12" s="241"/>
      <c r="AI12" s="245" t="s">
        <v>11</v>
      </c>
      <c r="AJ12" s="299"/>
    </row>
    <row r="13" spans="1:36" ht="21" customHeight="1" x14ac:dyDescent="0.45">
      <c r="B13" s="298" t="s">
        <v>433</v>
      </c>
      <c r="C13" s="240" t="s">
        <v>312</v>
      </c>
      <c r="D13" s="240"/>
      <c r="E13" s="240"/>
      <c r="F13" s="240"/>
      <c r="G13" s="240"/>
      <c r="H13" s="240"/>
      <c r="I13" s="240"/>
      <c r="J13" s="240"/>
      <c r="K13" s="240"/>
      <c r="L13" s="240"/>
      <c r="M13" s="240"/>
      <c r="N13" s="239"/>
      <c r="O13" s="240"/>
      <c r="P13" s="240"/>
      <c r="Q13" s="240"/>
      <c r="R13" s="240"/>
      <c r="S13" s="240"/>
      <c r="T13" s="240"/>
      <c r="U13" s="240"/>
      <c r="V13" s="240" t="s">
        <v>1163</v>
      </c>
      <c r="W13" s="240"/>
      <c r="X13" s="240"/>
      <c r="Y13" s="2618"/>
      <c r="Z13" s="2618"/>
      <c r="AA13" s="2618"/>
      <c r="AB13" s="2618"/>
      <c r="AC13" s="2618"/>
      <c r="AD13" s="2618"/>
      <c r="AE13" s="240"/>
      <c r="AF13" s="241"/>
      <c r="AG13" s="239" t="s">
        <v>844</v>
      </c>
      <c r="AH13" s="241"/>
      <c r="AI13" s="245" t="s">
        <v>11</v>
      </c>
      <c r="AJ13" s="299"/>
    </row>
    <row r="14" spans="1:36" ht="15.75" x14ac:dyDescent="0.45">
      <c r="B14" s="298" t="s">
        <v>1104</v>
      </c>
      <c r="C14" s="240" t="s">
        <v>1106</v>
      </c>
      <c r="D14" s="240"/>
      <c r="E14" s="240"/>
      <c r="F14" s="240"/>
      <c r="G14" s="240"/>
      <c r="H14" s="240"/>
      <c r="I14" s="240"/>
      <c r="J14" s="240"/>
      <c r="K14" s="240"/>
      <c r="L14" s="240"/>
      <c r="M14" s="240"/>
      <c r="N14" s="239"/>
      <c r="O14" s="240"/>
      <c r="P14" s="240"/>
      <c r="Q14" s="240"/>
      <c r="R14" s="240"/>
      <c r="S14" s="240"/>
      <c r="T14" s="240"/>
      <c r="U14" s="240"/>
      <c r="V14" s="240"/>
      <c r="W14" s="240" t="s">
        <v>1103</v>
      </c>
      <c r="X14" s="240"/>
      <c r="Y14" s="2618"/>
      <c r="Z14" s="2618"/>
      <c r="AA14" s="2618"/>
      <c r="AB14" s="2618"/>
      <c r="AC14" s="2618"/>
      <c r="AD14" s="2618"/>
      <c r="AE14" s="240"/>
      <c r="AF14" s="241"/>
      <c r="AG14" s="239" t="s">
        <v>844</v>
      </c>
      <c r="AH14" s="241"/>
      <c r="AI14" s="245" t="s">
        <v>11</v>
      </c>
      <c r="AJ14" s="299"/>
    </row>
    <row r="15" spans="1:36" ht="15.75" x14ac:dyDescent="0.45">
      <c r="B15" s="298" t="s">
        <v>434</v>
      </c>
      <c r="C15" s="240" t="s">
        <v>313</v>
      </c>
      <c r="D15" s="240"/>
      <c r="E15" s="240"/>
      <c r="F15" s="240"/>
      <c r="G15" s="240"/>
      <c r="H15" s="240"/>
      <c r="I15" s="240"/>
      <c r="J15" s="240"/>
      <c r="K15" s="240"/>
      <c r="L15" s="240"/>
      <c r="M15" s="240"/>
      <c r="N15" s="240"/>
      <c r="O15" s="240"/>
      <c r="P15" s="240"/>
      <c r="Q15" s="240"/>
      <c r="R15" s="240"/>
      <c r="S15" s="240"/>
      <c r="T15" s="240"/>
      <c r="U15" s="240"/>
      <c r="V15" s="240"/>
      <c r="W15" s="242"/>
      <c r="X15" s="240" t="s">
        <v>1164</v>
      </c>
      <c r="Y15" s="2618"/>
      <c r="Z15" s="2618"/>
      <c r="AA15" s="2618"/>
      <c r="AB15" s="2618"/>
      <c r="AC15" s="2618"/>
      <c r="AD15" s="2618"/>
      <c r="AE15" s="240"/>
      <c r="AF15" s="241"/>
      <c r="AG15" s="239" t="s">
        <v>844</v>
      </c>
      <c r="AH15" s="241"/>
      <c r="AI15" s="245" t="s">
        <v>11</v>
      </c>
      <c r="AJ15" s="299"/>
    </row>
    <row r="16" spans="1:36" ht="65.25" x14ac:dyDescent="0.45">
      <c r="B16" s="2625" t="s">
        <v>5517</v>
      </c>
      <c r="C16" s="2618" t="s">
        <v>5518</v>
      </c>
      <c r="D16" s="2622"/>
      <c r="E16" s="2622"/>
      <c r="F16" s="2622"/>
      <c r="G16" s="2622"/>
      <c r="H16" s="2622"/>
      <c r="I16" s="2622"/>
      <c r="J16" s="2622"/>
      <c r="K16" s="2622"/>
      <c r="L16" s="2622"/>
      <c r="M16" s="2622"/>
      <c r="N16" s="2622"/>
      <c r="O16" s="2622"/>
      <c r="P16" s="2622"/>
      <c r="Q16" s="2622"/>
      <c r="R16" s="2622"/>
      <c r="S16" s="2622"/>
      <c r="T16" s="2622"/>
      <c r="U16" s="2622"/>
      <c r="V16" s="2622"/>
      <c r="W16" s="2623"/>
      <c r="X16" s="2622"/>
      <c r="Y16" s="2618" t="s">
        <v>5519</v>
      </c>
      <c r="Z16" s="2618" t="s">
        <v>5520</v>
      </c>
      <c r="AA16" s="2618" t="s">
        <v>5521</v>
      </c>
      <c r="AB16" s="2618"/>
      <c r="AC16" s="2618"/>
      <c r="AD16" s="2618"/>
      <c r="AE16" s="2618"/>
      <c r="AF16" s="2626"/>
      <c r="AG16" s="2627" t="s">
        <v>844</v>
      </c>
      <c r="AH16" s="2626"/>
      <c r="AI16" s="2628" t="s">
        <v>11</v>
      </c>
      <c r="AJ16" s="2624"/>
    </row>
    <row r="17" spans="2:38" ht="65.25" x14ac:dyDescent="0.45">
      <c r="B17" s="2625" t="s">
        <v>5522</v>
      </c>
      <c r="C17" s="2618" t="s">
        <v>5523</v>
      </c>
      <c r="D17" s="2622"/>
      <c r="E17" s="2622"/>
      <c r="F17" s="2622"/>
      <c r="G17" s="2622"/>
      <c r="H17" s="2622"/>
      <c r="I17" s="2622"/>
      <c r="J17" s="2622"/>
      <c r="K17" s="2622"/>
      <c r="L17" s="2622"/>
      <c r="M17" s="2622"/>
      <c r="N17" s="2622"/>
      <c r="O17" s="2622"/>
      <c r="P17" s="2622"/>
      <c r="Q17" s="2622"/>
      <c r="R17" s="2622"/>
      <c r="S17" s="2622"/>
      <c r="T17" s="2622"/>
      <c r="U17" s="2622"/>
      <c r="V17" s="2622"/>
      <c r="W17" s="2623"/>
      <c r="X17" s="2622"/>
      <c r="Y17" s="2618"/>
      <c r="Z17" s="2618"/>
      <c r="AA17" s="2618"/>
      <c r="AB17" s="2618" t="s">
        <v>5524</v>
      </c>
      <c r="AC17" s="2618" t="s">
        <v>5525</v>
      </c>
      <c r="AD17" s="2618" t="s">
        <v>5526</v>
      </c>
      <c r="AE17" s="2618"/>
      <c r="AF17" s="2626"/>
      <c r="AG17" s="2627" t="s">
        <v>844</v>
      </c>
      <c r="AH17" s="2626"/>
      <c r="AI17" s="2628" t="s">
        <v>11</v>
      </c>
      <c r="AJ17" s="2624"/>
    </row>
    <row r="18" spans="2:38" ht="16.149999999999999" thickBot="1" x14ac:dyDescent="0.5">
      <c r="B18" s="248" t="s">
        <v>1107</v>
      </c>
      <c r="C18" s="249" t="s">
        <v>2015</v>
      </c>
      <c r="D18" s="249"/>
      <c r="E18" s="249"/>
      <c r="F18" s="249"/>
      <c r="G18" s="249"/>
      <c r="H18" s="249"/>
      <c r="I18" s="249"/>
      <c r="J18" s="249"/>
      <c r="K18" s="249"/>
      <c r="L18" s="249"/>
      <c r="M18" s="249"/>
      <c r="N18" s="249"/>
      <c r="O18" s="249"/>
      <c r="P18" s="249"/>
      <c r="Q18" s="249"/>
      <c r="R18" s="249"/>
      <c r="S18" s="249"/>
      <c r="T18" s="249"/>
      <c r="U18" s="249"/>
      <c r="V18" s="249"/>
      <c r="W18" s="249"/>
      <c r="X18" s="249"/>
      <c r="Y18" s="2619"/>
      <c r="Z18" s="2619"/>
      <c r="AA18" s="2619"/>
      <c r="AB18" s="2619"/>
      <c r="AC18" s="2619"/>
      <c r="AD18" s="2619"/>
      <c r="AE18" s="249" t="s">
        <v>1605</v>
      </c>
      <c r="AF18" s="250"/>
      <c r="AG18" s="300" t="s">
        <v>844</v>
      </c>
      <c r="AH18" s="250"/>
      <c r="AI18" s="301" t="s">
        <v>11</v>
      </c>
      <c r="AJ18" s="251"/>
    </row>
    <row r="19" spans="2:38" ht="14.65" thickBot="1" x14ac:dyDescent="0.5">
      <c r="B19" s="127"/>
      <c r="C19" s="144"/>
      <c r="D19" s="144"/>
      <c r="E19" s="144"/>
      <c r="F19" s="144"/>
      <c r="G19" s="144"/>
      <c r="H19" s="144"/>
      <c r="I19" s="144"/>
      <c r="J19" s="144"/>
      <c r="K19" s="144"/>
      <c r="L19" s="144"/>
      <c r="M19" s="144"/>
      <c r="N19" s="144"/>
      <c r="O19" s="144"/>
      <c r="P19" s="88"/>
      <c r="Q19" s="144"/>
      <c r="R19" s="144"/>
      <c r="S19" s="144"/>
      <c r="T19" s="144"/>
      <c r="U19" s="144"/>
      <c r="V19" s="144"/>
      <c r="W19" s="144"/>
      <c r="X19" s="144"/>
      <c r="Y19" s="144"/>
      <c r="Z19" s="144"/>
      <c r="AA19" s="144"/>
      <c r="AB19" s="144"/>
      <c r="AC19" s="144"/>
      <c r="AD19" s="144"/>
      <c r="AE19" s="144"/>
      <c r="AF19" s="81"/>
      <c r="AG19" s="127"/>
      <c r="AH19" s="81"/>
      <c r="AI19" s="81"/>
      <c r="AJ19" s="81"/>
    </row>
    <row r="20" spans="2:38" ht="22.5" customHeight="1" thickBot="1" x14ac:dyDescent="0.5">
      <c r="B20" s="3"/>
      <c r="C20" s="145" t="s">
        <v>393</v>
      </c>
      <c r="D20" s="141" t="s">
        <v>1221</v>
      </c>
      <c r="E20" s="285"/>
      <c r="F20" s="285"/>
      <c r="G20" s="285"/>
      <c r="H20" s="285"/>
      <c r="I20" s="285"/>
      <c r="J20" s="285"/>
      <c r="K20" s="285"/>
      <c r="L20" s="285"/>
      <c r="M20" s="285"/>
      <c r="N20" s="285"/>
      <c r="O20" s="285"/>
      <c r="P20" s="285"/>
      <c r="Q20" s="285"/>
      <c r="R20" s="285"/>
      <c r="S20" s="285"/>
      <c r="T20" s="285"/>
      <c r="U20" s="285"/>
      <c r="V20" s="285"/>
      <c r="W20" s="286"/>
      <c r="X20" s="286"/>
      <c r="Y20" s="286"/>
      <c r="Z20" s="286"/>
      <c r="AA20" s="286"/>
      <c r="AB20" s="286"/>
      <c r="AC20" s="286"/>
      <c r="AD20" s="286"/>
      <c r="AE20" s="286"/>
    </row>
    <row r="21" spans="2:38" s="8" customFormat="1" ht="16.149999999999999" thickBot="1" x14ac:dyDescent="0.5">
      <c r="B21" s="295" t="s">
        <v>0</v>
      </c>
      <c r="C21" s="290" t="s">
        <v>1</v>
      </c>
      <c r="D21" s="518" t="s">
        <v>396</v>
      </c>
      <c r="E21" s="518" t="s">
        <v>398</v>
      </c>
      <c r="F21" s="518" t="s">
        <v>400</v>
      </c>
      <c r="G21" s="518" t="s">
        <v>402</v>
      </c>
      <c r="H21" s="519" t="s">
        <v>2259</v>
      </c>
      <c r="I21" s="519" t="s">
        <v>2261</v>
      </c>
      <c r="J21" s="518" t="s">
        <v>423</v>
      </c>
      <c r="K21" s="518" t="s">
        <v>404</v>
      </c>
      <c r="L21" s="518" t="s">
        <v>406</v>
      </c>
      <c r="M21" s="518" t="s">
        <v>408</v>
      </c>
      <c r="N21" s="518" t="s">
        <v>410</v>
      </c>
      <c r="O21" s="518" t="s">
        <v>412</v>
      </c>
      <c r="P21" s="518" t="s">
        <v>414</v>
      </c>
      <c r="Q21" s="518" t="s">
        <v>416</v>
      </c>
      <c r="R21" s="518" t="s">
        <v>418</v>
      </c>
      <c r="S21" s="518" t="s">
        <v>420</v>
      </c>
      <c r="T21" s="518" t="s">
        <v>995</v>
      </c>
      <c r="U21" s="518" t="s">
        <v>996</v>
      </c>
      <c r="V21" s="518" t="s">
        <v>1254</v>
      </c>
      <c r="W21" s="520" t="s">
        <v>1054</v>
      </c>
      <c r="X21" s="520" t="s">
        <v>1253</v>
      </c>
      <c r="Y21" s="2617" t="s">
        <v>5516</v>
      </c>
      <c r="Z21" s="2617" t="s">
        <v>5355</v>
      </c>
      <c r="AA21" s="2617" t="s">
        <v>5357</v>
      </c>
      <c r="AB21" s="2617" t="s">
        <v>5359</v>
      </c>
      <c r="AC21" s="2617" t="s">
        <v>5362</v>
      </c>
      <c r="AD21" s="2621" t="s">
        <v>5364</v>
      </c>
      <c r="AE21" s="520" t="s">
        <v>1056</v>
      </c>
      <c r="AF21" s="296" t="s">
        <v>152</v>
      </c>
      <c r="AG21" s="296" t="s">
        <v>2</v>
      </c>
      <c r="AH21" s="296" t="s">
        <v>300</v>
      </c>
      <c r="AI21" s="296" t="s">
        <v>116</v>
      </c>
      <c r="AJ21" s="297" t="s">
        <v>117</v>
      </c>
    </row>
    <row r="22" spans="2:38" ht="22.5" customHeight="1" x14ac:dyDescent="0.45">
      <c r="B22" s="302" t="s">
        <v>389</v>
      </c>
      <c r="C22" s="303" t="s">
        <v>318</v>
      </c>
      <c r="D22" s="303">
        <v>1</v>
      </c>
      <c r="E22" s="303">
        <v>-1</v>
      </c>
      <c r="F22" s="303">
        <v>0</v>
      </c>
      <c r="G22" s="303">
        <v>1</v>
      </c>
      <c r="H22" s="349">
        <v>0</v>
      </c>
      <c r="I22" s="349">
        <v>-1</v>
      </c>
      <c r="J22" s="303">
        <v>-1</v>
      </c>
      <c r="K22" s="303">
        <v>0</v>
      </c>
      <c r="L22" s="303">
        <v>-1</v>
      </c>
      <c r="M22" s="303">
        <v>-2</v>
      </c>
      <c r="N22" s="303">
        <v>0</v>
      </c>
      <c r="O22" s="303">
        <v>-1</v>
      </c>
      <c r="P22" s="303">
        <v>-2</v>
      </c>
      <c r="Q22" s="303">
        <v>-3</v>
      </c>
      <c r="R22" s="303">
        <v>0</v>
      </c>
      <c r="S22" s="303">
        <v>-1</v>
      </c>
      <c r="T22" s="303">
        <v>2</v>
      </c>
      <c r="U22" s="303">
        <v>2</v>
      </c>
      <c r="V22" s="303">
        <v>1</v>
      </c>
      <c r="W22" s="303">
        <v>1</v>
      </c>
      <c r="X22" s="303">
        <v>-1</v>
      </c>
      <c r="Y22" s="2620"/>
      <c r="Z22" s="2620"/>
      <c r="AA22" s="2620"/>
      <c r="AB22" s="2620"/>
      <c r="AC22" s="2620"/>
      <c r="AD22" s="2620"/>
      <c r="AE22" s="303">
        <v>2</v>
      </c>
      <c r="AF22" s="304">
        <f>SUM(pH!D49:AE49)</f>
        <v>5.5681718888531996E-4</v>
      </c>
      <c r="AG22" s="304" t="s">
        <v>844</v>
      </c>
      <c r="AH22" s="304"/>
      <c r="AI22" s="304" t="s">
        <v>11</v>
      </c>
      <c r="AJ22" s="305"/>
    </row>
    <row r="23" spans="2:38" ht="22.5" customHeight="1" thickBot="1" x14ac:dyDescent="0.5">
      <c r="B23" s="248" t="s">
        <v>845</v>
      </c>
      <c r="C23" s="249" t="s">
        <v>379</v>
      </c>
      <c r="D23" s="249" t="s">
        <v>1284</v>
      </c>
      <c r="E23" s="249" t="s">
        <v>1285</v>
      </c>
      <c r="F23" s="249">
        <v>0</v>
      </c>
      <c r="G23" s="249" t="s">
        <v>1284</v>
      </c>
      <c r="H23" s="249">
        <v>0</v>
      </c>
      <c r="I23" s="249" t="s">
        <v>1285</v>
      </c>
      <c r="J23" s="249" t="s">
        <v>1285</v>
      </c>
      <c r="K23" s="249">
        <v>0</v>
      </c>
      <c r="L23" s="249" t="s">
        <v>1285</v>
      </c>
      <c r="M23" s="249" t="s">
        <v>1286</v>
      </c>
      <c r="N23" s="249">
        <v>0</v>
      </c>
      <c r="O23" s="249" t="s">
        <v>1285</v>
      </c>
      <c r="P23" s="249" t="s">
        <v>1286</v>
      </c>
      <c r="Q23" s="249" t="s">
        <v>1287</v>
      </c>
      <c r="R23" s="249">
        <v>0</v>
      </c>
      <c r="S23" s="249" t="s">
        <v>1285</v>
      </c>
      <c r="T23" s="249" t="s">
        <v>1288</v>
      </c>
      <c r="U23" s="249" t="s">
        <v>1288</v>
      </c>
      <c r="V23" s="249" t="s">
        <v>1284</v>
      </c>
      <c r="W23" s="249" t="s">
        <v>1284</v>
      </c>
      <c r="X23" s="249" t="s">
        <v>1285</v>
      </c>
      <c r="Y23" s="2619"/>
      <c r="Z23" s="2619"/>
      <c r="AA23" s="2619"/>
      <c r="AB23" s="2619"/>
      <c r="AC23" s="2619"/>
      <c r="AD23" s="2619"/>
      <c r="AE23" s="249" t="s">
        <v>1288</v>
      </c>
      <c r="AF23" s="250">
        <f>SUM(pH!D50:AE50)</f>
        <v>1.47943558411052E-2</v>
      </c>
      <c r="AG23" s="250" t="s">
        <v>844</v>
      </c>
      <c r="AH23" s="250"/>
      <c r="AI23" s="301" t="s">
        <v>11</v>
      </c>
      <c r="AJ23" s="251"/>
    </row>
    <row r="24" spans="2:38" x14ac:dyDescent="0.45">
      <c r="B24" s="7"/>
    </row>
    <row r="25" spans="2:38" x14ac:dyDescent="0.45">
      <c r="B25" s="72"/>
      <c r="C25" s="72"/>
      <c r="D25" s="72"/>
      <c r="E25" s="72"/>
      <c r="F25" s="72"/>
    </row>
    <row r="27" spans="2:38" ht="14.65" thickBot="1" x14ac:dyDescent="0.5"/>
    <row r="28" spans="2:38" ht="14.65" thickBot="1" x14ac:dyDescent="0.5">
      <c r="C28" s="56" t="s">
        <v>4</v>
      </c>
      <c r="D28" s="141" t="s">
        <v>319</v>
      </c>
      <c r="J28" s="1"/>
      <c r="K28" s="1"/>
    </row>
    <row r="29" spans="2:38" ht="16.149999999999999" thickBot="1" x14ac:dyDescent="0.5">
      <c r="B29" s="295"/>
      <c r="C29" s="290" t="s">
        <v>1</v>
      </c>
      <c r="D29" s="518" t="s">
        <v>396</v>
      </c>
      <c r="E29" s="518" t="s">
        <v>398</v>
      </c>
      <c r="F29" s="518" t="s">
        <v>400</v>
      </c>
      <c r="G29" s="518" t="s">
        <v>402</v>
      </c>
      <c r="H29" s="519" t="s">
        <v>2259</v>
      </c>
      <c r="I29" s="519" t="s">
        <v>2261</v>
      </c>
      <c r="J29" s="518" t="s">
        <v>423</v>
      </c>
      <c r="K29" s="518" t="s">
        <v>404</v>
      </c>
      <c r="L29" s="518" t="s">
        <v>406</v>
      </c>
      <c r="M29" s="518" t="s">
        <v>408</v>
      </c>
      <c r="N29" s="518" t="s">
        <v>410</v>
      </c>
      <c r="O29" s="518" t="s">
        <v>412</v>
      </c>
      <c r="P29" s="518" t="s">
        <v>414</v>
      </c>
      <c r="Q29" s="518" t="s">
        <v>416</v>
      </c>
      <c r="R29" s="518" t="s">
        <v>418</v>
      </c>
      <c r="S29" s="518" t="s">
        <v>420</v>
      </c>
      <c r="T29" s="518" t="s">
        <v>995</v>
      </c>
      <c r="U29" s="518" t="s">
        <v>996</v>
      </c>
      <c r="V29" s="518" t="s">
        <v>1254</v>
      </c>
      <c r="W29" s="520" t="s">
        <v>1054</v>
      </c>
      <c r="X29" s="520" t="s">
        <v>1253</v>
      </c>
      <c r="Y29" s="2617" t="s">
        <v>5516</v>
      </c>
      <c r="Z29" s="2617" t="s">
        <v>5355</v>
      </c>
      <c r="AA29" s="2617" t="s">
        <v>5357</v>
      </c>
      <c r="AB29" s="2617" t="s">
        <v>5359</v>
      </c>
      <c r="AC29" s="2617" t="s">
        <v>5362</v>
      </c>
      <c r="AD29" s="2621" t="s">
        <v>5364</v>
      </c>
      <c r="AE29" s="520" t="s">
        <v>1056</v>
      </c>
      <c r="AF29" s="296" t="s">
        <v>152</v>
      </c>
      <c r="AG29" s="296" t="s">
        <v>2</v>
      </c>
      <c r="AH29" s="296" t="s">
        <v>300</v>
      </c>
      <c r="AI29" s="296" t="s">
        <v>116</v>
      </c>
      <c r="AJ29" s="297" t="s">
        <v>117</v>
      </c>
      <c r="AK29" s="8"/>
      <c r="AL29" s="8"/>
    </row>
    <row r="30" spans="2:38" ht="15.75" x14ac:dyDescent="0.45">
      <c r="B30" s="246" t="s">
        <v>424</v>
      </c>
      <c r="C30" s="244" t="s">
        <v>308</v>
      </c>
      <c r="D30" s="244">
        <f>10^(-p_H)</f>
        <v>6.3095734448019177E-8</v>
      </c>
      <c r="E30" s="244">
        <f>K_W/conc_Hp_I</f>
        <v>1.384875770636308E-7</v>
      </c>
      <c r="F30" s="244">
        <f>0</f>
        <v>0</v>
      </c>
      <c r="G30" s="244">
        <f>0</f>
        <v>0</v>
      </c>
      <c r="H30" s="350">
        <f>0</f>
        <v>0</v>
      </c>
      <c r="I30" s="350">
        <f>0</f>
        <v>0</v>
      </c>
      <c r="J30" s="244">
        <f>0</f>
        <v>0</v>
      </c>
      <c r="K30" s="244">
        <f>0</f>
        <v>0</v>
      </c>
      <c r="L30" s="244">
        <f>0</f>
        <v>0</v>
      </c>
      <c r="M30" s="244">
        <f>0</f>
        <v>0</v>
      </c>
      <c r="N30" s="244">
        <f>0</f>
        <v>0</v>
      </c>
      <c r="O30" s="244">
        <f>0</f>
        <v>0</v>
      </c>
      <c r="P30" s="244">
        <f>0</f>
        <v>0</v>
      </c>
      <c r="Q30" s="244">
        <f>0</f>
        <v>0</v>
      </c>
      <c r="R30" s="244">
        <f>0</f>
        <v>0</v>
      </c>
      <c r="S30" s="244">
        <f>0</f>
        <v>0</v>
      </c>
      <c r="T30" s="244">
        <f>0</f>
        <v>0</v>
      </c>
      <c r="U30" s="244">
        <f>0</f>
        <v>0</v>
      </c>
      <c r="V30" s="244">
        <f>0</f>
        <v>0</v>
      </c>
      <c r="W30" s="244">
        <f>0</f>
        <v>0</v>
      </c>
      <c r="X30" s="244">
        <f>0</f>
        <v>0</v>
      </c>
      <c r="Y30" s="349">
        <f>0</f>
        <v>0</v>
      </c>
      <c r="Z30" s="349">
        <f>0</f>
        <v>0</v>
      </c>
      <c r="AA30" s="349">
        <f>0</f>
        <v>0</v>
      </c>
      <c r="AB30" s="349">
        <f>0</f>
        <v>0</v>
      </c>
      <c r="AC30" s="349">
        <f>0</f>
        <v>0</v>
      </c>
      <c r="AD30" s="349">
        <f>0</f>
        <v>0</v>
      </c>
      <c r="AE30" s="244">
        <f>0</f>
        <v>0</v>
      </c>
      <c r="AF30" s="245"/>
      <c r="AG30" s="243" t="s">
        <v>843</v>
      </c>
      <c r="AH30" s="245"/>
      <c r="AI30" s="245" t="s">
        <v>11</v>
      </c>
      <c r="AJ30" s="247"/>
    </row>
    <row r="31" spans="2:38" ht="15.75" x14ac:dyDescent="0.45">
      <c r="B31" s="376" t="s">
        <v>2510</v>
      </c>
      <c r="C31" s="240" t="s">
        <v>310</v>
      </c>
      <c r="D31" s="240">
        <f>0</f>
        <v>0</v>
      </c>
      <c r="E31" s="240">
        <f>0</f>
        <v>0</v>
      </c>
      <c r="F31" s="240">
        <f>(S_NHx/(A_MN*1000))*K_NH3/(conc_Hp_I+K_NH3)</f>
        <v>4.456809975059031E-7</v>
      </c>
      <c r="G31" s="240">
        <f>(S_NHx/(A_MN*1000))*conc_Hp_I/(conc_Hp_I+K_NH3)</f>
        <v>7.0948723109100212E-5</v>
      </c>
      <c r="H31" s="240">
        <f>0</f>
        <v>0</v>
      </c>
      <c r="I31" s="240">
        <f>0</f>
        <v>0</v>
      </c>
      <c r="J31" s="240">
        <f>0</f>
        <v>0</v>
      </c>
      <c r="K31" s="240">
        <f>0</f>
        <v>0</v>
      </c>
      <c r="L31" s="240">
        <f>0</f>
        <v>0</v>
      </c>
      <c r="M31" s="240">
        <f>0</f>
        <v>0</v>
      </c>
      <c r="N31" s="240">
        <f>0</f>
        <v>0</v>
      </c>
      <c r="O31" s="240">
        <f>0</f>
        <v>0</v>
      </c>
      <c r="P31" s="240">
        <f>0</f>
        <v>0</v>
      </c>
      <c r="Q31" s="240">
        <f>0</f>
        <v>0</v>
      </c>
      <c r="R31" s="240">
        <f>0</f>
        <v>0</v>
      </c>
      <c r="S31" s="240">
        <f>0</f>
        <v>0</v>
      </c>
      <c r="T31" s="240">
        <f>0</f>
        <v>0</v>
      </c>
      <c r="U31" s="240">
        <f>0</f>
        <v>0</v>
      </c>
      <c r="V31" s="240">
        <f>0</f>
        <v>0</v>
      </c>
      <c r="W31" s="240">
        <f>0</f>
        <v>0</v>
      </c>
      <c r="X31" s="240">
        <f>0</f>
        <v>0</v>
      </c>
      <c r="Y31" s="2618">
        <f>0</f>
        <v>0</v>
      </c>
      <c r="Z31" s="2618">
        <f>0</f>
        <v>0</v>
      </c>
      <c r="AA31" s="2618">
        <f>0</f>
        <v>0</v>
      </c>
      <c r="AB31" s="2618">
        <f>0</f>
        <v>0</v>
      </c>
      <c r="AC31" s="2618">
        <f>0</f>
        <v>0</v>
      </c>
      <c r="AD31" s="2618">
        <f>0</f>
        <v>0</v>
      </c>
      <c r="AE31" s="240">
        <f>0</f>
        <v>0</v>
      </c>
      <c r="AF31" s="241"/>
      <c r="AG31" s="239" t="s">
        <v>843</v>
      </c>
      <c r="AH31" s="241"/>
      <c r="AI31" s="245" t="s">
        <v>11</v>
      </c>
      <c r="AJ31" s="299"/>
    </row>
    <row r="32" spans="2:38" ht="15.75" x14ac:dyDescent="0.45">
      <c r="B32" s="298" t="s">
        <v>2263</v>
      </c>
      <c r="C32" s="240" t="s">
        <v>758</v>
      </c>
      <c r="D32" s="240">
        <f>0</f>
        <v>0</v>
      </c>
      <c r="E32" s="240">
        <f>0</f>
        <v>0</v>
      </c>
      <c r="F32" s="240">
        <f>0</f>
        <v>0</v>
      </c>
      <c r="G32" s="240">
        <f>0</f>
        <v>0</v>
      </c>
      <c r="H32" s="240">
        <f>(S_NO2/(A_MN*1000))*conc_Hp_I/(conc_Hp_I+K_NO2)</f>
        <v>8.600116917741957E-10</v>
      </c>
      <c r="I32" s="240">
        <f>(K_NO2*S_NO2/(A_MN*1000))/(conc_Hp_I+K_NO2)</f>
        <v>7.1385803989688371E-6</v>
      </c>
      <c r="J32" s="240">
        <f>0</f>
        <v>0</v>
      </c>
      <c r="K32" s="240">
        <f>0</f>
        <v>0</v>
      </c>
      <c r="L32" s="240">
        <f>0</f>
        <v>0</v>
      </c>
      <c r="M32" s="240">
        <f>0</f>
        <v>0</v>
      </c>
      <c r="N32" s="240">
        <f>0</f>
        <v>0</v>
      </c>
      <c r="O32" s="240">
        <f>0</f>
        <v>0</v>
      </c>
      <c r="P32" s="240">
        <f>0</f>
        <v>0</v>
      </c>
      <c r="Q32" s="240">
        <f>0</f>
        <v>0</v>
      </c>
      <c r="R32" s="240">
        <f>0</f>
        <v>0</v>
      </c>
      <c r="S32" s="240">
        <f>0</f>
        <v>0</v>
      </c>
      <c r="T32" s="240">
        <f>0</f>
        <v>0</v>
      </c>
      <c r="U32" s="240">
        <f>0</f>
        <v>0</v>
      </c>
      <c r="V32" s="240">
        <f>0</f>
        <v>0</v>
      </c>
      <c r="W32" s="240">
        <f>0</f>
        <v>0</v>
      </c>
      <c r="X32" s="240">
        <f>0</f>
        <v>0</v>
      </c>
      <c r="Y32" s="2618">
        <f>0</f>
        <v>0</v>
      </c>
      <c r="Z32" s="2618">
        <f>0</f>
        <v>0</v>
      </c>
      <c r="AA32" s="2618">
        <f>0</f>
        <v>0</v>
      </c>
      <c r="AB32" s="2618">
        <f>0</f>
        <v>0</v>
      </c>
      <c r="AC32" s="2618">
        <f>0</f>
        <v>0</v>
      </c>
      <c r="AD32" s="2618">
        <f>0</f>
        <v>0</v>
      </c>
      <c r="AE32" s="240">
        <f>0</f>
        <v>0</v>
      </c>
      <c r="AF32" s="241"/>
      <c r="AG32" s="239" t="s">
        <v>843</v>
      </c>
      <c r="AH32" s="241"/>
      <c r="AI32" s="245" t="s">
        <v>11</v>
      </c>
      <c r="AJ32" s="299"/>
    </row>
    <row r="33" spans="2:38" ht="15.75" x14ac:dyDescent="0.45">
      <c r="B33" s="298" t="s">
        <v>1105</v>
      </c>
      <c r="C33" s="240" t="s">
        <v>311</v>
      </c>
      <c r="D33" s="240">
        <f>0</f>
        <v>0</v>
      </c>
      <c r="E33" s="240">
        <f>0</f>
        <v>0</v>
      </c>
      <c r="F33" s="240">
        <f>0</f>
        <v>0</v>
      </c>
      <c r="G33" s="240">
        <f>0</f>
        <v>0</v>
      </c>
      <c r="H33" s="240">
        <f>0</f>
        <v>0</v>
      </c>
      <c r="I33" s="240">
        <f>0</f>
        <v>0</v>
      </c>
      <c r="J33" s="240">
        <f>S_NO3/(A_MN*1000)</f>
        <v>3.5697202053303062E-4</v>
      </c>
      <c r="K33" s="240">
        <f>0</f>
        <v>0</v>
      </c>
      <c r="L33" s="240">
        <f>0</f>
        <v>0</v>
      </c>
      <c r="M33" s="240">
        <f>0</f>
        <v>0</v>
      </c>
      <c r="N33" s="240">
        <f>0</f>
        <v>0</v>
      </c>
      <c r="O33" s="240">
        <f>0</f>
        <v>0</v>
      </c>
      <c r="P33" s="240">
        <f>0</f>
        <v>0</v>
      </c>
      <c r="Q33" s="240">
        <f>0</f>
        <v>0</v>
      </c>
      <c r="R33" s="240">
        <f>0</f>
        <v>0</v>
      </c>
      <c r="S33" s="240">
        <f>0</f>
        <v>0</v>
      </c>
      <c r="T33" s="240">
        <f>0</f>
        <v>0</v>
      </c>
      <c r="U33" s="240">
        <f>0</f>
        <v>0</v>
      </c>
      <c r="V33" s="240">
        <f>0</f>
        <v>0</v>
      </c>
      <c r="W33" s="240">
        <f>0</f>
        <v>0</v>
      </c>
      <c r="X33" s="240">
        <f>0</f>
        <v>0</v>
      </c>
      <c r="Y33" s="2618">
        <f>0</f>
        <v>0</v>
      </c>
      <c r="Z33" s="2618">
        <f>0</f>
        <v>0</v>
      </c>
      <c r="AA33" s="2618">
        <f>0</f>
        <v>0</v>
      </c>
      <c r="AB33" s="2618">
        <f>0</f>
        <v>0</v>
      </c>
      <c r="AC33" s="2618">
        <f>0</f>
        <v>0</v>
      </c>
      <c r="AD33" s="2618">
        <f>0</f>
        <v>0</v>
      </c>
      <c r="AE33" s="240">
        <f>0</f>
        <v>0</v>
      </c>
      <c r="AF33" s="241"/>
      <c r="AG33" s="239" t="s">
        <v>843</v>
      </c>
      <c r="AH33" s="241"/>
      <c r="AI33" s="245" t="s">
        <v>11</v>
      </c>
      <c r="AJ33" s="299"/>
    </row>
    <row r="34" spans="2:38" ht="15.75" x14ac:dyDescent="0.45">
      <c r="B34" s="298" t="s">
        <v>426</v>
      </c>
      <c r="C34" s="240" t="s">
        <v>314</v>
      </c>
      <c r="D34" s="240">
        <f>0</f>
        <v>0</v>
      </c>
      <c r="E34" s="240">
        <f>0</f>
        <v>0</v>
      </c>
      <c r="F34" s="240">
        <f>0</f>
        <v>0</v>
      </c>
      <c r="G34" s="240">
        <f>0</f>
        <v>0</v>
      </c>
      <c r="H34" s="240">
        <f>0</f>
        <v>0</v>
      </c>
      <c r="I34" s="240">
        <f>0</f>
        <v>0</v>
      </c>
      <c r="J34" s="240">
        <f>0</f>
        <v>0</v>
      </c>
      <c r="K34" s="240">
        <f>S_CO2/(A_MC*1000)*conc_Hp_I^2/(conc_Hp_I^2+conc_Hp_I*K_C1+K_C1*K_C2)</f>
        <v>6.4880908822408209E-4</v>
      </c>
      <c r="L34" s="240">
        <f>conc_Hp_I*K_C1*S_CO2/(A_MC*1000)/(conc_Hp_I^2+conc_Hp_I*K_C1+K_C1*K_C2)</f>
        <v>5.5062302620906018E-3</v>
      </c>
      <c r="M34" s="240">
        <f>K_C2*K_C1*S_CO2/(A_MC*1000)/(conc_Hp_I^2+conc_Hp_I*K_C1+K_C1*K_C2)</f>
        <v>6.1336038012281396E-6</v>
      </c>
      <c r="N34" s="240">
        <f>0</f>
        <v>0</v>
      </c>
      <c r="O34" s="240">
        <f>0</f>
        <v>0</v>
      </c>
      <c r="P34" s="240">
        <f>0</f>
        <v>0</v>
      </c>
      <c r="Q34" s="240">
        <f>0</f>
        <v>0</v>
      </c>
      <c r="R34" s="240">
        <f>0</f>
        <v>0</v>
      </c>
      <c r="S34" s="240">
        <f>0</f>
        <v>0</v>
      </c>
      <c r="T34" s="240">
        <f>0</f>
        <v>0</v>
      </c>
      <c r="U34" s="240">
        <f>0</f>
        <v>0</v>
      </c>
      <c r="V34" s="240">
        <f>0</f>
        <v>0</v>
      </c>
      <c r="W34" s="240">
        <f>0</f>
        <v>0</v>
      </c>
      <c r="X34" s="240">
        <f>0</f>
        <v>0</v>
      </c>
      <c r="Y34" s="2618">
        <f>0</f>
        <v>0</v>
      </c>
      <c r="Z34" s="2618">
        <f>0</f>
        <v>0</v>
      </c>
      <c r="AA34" s="2618">
        <f>0</f>
        <v>0</v>
      </c>
      <c r="AB34" s="2618">
        <f>0</f>
        <v>0</v>
      </c>
      <c r="AC34" s="2618">
        <f>0</f>
        <v>0</v>
      </c>
      <c r="AD34" s="2618">
        <f>0</f>
        <v>0</v>
      </c>
      <c r="AE34" s="240">
        <f>0</f>
        <v>0</v>
      </c>
      <c r="AF34" s="241"/>
      <c r="AG34" s="239" t="s">
        <v>843</v>
      </c>
      <c r="AH34" s="241"/>
      <c r="AI34" s="245" t="s">
        <v>11</v>
      </c>
      <c r="AJ34" s="299"/>
    </row>
    <row r="35" spans="2:38" ht="15.75" x14ac:dyDescent="0.45">
      <c r="B35" s="298" t="s">
        <v>427</v>
      </c>
      <c r="C35" s="240" t="s">
        <v>315</v>
      </c>
      <c r="D35" s="240">
        <f>0</f>
        <v>0</v>
      </c>
      <c r="E35" s="240">
        <f>0</f>
        <v>0</v>
      </c>
      <c r="F35" s="240">
        <f>0</f>
        <v>0</v>
      </c>
      <c r="G35" s="240">
        <f>0</f>
        <v>0</v>
      </c>
      <c r="H35" s="240">
        <f>0</f>
        <v>0</v>
      </c>
      <c r="I35" s="240">
        <f>0</f>
        <v>0</v>
      </c>
      <c r="J35" s="240">
        <f>0</f>
        <v>0</v>
      </c>
      <c r="K35" s="240">
        <f>0</f>
        <v>0</v>
      </c>
      <c r="L35" s="240">
        <f>0</f>
        <v>0</v>
      </c>
      <c r="M35" s="240">
        <f>0</f>
        <v>0</v>
      </c>
      <c r="N35" s="240">
        <f>S_PO4/(A_MP*1000)*conc_Hp_I^3/(conc_Hp_I^3+conc_Hp_I^2*K_P1+K_P2*conc_Hp_I*K_P1+K_P2*K_P1*K_P3)</f>
        <v>4.0344172931174842E-11</v>
      </c>
      <c r="O35" s="240">
        <f>conc_Hp_I^2*K_P1*S_PO4/(A_MP*1000)/(conc_Hp_I^3+conc_Hp_I^2*K_P1+K_P2*conc_Hp_I*K_P1+K_P2*K_P1*K_P3)</f>
        <v>6.1647215595877176E-6</v>
      </c>
      <c r="P35" s="240">
        <f>conc_Hp_I*K_P2/(conc_Hp_I^3+conc_Hp_I^2*K_P1+K_P2*conc_Hp_I*K_P1+K_P2*K_P1*K_P3)*K_P1*S_PO4/(A_MP*1000)</f>
        <v>9.9778036227837607E-6</v>
      </c>
      <c r="Q35" s="240">
        <f>K_P3*K_P2/(conc_Hp_I^3+conc_Hp_I^2*K_P1+K_P2*conc_Hp_I*K_P1+K_P2*K_P1*K_P3)*K_P1*S_PO4/(A_MP*1000)</f>
        <v>1.2959623276590366E-10</v>
      </c>
      <c r="R35" s="240">
        <f>0</f>
        <v>0</v>
      </c>
      <c r="S35" s="240">
        <f>0</f>
        <v>0</v>
      </c>
      <c r="T35" s="240">
        <f>0</f>
        <v>0</v>
      </c>
      <c r="U35" s="240">
        <f>0</f>
        <v>0</v>
      </c>
      <c r="V35" s="240">
        <f>0</f>
        <v>0</v>
      </c>
      <c r="W35" s="240">
        <f>0</f>
        <v>0</v>
      </c>
      <c r="X35" s="240">
        <f>0</f>
        <v>0</v>
      </c>
      <c r="Y35" s="2618">
        <f>0</f>
        <v>0</v>
      </c>
      <c r="Z35" s="2618">
        <f>0</f>
        <v>0</v>
      </c>
      <c r="AA35" s="2618">
        <f>0</f>
        <v>0</v>
      </c>
      <c r="AB35" s="2618">
        <f>0</f>
        <v>0</v>
      </c>
      <c r="AC35" s="2618">
        <f>0</f>
        <v>0</v>
      </c>
      <c r="AD35" s="2618">
        <f>0</f>
        <v>0</v>
      </c>
      <c r="AE35" s="240">
        <f>0</f>
        <v>0</v>
      </c>
      <c r="AF35" s="241"/>
      <c r="AG35" s="239" t="s">
        <v>843</v>
      </c>
      <c r="AH35" s="241"/>
      <c r="AI35" s="245" t="s">
        <v>11</v>
      </c>
      <c r="AJ35" s="299"/>
    </row>
    <row r="36" spans="2:38" ht="15.75" x14ac:dyDescent="0.45">
      <c r="B36" s="298" t="s">
        <v>432</v>
      </c>
      <c r="C36" s="240" t="s">
        <v>316</v>
      </c>
      <c r="D36" s="240">
        <f>0</f>
        <v>0</v>
      </c>
      <c r="E36" s="240">
        <f>0</f>
        <v>0</v>
      </c>
      <c r="F36" s="240">
        <f>0</f>
        <v>0</v>
      </c>
      <c r="G36" s="240">
        <f>0</f>
        <v>0</v>
      </c>
      <c r="H36" s="240">
        <f>0</f>
        <v>0</v>
      </c>
      <c r="I36" s="240">
        <f>0</f>
        <v>0</v>
      </c>
      <c r="J36" s="240">
        <f>0</f>
        <v>0</v>
      </c>
      <c r="K36" s="240">
        <f>0</f>
        <v>0</v>
      </c>
      <c r="L36" s="240">
        <f>0</f>
        <v>0</v>
      </c>
      <c r="M36" s="240">
        <f>0</f>
        <v>0</v>
      </c>
      <c r="N36" s="240">
        <f>0</f>
        <v>0</v>
      </c>
      <c r="O36" s="240">
        <f>0</f>
        <v>0</v>
      </c>
      <c r="P36" s="240">
        <f>0</f>
        <v>0</v>
      </c>
      <c r="Q36" s="240">
        <f>0</f>
        <v>0</v>
      </c>
      <c r="R36" s="240">
        <f>conc_Hp_I*S_VFA/(4*A_MO*1000)/(conc_Hp_I+K_Ac)</f>
        <v>4.3337108963713439E-10</v>
      </c>
      <c r="S36" s="240">
        <f>S_VFA/(4*A_MO*1000)*K_Ac/(conc_Hp_I+K_Ac)</f>
        <v>1.5582248850509766E-7</v>
      </c>
      <c r="T36" s="240">
        <f>0</f>
        <v>0</v>
      </c>
      <c r="U36" s="240">
        <f>0</f>
        <v>0</v>
      </c>
      <c r="V36" s="240">
        <f>0</f>
        <v>0</v>
      </c>
      <c r="W36" s="240">
        <f>0</f>
        <v>0</v>
      </c>
      <c r="X36" s="240">
        <f>0</f>
        <v>0</v>
      </c>
      <c r="Y36" s="2618">
        <f>0</f>
        <v>0</v>
      </c>
      <c r="Z36" s="2618">
        <f>0</f>
        <v>0</v>
      </c>
      <c r="AA36" s="2618">
        <f>0</f>
        <v>0</v>
      </c>
      <c r="AB36" s="2618">
        <f>0</f>
        <v>0</v>
      </c>
      <c r="AC36" s="2618">
        <f>0</f>
        <v>0</v>
      </c>
      <c r="AD36" s="2618">
        <f>0</f>
        <v>0</v>
      </c>
      <c r="AE36" s="240">
        <f>0</f>
        <v>0</v>
      </c>
      <c r="AF36" s="241"/>
      <c r="AG36" s="239" t="s">
        <v>843</v>
      </c>
      <c r="AH36" s="241"/>
      <c r="AI36" s="245" t="s">
        <v>11</v>
      </c>
      <c r="AJ36" s="299"/>
    </row>
    <row r="37" spans="2:38" ht="15.75" x14ac:dyDescent="0.45">
      <c r="B37" s="298" t="s">
        <v>989</v>
      </c>
      <c r="C37" s="240" t="s">
        <v>991</v>
      </c>
      <c r="D37" s="240">
        <f>0</f>
        <v>0</v>
      </c>
      <c r="E37" s="240">
        <f>0</f>
        <v>0</v>
      </c>
      <c r="F37" s="240">
        <f>0</f>
        <v>0</v>
      </c>
      <c r="G37" s="240">
        <f>0</f>
        <v>0</v>
      </c>
      <c r="H37" s="240">
        <f>0</f>
        <v>0</v>
      </c>
      <c r="I37" s="240">
        <f>0</f>
        <v>0</v>
      </c>
      <c r="J37" s="240">
        <f>0</f>
        <v>0</v>
      </c>
      <c r="K37" s="240">
        <f>0</f>
        <v>0</v>
      </c>
      <c r="L37" s="240">
        <f>0</f>
        <v>0</v>
      </c>
      <c r="M37" s="240">
        <f>0</f>
        <v>0</v>
      </c>
      <c r="N37" s="240">
        <f>0</f>
        <v>0</v>
      </c>
      <c r="O37" s="240">
        <f>0</f>
        <v>0</v>
      </c>
      <c r="P37" s="240">
        <f>0</f>
        <v>0</v>
      </c>
      <c r="Q37" s="240">
        <f>0</f>
        <v>0</v>
      </c>
      <c r="R37" s="240">
        <f>0</f>
        <v>0</v>
      </c>
      <c r="S37" s="240">
        <f>0</f>
        <v>0</v>
      </c>
      <c r="T37" s="240">
        <f>S_Ca/(A_MCa*1000)</f>
        <v>3.7427017316233346E-3</v>
      </c>
      <c r="U37" s="240">
        <f>0</f>
        <v>0</v>
      </c>
      <c r="V37" s="240">
        <f>0</f>
        <v>0</v>
      </c>
      <c r="W37" s="240">
        <f>0</f>
        <v>0</v>
      </c>
      <c r="X37" s="240">
        <f>0</f>
        <v>0</v>
      </c>
      <c r="Y37" s="2618">
        <f>0</f>
        <v>0</v>
      </c>
      <c r="Z37" s="2618">
        <f>0</f>
        <v>0</v>
      </c>
      <c r="AA37" s="2618">
        <f>0</f>
        <v>0</v>
      </c>
      <c r="AB37" s="2618">
        <f>0</f>
        <v>0</v>
      </c>
      <c r="AC37" s="2618">
        <f>0</f>
        <v>0</v>
      </c>
      <c r="AD37" s="2618">
        <f>0</f>
        <v>0</v>
      </c>
      <c r="AE37" s="240">
        <f>0</f>
        <v>0</v>
      </c>
      <c r="AF37" s="241"/>
      <c r="AG37" s="239" t="s">
        <v>844</v>
      </c>
      <c r="AH37" s="241"/>
      <c r="AI37" s="245" t="s">
        <v>11</v>
      </c>
      <c r="AJ37" s="299"/>
    </row>
    <row r="38" spans="2:38" ht="15.75" x14ac:dyDescent="0.45">
      <c r="B38" s="298" t="s">
        <v>990</v>
      </c>
      <c r="C38" s="240" t="s">
        <v>992</v>
      </c>
      <c r="D38" s="240">
        <f>0</f>
        <v>0</v>
      </c>
      <c r="E38" s="240">
        <f>0</f>
        <v>0</v>
      </c>
      <c r="F38" s="240">
        <f>0</f>
        <v>0</v>
      </c>
      <c r="G38" s="240">
        <f>0</f>
        <v>0</v>
      </c>
      <c r="H38" s="240">
        <f>0</f>
        <v>0</v>
      </c>
      <c r="I38" s="240">
        <f>0</f>
        <v>0</v>
      </c>
      <c r="J38" s="240">
        <f>0</f>
        <v>0</v>
      </c>
      <c r="K38" s="240">
        <f>0</f>
        <v>0</v>
      </c>
      <c r="L38" s="240">
        <f>0</f>
        <v>0</v>
      </c>
      <c r="M38" s="240">
        <f>0</f>
        <v>0</v>
      </c>
      <c r="N38" s="240">
        <f>0</f>
        <v>0</v>
      </c>
      <c r="O38" s="240">
        <f>0</f>
        <v>0</v>
      </c>
      <c r="P38" s="240">
        <f>0</f>
        <v>0</v>
      </c>
      <c r="Q38" s="240">
        <f>0</f>
        <v>0</v>
      </c>
      <c r="R38" s="240">
        <f>0</f>
        <v>0</v>
      </c>
      <c r="S38" s="240">
        <f>0</f>
        <v>0</v>
      </c>
      <c r="T38" s="240">
        <f>0</f>
        <v>0</v>
      </c>
      <c r="U38" s="240">
        <f>S_Mg/(A_MMg*1000)</f>
        <v>6.1715696358773911E-4</v>
      </c>
      <c r="V38" s="240">
        <f>0</f>
        <v>0</v>
      </c>
      <c r="W38" s="240">
        <f>0</f>
        <v>0</v>
      </c>
      <c r="X38" s="240">
        <f>0</f>
        <v>0</v>
      </c>
      <c r="Y38" s="2618">
        <f>0</f>
        <v>0</v>
      </c>
      <c r="Z38" s="2618">
        <f>0</f>
        <v>0</v>
      </c>
      <c r="AA38" s="2618">
        <f>0</f>
        <v>0</v>
      </c>
      <c r="AB38" s="2618">
        <f>0</f>
        <v>0</v>
      </c>
      <c r="AC38" s="2618">
        <f>0</f>
        <v>0</v>
      </c>
      <c r="AD38" s="2618">
        <f>0</f>
        <v>0</v>
      </c>
      <c r="AE38" s="240">
        <f>0</f>
        <v>0</v>
      </c>
      <c r="AF38" s="241"/>
      <c r="AG38" s="239" t="s">
        <v>844</v>
      </c>
      <c r="AH38" s="241"/>
      <c r="AI38" s="245" t="s">
        <v>11</v>
      </c>
      <c r="AJ38" s="299"/>
    </row>
    <row r="39" spans="2:38" ht="15.75" x14ac:dyDescent="0.45">
      <c r="B39" s="298" t="s">
        <v>433</v>
      </c>
      <c r="C39" s="240" t="s">
        <v>312</v>
      </c>
      <c r="D39" s="240">
        <f>0</f>
        <v>0</v>
      </c>
      <c r="E39" s="240">
        <f>0</f>
        <v>0</v>
      </c>
      <c r="F39" s="240">
        <f>0</f>
        <v>0</v>
      </c>
      <c r="G39" s="240">
        <f>0</f>
        <v>0</v>
      </c>
      <c r="H39" s="240">
        <f>0</f>
        <v>0</v>
      </c>
      <c r="I39" s="240">
        <f>0</f>
        <v>0</v>
      </c>
      <c r="J39" s="240">
        <f>0</f>
        <v>0</v>
      </c>
      <c r="K39" s="240">
        <f>0</f>
        <v>0</v>
      </c>
      <c r="L39" s="240">
        <f>0</f>
        <v>0</v>
      </c>
      <c r="M39" s="240">
        <f>0</f>
        <v>0</v>
      </c>
      <c r="N39" s="239">
        <f>0</f>
        <v>0</v>
      </c>
      <c r="O39" s="240">
        <f>0</f>
        <v>0</v>
      </c>
      <c r="P39" s="240">
        <f>0</f>
        <v>0</v>
      </c>
      <c r="Q39" s="240">
        <f>0</f>
        <v>0</v>
      </c>
      <c r="R39" s="240">
        <f>0</f>
        <v>0</v>
      </c>
      <c r="S39" s="240">
        <f>0</f>
        <v>0</v>
      </c>
      <c r="T39" s="240">
        <f>0</f>
        <v>0</v>
      </c>
      <c r="U39" s="240">
        <f>0</f>
        <v>0</v>
      </c>
      <c r="V39" s="240">
        <f>S_CAT/(A_MNa*1000)</f>
        <v>1.5224163409384409E-3</v>
      </c>
      <c r="W39" s="240">
        <f>0</f>
        <v>0</v>
      </c>
      <c r="X39" s="240">
        <f>0</f>
        <v>0</v>
      </c>
      <c r="Y39" s="2618">
        <f>0</f>
        <v>0</v>
      </c>
      <c r="Z39" s="2618">
        <f>0</f>
        <v>0</v>
      </c>
      <c r="AA39" s="2618">
        <f>0</f>
        <v>0</v>
      </c>
      <c r="AB39" s="2618">
        <f>0</f>
        <v>0</v>
      </c>
      <c r="AC39" s="2618">
        <f>0</f>
        <v>0</v>
      </c>
      <c r="AD39" s="2618">
        <f>0</f>
        <v>0</v>
      </c>
      <c r="AE39" s="240">
        <f>0</f>
        <v>0</v>
      </c>
      <c r="AF39" s="241"/>
      <c r="AG39" s="239" t="s">
        <v>844</v>
      </c>
      <c r="AH39" s="241"/>
      <c r="AI39" s="245" t="s">
        <v>11</v>
      </c>
      <c r="AJ39" s="299"/>
    </row>
    <row r="40" spans="2:38" ht="15.75" x14ac:dyDescent="0.45">
      <c r="B40" s="298" t="s">
        <v>1104</v>
      </c>
      <c r="C40" s="240" t="s">
        <v>1106</v>
      </c>
      <c r="D40" s="240">
        <f>0</f>
        <v>0</v>
      </c>
      <c r="E40" s="240">
        <f>0</f>
        <v>0</v>
      </c>
      <c r="F40" s="240">
        <f>0</f>
        <v>0</v>
      </c>
      <c r="G40" s="240">
        <f>0</f>
        <v>0</v>
      </c>
      <c r="H40" s="240">
        <f>0</f>
        <v>0</v>
      </c>
      <c r="I40" s="240">
        <f>0</f>
        <v>0</v>
      </c>
      <c r="J40" s="240">
        <f>0</f>
        <v>0</v>
      </c>
      <c r="K40" s="240">
        <f>0</f>
        <v>0</v>
      </c>
      <c r="L40" s="240">
        <f>0</f>
        <v>0</v>
      </c>
      <c r="M40" s="240">
        <f>0</f>
        <v>0</v>
      </c>
      <c r="N40" s="239">
        <f>0</f>
        <v>0</v>
      </c>
      <c r="O40" s="240">
        <f>0</f>
        <v>0</v>
      </c>
      <c r="P40" s="240">
        <f>0</f>
        <v>0</v>
      </c>
      <c r="Q40" s="240">
        <f>0</f>
        <v>0</v>
      </c>
      <c r="R40" s="240">
        <f>0</f>
        <v>0</v>
      </c>
      <c r="S40" s="240">
        <f>0</f>
        <v>0</v>
      </c>
      <c r="T40" s="240">
        <f>0</f>
        <v>0</v>
      </c>
      <c r="U40" s="240">
        <f>0</f>
        <v>0</v>
      </c>
      <c r="V40" s="240">
        <f>0</f>
        <v>0</v>
      </c>
      <c r="W40" s="240">
        <f>S_K/(A_MK*1000)</f>
        <v>3.8364839391994023E-4</v>
      </c>
      <c r="X40" s="240">
        <f>0</f>
        <v>0</v>
      </c>
      <c r="Y40" s="2618">
        <f>0</f>
        <v>0</v>
      </c>
      <c r="Z40" s="2618">
        <f>0</f>
        <v>0</v>
      </c>
      <c r="AA40" s="2618">
        <f>0</f>
        <v>0</v>
      </c>
      <c r="AB40" s="2618">
        <f>0</f>
        <v>0</v>
      </c>
      <c r="AC40" s="2618">
        <f>0</f>
        <v>0</v>
      </c>
      <c r="AD40" s="2618">
        <f>0</f>
        <v>0</v>
      </c>
      <c r="AE40" s="240">
        <f>0</f>
        <v>0</v>
      </c>
      <c r="AF40" s="241"/>
      <c r="AG40" s="239" t="s">
        <v>844</v>
      </c>
      <c r="AH40" s="241"/>
      <c r="AI40" s="245" t="s">
        <v>11</v>
      </c>
      <c r="AJ40" s="299"/>
    </row>
    <row r="41" spans="2:38" ht="15.75" x14ac:dyDescent="0.45">
      <c r="B41" s="298" t="s">
        <v>434</v>
      </c>
      <c r="C41" s="240" t="s">
        <v>313</v>
      </c>
      <c r="D41" s="240">
        <f>0</f>
        <v>0</v>
      </c>
      <c r="E41" s="240">
        <f>0</f>
        <v>0</v>
      </c>
      <c r="F41" s="240">
        <f>0</f>
        <v>0</v>
      </c>
      <c r="G41" s="240">
        <f>0</f>
        <v>0</v>
      </c>
      <c r="H41" s="240">
        <f>0</f>
        <v>0</v>
      </c>
      <c r="I41" s="240">
        <f>0</f>
        <v>0</v>
      </c>
      <c r="J41" s="240">
        <f>0</f>
        <v>0</v>
      </c>
      <c r="K41" s="240">
        <f>0</f>
        <v>0</v>
      </c>
      <c r="L41" s="240">
        <f>0</f>
        <v>0</v>
      </c>
      <c r="M41" s="240">
        <f>0</f>
        <v>0</v>
      </c>
      <c r="N41" s="240">
        <f>0</f>
        <v>0</v>
      </c>
      <c r="O41" s="240">
        <f>0</f>
        <v>0</v>
      </c>
      <c r="P41" s="240">
        <f>0</f>
        <v>0</v>
      </c>
      <c r="Q41" s="240">
        <f>0</f>
        <v>0</v>
      </c>
      <c r="R41" s="240">
        <f>0</f>
        <v>0</v>
      </c>
      <c r="S41" s="240">
        <f>0</f>
        <v>0</v>
      </c>
      <c r="T41" s="240">
        <f>0</f>
        <v>0</v>
      </c>
      <c r="U41" s="240">
        <f>0</f>
        <v>0</v>
      </c>
      <c r="V41" s="240">
        <f>0</f>
        <v>0</v>
      </c>
      <c r="W41" s="242">
        <f>0</f>
        <v>0</v>
      </c>
      <c r="X41" s="240">
        <f>S_AN/(A_MCl*1000)</f>
        <v>4.2309536569542774E-3</v>
      </c>
      <c r="Y41" s="2618">
        <f>0</f>
        <v>0</v>
      </c>
      <c r="Z41" s="2618">
        <f>0</f>
        <v>0</v>
      </c>
      <c r="AA41" s="2618">
        <f>0</f>
        <v>0</v>
      </c>
      <c r="AB41" s="2618">
        <f>0</f>
        <v>0</v>
      </c>
      <c r="AC41" s="2618">
        <f>0</f>
        <v>0</v>
      </c>
      <c r="AD41" s="2618">
        <f>0</f>
        <v>0</v>
      </c>
      <c r="AE41" s="240">
        <f>0</f>
        <v>0</v>
      </c>
      <c r="AF41" s="241"/>
      <c r="AG41" s="239" t="s">
        <v>844</v>
      </c>
      <c r="AH41" s="241"/>
      <c r="AI41" s="245" t="s">
        <v>11</v>
      </c>
      <c r="AJ41" s="299"/>
    </row>
    <row r="42" spans="2:38" ht="15.75" x14ac:dyDescent="0.45">
      <c r="B42" s="2625" t="s">
        <v>5517</v>
      </c>
      <c r="C42" s="2618" t="s">
        <v>5518</v>
      </c>
      <c r="D42" s="2622">
        <f>0</f>
        <v>0</v>
      </c>
      <c r="E42" s="2622">
        <f>0</f>
        <v>0</v>
      </c>
      <c r="F42" s="2622">
        <f>0</f>
        <v>0</v>
      </c>
      <c r="G42" s="2622">
        <f>0</f>
        <v>0</v>
      </c>
      <c r="H42" s="2622">
        <f>0</f>
        <v>0</v>
      </c>
      <c r="I42" s="2622">
        <f>0</f>
        <v>0</v>
      </c>
      <c r="J42" s="2622">
        <f>0</f>
        <v>0</v>
      </c>
      <c r="K42" s="2622">
        <f>0</f>
        <v>0</v>
      </c>
      <c r="L42" s="2622">
        <f>0</f>
        <v>0</v>
      </c>
      <c r="M42" s="2622">
        <f>0</f>
        <v>0</v>
      </c>
      <c r="N42" s="2622">
        <f>0</f>
        <v>0</v>
      </c>
      <c r="O42" s="2622">
        <f>0</f>
        <v>0</v>
      </c>
      <c r="P42" s="2622">
        <f>0</f>
        <v>0</v>
      </c>
      <c r="Q42" s="2622">
        <f>0</f>
        <v>0</v>
      </c>
      <c r="R42" s="2622">
        <f>0</f>
        <v>0</v>
      </c>
      <c r="S42" s="2622">
        <f>0</f>
        <v>0</v>
      </c>
      <c r="T42" s="2622">
        <f>0</f>
        <v>0</v>
      </c>
      <c r="U42" s="2622">
        <f>0</f>
        <v>0</v>
      </c>
      <c r="V42" s="2622">
        <f>0</f>
        <v>0</v>
      </c>
      <c r="W42" s="2623">
        <f>0</f>
        <v>0</v>
      </c>
      <c r="X42" s="2622">
        <f>0</f>
        <v>0</v>
      </c>
      <c r="Y42" s="2618">
        <f>(conc_Hp_I^2*S_SO4/(A_MS*1000))/(conc_Hp_I^2+conc_Hp_I*K_SO41+K_SO41*K_SO42)</f>
        <v>9.6716118330503636E-20</v>
      </c>
      <c r="Z42" s="2618">
        <f>(conc_Hp_I*K_SO41*S_SO4/(A_MS*1000))/(conc_Hp_I^2+conc_Hp_I*K_SO41+K_SO41*K_SO42)</f>
        <v>1.6916522478371662E-9</v>
      </c>
      <c r="AA42" s="2618">
        <f>(K_SO41*K_SO42*S_SO4/(A_MS*1000))/(conc_Hp_I^2+conc_Hp_I*K_SO41+K_SO41*K_SO42)</f>
        <v>5.3017139426697862E-4</v>
      </c>
      <c r="AB42" s="2618">
        <f>0</f>
        <v>0</v>
      </c>
      <c r="AC42" s="2618">
        <f>0</f>
        <v>0</v>
      </c>
      <c r="AD42" s="2618">
        <f>0</f>
        <v>0</v>
      </c>
      <c r="AE42" s="2618">
        <f>0</f>
        <v>0</v>
      </c>
      <c r="AF42" s="2626"/>
      <c r="AG42" s="2627" t="s">
        <v>844</v>
      </c>
      <c r="AH42" s="2626"/>
      <c r="AI42" s="2628" t="s">
        <v>11</v>
      </c>
      <c r="AJ42" s="2624"/>
    </row>
    <row r="43" spans="2:38" ht="15.75" x14ac:dyDescent="0.45">
      <c r="B43" s="2625" t="s">
        <v>5522</v>
      </c>
      <c r="C43" s="2618" t="s">
        <v>5523</v>
      </c>
      <c r="D43" s="2622">
        <f>0</f>
        <v>0</v>
      </c>
      <c r="E43" s="2622">
        <f>0</f>
        <v>0</v>
      </c>
      <c r="F43" s="2622">
        <f>0</f>
        <v>0</v>
      </c>
      <c r="G43" s="2622">
        <f>0</f>
        <v>0</v>
      </c>
      <c r="H43" s="2622">
        <f>0</f>
        <v>0</v>
      </c>
      <c r="I43" s="2622">
        <f>0</f>
        <v>0</v>
      </c>
      <c r="J43" s="2622">
        <f>0</f>
        <v>0</v>
      </c>
      <c r="K43" s="2622">
        <f>0</f>
        <v>0</v>
      </c>
      <c r="L43" s="2622">
        <f>0</f>
        <v>0</v>
      </c>
      <c r="M43" s="2622">
        <f>0</f>
        <v>0</v>
      </c>
      <c r="N43" s="2622">
        <f>0</f>
        <v>0</v>
      </c>
      <c r="O43" s="2622">
        <f>0</f>
        <v>0</v>
      </c>
      <c r="P43" s="2622">
        <f>0</f>
        <v>0</v>
      </c>
      <c r="Q43" s="2622">
        <f>0</f>
        <v>0</v>
      </c>
      <c r="R43" s="2622">
        <f>0</f>
        <v>0</v>
      </c>
      <c r="S43" s="2622">
        <f>0</f>
        <v>0</v>
      </c>
      <c r="T43" s="2622">
        <f>0</f>
        <v>0</v>
      </c>
      <c r="U43" s="2622">
        <f>0</f>
        <v>0</v>
      </c>
      <c r="V43" s="2622">
        <f>0</f>
        <v>0</v>
      </c>
      <c r="W43" s="2623">
        <f>0</f>
        <v>0</v>
      </c>
      <c r="X43" s="2622">
        <f>0</f>
        <v>0</v>
      </c>
      <c r="Y43" s="2618">
        <f>0</f>
        <v>0</v>
      </c>
      <c r="Z43" s="2618">
        <f>0</f>
        <v>0</v>
      </c>
      <c r="AA43" s="2618">
        <f>0</f>
        <v>0</v>
      </c>
      <c r="AB43" s="2618">
        <f>(conc_Hp_I^2*S_H2S/(A_MS*1000))/(conc_Hp_I^2+conc_Hp_I*K_S1+K_S1*K_S2)</f>
        <v>1.1678783197941045E-7</v>
      </c>
      <c r="AC43" s="2618">
        <f>(conc_Hp_I*K_S1*S_H2S/(A_MS*1000))/(conc_Hp_I^2+conc_Hp_I*K_S1+K_S1*K_S2)</f>
        <v>1.9507868913130017E-7</v>
      </c>
      <c r="AD43" s="2618">
        <f>(K_S1*K_S2*S_H2S/(A_MS*1000))/(conc_Hp_I^2+conc_Hp_I*K_S1+K_S1*K_S2)</f>
        <v>1.8246179054647554E-17</v>
      </c>
      <c r="AE43" s="2618">
        <f>0</f>
        <v>0</v>
      </c>
      <c r="AF43" s="2626"/>
      <c r="AG43" s="2627" t="s">
        <v>844</v>
      </c>
      <c r="AH43" s="2626"/>
      <c r="AI43" s="2628" t="s">
        <v>11</v>
      </c>
      <c r="AJ43" s="2624"/>
    </row>
    <row r="44" spans="2:38" ht="16.149999999999999" thickBot="1" x14ac:dyDescent="0.5">
      <c r="B44" s="248" t="s">
        <v>1107</v>
      </c>
      <c r="C44" s="249" t="s">
        <v>2015</v>
      </c>
      <c r="D44" s="249">
        <f>0</f>
        <v>0</v>
      </c>
      <c r="E44" s="249">
        <f>0</f>
        <v>0</v>
      </c>
      <c r="F44" s="249">
        <f>0</f>
        <v>0</v>
      </c>
      <c r="G44" s="249">
        <f>0</f>
        <v>0</v>
      </c>
      <c r="H44" s="249">
        <f>0</f>
        <v>0</v>
      </c>
      <c r="I44" s="249">
        <f>0</f>
        <v>0</v>
      </c>
      <c r="J44" s="249">
        <f>0</f>
        <v>0</v>
      </c>
      <c r="K44" s="249">
        <f>0</f>
        <v>0</v>
      </c>
      <c r="L44" s="249">
        <f>0</f>
        <v>0</v>
      </c>
      <c r="M44" s="249">
        <f>0</f>
        <v>0</v>
      </c>
      <c r="N44" s="249">
        <f>0</f>
        <v>0</v>
      </c>
      <c r="O44" s="249">
        <f>0</f>
        <v>0</v>
      </c>
      <c r="P44" s="249">
        <f>0</f>
        <v>0</v>
      </c>
      <c r="Q44" s="249">
        <f>0</f>
        <v>0</v>
      </c>
      <c r="R44" s="249">
        <f>0</f>
        <v>0</v>
      </c>
      <c r="S44" s="249">
        <f>0</f>
        <v>0</v>
      </c>
      <c r="T44" s="249">
        <f>0</f>
        <v>0</v>
      </c>
      <c r="U44" s="249">
        <f>0</f>
        <v>0</v>
      </c>
      <c r="V44" s="249">
        <f>0</f>
        <v>0</v>
      </c>
      <c r="W44" s="249">
        <f>0</f>
        <v>0</v>
      </c>
      <c r="X44" s="249">
        <f>0</f>
        <v>0</v>
      </c>
      <c r="Y44" s="2619">
        <f>0</f>
        <v>0</v>
      </c>
      <c r="Z44" s="2619">
        <f>0</f>
        <v>0</v>
      </c>
      <c r="AA44" s="2619">
        <f>0</f>
        <v>0</v>
      </c>
      <c r="AB44" s="2619">
        <f>0</f>
        <v>0</v>
      </c>
      <c r="AC44" s="2619">
        <f>0</f>
        <v>0</v>
      </c>
      <c r="AD44" s="2619">
        <f>0</f>
        <v>0</v>
      </c>
      <c r="AE44" s="249">
        <f>S_Fe2/(A_MFe*1000)</f>
        <v>1.7906706061420003E-55</v>
      </c>
      <c r="AF44" s="250"/>
      <c r="AG44" s="300" t="s">
        <v>844</v>
      </c>
      <c r="AH44" s="250"/>
      <c r="AI44" s="301" t="s">
        <v>11</v>
      </c>
      <c r="AJ44" s="251"/>
    </row>
    <row r="46" spans="2:38" ht="14.65" thickBot="1" x14ac:dyDescent="0.5"/>
    <row r="47" spans="2:38" ht="14.65" thickBot="1" x14ac:dyDescent="0.5">
      <c r="B47" s="3"/>
      <c r="C47" s="145" t="s">
        <v>393</v>
      </c>
      <c r="D47" s="141" t="s">
        <v>1221</v>
      </c>
      <c r="E47" s="285"/>
      <c r="F47" s="285"/>
      <c r="G47" s="285"/>
      <c r="H47" s="285"/>
      <c r="I47" s="285"/>
      <c r="J47" s="285"/>
      <c r="K47" s="285"/>
      <c r="L47" s="285"/>
      <c r="M47" s="285"/>
      <c r="N47" s="285"/>
      <c r="O47" s="285"/>
      <c r="P47" s="285"/>
      <c r="Q47" s="285"/>
      <c r="R47" s="285"/>
      <c r="S47" s="285"/>
      <c r="T47" s="285"/>
      <c r="U47" s="285"/>
      <c r="V47" s="285"/>
      <c r="W47" s="286"/>
      <c r="X47" s="286"/>
      <c r="Y47" s="286"/>
      <c r="Z47" s="286"/>
      <c r="AA47" s="286"/>
      <c r="AB47" s="286"/>
      <c r="AC47" s="286"/>
      <c r="AD47" s="286"/>
      <c r="AE47" s="286"/>
    </row>
    <row r="48" spans="2:38" ht="16.149999999999999" thickBot="1" x14ac:dyDescent="0.5">
      <c r="B48" s="295"/>
      <c r="C48" s="290" t="s">
        <v>1</v>
      </c>
      <c r="D48" s="518" t="s">
        <v>396</v>
      </c>
      <c r="E48" s="518" t="s">
        <v>398</v>
      </c>
      <c r="F48" s="518" t="s">
        <v>400</v>
      </c>
      <c r="G48" s="518" t="s">
        <v>402</v>
      </c>
      <c r="H48" s="519" t="s">
        <v>2259</v>
      </c>
      <c r="I48" s="519" t="s">
        <v>2261</v>
      </c>
      <c r="J48" s="518" t="s">
        <v>423</v>
      </c>
      <c r="K48" s="518" t="s">
        <v>404</v>
      </c>
      <c r="L48" s="518" t="s">
        <v>406</v>
      </c>
      <c r="M48" s="518" t="s">
        <v>408</v>
      </c>
      <c r="N48" s="518" t="s">
        <v>410</v>
      </c>
      <c r="O48" s="518" t="s">
        <v>412</v>
      </c>
      <c r="P48" s="518" t="s">
        <v>414</v>
      </c>
      <c r="Q48" s="518" t="s">
        <v>416</v>
      </c>
      <c r="R48" s="518" t="s">
        <v>418</v>
      </c>
      <c r="S48" s="518" t="s">
        <v>420</v>
      </c>
      <c r="T48" s="518" t="s">
        <v>995</v>
      </c>
      <c r="U48" s="518" t="s">
        <v>996</v>
      </c>
      <c r="V48" s="518" t="s">
        <v>1254</v>
      </c>
      <c r="W48" s="520" t="s">
        <v>1054</v>
      </c>
      <c r="X48" s="520" t="s">
        <v>1253</v>
      </c>
      <c r="Y48" s="2617" t="s">
        <v>5516</v>
      </c>
      <c r="Z48" s="2617" t="s">
        <v>5355</v>
      </c>
      <c r="AA48" s="2617" t="s">
        <v>5357</v>
      </c>
      <c r="AB48" s="2617" t="s">
        <v>5359</v>
      </c>
      <c r="AC48" s="2617" t="s">
        <v>5362</v>
      </c>
      <c r="AD48" s="2621" t="s">
        <v>5364</v>
      </c>
      <c r="AE48" s="520" t="s">
        <v>1056</v>
      </c>
      <c r="AF48" s="296" t="s">
        <v>152</v>
      </c>
      <c r="AG48" s="296" t="s">
        <v>2</v>
      </c>
      <c r="AH48" s="296" t="s">
        <v>300</v>
      </c>
      <c r="AI48" s="296" t="s">
        <v>116</v>
      </c>
      <c r="AJ48" s="297" t="s">
        <v>117</v>
      </c>
      <c r="AK48" s="8"/>
      <c r="AL48" s="8"/>
    </row>
    <row r="49" spans="2:36" ht="15.75" x14ac:dyDescent="0.45">
      <c r="B49" s="302" t="s">
        <v>389</v>
      </c>
      <c r="C49" s="303" t="s">
        <v>318</v>
      </c>
      <c r="D49" s="303">
        <f>(1)*conc_Hp_I</f>
        <v>6.3095734448019177E-8</v>
      </c>
      <c r="E49" s="303">
        <f>(-1)*conc_OHm_I</f>
        <v>-1.384875770636308E-7</v>
      </c>
      <c r="F49" s="303">
        <f>(0)*conc_NH3_I</f>
        <v>0</v>
      </c>
      <c r="G49" s="303">
        <f>(1)*conc_NH4p_I</f>
        <v>7.0948723109100212E-5</v>
      </c>
      <c r="H49" s="349">
        <f>(0)*conc_HNO2_I</f>
        <v>0</v>
      </c>
      <c r="I49" s="349">
        <f>(-1)*conc_NO2m_I</f>
        <v>-7.1385803989688371E-6</v>
      </c>
      <c r="J49" s="303">
        <f>(-1)*conc_NO3m_I</f>
        <v>-3.5697202053303062E-4</v>
      </c>
      <c r="K49" s="303">
        <f>(0)*conc_H2CO3_I</f>
        <v>0</v>
      </c>
      <c r="L49" s="303">
        <f>(-1)*conc_HCO3m_I</f>
        <v>-5.5062302620906018E-3</v>
      </c>
      <c r="M49" s="303">
        <f>(-2)*conc_CO32m_I</f>
        <v>-1.2267207602456279E-5</v>
      </c>
      <c r="N49" s="303">
        <f>(0)*conc_H3PO4_I</f>
        <v>0</v>
      </c>
      <c r="O49" s="303">
        <f>(-1)*conc_H2PO4m_I</f>
        <v>-6.1647215595877176E-6</v>
      </c>
      <c r="P49" s="303">
        <f>(-2)*conc_HPO42m_I</f>
        <v>-1.9955607245567521E-5</v>
      </c>
      <c r="Q49" s="303">
        <f>(-3)*conc_PO43m_I</f>
        <v>-3.8878869829771096E-10</v>
      </c>
      <c r="R49" s="303">
        <f>(0)*conc_HAc_I</f>
        <v>0</v>
      </c>
      <c r="S49" s="303">
        <f>(-1)*conc_Acm_I</f>
        <v>-1.5582248850509766E-7</v>
      </c>
      <c r="T49" s="303">
        <f>(2)*conc_Ca2p_I</f>
        <v>7.4854034632466692E-3</v>
      </c>
      <c r="U49" s="303">
        <f>(2)*conc_Mg2p_I</f>
        <v>1.2343139271754782E-3</v>
      </c>
      <c r="V49" s="303">
        <f>(1)*conc_CATp_I</f>
        <v>1.5224163409384409E-3</v>
      </c>
      <c r="W49" s="303">
        <f>(1)*conc_Kp_I</f>
        <v>3.8364839391994023E-4</v>
      </c>
      <c r="X49" s="303">
        <f>(-1)*conc_ANm_I</f>
        <v>-4.2309536569542774E-3</v>
      </c>
      <c r="Y49" s="2620">
        <f>(0)*conc_H2SO4_I</f>
        <v>0</v>
      </c>
      <c r="Z49" s="2620">
        <f>(0)*conc_HSO4m_I</f>
        <v>0</v>
      </c>
      <c r="AA49" s="2620">
        <f>(0)*conc_SO42m_I</f>
        <v>0</v>
      </c>
      <c r="AB49" s="2620">
        <f>(0)*conc_H2S_I</f>
        <v>0</v>
      </c>
      <c r="AC49" s="2620">
        <f>(0)*conc_HSm_I</f>
        <v>0</v>
      </c>
      <c r="AD49" s="2620">
        <f>(0)*conc_S2m_I</f>
        <v>0</v>
      </c>
      <c r="AE49" s="303">
        <f>(2)*conc_Fe2p_I</f>
        <v>3.5813412122840006E-55</v>
      </c>
      <c r="AF49" s="304" t="e">
        <f>SUM(pH!#REF!)</f>
        <v>#REF!</v>
      </c>
      <c r="AG49" s="304" t="s">
        <v>844</v>
      </c>
      <c r="AH49" s="304"/>
      <c r="AI49" s="304" t="s">
        <v>11</v>
      </c>
      <c r="AJ49" s="305"/>
    </row>
    <row r="50" spans="2:36" ht="16.149999999999999" thickBot="1" x14ac:dyDescent="0.5">
      <c r="B50" s="248" t="s">
        <v>845</v>
      </c>
      <c r="C50" s="249" t="s">
        <v>379</v>
      </c>
      <c r="D50" s="249">
        <f>(f_mono_IS_cat)*conc_Hp_I</f>
        <v>3.1547867224009589E-8</v>
      </c>
      <c r="E50" s="249">
        <f>(f_mono_IS_an)*conc_OHm_I</f>
        <v>6.92437885318154E-8</v>
      </c>
      <c r="F50" s="249">
        <f>(0)*conc_NH3_I</f>
        <v>0</v>
      </c>
      <c r="G50" s="249">
        <f>(f_mono_IS_cat)*conc_NH4p_I</f>
        <v>3.5474361554550106E-5</v>
      </c>
      <c r="H50" s="249">
        <f>(0)*conc_HNO2_I</f>
        <v>0</v>
      </c>
      <c r="I50" s="249">
        <f>(f_mono_IS_an)*conc_NO2m_I</f>
        <v>3.5692901994844186E-6</v>
      </c>
      <c r="J50" s="249">
        <f>(f_mono_IS_an)*conc_NO3m_I</f>
        <v>1.7848601026651531E-4</v>
      </c>
      <c r="K50" s="249">
        <f>(0)*conc_H2CO3_I</f>
        <v>0</v>
      </c>
      <c r="L50" s="249">
        <f>(f_mono_IS_an)*conc_HCO3m_I</f>
        <v>2.7531151310453009E-3</v>
      </c>
      <c r="M50" s="249">
        <f>(f_di_IS_an)*conc_CO32m_I</f>
        <v>1.2267207602456279E-5</v>
      </c>
      <c r="N50" s="249">
        <f>(0)*conc_H3PO4_I</f>
        <v>0</v>
      </c>
      <c r="O50" s="249">
        <f>(f_mono_IS_an)*conc_H2PO4m_I</f>
        <v>3.0823607797938588E-6</v>
      </c>
      <c r="P50" s="249">
        <f>(f_di_IS_an)*conc_HPO42m_I</f>
        <v>1.9955607245567521E-5</v>
      </c>
      <c r="Q50" s="249">
        <f>(f_tri_IS_an)*conc_PO43m_I</f>
        <v>5.8318304744656643E-10</v>
      </c>
      <c r="R50" s="249">
        <f>(0)*conc_HAc_I</f>
        <v>0</v>
      </c>
      <c r="S50" s="249">
        <f>(f_mono_IS_an)*conc_Acm_I</f>
        <v>7.7911244252548829E-8</v>
      </c>
      <c r="T50" s="249">
        <f>(f_di_IS_cat)*conc_Ca2p_I</f>
        <v>7.4854034632466692E-3</v>
      </c>
      <c r="U50" s="249">
        <f>(f_di_IS_cat)*conc_Mg2p_I</f>
        <v>1.2343139271754782E-3</v>
      </c>
      <c r="V50" s="249">
        <f>(f_mono_IS_cat)*conc_CATp_I</f>
        <v>7.6120817046922043E-4</v>
      </c>
      <c r="W50" s="249">
        <f>(f_mono_IS_cat)*conc_Kp_I</f>
        <v>1.9182419695997011E-4</v>
      </c>
      <c r="X50" s="249">
        <f>(f_mono_IS_an)*conc_ANm_I</f>
        <v>2.1154768284771387E-3</v>
      </c>
      <c r="Y50" s="2619">
        <f>(0)*conc_H2SO4_I</f>
        <v>0</v>
      </c>
      <c r="Z50" s="2619">
        <f>(0)*conc_HSO4m_I</f>
        <v>0</v>
      </c>
      <c r="AA50" s="2619">
        <f>(0)*conc_SO42m_I</f>
        <v>0</v>
      </c>
      <c r="AB50" s="2619">
        <f>(0)*conc_H2S_I</f>
        <v>0</v>
      </c>
      <c r="AC50" s="2619">
        <f>(0)*conc_HSm_I</f>
        <v>0</v>
      </c>
      <c r="AD50" s="2619">
        <f>(0)*conc_S2m_I</f>
        <v>0</v>
      </c>
      <c r="AE50" s="249">
        <f>(f_di_IS_cat)*conc_Fe2p_I</f>
        <v>3.5813412122840006E-55</v>
      </c>
      <c r="AF50" s="250" t="e">
        <f>SUM(pH!#REF!)</f>
        <v>#REF!</v>
      </c>
      <c r="AG50" s="250" t="s">
        <v>844</v>
      </c>
      <c r="AH50" s="250"/>
      <c r="AI50" s="301" t="s">
        <v>11</v>
      </c>
      <c r="AJ50" s="251"/>
    </row>
  </sheetData>
  <phoneticPr fontId="3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unka23"/>
  <dimension ref="B1:H31"/>
  <sheetViews>
    <sheetView showGridLines="0" topLeftCell="A22" zoomScale="85" zoomScaleNormal="85" workbookViewId="0">
      <selection activeCell="B31" sqref="B31:D31"/>
    </sheetView>
  </sheetViews>
  <sheetFormatPr defaultColWidth="9.1328125" defaultRowHeight="14.25" x14ac:dyDescent="0.45"/>
  <cols>
    <col min="3" max="3" width="24.86328125" bestFit="1" customWidth="1"/>
    <col min="4" max="4" width="12" bestFit="1" customWidth="1"/>
    <col min="6" max="6" width="12" customWidth="1"/>
    <col min="7" max="7" width="14.86328125" style="163" customWidth="1"/>
    <col min="8" max="8" width="20.86328125" customWidth="1"/>
  </cols>
  <sheetData>
    <row r="1" spans="2:8" s="47" customFormat="1" ht="48" customHeight="1" thickBot="1" x14ac:dyDescent="0.5">
      <c r="G1" s="161"/>
    </row>
    <row r="2" spans="2:8" ht="14.65" thickBot="1" x14ac:dyDescent="0.5">
      <c r="B2" s="114"/>
      <c r="C2" s="129" t="s">
        <v>395</v>
      </c>
      <c r="D2" s="114"/>
      <c r="E2" s="114"/>
      <c r="F2" s="114"/>
      <c r="G2" s="162"/>
      <c r="H2" s="128"/>
    </row>
    <row r="3" spans="2:8" ht="14.65" thickBot="1" x14ac:dyDescent="0.5">
      <c r="B3" s="287" t="s">
        <v>0</v>
      </c>
      <c r="C3" s="288" t="s">
        <v>1</v>
      </c>
      <c r="D3" s="142" t="s">
        <v>152</v>
      </c>
      <c r="E3" s="288" t="s">
        <v>2</v>
      </c>
      <c r="F3" s="288" t="s">
        <v>300</v>
      </c>
      <c r="G3" s="288" t="s">
        <v>116</v>
      </c>
      <c r="H3" s="289" t="s">
        <v>117</v>
      </c>
    </row>
    <row r="4" spans="2:8" ht="15.75" x14ac:dyDescent="0.45">
      <c r="B4" s="164" t="s">
        <v>396</v>
      </c>
      <c r="C4" s="91" t="s">
        <v>397</v>
      </c>
      <c r="D4" s="84">
        <f>SUM(pH!D30:D44)</f>
        <v>6.3095734448019177E-8</v>
      </c>
      <c r="E4" s="94" t="s">
        <v>384</v>
      </c>
      <c r="F4" s="88">
        <v>2</v>
      </c>
      <c r="G4" s="88" t="s">
        <v>11</v>
      </c>
      <c r="H4" s="92"/>
    </row>
    <row r="5" spans="2:8" ht="15.75" x14ac:dyDescent="0.45">
      <c r="B5" s="93" t="s">
        <v>398</v>
      </c>
      <c r="C5" s="82" t="s">
        <v>399</v>
      </c>
      <c r="D5" s="94">
        <f>SUM(pH!E30:E44)</f>
        <v>1.384875770636308E-7</v>
      </c>
      <c r="E5" s="94" t="s">
        <v>384</v>
      </c>
      <c r="F5" s="94">
        <v>2</v>
      </c>
      <c r="G5" s="94" t="s">
        <v>11</v>
      </c>
      <c r="H5" s="95"/>
    </row>
    <row r="6" spans="2:8" ht="15.75" x14ac:dyDescent="0.45">
      <c r="B6" s="93" t="s">
        <v>400</v>
      </c>
      <c r="C6" s="82" t="s">
        <v>401</v>
      </c>
      <c r="D6" s="94">
        <f>SUM(pH!F30:F44)</f>
        <v>4.456809975059031E-7</v>
      </c>
      <c r="E6" s="94" t="s">
        <v>384</v>
      </c>
      <c r="F6" s="94">
        <v>2</v>
      </c>
      <c r="G6" s="94" t="s">
        <v>1250</v>
      </c>
      <c r="H6" s="95"/>
    </row>
    <row r="7" spans="2:8" ht="15.75" x14ac:dyDescent="0.45">
      <c r="B7" s="93" t="s">
        <v>402</v>
      </c>
      <c r="C7" s="82" t="s">
        <v>403</v>
      </c>
      <c r="D7" s="94">
        <f>SUM(pH!G30:G44)</f>
        <v>7.0948723109100212E-5</v>
      </c>
      <c r="E7" s="94" t="s">
        <v>384</v>
      </c>
      <c r="F7" s="94">
        <v>2</v>
      </c>
      <c r="G7" s="94" t="s">
        <v>1250</v>
      </c>
      <c r="H7" s="95"/>
    </row>
    <row r="8" spans="2:8" ht="15.75" x14ac:dyDescent="0.45">
      <c r="B8" s="93" t="s">
        <v>2259</v>
      </c>
      <c r="C8" s="85" t="s">
        <v>2260</v>
      </c>
      <c r="D8" s="94">
        <f>SUM(pH!H30:H44)</f>
        <v>8.600116917741957E-10</v>
      </c>
      <c r="E8" s="94" t="s">
        <v>384</v>
      </c>
      <c r="F8" s="94">
        <v>2</v>
      </c>
      <c r="G8" s="94" t="s">
        <v>11</v>
      </c>
      <c r="H8" s="95"/>
    </row>
    <row r="9" spans="2:8" ht="15.75" x14ac:dyDescent="0.45">
      <c r="B9" s="93" t="s">
        <v>2261</v>
      </c>
      <c r="C9" s="82" t="s">
        <v>2262</v>
      </c>
      <c r="D9" s="94">
        <f>SUM(pH!I30:I44)</f>
        <v>7.1385803989688371E-6</v>
      </c>
      <c r="E9" s="94" t="s">
        <v>384</v>
      </c>
      <c r="F9" s="94">
        <v>2</v>
      </c>
      <c r="G9" s="94" t="s">
        <v>11</v>
      </c>
      <c r="H9" s="95"/>
    </row>
    <row r="10" spans="2:8" ht="15.75" x14ac:dyDescent="0.45">
      <c r="B10" s="93" t="s">
        <v>423</v>
      </c>
      <c r="C10" s="82" t="s">
        <v>422</v>
      </c>
      <c r="D10" s="85">
        <f>SUM(pH!J30:J44)</f>
        <v>3.5697202053303062E-4</v>
      </c>
      <c r="E10" s="94" t="s">
        <v>384</v>
      </c>
      <c r="F10" s="94">
        <v>2</v>
      </c>
      <c r="G10" s="94" t="s">
        <v>11</v>
      </c>
      <c r="H10" s="95"/>
    </row>
    <row r="11" spans="2:8" ht="15.75" x14ac:dyDescent="0.45">
      <c r="B11" s="93" t="s">
        <v>404</v>
      </c>
      <c r="C11" s="82" t="s">
        <v>405</v>
      </c>
      <c r="D11" s="94">
        <f>SUM(pH!K30:K44)</f>
        <v>6.4880908822408209E-4</v>
      </c>
      <c r="E11" s="94" t="s">
        <v>384</v>
      </c>
      <c r="F11" s="94">
        <v>2</v>
      </c>
      <c r="G11" s="94" t="s">
        <v>1223</v>
      </c>
      <c r="H11" s="95"/>
    </row>
    <row r="12" spans="2:8" ht="15.75" x14ac:dyDescent="0.45">
      <c r="B12" s="93" t="s">
        <v>406</v>
      </c>
      <c r="C12" s="82" t="s">
        <v>407</v>
      </c>
      <c r="D12" s="94">
        <f>SUM(pH!L30:L44)</f>
        <v>5.5062302620906018E-3</v>
      </c>
      <c r="E12" s="94" t="s">
        <v>384</v>
      </c>
      <c r="F12" s="94">
        <v>2</v>
      </c>
      <c r="G12" s="94" t="s">
        <v>1223</v>
      </c>
      <c r="H12" s="95"/>
    </row>
    <row r="13" spans="2:8" ht="15.75" x14ac:dyDescent="0.45">
      <c r="B13" s="93" t="s">
        <v>408</v>
      </c>
      <c r="C13" s="82" t="s">
        <v>409</v>
      </c>
      <c r="D13" s="94">
        <f>SUM(pH!M30:M44)</f>
        <v>6.1336038012281396E-6</v>
      </c>
      <c r="E13" s="94" t="s">
        <v>384</v>
      </c>
      <c r="F13" s="94">
        <v>2</v>
      </c>
      <c r="G13" s="94" t="s">
        <v>1223</v>
      </c>
      <c r="H13" s="95"/>
    </row>
    <row r="14" spans="2:8" ht="15.75" x14ac:dyDescent="0.45">
      <c r="B14" s="93" t="s">
        <v>410</v>
      </c>
      <c r="C14" s="82" t="s">
        <v>411</v>
      </c>
      <c r="D14" s="94">
        <f>SUM(pH!N30:N44)</f>
        <v>4.0344172931174842E-11</v>
      </c>
      <c r="E14" s="94" t="s">
        <v>384</v>
      </c>
      <c r="F14" s="94">
        <v>2</v>
      </c>
      <c r="G14" s="94" t="s">
        <v>1224</v>
      </c>
      <c r="H14" s="95"/>
    </row>
    <row r="15" spans="2:8" ht="15.75" x14ac:dyDescent="0.45">
      <c r="B15" s="93" t="s">
        <v>412</v>
      </c>
      <c r="C15" s="82" t="s">
        <v>413</v>
      </c>
      <c r="D15" s="94">
        <f>SUM(pH!O30:O44)</f>
        <v>6.1647215595877176E-6</v>
      </c>
      <c r="E15" s="94" t="s">
        <v>384</v>
      </c>
      <c r="F15" s="94">
        <v>2</v>
      </c>
      <c r="G15" s="94" t="s">
        <v>1224</v>
      </c>
      <c r="H15" s="95"/>
    </row>
    <row r="16" spans="2:8" ht="15.75" x14ac:dyDescent="0.45">
      <c r="B16" s="93" t="s">
        <v>414</v>
      </c>
      <c r="C16" s="82" t="s">
        <v>415</v>
      </c>
      <c r="D16" s="94">
        <f>SUM(pH!P30:P44)</f>
        <v>9.9778036227837607E-6</v>
      </c>
      <c r="E16" s="94" t="s">
        <v>384</v>
      </c>
      <c r="F16" s="94">
        <v>2</v>
      </c>
      <c r="G16" s="94" t="s">
        <v>1224</v>
      </c>
      <c r="H16" s="86"/>
    </row>
    <row r="17" spans="2:8" ht="15.75" x14ac:dyDescent="0.45">
      <c r="B17" s="93" t="s">
        <v>416</v>
      </c>
      <c r="C17" s="85" t="s">
        <v>417</v>
      </c>
      <c r="D17" s="85">
        <f>SUM(pH!Q30:Q44)</f>
        <v>1.2959623276590366E-10</v>
      </c>
      <c r="E17" s="94" t="s">
        <v>384</v>
      </c>
      <c r="F17" s="94">
        <v>2</v>
      </c>
      <c r="G17" s="94" t="s">
        <v>1224</v>
      </c>
      <c r="H17" s="86"/>
    </row>
    <row r="18" spans="2:8" ht="15.75" x14ac:dyDescent="0.55000000000000004">
      <c r="B18" s="96" t="s">
        <v>418</v>
      </c>
      <c r="C18" s="85" t="s">
        <v>419</v>
      </c>
      <c r="D18" s="85">
        <f>SUM(pH!R30:R44)</f>
        <v>4.3337108963713439E-10</v>
      </c>
      <c r="E18" s="94" t="s">
        <v>384</v>
      </c>
      <c r="F18" s="94">
        <v>2</v>
      </c>
      <c r="G18" s="100" t="s">
        <v>1613</v>
      </c>
      <c r="H18" s="86"/>
    </row>
    <row r="19" spans="2:8" ht="15.75" x14ac:dyDescent="0.55000000000000004">
      <c r="B19" s="96" t="s">
        <v>420</v>
      </c>
      <c r="C19" s="85" t="s">
        <v>421</v>
      </c>
      <c r="D19" s="85">
        <f>SUM(pH!S30:S44)</f>
        <v>1.5582248850509766E-7</v>
      </c>
      <c r="E19" s="94" t="s">
        <v>384</v>
      </c>
      <c r="F19" s="94">
        <v>2</v>
      </c>
      <c r="G19" s="100" t="s">
        <v>1613</v>
      </c>
      <c r="H19" s="86"/>
    </row>
    <row r="20" spans="2:8" ht="15.75" x14ac:dyDescent="0.45">
      <c r="B20" s="93" t="s">
        <v>995</v>
      </c>
      <c r="C20" s="85" t="s">
        <v>997</v>
      </c>
      <c r="D20" s="85">
        <f>SUM(pH!T30:T44)</f>
        <v>3.7427017316233346E-3</v>
      </c>
      <c r="E20" s="94" t="s">
        <v>384</v>
      </c>
      <c r="F20" s="94">
        <v>2</v>
      </c>
      <c r="G20" s="94" t="s">
        <v>1225</v>
      </c>
      <c r="H20" s="86"/>
    </row>
    <row r="21" spans="2:8" ht="15.75" x14ac:dyDescent="0.55000000000000004">
      <c r="B21" s="93" t="s">
        <v>996</v>
      </c>
      <c r="C21" s="85" t="s">
        <v>998</v>
      </c>
      <c r="D21" s="85">
        <f>SUM(pH!U30:U44)</f>
        <v>6.1715696358773911E-4</v>
      </c>
      <c r="E21" s="94" t="s">
        <v>384</v>
      </c>
      <c r="F21" s="94">
        <v>2</v>
      </c>
      <c r="G21" s="100" t="s">
        <v>1226</v>
      </c>
      <c r="H21" s="86"/>
    </row>
    <row r="22" spans="2:8" ht="15.75" x14ac:dyDescent="0.55000000000000004">
      <c r="B22" s="96" t="s">
        <v>1254</v>
      </c>
      <c r="C22" s="85" t="s">
        <v>1053</v>
      </c>
      <c r="D22" s="85">
        <f>SUM(pH!V30:V44)</f>
        <v>1.5224163409384409E-3</v>
      </c>
      <c r="E22" s="94" t="s">
        <v>384</v>
      </c>
      <c r="F22" s="94">
        <v>2</v>
      </c>
      <c r="G22" s="100" t="s">
        <v>1227</v>
      </c>
      <c r="H22" s="86"/>
    </row>
    <row r="23" spans="2:8" ht="15.75" x14ac:dyDescent="0.55000000000000004">
      <c r="B23" s="96" t="s">
        <v>1054</v>
      </c>
      <c r="C23" s="85" t="s">
        <v>1046</v>
      </c>
      <c r="D23" s="85">
        <f>SUM(pH!W30:W44)</f>
        <v>3.8364839391994023E-4</v>
      </c>
      <c r="E23" s="94" t="s">
        <v>384</v>
      </c>
      <c r="F23" s="94">
        <v>2</v>
      </c>
      <c r="G23" s="100" t="s">
        <v>1228</v>
      </c>
      <c r="H23" s="86"/>
    </row>
    <row r="24" spans="2:8" ht="15.75" x14ac:dyDescent="0.55000000000000004">
      <c r="B24" s="96" t="s">
        <v>1253</v>
      </c>
      <c r="C24" s="85" t="s">
        <v>1055</v>
      </c>
      <c r="D24" s="85">
        <f>SUM(pH!X30:X44)</f>
        <v>4.2309536569542774E-3</v>
      </c>
      <c r="E24" s="94" t="s">
        <v>384</v>
      </c>
      <c r="F24" s="94">
        <v>2</v>
      </c>
      <c r="G24" s="100" t="s">
        <v>1229</v>
      </c>
      <c r="H24" s="86"/>
    </row>
    <row r="25" spans="2:8" ht="15.75" x14ac:dyDescent="0.45">
      <c r="B25" s="2483" t="s">
        <v>5352</v>
      </c>
      <c r="C25" s="2484" t="s">
        <v>5353</v>
      </c>
      <c r="D25" s="2485">
        <f>SUM(pH!Y30:Y44)</f>
        <v>9.6716118330503636E-20</v>
      </c>
      <c r="E25" s="2481" t="s">
        <v>384</v>
      </c>
      <c r="F25" s="2481">
        <v>2</v>
      </c>
      <c r="G25" s="2486" t="s">
        <v>5354</v>
      </c>
      <c r="H25" s="2487"/>
    </row>
    <row r="26" spans="2:8" ht="16.5" x14ac:dyDescent="0.45">
      <c r="B26" s="2483" t="s">
        <v>5355</v>
      </c>
      <c r="C26" s="2484" t="s">
        <v>5356</v>
      </c>
      <c r="D26" s="2485">
        <f>SUM(pH!Z30:Z44)</f>
        <v>1.6916522478371662E-9</v>
      </c>
      <c r="E26" s="2481" t="s">
        <v>384</v>
      </c>
      <c r="F26" s="2481">
        <v>2</v>
      </c>
      <c r="G26" s="2486" t="s">
        <v>5354</v>
      </c>
      <c r="H26" s="2487"/>
    </row>
    <row r="27" spans="2:8" ht="16.5" x14ac:dyDescent="0.45">
      <c r="B27" s="2483" t="s">
        <v>5357</v>
      </c>
      <c r="C27" s="2484" t="s">
        <v>5358</v>
      </c>
      <c r="D27" s="2485">
        <f>SUM(pH!AA30:AA44)</f>
        <v>5.3017139426697862E-4</v>
      </c>
      <c r="E27" s="2481" t="s">
        <v>384</v>
      </c>
      <c r="F27" s="2481">
        <v>2</v>
      </c>
      <c r="G27" s="2486" t="s">
        <v>5354</v>
      </c>
      <c r="H27" s="2487"/>
    </row>
    <row r="28" spans="2:8" ht="15.75" x14ac:dyDescent="0.45">
      <c r="B28" s="2483" t="s">
        <v>5359</v>
      </c>
      <c r="C28" s="2484" t="s">
        <v>5360</v>
      </c>
      <c r="D28" s="2485">
        <f>SUM(pH!AB30:AB44)</f>
        <v>1.1678783197941045E-7</v>
      </c>
      <c r="E28" s="2481" t="s">
        <v>384</v>
      </c>
      <c r="F28" s="2481">
        <v>2</v>
      </c>
      <c r="G28" s="2486" t="s">
        <v>5361</v>
      </c>
      <c r="H28" s="2487"/>
    </row>
    <row r="29" spans="2:8" ht="15.75" x14ac:dyDescent="0.45">
      <c r="B29" s="2483" t="s">
        <v>5362</v>
      </c>
      <c r="C29" s="2484" t="s">
        <v>5363</v>
      </c>
      <c r="D29" s="2485">
        <f>SUM(pH!AC30:AC44)</f>
        <v>1.9507868913130017E-7</v>
      </c>
      <c r="E29" s="2481" t="s">
        <v>384</v>
      </c>
      <c r="F29" s="2481">
        <v>2</v>
      </c>
      <c r="G29" s="2486" t="s">
        <v>5361</v>
      </c>
      <c r="H29" s="2487"/>
    </row>
    <row r="30" spans="2:8" ht="15.75" x14ac:dyDescent="0.45">
      <c r="B30" s="2479" t="s">
        <v>5364</v>
      </c>
      <c r="C30" s="2480" t="s">
        <v>5365</v>
      </c>
      <c r="D30" s="2485">
        <f>SUM(pH!AD30:AD44)</f>
        <v>1.8246179054647554E-17</v>
      </c>
      <c r="E30" s="2481" t="s">
        <v>384</v>
      </c>
      <c r="F30" s="2481">
        <v>2</v>
      </c>
      <c r="G30" s="2486" t="s">
        <v>5361</v>
      </c>
      <c r="H30" s="2482"/>
    </row>
    <row r="31" spans="2:8" ht="16.149999999999999" thickBot="1" x14ac:dyDescent="0.6">
      <c r="B31" s="97" t="s">
        <v>1056</v>
      </c>
      <c r="C31" s="98" t="s">
        <v>1051</v>
      </c>
      <c r="D31" s="98">
        <f>SUM(pH!AE30:AE44)</f>
        <v>1.7906706061420003E-55</v>
      </c>
      <c r="E31" s="94" t="s">
        <v>384</v>
      </c>
      <c r="F31" s="99">
        <v>2</v>
      </c>
      <c r="G31" s="101" t="s">
        <v>1623</v>
      </c>
      <c r="H31" s="87"/>
    </row>
  </sheetData>
  <pageMargins left="0.7" right="0.7" top="0.75" bottom="0.75" header="0.3" footer="0.3"/>
  <pageSetup paperSize="9" orientation="portrait" horizontalDpi="4294967293"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unka13"/>
  <dimension ref="B1:I13"/>
  <sheetViews>
    <sheetView showGridLines="0" workbookViewId="0">
      <selection activeCell="L12" sqref="L12"/>
    </sheetView>
  </sheetViews>
  <sheetFormatPr defaultColWidth="9.1328125" defaultRowHeight="14.25" x14ac:dyDescent="0.45"/>
  <cols>
    <col min="1" max="1" width="4" style="21" customWidth="1"/>
    <col min="2" max="2" width="22" style="20" customWidth="1"/>
    <col min="3" max="3" width="9.53125" style="21" customWidth="1"/>
    <col min="4" max="16384" width="9.1328125" style="21"/>
  </cols>
  <sheetData>
    <row r="1" spans="2:9" ht="56.25" customHeight="1" thickBot="1" x14ac:dyDescent="0.5"/>
    <row r="2" spans="2:9" s="20" customFormat="1" ht="14.65" thickBot="1" x14ac:dyDescent="0.5">
      <c r="B2" s="22" t="s">
        <v>134</v>
      </c>
      <c r="C2" s="23" t="s">
        <v>135</v>
      </c>
      <c r="D2" s="23" t="s">
        <v>136</v>
      </c>
      <c r="E2" s="23" t="s">
        <v>137</v>
      </c>
      <c r="F2" s="23" t="s">
        <v>138</v>
      </c>
      <c r="G2" s="23" t="s">
        <v>139</v>
      </c>
      <c r="H2" s="23" t="s">
        <v>140</v>
      </c>
      <c r="I2" s="24" t="s">
        <v>141</v>
      </c>
    </row>
    <row r="3" spans="2:9" ht="14.65" thickBot="1" x14ac:dyDescent="0.5">
      <c r="B3" s="25" t="s">
        <v>8</v>
      </c>
      <c r="C3" s="26">
        <v>1</v>
      </c>
      <c r="D3" s="26">
        <v>0</v>
      </c>
      <c r="E3" s="26">
        <v>-1</v>
      </c>
      <c r="F3" s="26">
        <v>-1</v>
      </c>
      <c r="G3" s="26">
        <v>1</v>
      </c>
      <c r="H3" s="27">
        <v>-1</v>
      </c>
      <c r="I3" s="28"/>
    </row>
    <row r="4" spans="2:9" x14ac:dyDescent="0.45">
      <c r="B4" s="29" t="s">
        <v>135</v>
      </c>
      <c r="C4" s="30">
        <v>1</v>
      </c>
      <c r="D4" s="30"/>
      <c r="E4" s="30"/>
      <c r="F4" s="30"/>
      <c r="G4" s="30"/>
      <c r="H4" s="31"/>
      <c r="I4" s="28"/>
    </row>
    <row r="5" spans="2:9" x14ac:dyDescent="0.45">
      <c r="B5" s="29" t="s">
        <v>136</v>
      </c>
      <c r="C5" s="30"/>
      <c r="D5" s="30">
        <v>1</v>
      </c>
      <c r="E5" s="30"/>
      <c r="F5" s="30"/>
      <c r="G5" s="30"/>
      <c r="H5" s="31"/>
      <c r="I5" s="28"/>
    </row>
    <row r="6" spans="2:9" x14ac:dyDescent="0.45">
      <c r="B6" s="29" t="s">
        <v>142</v>
      </c>
      <c r="C6" s="30"/>
      <c r="D6" s="30"/>
      <c r="E6" s="30">
        <v>1</v>
      </c>
      <c r="F6" s="30"/>
      <c r="G6" s="30"/>
      <c r="H6" s="31"/>
      <c r="I6" s="28"/>
    </row>
    <row r="7" spans="2:9" x14ac:dyDescent="0.45">
      <c r="B7" s="29" t="s">
        <v>143</v>
      </c>
      <c r="C7" s="30"/>
      <c r="D7" s="30"/>
      <c r="E7" s="30"/>
      <c r="F7" s="30">
        <v>1</v>
      </c>
      <c r="G7" s="30"/>
      <c r="H7" s="31"/>
      <c r="I7" s="28"/>
    </row>
    <row r="8" spans="2:9" x14ac:dyDescent="0.45">
      <c r="B8" s="29" t="s">
        <v>139</v>
      </c>
      <c r="C8" s="30"/>
      <c r="D8" s="30"/>
      <c r="E8" s="30"/>
      <c r="F8" s="30"/>
      <c r="G8" s="30">
        <v>1</v>
      </c>
      <c r="H8" s="31"/>
      <c r="I8" s="28"/>
    </row>
    <row r="9" spans="2:9" ht="14.65" thickBot="1" x14ac:dyDescent="0.5">
      <c r="B9" s="32" t="s">
        <v>140</v>
      </c>
      <c r="C9" s="33"/>
      <c r="D9" s="33"/>
      <c r="E9" s="33"/>
      <c r="F9" s="33"/>
      <c r="G9" s="33"/>
      <c r="H9" s="34">
        <v>1</v>
      </c>
    </row>
    <row r="10" spans="2:9" x14ac:dyDescent="0.45">
      <c r="B10" s="29" t="s">
        <v>144</v>
      </c>
      <c r="C10" s="30">
        <v>-1</v>
      </c>
      <c r="D10" s="30">
        <v>0</v>
      </c>
      <c r="E10" s="30">
        <v>0</v>
      </c>
      <c r="F10" s="30">
        <v>0</v>
      </c>
      <c r="G10" s="30">
        <v>0</v>
      </c>
      <c r="H10" s="30">
        <v>0</v>
      </c>
      <c r="I10" s="35">
        <v>-14.163232949999999</v>
      </c>
    </row>
    <row r="11" spans="2:9" ht="14.65" thickBot="1" x14ac:dyDescent="0.5">
      <c r="B11" s="29" t="s">
        <v>145</v>
      </c>
      <c r="C11" s="30">
        <v>1</v>
      </c>
      <c r="D11" s="30">
        <v>1</v>
      </c>
      <c r="E11" s="30">
        <v>0</v>
      </c>
      <c r="F11" s="30">
        <v>0</v>
      </c>
      <c r="G11" s="30">
        <v>0</v>
      </c>
      <c r="H11" s="30">
        <v>0</v>
      </c>
      <c r="I11" s="36">
        <v>9.4016472899999997</v>
      </c>
    </row>
    <row r="12" spans="2:9" x14ac:dyDescent="0.45">
      <c r="B12" s="37" t="s">
        <v>146</v>
      </c>
      <c r="C12" s="40"/>
      <c r="D12" s="40">
        <v>1E-3</v>
      </c>
      <c r="E12" s="40">
        <v>1E-3</v>
      </c>
      <c r="F12" s="40">
        <v>1E-3</v>
      </c>
      <c r="G12" s="40">
        <v>1E-3</v>
      </c>
      <c r="H12" s="38">
        <v>1E-3</v>
      </c>
      <c r="I12" s="28"/>
    </row>
    <row r="13" spans="2:9" ht="14.65" thickBot="1" x14ac:dyDescent="0.5">
      <c r="B13" s="32" t="s">
        <v>147</v>
      </c>
      <c r="C13" s="39">
        <v>9.9999999999999995E-8</v>
      </c>
      <c r="D13" s="39">
        <v>1E-4</v>
      </c>
      <c r="E13" s="33">
        <v>1E-3</v>
      </c>
      <c r="F13" s="33">
        <v>1E-3</v>
      </c>
      <c r="G13" s="33">
        <v>1E-3</v>
      </c>
      <c r="H13" s="34">
        <v>1E-3</v>
      </c>
      <c r="I13" s="2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unka7"/>
  <dimension ref="A1:Z98"/>
  <sheetViews>
    <sheetView showGridLines="0" zoomScale="85" zoomScaleNormal="85" workbookViewId="0">
      <pane xSplit="2" ySplit="3" topLeftCell="C69" activePane="bottomRight" state="frozen"/>
      <selection pane="topRight" activeCell="C1" sqref="C1"/>
      <selection pane="bottomLeft" activeCell="A4" sqref="A4"/>
      <selection pane="bottomRight" activeCell="B98" sqref="B98:E98"/>
    </sheetView>
  </sheetViews>
  <sheetFormatPr defaultColWidth="9.1328125" defaultRowHeight="14.25" x14ac:dyDescent="0.45"/>
  <cols>
    <col min="1" max="1" width="8.1328125" customWidth="1"/>
    <col min="2" max="2" width="18.46484375" customWidth="1"/>
    <col min="3" max="3" width="53.53125" style="70" bestFit="1" customWidth="1"/>
    <col min="4" max="14" width="19.1328125" customWidth="1"/>
    <col min="15" max="15" width="9.6640625" customWidth="1"/>
    <col min="16" max="17" width="10.1328125" customWidth="1"/>
    <col min="18" max="18" width="13" customWidth="1"/>
    <col min="19" max="19" width="12" customWidth="1"/>
    <col min="20" max="20" width="13" style="163" customWidth="1"/>
    <col min="21" max="21" width="11.46484375" customWidth="1"/>
    <col min="22" max="22" width="18.1328125" customWidth="1"/>
    <col min="23" max="23" width="19.46484375" customWidth="1"/>
    <col min="26" max="26" width="10.46484375" bestFit="1" customWidth="1"/>
  </cols>
  <sheetData>
    <row r="1" spans="1:26" s="47" customFormat="1" ht="48" customHeight="1" thickBot="1" x14ac:dyDescent="0.5">
      <c r="A1" s="50"/>
      <c r="B1" s="51"/>
      <c r="C1" s="73"/>
      <c r="T1" s="161"/>
    </row>
    <row r="2" spans="1:26" ht="19.5" customHeight="1" thickBot="1" x14ac:dyDescent="0.5">
      <c r="A2" s="3"/>
      <c r="B2" s="4"/>
      <c r="C2" s="55" t="s">
        <v>840</v>
      </c>
      <c r="D2" s="3"/>
      <c r="E2" s="3"/>
      <c r="F2" s="3"/>
      <c r="G2" s="3"/>
      <c r="H2" s="3"/>
      <c r="I2" s="3"/>
      <c r="J2" s="3"/>
      <c r="K2" s="3"/>
      <c r="L2" s="3"/>
      <c r="M2" s="3"/>
      <c r="N2" s="3"/>
      <c r="O2" s="3"/>
      <c r="P2" s="3"/>
    </row>
    <row r="3" spans="1:26" s="3" customFormat="1" ht="14.65" thickBot="1" x14ac:dyDescent="0.5">
      <c r="A3" s="5"/>
      <c r="B3" s="291" t="s">
        <v>0</v>
      </c>
      <c r="C3" s="292" t="s">
        <v>1</v>
      </c>
      <c r="D3" s="290" t="s">
        <v>12</v>
      </c>
      <c r="E3" s="290" t="s">
        <v>13</v>
      </c>
      <c r="F3" s="290" t="s">
        <v>1976</v>
      </c>
      <c r="G3" s="316" t="s">
        <v>1212</v>
      </c>
      <c r="H3" s="290" t="s">
        <v>1177</v>
      </c>
      <c r="I3" s="293" t="s">
        <v>1611</v>
      </c>
      <c r="J3" s="293" t="s">
        <v>3165</v>
      </c>
      <c r="K3" s="2287" t="s">
        <v>5187</v>
      </c>
      <c r="L3" s="2287" t="s">
        <v>5188</v>
      </c>
      <c r="M3" s="430" t="s">
        <v>471</v>
      </c>
      <c r="N3" s="430" t="s">
        <v>472</v>
      </c>
      <c r="O3" s="292" t="s">
        <v>2</v>
      </c>
      <c r="P3" s="292" t="s">
        <v>300</v>
      </c>
      <c r="Q3" s="292" t="s">
        <v>14</v>
      </c>
      <c r="R3" s="292" t="s">
        <v>842</v>
      </c>
      <c r="S3" s="292" t="s">
        <v>3</v>
      </c>
      <c r="T3" s="976" t="s">
        <v>4941</v>
      </c>
      <c r="U3" s="292" t="s">
        <v>116</v>
      </c>
      <c r="V3" s="294" t="s">
        <v>7</v>
      </c>
    </row>
    <row r="4" spans="1:26" ht="15.75" x14ac:dyDescent="0.45">
      <c r="A4" s="79"/>
      <c r="B4" s="195" t="s">
        <v>804</v>
      </c>
      <c r="C4" s="412" t="s">
        <v>2956</v>
      </c>
      <c r="D4" s="194">
        <v>20</v>
      </c>
      <c r="E4" s="194">
        <v>0.01</v>
      </c>
      <c r="F4" s="194">
        <v>0.01</v>
      </c>
      <c r="G4" s="194">
        <v>100</v>
      </c>
      <c r="H4" s="194">
        <v>0.01</v>
      </c>
      <c r="I4" s="194">
        <v>1E-3</v>
      </c>
      <c r="J4" s="194">
        <v>0.01</v>
      </c>
      <c r="K4" s="648">
        <v>0.16145200000000001</v>
      </c>
      <c r="L4" s="648">
        <v>46.766300000000001</v>
      </c>
      <c r="M4" s="431" t="s">
        <v>3163</v>
      </c>
      <c r="N4" s="431" t="s">
        <v>3164</v>
      </c>
      <c r="O4" s="90" t="s">
        <v>321</v>
      </c>
      <c r="P4" s="90">
        <v>1</v>
      </c>
      <c r="Q4" s="90" t="s">
        <v>257</v>
      </c>
      <c r="R4" s="90" t="s">
        <v>258</v>
      </c>
      <c r="S4" s="90" t="s">
        <v>261</v>
      </c>
      <c r="T4" s="90" t="s">
        <v>148</v>
      </c>
      <c r="U4" s="90"/>
      <c r="V4" s="89"/>
      <c r="Z4" s="319"/>
    </row>
    <row r="5" spans="1:26" ht="15.75" x14ac:dyDescent="0.45">
      <c r="A5" s="79"/>
      <c r="B5" s="103" t="s">
        <v>805</v>
      </c>
      <c r="C5" s="413" t="s">
        <v>291</v>
      </c>
      <c r="D5" s="106">
        <v>45</v>
      </c>
      <c r="E5" s="106">
        <v>1</v>
      </c>
      <c r="F5" s="106">
        <v>1</v>
      </c>
      <c r="G5" s="106">
        <v>0.1</v>
      </c>
      <c r="H5" s="106">
        <v>1</v>
      </c>
      <c r="I5" s="106">
        <v>1</v>
      </c>
      <c r="J5" s="194">
        <v>1</v>
      </c>
      <c r="K5" s="648">
        <v>1.89028</v>
      </c>
      <c r="L5" s="648">
        <v>4.2483199999999999E-2</v>
      </c>
      <c r="M5" s="432" t="s">
        <v>3163</v>
      </c>
      <c r="N5" s="432" t="s">
        <v>3164</v>
      </c>
      <c r="O5" s="83" t="s">
        <v>321</v>
      </c>
      <c r="P5" s="83">
        <v>1</v>
      </c>
      <c r="Q5" s="83" t="s">
        <v>257</v>
      </c>
      <c r="R5" s="83" t="s">
        <v>258</v>
      </c>
      <c r="S5" s="83" t="s">
        <v>261</v>
      </c>
      <c r="T5" s="90" t="s">
        <v>148</v>
      </c>
      <c r="U5" s="83"/>
      <c r="V5" s="86"/>
      <c r="Z5" s="319"/>
    </row>
    <row r="6" spans="1:26" ht="15.75" x14ac:dyDescent="0.45">
      <c r="A6" s="79"/>
      <c r="B6" s="103" t="s">
        <v>806</v>
      </c>
      <c r="C6" s="413" t="s">
        <v>2957</v>
      </c>
      <c r="D6" s="106" t="s">
        <v>1213</v>
      </c>
      <c r="E6" s="108">
        <v>1E-50</v>
      </c>
      <c r="F6" s="106" t="s">
        <v>1213</v>
      </c>
      <c r="G6" s="106" t="s">
        <v>1213</v>
      </c>
      <c r="H6" s="106" t="s">
        <v>1213</v>
      </c>
      <c r="I6" s="106">
        <v>0.01</v>
      </c>
      <c r="J6" s="194" t="s">
        <v>1213</v>
      </c>
      <c r="K6" s="648" t="s">
        <v>1213</v>
      </c>
      <c r="L6" s="648" t="s">
        <v>1213</v>
      </c>
      <c r="M6" s="432" t="s">
        <v>3163</v>
      </c>
      <c r="N6" s="432" t="s">
        <v>3164</v>
      </c>
      <c r="O6" s="83" t="s">
        <v>321</v>
      </c>
      <c r="P6" s="83">
        <v>1</v>
      </c>
      <c r="Q6" s="83" t="s">
        <v>257</v>
      </c>
      <c r="R6" s="83" t="s">
        <v>258</v>
      </c>
      <c r="S6" s="83" t="s">
        <v>261</v>
      </c>
      <c r="T6" s="90" t="s">
        <v>148</v>
      </c>
      <c r="U6" s="83"/>
      <c r="V6" s="86"/>
      <c r="Z6" s="319"/>
    </row>
    <row r="7" spans="1:26" ht="15.75" x14ac:dyDescent="0.45">
      <c r="A7" s="79"/>
      <c r="B7" s="103" t="s">
        <v>807</v>
      </c>
      <c r="C7" s="413" t="s">
        <v>214</v>
      </c>
      <c r="D7" s="106">
        <v>68</v>
      </c>
      <c r="E7" s="106">
        <v>0.01</v>
      </c>
      <c r="F7" s="106">
        <v>0.01</v>
      </c>
      <c r="G7" s="106">
        <v>0.01</v>
      </c>
      <c r="H7" s="106">
        <v>0.01</v>
      </c>
      <c r="I7" s="106" t="s">
        <v>1213</v>
      </c>
      <c r="J7" s="194">
        <v>0.01</v>
      </c>
      <c r="K7" s="648" t="s">
        <v>1213</v>
      </c>
      <c r="L7" s="648" t="s">
        <v>1213</v>
      </c>
      <c r="M7" s="432" t="s">
        <v>3163</v>
      </c>
      <c r="N7" s="432" t="s">
        <v>3164</v>
      </c>
      <c r="O7" s="83" t="s">
        <v>321</v>
      </c>
      <c r="P7" s="83">
        <v>1</v>
      </c>
      <c r="Q7" s="83" t="s">
        <v>257</v>
      </c>
      <c r="R7" s="83" t="s">
        <v>259</v>
      </c>
      <c r="S7" s="83" t="s">
        <v>261</v>
      </c>
      <c r="T7" s="90" t="s">
        <v>148</v>
      </c>
      <c r="U7" s="83"/>
      <c r="V7" s="86"/>
      <c r="Z7" s="319"/>
    </row>
    <row r="8" spans="1:26" ht="15.75" x14ac:dyDescent="0.45">
      <c r="A8" s="79"/>
      <c r="B8" s="103" t="s">
        <v>808</v>
      </c>
      <c r="C8" s="413" t="s">
        <v>215</v>
      </c>
      <c r="D8" s="106">
        <v>165.2</v>
      </c>
      <c r="E8" s="106">
        <v>14</v>
      </c>
      <c r="F8" s="106">
        <v>14</v>
      </c>
      <c r="G8" s="106">
        <v>85</v>
      </c>
      <c r="H8" s="106">
        <v>40</v>
      </c>
      <c r="I8" s="106">
        <v>100</v>
      </c>
      <c r="J8" s="194">
        <v>5.6000000000000005</v>
      </c>
      <c r="K8" s="648">
        <v>11.224399999999999</v>
      </c>
      <c r="L8" s="648">
        <v>5.4572000000000003</v>
      </c>
      <c r="M8" s="432" t="s">
        <v>3163</v>
      </c>
      <c r="N8" s="432" t="s">
        <v>3164</v>
      </c>
      <c r="O8" s="83" t="s">
        <v>321</v>
      </c>
      <c r="P8" s="83">
        <v>1</v>
      </c>
      <c r="Q8" s="83" t="s">
        <v>257</v>
      </c>
      <c r="R8" s="83" t="s">
        <v>260</v>
      </c>
      <c r="S8" s="83" t="s">
        <v>261</v>
      </c>
      <c r="T8" s="90" t="s">
        <v>148</v>
      </c>
      <c r="U8" s="83" t="s">
        <v>1896</v>
      </c>
      <c r="V8" s="86"/>
      <c r="Z8" s="319"/>
    </row>
    <row r="9" spans="1:26" ht="15.75" x14ac:dyDescent="0.45">
      <c r="A9" s="79"/>
      <c r="B9" s="103" t="s">
        <v>809</v>
      </c>
      <c r="C9" s="413" t="s">
        <v>216</v>
      </c>
      <c r="D9" s="106">
        <v>20</v>
      </c>
      <c r="E9" s="106">
        <v>7</v>
      </c>
      <c r="F9" s="106">
        <v>7</v>
      </c>
      <c r="G9" s="106">
        <v>300</v>
      </c>
      <c r="H9" s="106">
        <v>7</v>
      </c>
      <c r="I9" s="106">
        <v>7</v>
      </c>
      <c r="J9" s="194">
        <v>7</v>
      </c>
      <c r="K9" s="648">
        <v>20</v>
      </c>
      <c r="L9" s="648">
        <v>20</v>
      </c>
      <c r="M9" s="432" t="s">
        <v>3163</v>
      </c>
      <c r="N9" s="432" t="s">
        <v>3164</v>
      </c>
      <c r="O9" s="83" t="s">
        <v>321</v>
      </c>
      <c r="P9" s="83">
        <v>1</v>
      </c>
      <c r="Q9" s="83" t="s">
        <v>257</v>
      </c>
      <c r="R9" s="83" t="s">
        <v>258</v>
      </c>
      <c r="S9" s="83" t="s">
        <v>261</v>
      </c>
      <c r="T9" s="90" t="s">
        <v>148</v>
      </c>
      <c r="U9" s="83"/>
      <c r="V9" s="86"/>
      <c r="Z9" s="319"/>
    </row>
    <row r="10" spans="1:26" ht="15.75" x14ac:dyDescent="0.45">
      <c r="A10" s="79"/>
      <c r="B10" s="103" t="s">
        <v>810</v>
      </c>
      <c r="C10" s="413" t="s">
        <v>217</v>
      </c>
      <c r="D10" s="106">
        <v>17</v>
      </c>
      <c r="E10" s="106">
        <v>0.01</v>
      </c>
      <c r="F10" s="106">
        <v>0.01</v>
      </c>
      <c r="G10" s="106">
        <v>0.01</v>
      </c>
      <c r="H10" s="106">
        <v>0.01</v>
      </c>
      <c r="I10" s="106" t="s">
        <v>1213</v>
      </c>
      <c r="J10" s="194">
        <v>0.01</v>
      </c>
      <c r="K10" s="648" t="s">
        <v>1213</v>
      </c>
      <c r="L10" s="648" t="s">
        <v>1213</v>
      </c>
      <c r="M10" s="432" t="s">
        <v>3163</v>
      </c>
      <c r="N10" s="432" t="s">
        <v>3164</v>
      </c>
      <c r="O10" s="83" t="s">
        <v>321</v>
      </c>
      <c r="P10" s="83">
        <v>1</v>
      </c>
      <c r="Q10" s="83" t="s">
        <v>257</v>
      </c>
      <c r="R10" s="83" t="s">
        <v>259</v>
      </c>
      <c r="S10" s="83" t="s">
        <v>261</v>
      </c>
      <c r="T10" s="90" t="s">
        <v>148</v>
      </c>
      <c r="U10" s="83"/>
      <c r="V10" s="86"/>
      <c r="Z10" s="319"/>
    </row>
    <row r="11" spans="1:26" ht="15.75" x14ac:dyDescent="0.45">
      <c r="A11" s="79"/>
      <c r="B11" s="103" t="s">
        <v>811</v>
      </c>
      <c r="C11" s="413" t="s">
        <v>218</v>
      </c>
      <c r="D11" s="106">
        <v>58.8</v>
      </c>
      <c r="E11" s="106">
        <v>1000</v>
      </c>
      <c r="F11" s="106">
        <v>1000</v>
      </c>
      <c r="G11" s="106">
        <v>15000</v>
      </c>
      <c r="H11" s="106">
        <v>18000</v>
      </c>
      <c r="I11" s="106">
        <v>1700</v>
      </c>
      <c r="J11" s="194">
        <v>400</v>
      </c>
      <c r="K11" s="648">
        <v>68.7363</v>
      </c>
      <c r="L11" s="648">
        <v>29703.5</v>
      </c>
      <c r="M11" s="432" t="s">
        <v>3163</v>
      </c>
      <c r="N11" s="432" t="s">
        <v>3164</v>
      </c>
      <c r="O11" s="83" t="s">
        <v>321</v>
      </c>
      <c r="P11" s="83">
        <v>1</v>
      </c>
      <c r="Q11" s="83" t="s">
        <v>257</v>
      </c>
      <c r="R11" s="83" t="s">
        <v>260</v>
      </c>
      <c r="S11" s="83" t="s">
        <v>261</v>
      </c>
      <c r="T11" s="90" t="s">
        <v>148</v>
      </c>
      <c r="U11" s="83"/>
      <c r="V11" s="86"/>
      <c r="Z11" s="319"/>
    </row>
    <row r="12" spans="1:26" ht="15.75" x14ac:dyDescent="0.45">
      <c r="A12" s="79"/>
      <c r="B12" s="645" t="s">
        <v>812</v>
      </c>
      <c r="C12" s="646" t="s">
        <v>2958</v>
      </c>
      <c r="D12" s="827">
        <v>0.1</v>
      </c>
      <c r="E12" s="828">
        <v>20</v>
      </c>
      <c r="F12" s="828">
        <v>20</v>
      </c>
      <c r="G12" s="828">
        <v>5</v>
      </c>
      <c r="H12" s="829">
        <v>1.0000000000000001E-5</v>
      </c>
      <c r="I12" s="828">
        <v>215</v>
      </c>
      <c r="J12" s="830">
        <v>88.800000000000011</v>
      </c>
      <c r="K12" s="830">
        <v>5.6087699999999999E-3</v>
      </c>
      <c r="L12" s="830">
        <v>22.956</v>
      </c>
      <c r="M12" s="623" t="s">
        <v>3163</v>
      </c>
      <c r="N12" s="623" t="s">
        <v>3164</v>
      </c>
      <c r="O12" s="623" t="s">
        <v>321</v>
      </c>
      <c r="P12" s="623">
        <v>1</v>
      </c>
      <c r="Q12" s="623" t="s">
        <v>257</v>
      </c>
      <c r="R12" s="623" t="s">
        <v>260</v>
      </c>
      <c r="S12" s="623" t="s">
        <v>261</v>
      </c>
      <c r="T12" s="90" t="s">
        <v>148</v>
      </c>
      <c r="U12" s="671" t="s">
        <v>1624</v>
      </c>
      <c r="V12" s="826"/>
      <c r="Z12" s="319"/>
    </row>
    <row r="13" spans="1:26" ht="15.75" x14ac:dyDescent="0.45">
      <c r="A13" s="79"/>
      <c r="B13" s="645" t="s">
        <v>2139</v>
      </c>
      <c r="C13" s="646" t="s">
        <v>2959</v>
      </c>
      <c r="D13" s="827">
        <v>0.1</v>
      </c>
      <c r="E13" s="828">
        <v>3</v>
      </c>
      <c r="F13" s="828">
        <v>3</v>
      </c>
      <c r="G13" s="828">
        <v>0.1</v>
      </c>
      <c r="H13" s="828">
        <v>0.1</v>
      </c>
      <c r="I13" s="828">
        <v>75</v>
      </c>
      <c r="J13" s="830">
        <v>12</v>
      </c>
      <c r="K13" s="830">
        <v>9.7781599999999993E-3</v>
      </c>
      <c r="L13" s="830">
        <v>1175.05</v>
      </c>
      <c r="M13" s="623" t="s">
        <v>3163</v>
      </c>
      <c r="N13" s="623" t="s">
        <v>3164</v>
      </c>
      <c r="O13" s="623" t="s">
        <v>321</v>
      </c>
      <c r="P13" s="623">
        <v>1</v>
      </c>
      <c r="Q13" s="623" t="s">
        <v>257</v>
      </c>
      <c r="R13" s="623" t="s">
        <v>260</v>
      </c>
      <c r="S13" s="623" t="s">
        <v>261</v>
      </c>
      <c r="T13" s="90" t="s">
        <v>148</v>
      </c>
      <c r="U13" s="671" t="s">
        <v>1624</v>
      </c>
      <c r="V13" s="826"/>
      <c r="Z13" s="319"/>
    </row>
    <row r="14" spans="1:26" ht="15.75" x14ac:dyDescent="0.45">
      <c r="A14" s="79"/>
      <c r="B14" s="103" t="s">
        <v>813</v>
      </c>
      <c r="C14" s="413" t="s">
        <v>219</v>
      </c>
      <c r="D14" s="106">
        <v>4.2</v>
      </c>
      <c r="E14" s="106">
        <v>300</v>
      </c>
      <c r="F14" s="106">
        <v>300</v>
      </c>
      <c r="G14" s="106">
        <v>3300</v>
      </c>
      <c r="H14" s="106">
        <v>11000</v>
      </c>
      <c r="I14" s="106">
        <v>800</v>
      </c>
      <c r="J14" s="194">
        <v>120</v>
      </c>
      <c r="K14" s="648">
        <v>9.2790900000000001</v>
      </c>
      <c r="L14" s="648">
        <v>696.95600000000002</v>
      </c>
      <c r="M14" s="432" t="s">
        <v>3163</v>
      </c>
      <c r="N14" s="432" t="s">
        <v>3164</v>
      </c>
      <c r="O14" s="83" t="s">
        <v>321</v>
      </c>
      <c r="P14" s="83">
        <v>1</v>
      </c>
      <c r="Q14" s="83" t="s">
        <v>257</v>
      </c>
      <c r="R14" s="83" t="s">
        <v>260</v>
      </c>
      <c r="S14" s="83" t="s">
        <v>261</v>
      </c>
      <c r="T14" s="90" t="s">
        <v>148</v>
      </c>
      <c r="U14" s="83"/>
      <c r="V14" s="86"/>
      <c r="Z14" s="319"/>
    </row>
    <row r="15" spans="1:26" ht="15.75" x14ac:dyDescent="0.45">
      <c r="A15" s="79"/>
      <c r="B15" s="103" t="s">
        <v>1743</v>
      </c>
      <c r="C15" s="413" t="s">
        <v>1136</v>
      </c>
      <c r="D15" s="106" t="s">
        <v>1213</v>
      </c>
      <c r="E15" s="106">
        <v>0.1</v>
      </c>
      <c r="F15" s="106">
        <v>0.1</v>
      </c>
      <c r="G15" s="106">
        <v>720</v>
      </c>
      <c r="H15" s="106">
        <v>0.01</v>
      </c>
      <c r="I15" s="106">
        <v>2</v>
      </c>
      <c r="J15" s="194">
        <v>4.0000000000000008E-2</v>
      </c>
      <c r="K15" s="648">
        <v>9.1396400000000003E-2</v>
      </c>
      <c r="L15" s="648">
        <v>5026.92</v>
      </c>
      <c r="M15" s="432" t="s">
        <v>3163</v>
      </c>
      <c r="N15" s="432" t="s">
        <v>3164</v>
      </c>
      <c r="O15" s="83" t="s">
        <v>321</v>
      </c>
      <c r="P15" s="83">
        <v>1</v>
      </c>
      <c r="Q15" s="83" t="s">
        <v>257</v>
      </c>
      <c r="R15" s="83" t="s">
        <v>260</v>
      </c>
      <c r="S15" s="83" t="s">
        <v>261</v>
      </c>
      <c r="T15" s="90" t="s">
        <v>148</v>
      </c>
      <c r="U15" s="83"/>
      <c r="V15" s="86"/>
      <c r="Z15" s="319"/>
    </row>
    <row r="16" spans="1:26" ht="15.75" x14ac:dyDescent="0.45">
      <c r="A16" s="79"/>
      <c r="B16" s="103" t="s">
        <v>814</v>
      </c>
      <c r="C16" s="413" t="s">
        <v>2960</v>
      </c>
      <c r="D16" s="106">
        <v>21</v>
      </c>
      <c r="E16" s="106">
        <v>500</v>
      </c>
      <c r="F16" s="106">
        <v>500</v>
      </c>
      <c r="G16" s="106">
        <v>3100</v>
      </c>
      <c r="H16" s="106">
        <v>7700</v>
      </c>
      <c r="I16" s="106">
        <v>3100</v>
      </c>
      <c r="J16" s="194">
        <v>200</v>
      </c>
      <c r="K16" s="648">
        <v>134.476</v>
      </c>
      <c r="L16" s="648">
        <v>557.25900000000001</v>
      </c>
      <c r="M16" s="432" t="s">
        <v>3163</v>
      </c>
      <c r="N16" s="432" t="s">
        <v>3164</v>
      </c>
      <c r="O16" s="83" t="s">
        <v>321</v>
      </c>
      <c r="P16" s="83">
        <v>1</v>
      </c>
      <c r="Q16" s="83" t="s">
        <v>257</v>
      </c>
      <c r="R16" s="83" t="s">
        <v>260</v>
      </c>
      <c r="S16" s="83" t="s">
        <v>261</v>
      </c>
      <c r="T16" s="90" t="s">
        <v>4942</v>
      </c>
      <c r="U16" s="83" t="s">
        <v>1891</v>
      </c>
      <c r="V16" s="86"/>
      <c r="Z16" s="319"/>
    </row>
    <row r="17" spans="1:26" ht="15.75" x14ac:dyDescent="0.45">
      <c r="A17" s="79"/>
      <c r="B17" s="645" t="s">
        <v>4172</v>
      </c>
      <c r="C17" s="646" t="s">
        <v>4173</v>
      </c>
      <c r="D17" s="647">
        <v>0.1</v>
      </c>
      <c r="E17" s="647">
        <v>500</v>
      </c>
      <c r="F17" s="647">
        <v>500</v>
      </c>
      <c r="G17" s="647">
        <v>10</v>
      </c>
      <c r="H17" s="647">
        <v>2</v>
      </c>
      <c r="I17" s="647">
        <v>850</v>
      </c>
      <c r="J17" s="648">
        <v>148</v>
      </c>
      <c r="K17" s="648">
        <v>0.213727</v>
      </c>
      <c r="L17" s="648">
        <v>2473.4499999999998</v>
      </c>
      <c r="M17" s="623" t="s">
        <v>3163</v>
      </c>
      <c r="N17" s="623" t="s">
        <v>3164</v>
      </c>
      <c r="O17" s="623" t="s">
        <v>321</v>
      </c>
      <c r="P17" s="623">
        <v>1</v>
      </c>
      <c r="Q17" s="623" t="s">
        <v>257</v>
      </c>
      <c r="R17" s="623" t="s">
        <v>260</v>
      </c>
      <c r="S17" s="623" t="s">
        <v>261</v>
      </c>
      <c r="T17" s="90" t="s">
        <v>4942</v>
      </c>
      <c r="U17" s="671" t="s">
        <v>2174</v>
      </c>
      <c r="V17" s="826"/>
      <c r="Z17" s="319"/>
    </row>
    <row r="18" spans="1:26" ht="15.75" x14ac:dyDescent="0.45">
      <c r="A18" s="79"/>
      <c r="B18" s="103" t="s">
        <v>815</v>
      </c>
      <c r="C18" s="413" t="s">
        <v>2962</v>
      </c>
      <c r="D18" s="106">
        <v>0.1</v>
      </c>
      <c r="E18" s="106">
        <v>1</v>
      </c>
      <c r="F18" s="106">
        <v>1</v>
      </c>
      <c r="G18" s="106">
        <v>15</v>
      </c>
      <c r="H18" s="106">
        <v>6</v>
      </c>
      <c r="I18" s="106">
        <v>3</v>
      </c>
      <c r="J18" s="194">
        <v>0.4</v>
      </c>
      <c r="K18" s="648">
        <v>8.2875299999999999E-2</v>
      </c>
      <c r="L18" s="648">
        <v>3.8047399999999998</v>
      </c>
      <c r="M18" s="432" t="s">
        <v>3163</v>
      </c>
      <c r="N18" s="432" t="s">
        <v>3164</v>
      </c>
      <c r="O18" s="83" t="s">
        <v>321</v>
      </c>
      <c r="P18" s="83">
        <v>1</v>
      </c>
      <c r="Q18" s="83" t="s">
        <v>257</v>
      </c>
      <c r="R18" s="83" t="s">
        <v>260</v>
      </c>
      <c r="S18" s="83" t="s">
        <v>261</v>
      </c>
      <c r="T18" s="90" t="s">
        <v>4942</v>
      </c>
      <c r="U18" s="83" t="s">
        <v>1891</v>
      </c>
      <c r="V18" s="86"/>
      <c r="Z18" s="319"/>
    </row>
    <row r="19" spans="1:26" s="128" customFormat="1" ht="15.75" x14ac:dyDescent="0.45">
      <c r="B19" s="103" t="s">
        <v>2253</v>
      </c>
      <c r="C19" s="413" t="s">
        <v>2963</v>
      </c>
      <c r="D19" s="106">
        <v>0.1</v>
      </c>
      <c r="E19" s="106">
        <v>33</v>
      </c>
      <c r="F19" s="106">
        <v>33</v>
      </c>
      <c r="G19" s="106">
        <v>4</v>
      </c>
      <c r="H19" s="106">
        <v>250</v>
      </c>
      <c r="I19" s="106">
        <v>50</v>
      </c>
      <c r="J19" s="194">
        <v>13.200000000000001</v>
      </c>
      <c r="K19" s="648">
        <v>8.7248500000000007E-2</v>
      </c>
      <c r="L19" s="648">
        <v>1.2749600000000001</v>
      </c>
      <c r="M19" s="432" t="s">
        <v>3163</v>
      </c>
      <c r="N19" s="432" t="s">
        <v>3164</v>
      </c>
      <c r="O19" s="83" t="s">
        <v>321</v>
      </c>
      <c r="P19" s="83">
        <v>1</v>
      </c>
      <c r="Q19" s="83" t="s">
        <v>257</v>
      </c>
      <c r="R19" s="83" t="s">
        <v>260</v>
      </c>
      <c r="S19" s="83" t="s">
        <v>261</v>
      </c>
      <c r="T19" s="90" t="s">
        <v>4942</v>
      </c>
      <c r="U19" s="83" t="s">
        <v>1891</v>
      </c>
      <c r="V19" s="86"/>
    </row>
    <row r="20" spans="1:26" s="128" customFormat="1" ht="15.75" x14ac:dyDescent="0.45">
      <c r="B20" s="103" t="s">
        <v>2254</v>
      </c>
      <c r="C20" s="413" t="s">
        <v>2964</v>
      </c>
      <c r="D20" s="106">
        <v>0.1</v>
      </c>
      <c r="E20" s="106">
        <v>20</v>
      </c>
      <c r="F20" s="106">
        <v>20</v>
      </c>
      <c r="G20" s="106">
        <v>3</v>
      </c>
      <c r="H20" s="106">
        <v>150</v>
      </c>
      <c r="I20" s="106">
        <v>30</v>
      </c>
      <c r="J20" s="194">
        <v>8</v>
      </c>
      <c r="K20" s="648">
        <v>7.7593300000000004E-2</v>
      </c>
      <c r="L20" s="648">
        <v>1.2805899999999999</v>
      </c>
      <c r="M20" s="432" t="s">
        <v>3163</v>
      </c>
      <c r="N20" s="432" t="s">
        <v>3164</v>
      </c>
      <c r="O20" s="83" t="s">
        <v>321</v>
      </c>
      <c r="P20" s="83">
        <v>1</v>
      </c>
      <c r="Q20" s="83" t="s">
        <v>257</v>
      </c>
      <c r="R20" s="83" t="s">
        <v>260</v>
      </c>
      <c r="S20" s="83" t="s">
        <v>261</v>
      </c>
      <c r="T20" s="90" t="s">
        <v>4942</v>
      </c>
      <c r="U20" s="83" t="s">
        <v>1891</v>
      </c>
      <c r="V20" s="86"/>
    </row>
    <row r="21" spans="1:26" s="128" customFormat="1" ht="15.75" x14ac:dyDescent="0.45">
      <c r="B21" s="103" t="s">
        <v>2274</v>
      </c>
      <c r="C21" s="413" t="s">
        <v>2965</v>
      </c>
      <c r="D21" s="106">
        <v>0.1</v>
      </c>
      <c r="E21" s="106">
        <v>1</v>
      </c>
      <c r="F21" s="106">
        <v>1</v>
      </c>
      <c r="G21" s="106">
        <v>17</v>
      </c>
      <c r="H21" s="106">
        <v>10</v>
      </c>
      <c r="I21" s="106">
        <v>50</v>
      </c>
      <c r="J21" s="194">
        <v>0.4</v>
      </c>
      <c r="K21" s="648">
        <v>8.8927599999999996E-2</v>
      </c>
      <c r="L21" s="648">
        <v>9.1243099999999995</v>
      </c>
      <c r="M21" s="432" t="s">
        <v>3163</v>
      </c>
      <c r="N21" s="432" t="s">
        <v>3164</v>
      </c>
      <c r="O21" s="83" t="s">
        <v>321</v>
      </c>
      <c r="P21" s="83">
        <v>1</v>
      </c>
      <c r="Q21" s="83" t="s">
        <v>257</v>
      </c>
      <c r="R21" s="83" t="s">
        <v>260</v>
      </c>
      <c r="S21" s="83" t="s">
        <v>261</v>
      </c>
      <c r="T21" s="90" t="s">
        <v>4942</v>
      </c>
      <c r="U21" s="83" t="s">
        <v>1891</v>
      </c>
      <c r="V21" s="86"/>
    </row>
    <row r="22" spans="1:26" ht="15.75" x14ac:dyDescent="0.45">
      <c r="A22" s="79"/>
      <c r="B22" s="103" t="s">
        <v>816</v>
      </c>
      <c r="C22" s="413" t="s">
        <v>2966</v>
      </c>
      <c r="D22" s="106">
        <v>0.1</v>
      </c>
      <c r="E22" s="106">
        <v>0.3</v>
      </c>
      <c r="F22" s="106">
        <v>0.3</v>
      </c>
      <c r="G22" s="106">
        <v>760</v>
      </c>
      <c r="H22" s="106">
        <v>2</v>
      </c>
      <c r="I22" s="106">
        <v>50</v>
      </c>
      <c r="J22" s="194">
        <v>0.12</v>
      </c>
      <c r="K22" s="648">
        <v>6.0188800000000001E-2</v>
      </c>
      <c r="L22" s="648">
        <v>249.22300000000001</v>
      </c>
      <c r="M22" s="432" t="s">
        <v>3163</v>
      </c>
      <c r="N22" s="432" t="s">
        <v>3164</v>
      </c>
      <c r="O22" s="83" t="s">
        <v>321</v>
      </c>
      <c r="P22" s="83">
        <v>1</v>
      </c>
      <c r="Q22" s="83" t="s">
        <v>257</v>
      </c>
      <c r="R22" s="83" t="s">
        <v>260</v>
      </c>
      <c r="S22" s="83" t="s">
        <v>261</v>
      </c>
      <c r="T22" s="90" t="s">
        <v>4942</v>
      </c>
      <c r="U22" s="83" t="s">
        <v>1891</v>
      </c>
      <c r="V22" s="86"/>
      <c r="Z22" s="319"/>
    </row>
    <row r="23" spans="1:26" ht="15.75" x14ac:dyDescent="0.45">
      <c r="A23" s="79"/>
      <c r="B23" s="103" t="s">
        <v>817</v>
      </c>
      <c r="C23" s="413" t="s">
        <v>2967</v>
      </c>
      <c r="D23" s="106">
        <v>0.1</v>
      </c>
      <c r="E23" s="106">
        <v>0.2</v>
      </c>
      <c r="F23" s="106">
        <v>0.2</v>
      </c>
      <c r="G23" s="106">
        <v>180</v>
      </c>
      <c r="H23" s="106">
        <v>0.5</v>
      </c>
      <c r="I23" s="106">
        <v>10</v>
      </c>
      <c r="J23" s="194">
        <v>8.0000000000000016E-2</v>
      </c>
      <c r="K23" s="648">
        <v>3.1579099999999999E-2</v>
      </c>
      <c r="L23" s="648">
        <v>10.3256</v>
      </c>
      <c r="M23" s="432" t="s">
        <v>3163</v>
      </c>
      <c r="N23" s="432" t="s">
        <v>3164</v>
      </c>
      <c r="O23" s="83" t="s">
        <v>321</v>
      </c>
      <c r="P23" s="83">
        <v>1</v>
      </c>
      <c r="Q23" s="83" t="s">
        <v>257</v>
      </c>
      <c r="R23" s="83" t="s">
        <v>260</v>
      </c>
      <c r="S23" s="83" t="s">
        <v>261</v>
      </c>
      <c r="T23" s="90" t="s">
        <v>4942</v>
      </c>
      <c r="U23" s="83" t="s">
        <v>1891</v>
      </c>
      <c r="V23" s="86"/>
      <c r="Z23" s="319"/>
    </row>
    <row r="24" spans="1:26" s="70" customFormat="1" ht="15.75" x14ac:dyDescent="0.45">
      <c r="A24" s="2489"/>
      <c r="B24" s="2490" t="s">
        <v>5366</v>
      </c>
      <c r="C24" s="2488" t="s">
        <v>5367</v>
      </c>
      <c r="D24" s="2288">
        <v>0.1</v>
      </c>
      <c r="E24" s="2288">
        <v>1</v>
      </c>
      <c r="F24" s="2288">
        <v>1</v>
      </c>
      <c r="G24" s="2288">
        <v>6</v>
      </c>
      <c r="H24" s="2288">
        <v>6</v>
      </c>
      <c r="I24" s="2288">
        <v>1</v>
      </c>
      <c r="J24" s="648">
        <v>0.4</v>
      </c>
      <c r="K24" s="2288">
        <v>1</v>
      </c>
      <c r="L24" s="2288">
        <v>1.26823</v>
      </c>
      <c r="M24" s="2290" t="s">
        <v>3163</v>
      </c>
      <c r="N24" s="2290" t="s">
        <v>3164</v>
      </c>
      <c r="O24" s="2290" t="s">
        <v>321</v>
      </c>
      <c r="P24" s="2290">
        <v>1</v>
      </c>
      <c r="Q24" s="2290" t="s">
        <v>257</v>
      </c>
      <c r="R24" s="2290" t="s">
        <v>260</v>
      </c>
      <c r="S24" s="2290" t="s">
        <v>261</v>
      </c>
      <c r="T24" s="431" t="s">
        <v>4942</v>
      </c>
      <c r="U24" s="2228" t="s">
        <v>1891</v>
      </c>
      <c r="V24" s="2491"/>
    </row>
    <row r="25" spans="1:26" s="70" customFormat="1" ht="15.75" x14ac:dyDescent="0.45">
      <c r="A25" s="2489"/>
      <c r="B25" s="2490" t="s">
        <v>5368</v>
      </c>
      <c r="C25" s="2488" t="s">
        <v>5369</v>
      </c>
      <c r="D25" s="2288">
        <v>0.1</v>
      </c>
      <c r="E25" s="2288">
        <v>35</v>
      </c>
      <c r="F25" s="2288">
        <v>35</v>
      </c>
      <c r="G25" s="2288">
        <v>3</v>
      </c>
      <c r="H25" s="2288">
        <v>2</v>
      </c>
      <c r="I25" s="2288">
        <v>1</v>
      </c>
      <c r="J25" s="648">
        <v>14</v>
      </c>
      <c r="K25" s="2288">
        <v>35</v>
      </c>
      <c r="L25" s="2288">
        <v>1.1821900000000001</v>
      </c>
      <c r="M25" s="2290" t="s">
        <v>3163</v>
      </c>
      <c r="N25" s="2290" t="s">
        <v>3164</v>
      </c>
      <c r="O25" s="2290" t="s">
        <v>321</v>
      </c>
      <c r="P25" s="2290">
        <v>1</v>
      </c>
      <c r="Q25" s="2290" t="s">
        <v>257</v>
      </c>
      <c r="R25" s="2290" t="s">
        <v>260</v>
      </c>
      <c r="S25" s="2290" t="s">
        <v>261</v>
      </c>
      <c r="T25" s="431" t="s">
        <v>4942</v>
      </c>
      <c r="U25" s="2228" t="s">
        <v>1891</v>
      </c>
      <c r="V25" s="2491"/>
    </row>
    <row r="26" spans="1:26" s="70" customFormat="1" ht="15.75" x14ac:dyDescent="0.45">
      <c r="A26" s="2489"/>
      <c r="B26" s="2490" t="s">
        <v>5370</v>
      </c>
      <c r="C26" s="2488" t="s">
        <v>5371</v>
      </c>
      <c r="D26" s="2288">
        <v>0.1</v>
      </c>
      <c r="E26" s="2288">
        <v>150</v>
      </c>
      <c r="F26" s="2288">
        <v>150</v>
      </c>
      <c r="G26" s="2288">
        <v>2</v>
      </c>
      <c r="H26" s="2288">
        <v>7</v>
      </c>
      <c r="I26" s="2288">
        <v>5</v>
      </c>
      <c r="J26" s="648">
        <v>60</v>
      </c>
      <c r="K26" s="2288">
        <v>150</v>
      </c>
      <c r="L26" s="2288">
        <v>8.5910200000000006E-2</v>
      </c>
      <c r="M26" s="2290" t="s">
        <v>3163</v>
      </c>
      <c r="N26" s="2290" t="s">
        <v>3164</v>
      </c>
      <c r="O26" s="2290" t="s">
        <v>321</v>
      </c>
      <c r="P26" s="2290">
        <v>1</v>
      </c>
      <c r="Q26" s="2290" t="s">
        <v>257</v>
      </c>
      <c r="R26" s="2290" t="s">
        <v>260</v>
      </c>
      <c r="S26" s="2290" t="s">
        <v>261</v>
      </c>
      <c r="T26" s="431" t="s">
        <v>4942</v>
      </c>
      <c r="U26" s="2228" t="s">
        <v>1891</v>
      </c>
      <c r="V26" s="2491"/>
    </row>
    <row r="27" spans="1:26" ht="15.75" x14ac:dyDescent="0.45">
      <c r="A27" s="79"/>
      <c r="B27" s="103" t="s">
        <v>818</v>
      </c>
      <c r="C27" s="413" t="s">
        <v>2968</v>
      </c>
      <c r="D27" s="106">
        <v>24</v>
      </c>
      <c r="E27" s="106">
        <v>1</v>
      </c>
      <c r="F27" s="106">
        <v>1</v>
      </c>
      <c r="G27" s="106">
        <v>800</v>
      </c>
      <c r="H27" s="106">
        <v>1</v>
      </c>
      <c r="I27" s="106">
        <v>30</v>
      </c>
      <c r="J27" s="194">
        <v>1</v>
      </c>
      <c r="K27" s="648">
        <v>22.401800000000001</v>
      </c>
      <c r="L27" s="648">
        <v>79.855099999999993</v>
      </c>
      <c r="M27" s="432" t="s">
        <v>3163</v>
      </c>
      <c r="N27" s="432" t="s">
        <v>3164</v>
      </c>
      <c r="O27" s="83" t="s">
        <v>336</v>
      </c>
      <c r="P27" s="83">
        <v>1</v>
      </c>
      <c r="Q27" s="83" t="s">
        <v>257</v>
      </c>
      <c r="R27" s="83" t="s">
        <v>258</v>
      </c>
      <c r="S27" s="83" t="s">
        <v>261</v>
      </c>
      <c r="T27" s="977" t="s">
        <v>255</v>
      </c>
      <c r="U27" s="83"/>
      <c r="V27" s="86"/>
      <c r="Z27" s="319"/>
    </row>
    <row r="28" spans="1:26" s="128" customFormat="1" ht="15.75" x14ac:dyDescent="0.45">
      <c r="B28" s="103" t="s">
        <v>4027</v>
      </c>
      <c r="C28" s="413" t="s">
        <v>4028</v>
      </c>
      <c r="D28" s="106" t="s">
        <v>1213</v>
      </c>
      <c r="E28" s="647">
        <v>0.01</v>
      </c>
      <c r="F28" s="647">
        <v>0.01</v>
      </c>
      <c r="G28" s="647">
        <v>0.01</v>
      </c>
      <c r="H28" s="647">
        <v>0.01</v>
      </c>
      <c r="I28" s="647">
        <v>0.01</v>
      </c>
      <c r="J28" s="648" t="s">
        <v>1213</v>
      </c>
      <c r="K28" s="648">
        <v>0.22559799999999999</v>
      </c>
      <c r="L28" s="648">
        <v>0.22552900000000001</v>
      </c>
      <c r="M28" s="432" t="s">
        <v>3163</v>
      </c>
      <c r="N28" s="432" t="s">
        <v>3164</v>
      </c>
      <c r="O28" s="83" t="s">
        <v>336</v>
      </c>
      <c r="P28" s="83">
        <v>1</v>
      </c>
      <c r="Q28" s="83" t="s">
        <v>257</v>
      </c>
      <c r="R28" s="83" t="s">
        <v>258</v>
      </c>
      <c r="S28" s="83" t="s">
        <v>261</v>
      </c>
      <c r="T28" s="977" t="s">
        <v>255</v>
      </c>
      <c r="U28" s="83" t="s">
        <v>2251</v>
      </c>
      <c r="V28" s="86"/>
    </row>
    <row r="29" spans="1:26" s="128" customFormat="1" ht="15.75" x14ac:dyDescent="0.45">
      <c r="B29" s="103" t="s">
        <v>2252</v>
      </c>
      <c r="C29" s="413" t="s">
        <v>2970</v>
      </c>
      <c r="D29" s="106" t="s">
        <v>1213</v>
      </c>
      <c r="E29" s="106">
        <v>5</v>
      </c>
      <c r="F29" s="106">
        <v>5</v>
      </c>
      <c r="G29" s="106">
        <v>1.0000000000000001E-5</v>
      </c>
      <c r="H29" s="106">
        <v>25</v>
      </c>
      <c r="I29" s="106">
        <v>30</v>
      </c>
      <c r="J29" s="194">
        <v>5</v>
      </c>
      <c r="K29" s="648" t="s">
        <v>1213</v>
      </c>
      <c r="L29" s="648" t="s">
        <v>1213</v>
      </c>
      <c r="M29" s="432" t="s">
        <v>3163</v>
      </c>
      <c r="N29" s="432" t="s">
        <v>3164</v>
      </c>
      <c r="O29" s="83" t="s">
        <v>336</v>
      </c>
      <c r="P29" s="83">
        <v>1</v>
      </c>
      <c r="Q29" s="83" t="s">
        <v>257</v>
      </c>
      <c r="R29" s="83" t="s">
        <v>258</v>
      </c>
      <c r="S29" s="83" t="s">
        <v>261</v>
      </c>
      <c r="T29" s="977" t="s">
        <v>255</v>
      </c>
      <c r="U29" s="83" t="s">
        <v>2251</v>
      </c>
      <c r="V29" s="86"/>
    </row>
    <row r="30" spans="1:26" s="128" customFormat="1" ht="15.75" x14ac:dyDescent="0.45">
      <c r="B30" s="103" t="s">
        <v>2250</v>
      </c>
      <c r="C30" s="413" t="s">
        <v>2969</v>
      </c>
      <c r="D30" s="106" t="s">
        <v>1213</v>
      </c>
      <c r="E30" s="106">
        <v>0.1</v>
      </c>
      <c r="F30" s="106">
        <v>0.1</v>
      </c>
      <c r="G30" s="106">
        <v>1.0000000000000001E-5</v>
      </c>
      <c r="H30" s="106">
        <v>0.1</v>
      </c>
      <c r="I30" s="106">
        <v>5</v>
      </c>
      <c r="J30" s="194">
        <v>0.1</v>
      </c>
      <c r="K30" s="648" t="s">
        <v>1213</v>
      </c>
      <c r="L30" s="648" t="s">
        <v>1213</v>
      </c>
      <c r="M30" s="432" t="s">
        <v>3163</v>
      </c>
      <c r="N30" s="432" t="s">
        <v>3164</v>
      </c>
      <c r="O30" s="83" t="s">
        <v>336</v>
      </c>
      <c r="P30" s="83">
        <v>1</v>
      </c>
      <c r="Q30" s="83" t="s">
        <v>257</v>
      </c>
      <c r="R30" s="83" t="s">
        <v>258</v>
      </c>
      <c r="S30" s="83" t="s">
        <v>261</v>
      </c>
      <c r="T30" s="977" t="s">
        <v>255</v>
      </c>
      <c r="U30" s="83" t="s">
        <v>2251</v>
      </c>
      <c r="V30" s="86"/>
    </row>
    <row r="31" spans="1:26" s="128" customFormat="1" ht="15.75" x14ac:dyDescent="0.45">
      <c r="B31" s="645" t="s">
        <v>5120</v>
      </c>
      <c r="C31" s="646" t="s">
        <v>5122</v>
      </c>
      <c r="D31" s="647" t="s">
        <v>1213</v>
      </c>
      <c r="E31" s="647">
        <v>0.01</v>
      </c>
      <c r="F31" s="647">
        <v>0.01</v>
      </c>
      <c r="G31" s="647">
        <v>0.01</v>
      </c>
      <c r="H31" s="647">
        <v>0.01</v>
      </c>
      <c r="I31" s="647">
        <v>0.01</v>
      </c>
      <c r="J31" s="648" t="s">
        <v>1213</v>
      </c>
      <c r="K31" s="648" t="s">
        <v>1213</v>
      </c>
      <c r="L31" s="648" t="s">
        <v>1213</v>
      </c>
      <c r="M31" s="623" t="s">
        <v>3163</v>
      </c>
      <c r="N31" s="623" t="s">
        <v>3164</v>
      </c>
      <c r="O31" s="623" t="s">
        <v>3747</v>
      </c>
      <c r="P31" s="623">
        <v>2</v>
      </c>
      <c r="Q31" s="623" t="s">
        <v>257</v>
      </c>
      <c r="R31" s="623" t="s">
        <v>258</v>
      </c>
      <c r="S31" s="623" t="s">
        <v>261</v>
      </c>
      <c r="T31" s="977" t="s">
        <v>255</v>
      </c>
      <c r="U31" s="623"/>
      <c r="V31" s="566"/>
    </row>
    <row r="32" spans="1:26" s="128" customFormat="1" ht="15.75" x14ac:dyDescent="0.45">
      <c r="B32" s="645" t="s">
        <v>5121</v>
      </c>
      <c r="C32" s="646" t="s">
        <v>5123</v>
      </c>
      <c r="D32" s="647" t="s">
        <v>1213</v>
      </c>
      <c r="E32" s="647">
        <v>0.02</v>
      </c>
      <c r="F32" s="647">
        <v>0.01</v>
      </c>
      <c r="G32" s="647">
        <v>0.01</v>
      </c>
      <c r="H32" s="647">
        <v>0.01</v>
      </c>
      <c r="I32" s="647">
        <v>0.01</v>
      </c>
      <c r="J32" s="648" t="s">
        <v>1213</v>
      </c>
      <c r="K32" s="648" t="s">
        <v>1213</v>
      </c>
      <c r="L32" s="648" t="s">
        <v>1213</v>
      </c>
      <c r="M32" s="623" t="s">
        <v>3163</v>
      </c>
      <c r="N32" s="623" t="s">
        <v>3164</v>
      </c>
      <c r="O32" s="623" t="s">
        <v>3747</v>
      </c>
      <c r="P32" s="623">
        <v>2</v>
      </c>
      <c r="Q32" s="623" t="s">
        <v>257</v>
      </c>
      <c r="R32" s="623" t="s">
        <v>258</v>
      </c>
      <c r="S32" s="623" t="s">
        <v>261</v>
      </c>
      <c r="T32" s="977" t="s">
        <v>255</v>
      </c>
      <c r="U32" s="623"/>
      <c r="V32" s="566"/>
    </row>
    <row r="33" spans="1:26" s="128" customFormat="1" ht="15.75" x14ac:dyDescent="0.45">
      <c r="B33" s="645" t="s">
        <v>3748</v>
      </c>
      <c r="C33" s="646" t="s">
        <v>3766</v>
      </c>
      <c r="D33" s="647" t="s">
        <v>1213</v>
      </c>
      <c r="E33" s="647">
        <v>0.01</v>
      </c>
      <c r="F33" s="647">
        <v>0.01</v>
      </c>
      <c r="G33" s="647">
        <v>0.01</v>
      </c>
      <c r="H33" s="647">
        <v>0.01</v>
      </c>
      <c r="I33" s="647">
        <v>0.01</v>
      </c>
      <c r="J33" s="648" t="s">
        <v>1213</v>
      </c>
      <c r="K33" s="648" t="s">
        <v>1213</v>
      </c>
      <c r="L33" s="648" t="s">
        <v>1213</v>
      </c>
      <c r="M33" s="623" t="s">
        <v>3163</v>
      </c>
      <c r="N33" s="623" t="s">
        <v>3164</v>
      </c>
      <c r="O33" s="623" t="s">
        <v>3747</v>
      </c>
      <c r="P33" s="623">
        <v>2</v>
      </c>
      <c r="Q33" s="623" t="s">
        <v>257</v>
      </c>
      <c r="R33" s="623" t="s">
        <v>258</v>
      </c>
      <c r="S33" s="623" t="s">
        <v>261</v>
      </c>
      <c r="T33" s="977" t="s">
        <v>255</v>
      </c>
      <c r="U33" s="623"/>
      <c r="V33" s="566"/>
    </row>
    <row r="34" spans="1:26" ht="15.75" x14ac:dyDescent="0.45">
      <c r="A34" s="79"/>
      <c r="B34" s="103" t="s">
        <v>819</v>
      </c>
      <c r="C34" s="413" t="s">
        <v>2971</v>
      </c>
      <c r="D34" s="106">
        <v>16</v>
      </c>
      <c r="E34" s="106">
        <v>18</v>
      </c>
      <c r="F34" s="106">
        <v>18</v>
      </c>
      <c r="G34" s="106">
        <v>0.1</v>
      </c>
      <c r="H34" s="106">
        <v>18</v>
      </c>
      <c r="I34" s="106">
        <v>18</v>
      </c>
      <c r="J34" s="194">
        <v>18</v>
      </c>
      <c r="K34" s="648">
        <v>16.720800000000001</v>
      </c>
      <c r="L34" s="648">
        <v>18.270700000000001</v>
      </c>
      <c r="M34" s="432" t="s">
        <v>3163</v>
      </c>
      <c r="N34" s="432" t="s">
        <v>3164</v>
      </c>
      <c r="O34" s="83" t="s">
        <v>336</v>
      </c>
      <c r="P34" s="83">
        <v>1</v>
      </c>
      <c r="Q34" s="83" t="s">
        <v>257</v>
      </c>
      <c r="R34" s="83" t="s">
        <v>258</v>
      </c>
      <c r="S34" s="83" t="s">
        <v>261</v>
      </c>
      <c r="T34" s="977" t="s">
        <v>255</v>
      </c>
      <c r="U34" s="83"/>
      <c r="V34" s="86"/>
      <c r="Z34" s="319"/>
    </row>
    <row r="35" spans="1:26" ht="15.75" x14ac:dyDescent="0.45">
      <c r="A35" s="79"/>
      <c r="B35" s="103" t="s">
        <v>820</v>
      </c>
      <c r="C35" s="413" t="s">
        <v>821</v>
      </c>
      <c r="D35" s="106">
        <v>1.8</v>
      </c>
      <c r="E35" s="106">
        <v>0.5</v>
      </c>
      <c r="F35" s="106">
        <v>0.5</v>
      </c>
      <c r="G35" s="106">
        <v>0.5</v>
      </c>
      <c r="H35" s="106">
        <v>1</v>
      </c>
      <c r="I35" s="106">
        <v>1</v>
      </c>
      <c r="J35" s="194">
        <v>0.5</v>
      </c>
      <c r="K35" s="648">
        <v>0.70903400000000005</v>
      </c>
      <c r="L35" s="648">
        <v>4.3373700000000001E-2</v>
      </c>
      <c r="M35" s="432" t="s">
        <v>3163</v>
      </c>
      <c r="N35" s="432" t="s">
        <v>3164</v>
      </c>
      <c r="O35" s="83" t="s">
        <v>336</v>
      </c>
      <c r="P35" s="83">
        <v>1</v>
      </c>
      <c r="Q35" s="83" t="s">
        <v>257</v>
      </c>
      <c r="R35" s="83" t="s">
        <v>258</v>
      </c>
      <c r="S35" s="83" t="s">
        <v>261</v>
      </c>
      <c r="T35" s="977" t="s">
        <v>255</v>
      </c>
      <c r="U35" s="83"/>
      <c r="V35" s="86"/>
      <c r="Z35" s="319"/>
    </row>
    <row r="36" spans="1:26" ht="15.75" x14ac:dyDescent="0.45">
      <c r="A36" s="79"/>
      <c r="B36" s="103" t="s">
        <v>822</v>
      </c>
      <c r="C36" s="413" t="s">
        <v>2972</v>
      </c>
      <c r="D36" s="106">
        <v>3.0239999999999974</v>
      </c>
      <c r="E36" s="106">
        <v>1</v>
      </c>
      <c r="F36" s="106">
        <v>1</v>
      </c>
      <c r="G36" s="106">
        <v>3</v>
      </c>
      <c r="H36" s="106">
        <v>2</v>
      </c>
      <c r="I36" s="106">
        <v>7</v>
      </c>
      <c r="J36" s="194">
        <v>0.4</v>
      </c>
      <c r="K36" s="648">
        <v>0.45197999999999999</v>
      </c>
      <c r="L36" s="648">
        <v>0.36685499999999999</v>
      </c>
      <c r="M36" s="432" t="s">
        <v>3163</v>
      </c>
      <c r="N36" s="432" t="s">
        <v>3164</v>
      </c>
      <c r="O36" s="83" t="s">
        <v>336</v>
      </c>
      <c r="P36" s="83">
        <v>1</v>
      </c>
      <c r="Q36" s="83" t="s">
        <v>257</v>
      </c>
      <c r="R36" s="83" t="s">
        <v>260</v>
      </c>
      <c r="S36" s="83" t="s">
        <v>261</v>
      </c>
      <c r="T36" s="977" t="s">
        <v>255</v>
      </c>
      <c r="U36" s="83" t="s">
        <v>1625</v>
      </c>
      <c r="V36" s="86"/>
      <c r="Z36" s="319"/>
    </row>
    <row r="37" spans="1:26" ht="15.75" x14ac:dyDescent="0.45">
      <c r="A37" s="79"/>
      <c r="B37" s="103" t="s">
        <v>823</v>
      </c>
      <c r="C37" s="413" t="s">
        <v>274</v>
      </c>
      <c r="D37" s="106">
        <v>0.59</v>
      </c>
      <c r="E37" s="106">
        <v>10</v>
      </c>
      <c r="F37" s="106">
        <v>10</v>
      </c>
      <c r="G37" s="106">
        <v>150</v>
      </c>
      <c r="H37" s="106">
        <v>180</v>
      </c>
      <c r="I37" s="106">
        <v>17</v>
      </c>
      <c r="J37" s="194">
        <v>4</v>
      </c>
      <c r="K37" s="648">
        <v>0.68736299999999995</v>
      </c>
      <c r="L37" s="648">
        <v>272.53899999999999</v>
      </c>
      <c r="M37" s="432" t="s">
        <v>3163</v>
      </c>
      <c r="N37" s="432" t="s">
        <v>3164</v>
      </c>
      <c r="O37" s="83" t="s">
        <v>336</v>
      </c>
      <c r="P37" s="83">
        <v>1</v>
      </c>
      <c r="Q37" s="83" t="s">
        <v>257</v>
      </c>
      <c r="R37" s="83" t="s">
        <v>260</v>
      </c>
      <c r="S37" s="83" t="s">
        <v>261</v>
      </c>
      <c r="T37" s="977" t="s">
        <v>255</v>
      </c>
      <c r="U37" s="83"/>
      <c r="V37" s="86"/>
      <c r="Z37" s="319"/>
    </row>
    <row r="38" spans="1:26" ht="15.75" x14ac:dyDescent="0.45">
      <c r="A38" s="79"/>
      <c r="B38" s="103" t="s">
        <v>824</v>
      </c>
      <c r="C38" s="413" t="s">
        <v>2973</v>
      </c>
      <c r="D38" s="106">
        <v>2.5</v>
      </c>
      <c r="E38" s="106">
        <v>0.5</v>
      </c>
      <c r="F38" s="106">
        <v>0.5</v>
      </c>
      <c r="G38" s="106">
        <v>550</v>
      </c>
      <c r="H38" s="106">
        <v>2</v>
      </c>
      <c r="I38" s="106">
        <v>0.5</v>
      </c>
      <c r="J38" s="194">
        <v>0.5</v>
      </c>
      <c r="K38" s="648">
        <v>2.4279799999999998</v>
      </c>
      <c r="L38" s="648">
        <v>19.215900000000001</v>
      </c>
      <c r="M38" s="432" t="s">
        <v>3163</v>
      </c>
      <c r="N38" s="432" t="s">
        <v>3164</v>
      </c>
      <c r="O38" s="83" t="s">
        <v>791</v>
      </c>
      <c r="P38" s="83">
        <v>1</v>
      </c>
      <c r="Q38" s="83" t="s">
        <v>257</v>
      </c>
      <c r="R38" s="83" t="s">
        <v>258</v>
      </c>
      <c r="S38" s="83" t="s">
        <v>261</v>
      </c>
      <c r="T38" s="977" t="s">
        <v>256</v>
      </c>
      <c r="U38" s="83"/>
      <c r="V38" s="86"/>
      <c r="Z38" s="319"/>
    </row>
    <row r="39" spans="1:26" ht="15.75" x14ac:dyDescent="0.45">
      <c r="A39" s="79"/>
      <c r="B39" s="103" t="s">
        <v>2138</v>
      </c>
      <c r="C39" s="413" t="s">
        <v>2974</v>
      </c>
      <c r="D39" s="1885">
        <v>0.1</v>
      </c>
      <c r="E39" s="1885">
        <v>60</v>
      </c>
      <c r="F39" s="1885">
        <v>60</v>
      </c>
      <c r="G39" s="1885">
        <v>0.1</v>
      </c>
      <c r="H39" s="106">
        <v>0.01</v>
      </c>
      <c r="I39" s="106">
        <v>370</v>
      </c>
      <c r="J39" s="194">
        <v>88.800000000000011</v>
      </c>
      <c r="K39" s="648">
        <v>8.2569900000000002E-2</v>
      </c>
      <c r="L39" s="648" t="s">
        <v>1213</v>
      </c>
      <c r="M39" s="432" t="s">
        <v>3163</v>
      </c>
      <c r="N39" s="432" t="s">
        <v>3164</v>
      </c>
      <c r="O39" s="83" t="s">
        <v>791</v>
      </c>
      <c r="P39" s="83">
        <v>1</v>
      </c>
      <c r="Q39" s="83" t="s">
        <v>257</v>
      </c>
      <c r="R39" s="83" t="s">
        <v>260</v>
      </c>
      <c r="S39" s="83" t="s">
        <v>261</v>
      </c>
      <c r="T39" s="977" t="s">
        <v>256</v>
      </c>
      <c r="U39" s="83" t="s">
        <v>1624</v>
      </c>
      <c r="V39" s="86"/>
      <c r="Z39" s="319"/>
    </row>
    <row r="40" spans="1:26" ht="15.75" x14ac:dyDescent="0.45">
      <c r="A40" s="79"/>
      <c r="B40" s="103" t="s">
        <v>825</v>
      </c>
      <c r="C40" s="413" t="s">
        <v>2975</v>
      </c>
      <c r="D40" s="106">
        <v>0.45</v>
      </c>
      <c r="E40" s="106">
        <v>0.01</v>
      </c>
      <c r="F40" s="106">
        <v>0.01</v>
      </c>
      <c r="G40" s="106">
        <v>0.01</v>
      </c>
      <c r="H40" s="106">
        <v>0.03</v>
      </c>
      <c r="I40" s="106">
        <v>0.03</v>
      </c>
      <c r="J40" s="194">
        <v>0.01</v>
      </c>
      <c r="K40" s="648">
        <v>1.5888599999999999E-2</v>
      </c>
      <c r="L40" s="648">
        <v>1.2206000000000001E-3</v>
      </c>
      <c r="M40" s="432" t="s">
        <v>3163</v>
      </c>
      <c r="N40" s="432" t="s">
        <v>3164</v>
      </c>
      <c r="O40" s="83" t="s">
        <v>791</v>
      </c>
      <c r="P40" s="83">
        <v>1</v>
      </c>
      <c r="Q40" s="83" t="s">
        <v>257</v>
      </c>
      <c r="R40" s="83" t="s">
        <v>258</v>
      </c>
      <c r="S40" s="83" t="s">
        <v>261</v>
      </c>
      <c r="T40" s="977" t="s">
        <v>256</v>
      </c>
      <c r="U40" s="83"/>
      <c r="V40" s="86"/>
      <c r="Z40" s="319"/>
    </row>
    <row r="41" spans="1:26" ht="15.75" x14ac:dyDescent="0.45">
      <c r="A41" s="79"/>
      <c r="B41" s="103" t="s">
        <v>826</v>
      </c>
      <c r="C41" s="413" t="s">
        <v>2976</v>
      </c>
      <c r="D41" s="106">
        <v>0.30619999999999914</v>
      </c>
      <c r="E41" s="106">
        <v>0.5</v>
      </c>
      <c r="F41" s="106">
        <v>0.5</v>
      </c>
      <c r="G41" s="106">
        <v>0.5</v>
      </c>
      <c r="H41" s="106">
        <v>0.5</v>
      </c>
      <c r="I41" s="106">
        <v>2</v>
      </c>
      <c r="J41" s="194">
        <v>0.2</v>
      </c>
      <c r="K41" s="648">
        <v>9.4408400000000003E-2</v>
      </c>
      <c r="L41" s="648">
        <v>0.104129</v>
      </c>
      <c r="M41" s="432" t="s">
        <v>3163</v>
      </c>
      <c r="N41" s="432" t="s">
        <v>3164</v>
      </c>
      <c r="O41" s="83" t="s">
        <v>791</v>
      </c>
      <c r="P41" s="83">
        <v>1</v>
      </c>
      <c r="Q41" s="83" t="s">
        <v>257</v>
      </c>
      <c r="R41" s="83" t="s">
        <v>260</v>
      </c>
      <c r="S41" s="83" t="s">
        <v>261</v>
      </c>
      <c r="T41" s="977" t="s">
        <v>256</v>
      </c>
      <c r="U41" s="83" t="s">
        <v>1625</v>
      </c>
      <c r="V41" s="86"/>
      <c r="Z41" s="319"/>
    </row>
    <row r="42" spans="1:26" ht="15.75" x14ac:dyDescent="0.45">
      <c r="A42" s="79"/>
      <c r="B42" s="103" t="s">
        <v>827</v>
      </c>
      <c r="C42" s="413" t="s">
        <v>2977</v>
      </c>
      <c r="D42" s="106">
        <v>5.8999999999999997E-2</v>
      </c>
      <c r="E42" s="106">
        <v>2</v>
      </c>
      <c r="F42" s="106">
        <v>2</v>
      </c>
      <c r="G42" s="106">
        <v>25</v>
      </c>
      <c r="H42" s="106">
        <v>45</v>
      </c>
      <c r="I42" s="106">
        <v>3</v>
      </c>
      <c r="J42" s="194">
        <v>0.8</v>
      </c>
      <c r="K42" s="648">
        <v>8.42117E-2</v>
      </c>
      <c r="L42" s="648">
        <v>33.584099999999999</v>
      </c>
      <c r="M42" s="432" t="s">
        <v>3163</v>
      </c>
      <c r="N42" s="432" t="s">
        <v>3164</v>
      </c>
      <c r="O42" s="83" t="s">
        <v>791</v>
      </c>
      <c r="P42" s="83">
        <v>1</v>
      </c>
      <c r="Q42" s="83" t="s">
        <v>257</v>
      </c>
      <c r="R42" s="83" t="s">
        <v>260</v>
      </c>
      <c r="S42" s="83" t="s">
        <v>261</v>
      </c>
      <c r="T42" s="977" t="s">
        <v>256</v>
      </c>
      <c r="U42" s="83"/>
      <c r="V42" s="86"/>
      <c r="Z42" s="319"/>
    </row>
    <row r="43" spans="1:26" ht="15.75" x14ac:dyDescent="0.45">
      <c r="A43" s="79"/>
      <c r="B43" s="103" t="s">
        <v>828</v>
      </c>
      <c r="C43" s="413" t="s">
        <v>2978</v>
      </c>
      <c r="D43" s="106" t="s">
        <v>1213</v>
      </c>
      <c r="E43" s="106">
        <v>2</v>
      </c>
      <c r="F43" s="106">
        <v>2</v>
      </c>
      <c r="G43" s="106" t="s">
        <v>1213</v>
      </c>
      <c r="H43" s="106">
        <v>2</v>
      </c>
      <c r="I43" s="106">
        <v>2</v>
      </c>
      <c r="J43" s="194" t="s">
        <v>1213</v>
      </c>
      <c r="K43" s="648">
        <v>6.7276000000000002E-2</v>
      </c>
      <c r="L43" s="648" t="s">
        <v>1213</v>
      </c>
      <c r="M43" s="432" t="s">
        <v>3163</v>
      </c>
      <c r="N43" s="432" t="s">
        <v>3164</v>
      </c>
      <c r="O43" s="83" t="s">
        <v>829</v>
      </c>
      <c r="P43" s="83">
        <v>1</v>
      </c>
      <c r="Q43" s="83" t="s">
        <v>257</v>
      </c>
      <c r="R43" s="83" t="s">
        <v>258</v>
      </c>
      <c r="S43" s="83" t="s">
        <v>801</v>
      </c>
      <c r="T43" s="977" t="s">
        <v>4943</v>
      </c>
      <c r="U43" s="83"/>
      <c r="V43" s="86"/>
      <c r="Z43" s="319"/>
    </row>
    <row r="44" spans="1:26" ht="15.75" x14ac:dyDescent="0.45">
      <c r="A44" s="79"/>
      <c r="B44" s="103" t="s">
        <v>830</v>
      </c>
      <c r="C44" s="413" t="s">
        <v>2979</v>
      </c>
      <c r="D44" s="106" t="s">
        <v>1213</v>
      </c>
      <c r="E44" s="106">
        <v>0.01</v>
      </c>
      <c r="F44" s="106">
        <v>0.01</v>
      </c>
      <c r="G44" s="106">
        <v>10</v>
      </c>
      <c r="H44" s="106">
        <v>2.5</v>
      </c>
      <c r="I44" s="106">
        <v>0.5</v>
      </c>
      <c r="J44" s="194">
        <v>0.01</v>
      </c>
      <c r="K44" s="648">
        <v>4.4111200000000001E-3</v>
      </c>
      <c r="L44" s="648">
        <v>19.5669</v>
      </c>
      <c r="M44" s="432" t="s">
        <v>3163</v>
      </c>
      <c r="N44" s="432" t="s">
        <v>3164</v>
      </c>
      <c r="O44" s="83" t="s">
        <v>321</v>
      </c>
      <c r="P44" s="83">
        <v>1</v>
      </c>
      <c r="Q44" s="83" t="s">
        <v>257</v>
      </c>
      <c r="R44" s="83" t="s">
        <v>258</v>
      </c>
      <c r="S44" s="83" t="s">
        <v>261</v>
      </c>
      <c r="T44" s="977" t="s">
        <v>148</v>
      </c>
      <c r="U44" s="83"/>
      <c r="V44" s="86"/>
      <c r="Z44" s="319"/>
    </row>
    <row r="45" spans="1:26" ht="15.75" x14ac:dyDescent="0.45">
      <c r="A45" s="79"/>
      <c r="B45" s="103" t="s">
        <v>831</v>
      </c>
      <c r="C45" s="413" t="s">
        <v>2980</v>
      </c>
      <c r="D45" s="106" t="s">
        <v>1213</v>
      </c>
      <c r="E45" s="106">
        <v>0.01</v>
      </c>
      <c r="F45" s="106">
        <v>0.01</v>
      </c>
      <c r="G45" s="106">
        <v>10</v>
      </c>
      <c r="H45" s="106">
        <v>0.01</v>
      </c>
      <c r="I45" s="106">
        <v>1</v>
      </c>
      <c r="J45" s="194">
        <v>0.01</v>
      </c>
      <c r="K45" s="648">
        <v>2.7829099999999999E-2</v>
      </c>
      <c r="L45" s="648">
        <v>1.1259999999999999E-2</v>
      </c>
      <c r="M45" s="432" t="s">
        <v>3163</v>
      </c>
      <c r="N45" s="432" t="s">
        <v>3164</v>
      </c>
      <c r="O45" s="83" t="s">
        <v>321</v>
      </c>
      <c r="P45" s="83">
        <v>1</v>
      </c>
      <c r="Q45" s="83" t="s">
        <v>257</v>
      </c>
      <c r="R45" s="83" t="s">
        <v>258</v>
      </c>
      <c r="S45" s="83" t="s">
        <v>261</v>
      </c>
      <c r="T45" s="977" t="s">
        <v>148</v>
      </c>
      <c r="U45" s="83"/>
      <c r="V45" s="86"/>
      <c r="Z45" s="319"/>
    </row>
    <row r="46" spans="1:26" ht="15.75" x14ac:dyDescent="0.45">
      <c r="A46" s="79"/>
      <c r="B46" s="103" t="s">
        <v>832</v>
      </c>
      <c r="C46" s="414" t="s">
        <v>2981</v>
      </c>
      <c r="D46" s="375">
        <v>90</v>
      </c>
      <c r="E46" s="375">
        <v>74</v>
      </c>
      <c r="F46" s="375">
        <v>74</v>
      </c>
      <c r="G46" s="375">
        <v>136</v>
      </c>
      <c r="H46" s="375">
        <v>123</v>
      </c>
      <c r="I46" s="375">
        <v>55</v>
      </c>
      <c r="J46" s="194">
        <v>74</v>
      </c>
      <c r="K46" s="648">
        <v>50.841299999999997</v>
      </c>
      <c r="L46" s="648">
        <v>82.400999999999996</v>
      </c>
      <c r="M46" s="432" t="s">
        <v>3163</v>
      </c>
      <c r="N46" s="432" t="s">
        <v>3164</v>
      </c>
      <c r="O46" s="83" t="s">
        <v>1135</v>
      </c>
      <c r="P46" s="83">
        <v>1</v>
      </c>
      <c r="Q46" s="83" t="s">
        <v>257</v>
      </c>
      <c r="R46" s="83" t="s">
        <v>258</v>
      </c>
      <c r="S46" s="83" t="s">
        <v>261</v>
      </c>
      <c r="T46" s="977" t="s">
        <v>4944</v>
      </c>
      <c r="U46" s="83"/>
      <c r="V46" s="86"/>
      <c r="Z46" s="319"/>
    </row>
    <row r="47" spans="1:26" ht="15.75" x14ac:dyDescent="0.45">
      <c r="A47" s="79"/>
      <c r="B47" s="103" t="s">
        <v>833</v>
      </c>
      <c r="C47" s="413" t="s">
        <v>2502</v>
      </c>
      <c r="D47" s="106">
        <v>27.7</v>
      </c>
      <c r="E47" s="106">
        <v>460</v>
      </c>
      <c r="F47" s="106">
        <v>460</v>
      </c>
      <c r="G47" s="106">
        <v>6000</v>
      </c>
      <c r="H47" s="106">
        <v>6500</v>
      </c>
      <c r="I47" s="106">
        <v>1100</v>
      </c>
      <c r="J47" s="194">
        <v>184</v>
      </c>
      <c r="K47" s="648">
        <v>37.442</v>
      </c>
      <c r="L47" s="648">
        <v>9764.07</v>
      </c>
      <c r="M47" s="432" t="s">
        <v>3163</v>
      </c>
      <c r="N47" s="432" t="s">
        <v>3164</v>
      </c>
      <c r="O47" s="83" t="s">
        <v>359</v>
      </c>
      <c r="P47" s="83">
        <v>1</v>
      </c>
      <c r="Q47" s="83" t="s">
        <v>257</v>
      </c>
      <c r="R47" s="83" t="s">
        <v>260</v>
      </c>
      <c r="S47" s="83" t="s">
        <v>261</v>
      </c>
      <c r="T47" s="977" t="s">
        <v>4945</v>
      </c>
      <c r="U47" s="83"/>
      <c r="V47" s="86"/>
      <c r="Z47" s="319"/>
    </row>
    <row r="48" spans="1:26" ht="15.75" x14ac:dyDescent="0.45">
      <c r="A48" s="79"/>
      <c r="B48" s="103" t="s">
        <v>1160</v>
      </c>
      <c r="C48" s="413" t="s">
        <v>2982</v>
      </c>
      <c r="D48" s="106">
        <v>109.9</v>
      </c>
      <c r="E48" s="106">
        <v>35</v>
      </c>
      <c r="F48" s="106">
        <v>35</v>
      </c>
      <c r="G48" s="106">
        <v>300</v>
      </c>
      <c r="H48" s="106">
        <v>130</v>
      </c>
      <c r="I48" s="106">
        <v>120</v>
      </c>
      <c r="J48" s="194">
        <v>35</v>
      </c>
      <c r="K48" s="648">
        <v>108.55200000000001</v>
      </c>
      <c r="L48" s="648">
        <v>131.953</v>
      </c>
      <c r="M48" s="432" t="s">
        <v>3163</v>
      </c>
      <c r="N48" s="432" t="s">
        <v>3164</v>
      </c>
      <c r="O48" s="83" t="s">
        <v>1047</v>
      </c>
      <c r="P48" s="83">
        <v>1</v>
      </c>
      <c r="Q48" s="83" t="s">
        <v>257</v>
      </c>
      <c r="R48" s="83" t="s">
        <v>258</v>
      </c>
      <c r="S48" s="83" t="s">
        <v>261</v>
      </c>
      <c r="T48" s="977" t="s">
        <v>1114</v>
      </c>
      <c r="U48" s="83"/>
      <c r="V48" s="86" t="s">
        <v>1063</v>
      </c>
      <c r="Z48" s="319"/>
    </row>
    <row r="49" spans="1:26" ht="15.75" x14ac:dyDescent="0.45">
      <c r="A49" s="79"/>
      <c r="B49" s="103" t="s">
        <v>1161</v>
      </c>
      <c r="C49" s="413" t="s">
        <v>2983</v>
      </c>
      <c r="D49" s="106">
        <v>300</v>
      </c>
      <c r="E49" s="106">
        <v>150</v>
      </c>
      <c r="F49" s="106">
        <v>150</v>
      </c>
      <c r="G49" s="106">
        <v>580</v>
      </c>
      <c r="H49" s="106">
        <v>300</v>
      </c>
      <c r="I49" s="106">
        <v>300</v>
      </c>
      <c r="J49" s="194">
        <v>150</v>
      </c>
      <c r="K49" s="648">
        <v>296.714</v>
      </c>
      <c r="L49" s="648">
        <v>353.74200000000002</v>
      </c>
      <c r="M49" s="432" t="s">
        <v>3163</v>
      </c>
      <c r="N49" s="432" t="s">
        <v>3164</v>
      </c>
      <c r="O49" s="83" t="s">
        <v>1049</v>
      </c>
      <c r="P49" s="83">
        <v>1</v>
      </c>
      <c r="Q49" s="83" t="s">
        <v>257</v>
      </c>
      <c r="R49" s="83" t="s">
        <v>258</v>
      </c>
      <c r="S49" s="83" t="s">
        <v>261</v>
      </c>
      <c r="T49" s="977" t="s">
        <v>142</v>
      </c>
      <c r="U49" s="83"/>
      <c r="V49" s="86" t="s">
        <v>1064</v>
      </c>
      <c r="Z49" s="319"/>
    </row>
    <row r="50" spans="1:26" ht="15.75" x14ac:dyDescent="0.45">
      <c r="A50" s="79"/>
      <c r="B50" s="103" t="s">
        <v>999</v>
      </c>
      <c r="C50" s="413" t="s">
        <v>985</v>
      </c>
      <c r="D50" s="106">
        <v>150</v>
      </c>
      <c r="E50" s="106">
        <v>150</v>
      </c>
      <c r="F50" s="106">
        <v>150</v>
      </c>
      <c r="G50" s="106">
        <v>200</v>
      </c>
      <c r="H50" s="106">
        <v>150</v>
      </c>
      <c r="I50" s="106">
        <v>150</v>
      </c>
      <c r="J50" s="194">
        <v>150</v>
      </c>
      <c r="K50" s="648">
        <v>149.75</v>
      </c>
      <c r="L50" s="648">
        <v>154.28800000000001</v>
      </c>
      <c r="M50" s="432" t="s">
        <v>3163</v>
      </c>
      <c r="N50" s="432" t="s">
        <v>3164</v>
      </c>
      <c r="O50" s="83" t="s">
        <v>986</v>
      </c>
      <c r="P50" s="83">
        <v>1</v>
      </c>
      <c r="Q50" s="83" t="s">
        <v>257</v>
      </c>
      <c r="R50" s="83" t="s">
        <v>258</v>
      </c>
      <c r="S50" s="83" t="s">
        <v>261</v>
      </c>
      <c r="T50" s="977" t="s">
        <v>987</v>
      </c>
      <c r="U50" s="83"/>
      <c r="V50" s="86"/>
      <c r="Z50" s="319"/>
    </row>
    <row r="51" spans="1:26" ht="15.75" x14ac:dyDescent="0.45">
      <c r="A51" s="79"/>
      <c r="B51" s="103" t="s">
        <v>834</v>
      </c>
      <c r="C51" s="413" t="s">
        <v>354</v>
      </c>
      <c r="D51" s="106">
        <v>15</v>
      </c>
      <c r="E51" s="106">
        <v>15</v>
      </c>
      <c r="F51" s="106">
        <v>15</v>
      </c>
      <c r="G51" s="106">
        <v>120</v>
      </c>
      <c r="H51" s="106">
        <v>15</v>
      </c>
      <c r="I51" s="106">
        <v>7</v>
      </c>
      <c r="J51" s="194">
        <v>15</v>
      </c>
      <c r="K51" s="648">
        <v>14.7593</v>
      </c>
      <c r="L51" s="648">
        <v>19.373799999999999</v>
      </c>
      <c r="M51" s="432" t="s">
        <v>3163</v>
      </c>
      <c r="N51" s="432" t="s">
        <v>3164</v>
      </c>
      <c r="O51" s="83" t="s">
        <v>835</v>
      </c>
      <c r="P51" s="83">
        <v>1</v>
      </c>
      <c r="Q51" s="83" t="s">
        <v>257</v>
      </c>
      <c r="R51" s="83" t="s">
        <v>258</v>
      </c>
      <c r="S51" s="83" t="s">
        <v>261</v>
      </c>
      <c r="T51" s="977" t="s">
        <v>988</v>
      </c>
      <c r="U51" s="83"/>
      <c r="V51" s="86"/>
      <c r="Z51" s="319"/>
    </row>
    <row r="52" spans="1:26" ht="15.75" x14ac:dyDescent="0.45">
      <c r="A52" s="79"/>
      <c r="B52" s="103" t="s">
        <v>1045</v>
      </c>
      <c r="C52" s="413" t="s">
        <v>1046</v>
      </c>
      <c r="D52" s="106">
        <v>16</v>
      </c>
      <c r="E52" s="106">
        <v>15</v>
      </c>
      <c r="F52" s="106">
        <v>15</v>
      </c>
      <c r="G52" s="106">
        <v>170</v>
      </c>
      <c r="H52" s="106">
        <v>16</v>
      </c>
      <c r="I52" s="106">
        <v>5</v>
      </c>
      <c r="J52" s="194">
        <v>15</v>
      </c>
      <c r="K52" s="648">
        <v>16.0077</v>
      </c>
      <c r="L52" s="648">
        <v>16.0749</v>
      </c>
      <c r="M52" s="432" t="s">
        <v>3163</v>
      </c>
      <c r="N52" s="432" t="s">
        <v>3164</v>
      </c>
      <c r="O52" s="83" t="s">
        <v>1048</v>
      </c>
      <c r="P52" s="83">
        <v>1</v>
      </c>
      <c r="Q52" s="83" t="s">
        <v>257</v>
      </c>
      <c r="R52" s="83" t="s">
        <v>258</v>
      </c>
      <c r="S52" s="83" t="s">
        <v>261</v>
      </c>
      <c r="T52" s="977" t="s">
        <v>475</v>
      </c>
      <c r="U52" s="83"/>
      <c r="V52" s="86"/>
      <c r="Z52" s="319"/>
    </row>
    <row r="53" spans="1:26" s="70" customFormat="1" ht="15.75" x14ac:dyDescent="0.45">
      <c r="B53" s="2490" t="s">
        <v>5372</v>
      </c>
      <c r="C53" s="2488" t="s">
        <v>5373</v>
      </c>
      <c r="D53" s="2288">
        <v>1</v>
      </c>
      <c r="E53" s="2288">
        <v>0.01</v>
      </c>
      <c r="F53" s="2288">
        <v>0.01</v>
      </c>
      <c r="G53" s="2288">
        <v>45</v>
      </c>
      <c r="H53" s="2288">
        <v>0.01</v>
      </c>
      <c r="I53" s="2288">
        <v>0.05</v>
      </c>
      <c r="J53" s="648">
        <v>0.01</v>
      </c>
      <c r="K53" s="648">
        <v>0.01</v>
      </c>
      <c r="L53" s="648">
        <v>1.0436700000000001</v>
      </c>
      <c r="M53" s="2290" t="s">
        <v>3163</v>
      </c>
      <c r="N53" s="2290" t="s">
        <v>3164</v>
      </c>
      <c r="O53" s="2290" t="s">
        <v>5374</v>
      </c>
      <c r="P53" s="2290">
        <v>1</v>
      </c>
      <c r="Q53" s="2290" t="s">
        <v>257</v>
      </c>
      <c r="R53" s="2290" t="s">
        <v>258</v>
      </c>
      <c r="S53" s="2290" t="s">
        <v>261</v>
      </c>
      <c r="T53" s="2290" t="s">
        <v>258</v>
      </c>
      <c r="U53" s="2228"/>
      <c r="V53" s="2491"/>
    </row>
    <row r="54" spans="1:26" s="70" customFormat="1" ht="15.75" x14ac:dyDescent="0.45">
      <c r="B54" s="2490" t="s">
        <v>5375</v>
      </c>
      <c r="C54" s="2488" t="s">
        <v>5376</v>
      </c>
      <c r="D54" s="2288">
        <v>18</v>
      </c>
      <c r="E54" s="2288">
        <v>17</v>
      </c>
      <c r="F54" s="2288">
        <v>17</v>
      </c>
      <c r="G54" s="2288">
        <v>2</v>
      </c>
      <c r="H54" s="2288">
        <v>17</v>
      </c>
      <c r="I54" s="2288">
        <v>5</v>
      </c>
      <c r="J54" s="648">
        <v>17</v>
      </c>
      <c r="K54" s="648">
        <v>17</v>
      </c>
      <c r="L54" s="648">
        <v>2.4704199999999998</v>
      </c>
      <c r="M54" s="2290" t="s">
        <v>3163</v>
      </c>
      <c r="N54" s="2290" t="s">
        <v>3164</v>
      </c>
      <c r="O54" s="2290" t="s">
        <v>5374</v>
      </c>
      <c r="P54" s="2290">
        <v>1</v>
      </c>
      <c r="Q54" s="2290" t="s">
        <v>257</v>
      </c>
      <c r="R54" s="2290" t="s">
        <v>258</v>
      </c>
      <c r="S54" s="2290" t="s">
        <v>261</v>
      </c>
      <c r="T54" s="2290" t="s">
        <v>258</v>
      </c>
      <c r="U54" s="2228"/>
      <c r="V54" s="2491"/>
    </row>
    <row r="55" spans="1:26" s="70" customFormat="1" ht="15.75" x14ac:dyDescent="0.45">
      <c r="B55" s="2490" t="s">
        <v>5377</v>
      </c>
      <c r="C55" s="2488" t="s">
        <v>5378</v>
      </c>
      <c r="D55" s="2288" t="s">
        <v>1213</v>
      </c>
      <c r="E55" s="2290">
        <v>0.01</v>
      </c>
      <c r="F55" s="2290">
        <v>0.01</v>
      </c>
      <c r="G55" s="2290">
        <v>0.01</v>
      </c>
      <c r="H55" s="2290">
        <v>0.01</v>
      </c>
      <c r="I55" s="2290">
        <v>0.01</v>
      </c>
      <c r="J55" s="648">
        <v>4.0000000000000001E-3</v>
      </c>
      <c r="K55" s="648">
        <v>4.0000000000000001E-3</v>
      </c>
      <c r="L55" s="648">
        <v>1.6402699999999999</v>
      </c>
      <c r="M55" s="2290" t="s">
        <v>3163</v>
      </c>
      <c r="N55" s="2290" t="s">
        <v>3164</v>
      </c>
      <c r="O55" s="2290" t="s">
        <v>5374</v>
      </c>
      <c r="P55" s="2290">
        <v>1</v>
      </c>
      <c r="Q55" s="2290" t="s">
        <v>257</v>
      </c>
      <c r="R55" s="2290" t="s">
        <v>260</v>
      </c>
      <c r="S55" s="2290" t="s">
        <v>261</v>
      </c>
      <c r="T55" s="2290" t="s">
        <v>258</v>
      </c>
      <c r="U55" s="2228"/>
      <c r="V55" s="2491"/>
    </row>
    <row r="56" spans="1:26" ht="18.75" customHeight="1" x14ac:dyDescent="0.45">
      <c r="B56" s="110" t="s">
        <v>1604</v>
      </c>
      <c r="C56" s="413" t="s">
        <v>2984</v>
      </c>
      <c r="D56" s="106" t="s">
        <v>1213</v>
      </c>
      <c r="E56" s="108">
        <v>1E-50</v>
      </c>
      <c r="F56" s="108" t="s">
        <v>1213</v>
      </c>
      <c r="G56" s="108" t="s">
        <v>1213</v>
      </c>
      <c r="H56" s="108" t="s">
        <v>1213</v>
      </c>
      <c r="I56" s="108" t="s">
        <v>1213</v>
      </c>
      <c r="J56" s="194" t="s">
        <v>1213</v>
      </c>
      <c r="K56" s="648">
        <v>4.1078099999999999E-3</v>
      </c>
      <c r="L56" s="648">
        <v>8.4526400000000002E-2</v>
      </c>
      <c r="M56" s="432" t="s">
        <v>3163</v>
      </c>
      <c r="N56" s="432" t="s">
        <v>3164</v>
      </c>
      <c r="O56" s="83" t="s">
        <v>837</v>
      </c>
      <c r="P56" s="83">
        <v>1</v>
      </c>
      <c r="Q56" s="83" t="s">
        <v>257</v>
      </c>
      <c r="R56" s="83" t="s">
        <v>258</v>
      </c>
      <c r="S56" s="83" t="s">
        <v>261</v>
      </c>
      <c r="T56" s="977" t="s">
        <v>3054</v>
      </c>
      <c r="U56" s="83"/>
      <c r="V56" s="107"/>
      <c r="Z56" s="319"/>
    </row>
    <row r="57" spans="1:26" ht="15.75" x14ac:dyDescent="0.45">
      <c r="B57" s="103" t="s">
        <v>839</v>
      </c>
      <c r="C57" s="413" t="s">
        <v>2985</v>
      </c>
      <c r="D57" s="106" t="s">
        <v>1213</v>
      </c>
      <c r="E57" s="108">
        <v>1E-50</v>
      </c>
      <c r="F57" s="106" t="s">
        <v>1213</v>
      </c>
      <c r="G57" s="106" t="s">
        <v>1213</v>
      </c>
      <c r="H57" s="106" t="s">
        <v>1213</v>
      </c>
      <c r="I57" s="108" t="s">
        <v>1213</v>
      </c>
      <c r="J57" s="194" t="s">
        <v>1213</v>
      </c>
      <c r="K57" s="648" t="s">
        <v>1213</v>
      </c>
      <c r="L57" s="648" t="s">
        <v>1213</v>
      </c>
      <c r="M57" s="432" t="s">
        <v>3163</v>
      </c>
      <c r="N57" s="432" t="s">
        <v>3164</v>
      </c>
      <c r="O57" s="83" t="s">
        <v>837</v>
      </c>
      <c r="P57" s="83">
        <v>1</v>
      </c>
      <c r="Q57" s="83" t="s">
        <v>257</v>
      </c>
      <c r="R57" s="83" t="s">
        <v>260</v>
      </c>
      <c r="S57" s="83" t="s">
        <v>261</v>
      </c>
      <c r="T57" s="977" t="s">
        <v>3054</v>
      </c>
      <c r="U57" s="83"/>
      <c r="V57" s="107"/>
      <c r="Z57" s="319"/>
    </row>
    <row r="58" spans="1:26" ht="15.75" x14ac:dyDescent="0.45">
      <c r="B58" s="103" t="s">
        <v>838</v>
      </c>
      <c r="C58" s="413" t="s">
        <v>2986</v>
      </c>
      <c r="D58" s="106" t="s">
        <v>1213</v>
      </c>
      <c r="E58" s="108">
        <v>1E-50</v>
      </c>
      <c r="F58" s="106" t="s">
        <v>1213</v>
      </c>
      <c r="G58" s="106" t="s">
        <v>1213</v>
      </c>
      <c r="H58" s="106" t="s">
        <v>1213</v>
      </c>
      <c r="I58" s="108" t="s">
        <v>1213</v>
      </c>
      <c r="J58" s="194" t="s">
        <v>1213</v>
      </c>
      <c r="K58" s="648" t="s">
        <v>1213</v>
      </c>
      <c r="L58" s="648" t="s">
        <v>1213</v>
      </c>
      <c r="M58" s="432" t="s">
        <v>3163</v>
      </c>
      <c r="N58" s="432" t="s">
        <v>3164</v>
      </c>
      <c r="O58" s="83" t="s">
        <v>837</v>
      </c>
      <c r="P58" s="83">
        <v>1</v>
      </c>
      <c r="Q58" s="83" t="s">
        <v>257</v>
      </c>
      <c r="R58" s="83" t="s">
        <v>260</v>
      </c>
      <c r="S58" s="83" t="s">
        <v>261</v>
      </c>
      <c r="T58" s="977" t="s">
        <v>3054</v>
      </c>
      <c r="U58" s="83"/>
      <c r="V58" s="107"/>
      <c r="Z58" s="319"/>
    </row>
    <row r="59" spans="1:26" ht="18.75" customHeight="1" x14ac:dyDescent="0.45">
      <c r="B59" s="110" t="s">
        <v>464</v>
      </c>
      <c r="C59" s="413" t="s">
        <v>2987</v>
      </c>
      <c r="D59" s="1886">
        <v>0.01</v>
      </c>
      <c r="E59" s="1886">
        <v>0.01</v>
      </c>
      <c r="F59" s="106" t="s">
        <v>1213</v>
      </c>
      <c r="G59" s="106" t="s">
        <v>1213</v>
      </c>
      <c r="H59" s="106" t="s">
        <v>1213</v>
      </c>
      <c r="I59" s="108" t="s">
        <v>1213</v>
      </c>
      <c r="J59" s="194" t="s">
        <v>1213</v>
      </c>
      <c r="K59" s="648">
        <v>9.2897199999999996E-3</v>
      </c>
      <c r="L59" s="648">
        <v>2.9927600000000001E-3</v>
      </c>
      <c r="M59" s="432" t="s">
        <v>3163</v>
      </c>
      <c r="N59" s="432" t="s">
        <v>3164</v>
      </c>
      <c r="O59" s="83" t="s">
        <v>837</v>
      </c>
      <c r="P59" s="83">
        <v>1</v>
      </c>
      <c r="Q59" s="83" t="s">
        <v>257</v>
      </c>
      <c r="R59" s="83" t="s">
        <v>260</v>
      </c>
      <c r="S59" s="83" t="s">
        <v>261</v>
      </c>
      <c r="T59" s="977" t="s">
        <v>3054</v>
      </c>
      <c r="U59" s="83"/>
      <c r="V59" s="107"/>
      <c r="Z59" s="319"/>
    </row>
    <row r="60" spans="1:26" ht="15.75" x14ac:dyDescent="0.45">
      <c r="B60" s="103" t="s">
        <v>463</v>
      </c>
      <c r="C60" s="413" t="s">
        <v>2988</v>
      </c>
      <c r="D60" s="106" t="s">
        <v>1213</v>
      </c>
      <c r="E60" s="108">
        <v>1E-50</v>
      </c>
      <c r="F60" s="106" t="s">
        <v>1213</v>
      </c>
      <c r="G60" s="106" t="s">
        <v>1213</v>
      </c>
      <c r="H60" s="106" t="s">
        <v>1213</v>
      </c>
      <c r="I60" s="108" t="s">
        <v>1213</v>
      </c>
      <c r="J60" s="194" t="s">
        <v>1213</v>
      </c>
      <c r="K60" s="648" t="s">
        <v>1213</v>
      </c>
      <c r="L60" s="648" t="s">
        <v>1213</v>
      </c>
      <c r="M60" s="432" t="s">
        <v>3163</v>
      </c>
      <c r="N60" s="432" t="s">
        <v>3164</v>
      </c>
      <c r="O60" s="83" t="s">
        <v>837</v>
      </c>
      <c r="P60" s="83">
        <v>1</v>
      </c>
      <c r="Q60" s="83" t="s">
        <v>257</v>
      </c>
      <c r="R60" s="83" t="s">
        <v>260</v>
      </c>
      <c r="S60" s="83" t="s">
        <v>261</v>
      </c>
      <c r="T60" s="977" t="s">
        <v>3054</v>
      </c>
      <c r="U60" s="83"/>
      <c r="V60" s="107"/>
      <c r="Z60" s="319"/>
    </row>
    <row r="61" spans="1:26" ht="15.75" x14ac:dyDescent="0.45">
      <c r="B61" s="103" t="s">
        <v>462</v>
      </c>
      <c r="C61" s="413" t="s">
        <v>2989</v>
      </c>
      <c r="D61" s="106" t="s">
        <v>1213</v>
      </c>
      <c r="E61" s="108">
        <v>1E-50</v>
      </c>
      <c r="F61" s="106" t="s">
        <v>1213</v>
      </c>
      <c r="G61" s="106" t="s">
        <v>1213</v>
      </c>
      <c r="H61" s="106" t="s">
        <v>1213</v>
      </c>
      <c r="I61" s="108" t="s">
        <v>1213</v>
      </c>
      <c r="J61" s="194" t="s">
        <v>1213</v>
      </c>
      <c r="K61" s="648" t="s">
        <v>1213</v>
      </c>
      <c r="L61" s="648" t="s">
        <v>1213</v>
      </c>
      <c r="M61" s="432" t="s">
        <v>3163</v>
      </c>
      <c r="N61" s="432" t="s">
        <v>3164</v>
      </c>
      <c r="O61" s="83" t="s">
        <v>837</v>
      </c>
      <c r="P61" s="83">
        <v>1</v>
      </c>
      <c r="Q61" s="83" t="s">
        <v>257</v>
      </c>
      <c r="R61" s="83" t="s">
        <v>260</v>
      </c>
      <c r="S61" s="83" t="s">
        <v>261</v>
      </c>
      <c r="T61" s="977" t="s">
        <v>3054</v>
      </c>
      <c r="U61" s="83"/>
      <c r="V61" s="107"/>
      <c r="Z61" s="319"/>
    </row>
    <row r="62" spans="1:26" s="3" customFormat="1" ht="15.75" x14ac:dyDescent="0.45">
      <c r="A62" s="5"/>
      <c r="B62" s="109" t="s">
        <v>846</v>
      </c>
      <c r="C62" s="413" t="s">
        <v>2990</v>
      </c>
      <c r="D62" s="106" t="s">
        <v>1213</v>
      </c>
      <c r="E62" s="108">
        <v>1E-50</v>
      </c>
      <c r="F62" s="108" t="s">
        <v>1213</v>
      </c>
      <c r="G62" s="108" t="s">
        <v>1213</v>
      </c>
      <c r="H62" s="108" t="s">
        <v>1213</v>
      </c>
      <c r="I62" s="108" t="s">
        <v>1213</v>
      </c>
      <c r="J62" s="194" t="s">
        <v>1213</v>
      </c>
      <c r="K62" s="648" t="s">
        <v>1213</v>
      </c>
      <c r="L62" s="648" t="s">
        <v>1213</v>
      </c>
      <c r="M62" s="432" t="s">
        <v>3163</v>
      </c>
      <c r="N62" s="432" t="s">
        <v>3164</v>
      </c>
      <c r="O62" s="83" t="s">
        <v>469</v>
      </c>
      <c r="P62" s="83">
        <v>1</v>
      </c>
      <c r="Q62" s="83" t="s">
        <v>257</v>
      </c>
      <c r="R62" s="83" t="s">
        <v>260</v>
      </c>
      <c r="S62" s="83" t="s">
        <v>261</v>
      </c>
      <c r="T62" s="977" t="s">
        <v>3054</v>
      </c>
      <c r="U62" s="83"/>
      <c r="V62" s="107"/>
      <c r="Z62" s="320"/>
    </row>
    <row r="63" spans="1:26" s="3" customFormat="1" ht="15.75" x14ac:dyDescent="0.45">
      <c r="A63" s="5"/>
      <c r="B63" s="109" t="s">
        <v>847</v>
      </c>
      <c r="C63" s="413" t="s">
        <v>2991</v>
      </c>
      <c r="D63" s="106" t="s">
        <v>1213</v>
      </c>
      <c r="E63" s="108">
        <v>1E-50</v>
      </c>
      <c r="F63" s="108" t="s">
        <v>1213</v>
      </c>
      <c r="G63" s="108" t="s">
        <v>1213</v>
      </c>
      <c r="H63" s="108" t="s">
        <v>1213</v>
      </c>
      <c r="I63" s="108" t="s">
        <v>1213</v>
      </c>
      <c r="J63" s="194" t="s">
        <v>1213</v>
      </c>
      <c r="K63" s="648" t="s">
        <v>1213</v>
      </c>
      <c r="L63" s="648" t="s">
        <v>1213</v>
      </c>
      <c r="M63" s="432" t="s">
        <v>3163</v>
      </c>
      <c r="N63" s="432" t="s">
        <v>3164</v>
      </c>
      <c r="O63" s="83" t="s">
        <v>469</v>
      </c>
      <c r="P63" s="83">
        <v>1</v>
      </c>
      <c r="Q63" s="83" t="s">
        <v>257</v>
      </c>
      <c r="R63" s="83" t="s">
        <v>260</v>
      </c>
      <c r="S63" s="83" t="s">
        <v>261</v>
      </c>
      <c r="T63" s="977" t="s">
        <v>3054</v>
      </c>
      <c r="U63" s="83"/>
      <c r="V63" s="107"/>
      <c r="Z63" s="320"/>
    </row>
    <row r="64" spans="1:26" s="70" customFormat="1" ht="15.75" x14ac:dyDescent="0.45">
      <c r="B64" s="882" t="s">
        <v>4325</v>
      </c>
      <c r="C64" s="646" t="s">
        <v>4326</v>
      </c>
      <c r="D64" s="647" t="s">
        <v>1213</v>
      </c>
      <c r="E64" s="883">
        <v>1E-50</v>
      </c>
      <c r="F64" s="883" t="s">
        <v>1213</v>
      </c>
      <c r="G64" s="883" t="s">
        <v>1213</v>
      </c>
      <c r="H64" s="883" t="s">
        <v>1213</v>
      </c>
      <c r="I64" s="647" t="s">
        <v>1213</v>
      </c>
      <c r="J64" s="648" t="s">
        <v>1213</v>
      </c>
      <c r="K64" s="648" t="s">
        <v>1213</v>
      </c>
      <c r="L64" s="648" t="s">
        <v>1213</v>
      </c>
      <c r="M64" s="623" t="s">
        <v>3163</v>
      </c>
      <c r="N64" s="623" t="s">
        <v>3164</v>
      </c>
      <c r="O64" s="623" t="s">
        <v>4327</v>
      </c>
      <c r="P64" s="623">
        <v>1</v>
      </c>
      <c r="Q64" s="623" t="s">
        <v>257</v>
      </c>
      <c r="R64" s="623" t="s">
        <v>260</v>
      </c>
      <c r="S64" s="623" t="s">
        <v>261</v>
      </c>
      <c r="T64" s="977" t="s">
        <v>3055</v>
      </c>
      <c r="U64" s="671"/>
      <c r="V64" s="826"/>
    </row>
    <row r="65" spans="2:26" s="70" customFormat="1" ht="15.75" x14ac:dyDescent="0.45">
      <c r="B65" s="882" t="s">
        <v>4328</v>
      </c>
      <c r="C65" s="646" t="s">
        <v>4329</v>
      </c>
      <c r="D65" s="647" t="s">
        <v>1213</v>
      </c>
      <c r="E65" s="883">
        <v>1E-50</v>
      </c>
      <c r="F65" s="883" t="s">
        <v>1213</v>
      </c>
      <c r="G65" s="883" t="s">
        <v>1213</v>
      </c>
      <c r="H65" s="883" t="s">
        <v>1213</v>
      </c>
      <c r="I65" s="647" t="s">
        <v>1213</v>
      </c>
      <c r="J65" s="648" t="s">
        <v>1213</v>
      </c>
      <c r="K65" s="648" t="s">
        <v>1213</v>
      </c>
      <c r="L65" s="648" t="s">
        <v>1213</v>
      </c>
      <c r="M65" s="623" t="s">
        <v>3163</v>
      </c>
      <c r="N65" s="623" t="s">
        <v>3164</v>
      </c>
      <c r="O65" s="623" t="s">
        <v>4327</v>
      </c>
      <c r="P65" s="623">
        <v>1</v>
      </c>
      <c r="Q65" s="623" t="s">
        <v>257</v>
      </c>
      <c r="R65" s="623" t="s">
        <v>260</v>
      </c>
      <c r="S65" s="623" t="s">
        <v>261</v>
      </c>
      <c r="T65" s="977" t="s">
        <v>3055</v>
      </c>
      <c r="U65" s="671"/>
      <c r="V65" s="826"/>
    </row>
    <row r="66" spans="2:26" s="70" customFormat="1" ht="15.75" x14ac:dyDescent="0.45">
      <c r="B66" s="882" t="s">
        <v>4330</v>
      </c>
      <c r="C66" s="646" t="s">
        <v>4331</v>
      </c>
      <c r="D66" s="884">
        <v>0.01</v>
      </c>
      <c r="E66" s="884">
        <v>0.01</v>
      </c>
      <c r="F66" s="883" t="s">
        <v>1213</v>
      </c>
      <c r="G66" s="883" t="s">
        <v>1213</v>
      </c>
      <c r="H66" s="883" t="s">
        <v>1213</v>
      </c>
      <c r="I66" s="647" t="s">
        <v>1213</v>
      </c>
      <c r="J66" s="648" t="s">
        <v>1213</v>
      </c>
      <c r="K66" s="648">
        <v>9.0579700000000003E-3</v>
      </c>
      <c r="L66" s="648">
        <v>3.5940699999999999</v>
      </c>
      <c r="M66" s="623" t="s">
        <v>3163</v>
      </c>
      <c r="N66" s="623" t="s">
        <v>3164</v>
      </c>
      <c r="O66" s="623" t="s">
        <v>4327</v>
      </c>
      <c r="P66" s="623">
        <v>1</v>
      </c>
      <c r="Q66" s="623" t="s">
        <v>257</v>
      </c>
      <c r="R66" s="623" t="s">
        <v>260</v>
      </c>
      <c r="S66" s="623" t="s">
        <v>261</v>
      </c>
      <c r="T66" s="977" t="s">
        <v>3055</v>
      </c>
      <c r="U66" s="671"/>
      <c r="V66" s="826"/>
    </row>
    <row r="67" spans="2:26" s="70" customFormat="1" ht="15.75" x14ac:dyDescent="0.45">
      <c r="B67" s="882" t="s">
        <v>4332</v>
      </c>
      <c r="C67" s="646" t="s">
        <v>4333</v>
      </c>
      <c r="D67" s="647" t="s">
        <v>1213</v>
      </c>
      <c r="E67" s="883">
        <v>1E-50</v>
      </c>
      <c r="F67" s="883" t="s">
        <v>1213</v>
      </c>
      <c r="G67" s="883" t="s">
        <v>1213</v>
      </c>
      <c r="H67" s="883" t="s">
        <v>1213</v>
      </c>
      <c r="I67" s="647" t="s">
        <v>1213</v>
      </c>
      <c r="J67" s="648" t="s">
        <v>1213</v>
      </c>
      <c r="K67" s="648" t="s">
        <v>1213</v>
      </c>
      <c r="L67" s="648" t="s">
        <v>1213</v>
      </c>
      <c r="M67" s="623" t="s">
        <v>3163</v>
      </c>
      <c r="N67" s="623" t="s">
        <v>3164</v>
      </c>
      <c r="O67" s="623" t="s">
        <v>4327</v>
      </c>
      <c r="P67" s="623">
        <v>1</v>
      </c>
      <c r="Q67" s="623" t="s">
        <v>257</v>
      </c>
      <c r="R67" s="623" t="s">
        <v>260</v>
      </c>
      <c r="S67" s="623" t="s">
        <v>261</v>
      </c>
      <c r="T67" s="977" t="s">
        <v>3055</v>
      </c>
      <c r="U67" s="671"/>
      <c r="V67" s="826"/>
    </row>
    <row r="68" spans="2:26" s="70" customFormat="1" ht="15.75" x14ac:dyDescent="0.45">
      <c r="B68" s="882" t="s">
        <v>4334</v>
      </c>
      <c r="C68" s="646" t="s">
        <v>4335</v>
      </c>
      <c r="D68" s="647" t="s">
        <v>1213</v>
      </c>
      <c r="E68" s="883">
        <v>1E-50</v>
      </c>
      <c r="F68" s="883" t="s">
        <v>1213</v>
      </c>
      <c r="G68" s="883" t="s">
        <v>1213</v>
      </c>
      <c r="H68" s="883" t="s">
        <v>1213</v>
      </c>
      <c r="I68" s="647" t="s">
        <v>1213</v>
      </c>
      <c r="J68" s="648" t="s">
        <v>1213</v>
      </c>
      <c r="K68" s="648" t="s">
        <v>1213</v>
      </c>
      <c r="L68" s="648" t="s">
        <v>1213</v>
      </c>
      <c r="M68" s="623" t="s">
        <v>3163</v>
      </c>
      <c r="N68" s="623" t="s">
        <v>3164</v>
      </c>
      <c r="O68" s="623" t="s">
        <v>4327</v>
      </c>
      <c r="P68" s="623">
        <v>1</v>
      </c>
      <c r="Q68" s="623" t="s">
        <v>257</v>
      </c>
      <c r="R68" s="623" t="s">
        <v>260</v>
      </c>
      <c r="S68" s="623" t="s">
        <v>261</v>
      </c>
      <c r="T68" s="977" t="s">
        <v>3055</v>
      </c>
      <c r="U68" s="671"/>
      <c r="V68" s="826"/>
    </row>
    <row r="69" spans="2:26" s="70" customFormat="1" ht="15.75" x14ac:dyDescent="0.45">
      <c r="B69" s="882" t="s">
        <v>4336</v>
      </c>
      <c r="C69" s="646" t="s">
        <v>4337</v>
      </c>
      <c r="D69" s="647" t="s">
        <v>1213</v>
      </c>
      <c r="E69" s="883">
        <v>1E-50</v>
      </c>
      <c r="F69" s="883" t="s">
        <v>1213</v>
      </c>
      <c r="G69" s="883" t="s">
        <v>1213</v>
      </c>
      <c r="H69" s="883" t="s">
        <v>1213</v>
      </c>
      <c r="I69" s="883" t="s">
        <v>1213</v>
      </c>
      <c r="J69" s="648" t="s">
        <v>1213</v>
      </c>
      <c r="K69" s="648" t="s">
        <v>1213</v>
      </c>
      <c r="L69" s="648" t="s">
        <v>1213</v>
      </c>
      <c r="M69" s="623" t="s">
        <v>3163</v>
      </c>
      <c r="N69" s="623" t="s">
        <v>3164</v>
      </c>
      <c r="O69" s="623" t="s">
        <v>4327</v>
      </c>
      <c r="P69" s="623">
        <v>1</v>
      </c>
      <c r="Q69" s="623" t="s">
        <v>257</v>
      </c>
      <c r="R69" s="623" t="s">
        <v>260</v>
      </c>
      <c r="S69" s="623" t="s">
        <v>261</v>
      </c>
      <c r="T69" s="977" t="s">
        <v>3055</v>
      </c>
      <c r="U69" s="671"/>
      <c r="V69" s="826"/>
    </row>
    <row r="70" spans="2:26" s="70" customFormat="1" ht="15.75" x14ac:dyDescent="0.45">
      <c r="B70" s="882" t="s">
        <v>4338</v>
      </c>
      <c r="C70" s="646" t="s">
        <v>4339</v>
      </c>
      <c r="D70" s="647" t="s">
        <v>1213</v>
      </c>
      <c r="E70" s="883">
        <v>1E-50</v>
      </c>
      <c r="F70" s="883" t="s">
        <v>1213</v>
      </c>
      <c r="G70" s="883" t="s">
        <v>1213</v>
      </c>
      <c r="H70" s="883" t="s">
        <v>1213</v>
      </c>
      <c r="I70" s="883" t="s">
        <v>1213</v>
      </c>
      <c r="J70" s="648" t="s">
        <v>1213</v>
      </c>
      <c r="K70" s="648" t="s">
        <v>1213</v>
      </c>
      <c r="L70" s="648" t="s">
        <v>1213</v>
      </c>
      <c r="M70" s="623" t="s">
        <v>3163</v>
      </c>
      <c r="N70" s="623" t="s">
        <v>3164</v>
      </c>
      <c r="O70" s="623" t="s">
        <v>4327</v>
      </c>
      <c r="P70" s="623">
        <v>1</v>
      </c>
      <c r="Q70" s="623" t="s">
        <v>257</v>
      </c>
      <c r="R70" s="623" t="s">
        <v>260</v>
      </c>
      <c r="S70" s="623" t="s">
        <v>261</v>
      </c>
      <c r="T70" s="977" t="s">
        <v>3055</v>
      </c>
      <c r="U70" s="671"/>
      <c r="V70" s="826"/>
    </row>
    <row r="71" spans="2:26" ht="18.75" customHeight="1" x14ac:dyDescent="0.45">
      <c r="B71" s="110" t="s">
        <v>1000</v>
      </c>
      <c r="C71" s="413" t="s">
        <v>2992</v>
      </c>
      <c r="D71" s="106" t="s">
        <v>1213</v>
      </c>
      <c r="E71" s="108">
        <v>1E-50</v>
      </c>
      <c r="F71" s="108" t="s">
        <v>1213</v>
      </c>
      <c r="G71" s="108" t="s">
        <v>1213</v>
      </c>
      <c r="H71" s="108" t="s">
        <v>1213</v>
      </c>
      <c r="I71" s="108" t="s">
        <v>1213</v>
      </c>
      <c r="J71" s="194" t="s">
        <v>1213</v>
      </c>
      <c r="K71" s="648" t="s">
        <v>1213</v>
      </c>
      <c r="L71" s="648" t="s">
        <v>1213</v>
      </c>
      <c r="M71" s="432" t="s">
        <v>3163</v>
      </c>
      <c r="N71" s="432" t="s">
        <v>3164</v>
      </c>
      <c r="O71" s="83" t="s">
        <v>359</v>
      </c>
      <c r="P71" s="83">
        <v>1</v>
      </c>
      <c r="Q71" s="83" t="s">
        <v>257</v>
      </c>
      <c r="R71" s="83" t="s">
        <v>260</v>
      </c>
      <c r="S71" s="83" t="s">
        <v>261</v>
      </c>
      <c r="T71" s="977" t="s">
        <v>4945</v>
      </c>
      <c r="U71" s="83"/>
      <c r="V71" s="107"/>
      <c r="Z71" s="319"/>
    </row>
    <row r="72" spans="2:26" ht="18.75" customHeight="1" x14ac:dyDescent="0.45">
      <c r="B72" s="110" t="s">
        <v>1134</v>
      </c>
      <c r="C72" s="413" t="s">
        <v>2993</v>
      </c>
      <c r="D72" s="106" t="s">
        <v>1213</v>
      </c>
      <c r="E72" s="108">
        <v>1E-50</v>
      </c>
      <c r="F72" s="108" t="s">
        <v>1213</v>
      </c>
      <c r="G72" s="108" t="s">
        <v>1213</v>
      </c>
      <c r="H72" s="108" t="s">
        <v>1213</v>
      </c>
      <c r="I72" s="108" t="s">
        <v>1213</v>
      </c>
      <c r="J72" s="194" t="s">
        <v>1213</v>
      </c>
      <c r="K72" s="648" t="s">
        <v>1213</v>
      </c>
      <c r="L72" s="648" t="s">
        <v>1213</v>
      </c>
      <c r="M72" s="432" t="s">
        <v>3163</v>
      </c>
      <c r="N72" s="432" t="s">
        <v>3164</v>
      </c>
      <c r="O72" s="83" t="s">
        <v>359</v>
      </c>
      <c r="P72" s="83">
        <v>1</v>
      </c>
      <c r="Q72" s="83" t="s">
        <v>257</v>
      </c>
      <c r="R72" s="83" t="s">
        <v>260</v>
      </c>
      <c r="S72" s="83" t="s">
        <v>261</v>
      </c>
      <c r="T72" s="977" t="s">
        <v>4945</v>
      </c>
      <c r="U72" s="83"/>
      <c r="V72" s="107"/>
      <c r="Z72" s="319"/>
    </row>
    <row r="73" spans="2:26" s="70" customFormat="1" ht="18.75" customHeight="1" x14ac:dyDescent="0.45">
      <c r="B73" s="912" t="s">
        <v>4346</v>
      </c>
      <c r="C73" s="646" t="s">
        <v>4347</v>
      </c>
      <c r="D73" s="884" t="s">
        <v>1213</v>
      </c>
      <c r="E73" s="883">
        <v>1E-50</v>
      </c>
      <c r="F73" s="883" t="s">
        <v>1213</v>
      </c>
      <c r="G73" s="883" t="s">
        <v>1213</v>
      </c>
      <c r="H73" s="883" t="s">
        <v>1213</v>
      </c>
      <c r="I73" s="883" t="s">
        <v>1213</v>
      </c>
      <c r="J73" s="648" t="s">
        <v>1213</v>
      </c>
      <c r="K73" s="648" t="s">
        <v>1213</v>
      </c>
      <c r="L73" s="648" t="s">
        <v>1213</v>
      </c>
      <c r="M73" s="623" t="s">
        <v>3163</v>
      </c>
      <c r="N73" s="623" t="s">
        <v>3164</v>
      </c>
      <c r="O73" s="623" t="s">
        <v>359</v>
      </c>
      <c r="P73" s="623">
        <v>1</v>
      </c>
      <c r="Q73" s="623" t="s">
        <v>257</v>
      </c>
      <c r="R73" s="623" t="s">
        <v>260</v>
      </c>
      <c r="S73" s="623" t="s">
        <v>261</v>
      </c>
      <c r="T73" s="977" t="s">
        <v>4945</v>
      </c>
      <c r="U73" s="671"/>
      <c r="V73" s="826"/>
      <c r="Z73" s="913"/>
    </row>
    <row r="74" spans="2:26" ht="18.75" customHeight="1" x14ac:dyDescent="0.45">
      <c r="B74" s="104" t="s">
        <v>355</v>
      </c>
      <c r="C74" s="413" t="s">
        <v>2994</v>
      </c>
      <c r="D74" s="106" t="s">
        <v>1213</v>
      </c>
      <c r="E74" s="108">
        <v>1E-50</v>
      </c>
      <c r="F74" s="108" t="s">
        <v>1213</v>
      </c>
      <c r="G74" s="108" t="s">
        <v>1213</v>
      </c>
      <c r="H74" s="108" t="s">
        <v>1213</v>
      </c>
      <c r="I74" s="108" t="s">
        <v>1213</v>
      </c>
      <c r="J74" s="194" t="s">
        <v>1213</v>
      </c>
      <c r="K74" s="648" t="s">
        <v>1213</v>
      </c>
      <c r="L74" s="648" t="s">
        <v>1213</v>
      </c>
      <c r="M74" s="432" t="s">
        <v>3163</v>
      </c>
      <c r="N74" s="432" t="s">
        <v>3164</v>
      </c>
      <c r="O74" s="83" t="s">
        <v>359</v>
      </c>
      <c r="P74" s="83">
        <v>1</v>
      </c>
      <c r="Q74" s="83" t="s">
        <v>257</v>
      </c>
      <c r="R74" s="83" t="s">
        <v>260</v>
      </c>
      <c r="S74" s="83" t="s">
        <v>261</v>
      </c>
      <c r="T74" s="977" t="s">
        <v>4945</v>
      </c>
      <c r="U74" s="83"/>
      <c r="V74" s="107"/>
      <c r="Z74" s="319"/>
    </row>
    <row r="75" spans="2:26" ht="15.75" x14ac:dyDescent="0.45">
      <c r="B75" s="110" t="s">
        <v>1115</v>
      </c>
      <c r="C75" s="413" t="s">
        <v>2995</v>
      </c>
      <c r="D75" s="106" t="s">
        <v>1213</v>
      </c>
      <c r="E75" s="108">
        <v>1E-50</v>
      </c>
      <c r="F75" s="108" t="s">
        <v>1213</v>
      </c>
      <c r="G75" s="108" t="s">
        <v>1213</v>
      </c>
      <c r="H75" s="108" t="s">
        <v>1213</v>
      </c>
      <c r="I75" s="108" t="s">
        <v>1213</v>
      </c>
      <c r="J75" s="194" t="s">
        <v>1213</v>
      </c>
      <c r="K75" s="648" t="s">
        <v>1213</v>
      </c>
      <c r="L75" s="648" t="s">
        <v>1213</v>
      </c>
      <c r="M75" s="432" t="s">
        <v>3163</v>
      </c>
      <c r="N75" s="432" t="s">
        <v>3164</v>
      </c>
      <c r="O75" s="83" t="s">
        <v>359</v>
      </c>
      <c r="P75" s="83">
        <v>1</v>
      </c>
      <c r="Q75" s="83" t="s">
        <v>257</v>
      </c>
      <c r="R75" s="83" t="s">
        <v>260</v>
      </c>
      <c r="S75" s="83" t="s">
        <v>261</v>
      </c>
      <c r="T75" s="977" t="s">
        <v>4945</v>
      </c>
      <c r="U75" s="83"/>
      <c r="V75" s="107"/>
      <c r="Z75" s="319"/>
    </row>
    <row r="76" spans="2:26" s="70" customFormat="1" ht="18.75" customHeight="1" x14ac:dyDescent="0.45">
      <c r="B76" s="2493" t="s">
        <v>5379</v>
      </c>
      <c r="C76" s="2488" t="s">
        <v>5380</v>
      </c>
      <c r="D76" s="2288" t="s">
        <v>1213</v>
      </c>
      <c r="E76" s="2492">
        <v>1E-50</v>
      </c>
      <c r="F76" s="2288" t="s">
        <v>1213</v>
      </c>
      <c r="G76" s="2288" t="s">
        <v>1213</v>
      </c>
      <c r="H76" s="2288" t="s">
        <v>1213</v>
      </c>
      <c r="I76" s="2288" t="s">
        <v>1213</v>
      </c>
      <c r="J76" s="648" t="s">
        <v>1213</v>
      </c>
      <c r="K76" s="648" t="s">
        <v>1213</v>
      </c>
      <c r="L76" s="648" t="s">
        <v>1213</v>
      </c>
      <c r="M76" s="2290" t="s">
        <v>3163</v>
      </c>
      <c r="N76" s="2290" t="s">
        <v>3164</v>
      </c>
      <c r="O76" s="2290" t="s">
        <v>359</v>
      </c>
      <c r="P76" s="2290">
        <v>1</v>
      </c>
      <c r="Q76" s="2290" t="s">
        <v>257</v>
      </c>
      <c r="R76" s="2290" t="s">
        <v>260</v>
      </c>
      <c r="S76" s="2290" t="s">
        <v>261</v>
      </c>
      <c r="T76" s="2290" t="s">
        <v>4945</v>
      </c>
      <c r="U76" s="2228"/>
      <c r="V76" s="2491"/>
    </row>
    <row r="77" spans="2:26" ht="15.75" x14ac:dyDescent="0.45">
      <c r="B77" s="104" t="s">
        <v>135</v>
      </c>
      <c r="C77" s="413" t="s">
        <v>1289</v>
      </c>
      <c r="D77" s="106">
        <v>83.626000000000005</v>
      </c>
      <c r="E77" s="106">
        <v>83.626000000000005</v>
      </c>
      <c r="F77" s="106">
        <v>83.626000000000005</v>
      </c>
      <c r="G77" s="106">
        <v>146.34549999999999</v>
      </c>
      <c r="H77" s="106">
        <v>83.626000000000005</v>
      </c>
      <c r="I77" s="106">
        <v>83.626000000000005</v>
      </c>
      <c r="J77" s="194">
        <v>83.626000000000005</v>
      </c>
      <c r="K77" s="648">
        <v>83.626000000000005</v>
      </c>
      <c r="L77" s="648">
        <v>83.626000000000005</v>
      </c>
      <c r="M77" s="432" t="s">
        <v>3163</v>
      </c>
      <c r="N77" s="432" t="s">
        <v>3164</v>
      </c>
      <c r="O77" s="83" t="s">
        <v>3424</v>
      </c>
      <c r="P77" s="83">
        <v>1</v>
      </c>
      <c r="Q77" s="83" t="s">
        <v>257</v>
      </c>
      <c r="R77" s="83" t="s">
        <v>258</v>
      </c>
      <c r="S77" s="83" t="s">
        <v>261</v>
      </c>
      <c r="T77" s="977" t="s">
        <v>4946</v>
      </c>
      <c r="U77" s="83"/>
      <c r="V77" s="198" t="s">
        <v>1290</v>
      </c>
      <c r="Z77" s="319"/>
    </row>
    <row r="78" spans="2:26" s="70" customFormat="1" ht="15.75" x14ac:dyDescent="0.45">
      <c r="B78" s="912" t="s">
        <v>4348</v>
      </c>
      <c r="C78" s="646" t="s">
        <v>4349</v>
      </c>
      <c r="D78" s="647">
        <v>0.18</v>
      </c>
      <c r="E78" s="647">
        <v>0.5</v>
      </c>
      <c r="F78" s="647">
        <v>0.5</v>
      </c>
      <c r="G78" s="647">
        <v>0.5</v>
      </c>
      <c r="H78" s="647">
        <v>0.5</v>
      </c>
      <c r="I78" s="647">
        <v>0.5</v>
      </c>
      <c r="J78" s="647">
        <v>0.5</v>
      </c>
      <c r="K78" s="2288">
        <v>0.68360100000000001</v>
      </c>
      <c r="L78" s="2288">
        <v>0.99993799999999999</v>
      </c>
      <c r="M78" s="623">
        <v>0</v>
      </c>
      <c r="N78" s="623">
        <v>1</v>
      </c>
      <c r="O78" s="623" t="s">
        <v>2017</v>
      </c>
      <c r="P78" s="623">
        <v>2</v>
      </c>
      <c r="Q78" s="623" t="s">
        <v>257</v>
      </c>
      <c r="R78" s="623" t="s">
        <v>258</v>
      </c>
      <c r="S78" s="623" t="s">
        <v>261</v>
      </c>
      <c r="T78" s="977" t="s">
        <v>4947</v>
      </c>
      <c r="U78" s="671"/>
      <c r="V78" s="826"/>
      <c r="Z78" s="913"/>
    </row>
    <row r="79" spans="2:26" ht="16.5" x14ac:dyDescent="0.55000000000000004">
      <c r="B79" s="438" t="s">
        <v>435</v>
      </c>
      <c r="C79" s="439" t="s">
        <v>3168</v>
      </c>
      <c r="D79" s="622">
        <v>0.1258</v>
      </c>
      <c r="E79" s="622">
        <v>0.1258</v>
      </c>
      <c r="F79" s="622">
        <v>0.1258</v>
      </c>
      <c r="G79" s="622">
        <v>18.105699999999999</v>
      </c>
      <c r="H79" s="622">
        <v>0.1258</v>
      </c>
      <c r="I79" s="622">
        <v>0.1258</v>
      </c>
      <c r="J79" s="622">
        <v>0.1258</v>
      </c>
      <c r="K79" s="2289">
        <v>0.1258</v>
      </c>
      <c r="L79" s="2289">
        <v>0.1258</v>
      </c>
      <c r="M79" s="432" t="s">
        <v>3163</v>
      </c>
      <c r="N79" s="432" t="s">
        <v>3164</v>
      </c>
      <c r="O79" s="449" t="s">
        <v>3169</v>
      </c>
      <c r="P79" s="448">
        <v>1</v>
      </c>
      <c r="Q79" s="448" t="s">
        <v>436</v>
      </c>
      <c r="R79" s="448" t="s">
        <v>258</v>
      </c>
      <c r="S79" s="448" t="s">
        <v>801</v>
      </c>
      <c r="T79" s="977" t="s">
        <v>4944</v>
      </c>
      <c r="U79" s="440"/>
      <c r="V79" s="419"/>
    </row>
    <row r="80" spans="2:26" ht="16.5" x14ac:dyDescent="0.55000000000000004">
      <c r="B80" s="438" t="s">
        <v>437</v>
      </c>
      <c r="C80" s="441" t="s">
        <v>3170</v>
      </c>
      <c r="D80" s="623">
        <v>5.3E-3</v>
      </c>
      <c r="E80" s="623">
        <v>5.3E-3</v>
      </c>
      <c r="F80" s="623">
        <v>5.3E-3</v>
      </c>
      <c r="G80" s="623">
        <v>182.2063</v>
      </c>
      <c r="H80" s="623">
        <v>5.3E-3</v>
      </c>
      <c r="I80" s="623">
        <v>5.3E-3</v>
      </c>
      <c r="J80" s="623">
        <v>5.3E-3</v>
      </c>
      <c r="K80" s="2290">
        <v>1.7299999999999999E-2</v>
      </c>
      <c r="L80" s="2290">
        <v>1.7299999999999999E-2</v>
      </c>
      <c r="M80" s="432" t="s">
        <v>3163</v>
      </c>
      <c r="N80" s="432" t="s">
        <v>3164</v>
      </c>
      <c r="O80" s="450" t="s">
        <v>3171</v>
      </c>
      <c r="P80" s="448">
        <v>1</v>
      </c>
      <c r="Q80" s="448" t="s">
        <v>436</v>
      </c>
      <c r="R80" s="448" t="s">
        <v>258</v>
      </c>
      <c r="S80" s="448" t="s">
        <v>801</v>
      </c>
      <c r="T80" s="977" t="s">
        <v>148</v>
      </c>
      <c r="U80" s="440"/>
      <c r="V80" s="419"/>
    </row>
    <row r="81" spans="2:22" ht="16.5" x14ac:dyDescent="0.55000000000000004">
      <c r="B81" s="438" t="s">
        <v>438</v>
      </c>
      <c r="C81" s="441" t="s">
        <v>3172</v>
      </c>
      <c r="D81" s="623">
        <v>5.4999999999999997E-3</v>
      </c>
      <c r="E81" s="623">
        <v>5.4999999999999997E-3</v>
      </c>
      <c r="F81" s="623">
        <v>5.4999999999999997E-3</v>
      </c>
      <c r="G81" s="623">
        <v>0.108</v>
      </c>
      <c r="H81" s="623">
        <v>5.4999999999999997E-3</v>
      </c>
      <c r="I81" s="623">
        <v>5.4999999999999997E-3</v>
      </c>
      <c r="J81" s="623">
        <v>5.4999999999999997E-3</v>
      </c>
      <c r="K81" s="2290">
        <v>7.9000000000000008E-3</v>
      </c>
      <c r="L81" s="2290">
        <v>7.9000000000000008E-3</v>
      </c>
      <c r="M81" s="432" t="s">
        <v>3163</v>
      </c>
      <c r="N81" s="432" t="s">
        <v>3164</v>
      </c>
      <c r="O81" s="451" t="s">
        <v>3171</v>
      </c>
      <c r="P81" s="448">
        <v>1</v>
      </c>
      <c r="Q81" s="448" t="s">
        <v>436</v>
      </c>
      <c r="R81" s="448" t="s">
        <v>258</v>
      </c>
      <c r="S81" s="448" t="s">
        <v>801</v>
      </c>
      <c r="T81" s="977" t="s">
        <v>148</v>
      </c>
      <c r="U81" s="440"/>
      <c r="V81" s="419"/>
    </row>
    <row r="82" spans="2:22" ht="16.5" x14ac:dyDescent="0.55000000000000004">
      <c r="B82" s="438" t="s">
        <v>439</v>
      </c>
      <c r="C82" s="440" t="s">
        <v>3173</v>
      </c>
      <c r="D82" s="622">
        <v>3.0244</v>
      </c>
      <c r="E82" s="622">
        <v>3.0244</v>
      </c>
      <c r="F82" s="622">
        <v>3.0244</v>
      </c>
      <c r="G82" s="624" t="s">
        <v>1213</v>
      </c>
      <c r="H82" s="622">
        <v>3.0244</v>
      </c>
      <c r="I82" s="622">
        <v>3.0244</v>
      </c>
      <c r="J82" s="622">
        <v>3.0244</v>
      </c>
      <c r="K82" s="2289">
        <v>2.9916999999999998</v>
      </c>
      <c r="L82" s="2289">
        <v>2.9916999999999998</v>
      </c>
      <c r="M82" s="432" t="s">
        <v>3163</v>
      </c>
      <c r="N82" s="432" t="s">
        <v>3164</v>
      </c>
      <c r="O82" s="452" t="s">
        <v>3174</v>
      </c>
      <c r="P82" s="453">
        <v>1</v>
      </c>
      <c r="Q82" s="453" t="s">
        <v>436</v>
      </c>
      <c r="R82" s="453" t="s">
        <v>258</v>
      </c>
      <c r="S82" s="453" t="s">
        <v>801</v>
      </c>
      <c r="T82" s="978" t="s">
        <v>4943</v>
      </c>
      <c r="U82" s="440"/>
      <c r="V82" s="419"/>
    </row>
    <row r="83" spans="2:22" ht="16.5" x14ac:dyDescent="0.55000000000000004">
      <c r="B83" s="438" t="s">
        <v>1050</v>
      </c>
      <c r="C83" s="442" t="s">
        <v>3175</v>
      </c>
      <c r="D83" s="624" t="s">
        <v>1213</v>
      </c>
      <c r="E83" s="108">
        <v>1E-50</v>
      </c>
      <c r="F83" s="624" t="s">
        <v>1213</v>
      </c>
      <c r="G83" s="624">
        <v>5.5999999999999999E-3</v>
      </c>
      <c r="H83" s="624" t="s">
        <v>1213</v>
      </c>
      <c r="I83" s="624" t="s">
        <v>1213</v>
      </c>
      <c r="J83" s="624" t="s">
        <v>1213</v>
      </c>
      <c r="K83" s="2291" t="s">
        <v>1213</v>
      </c>
      <c r="L83" s="2291" t="s">
        <v>1213</v>
      </c>
      <c r="M83" s="432" t="s">
        <v>3163</v>
      </c>
      <c r="N83" s="432" t="s">
        <v>3164</v>
      </c>
      <c r="O83" s="454" t="s">
        <v>3176</v>
      </c>
      <c r="P83" s="453">
        <v>1</v>
      </c>
      <c r="Q83" s="453" t="s">
        <v>436</v>
      </c>
      <c r="R83" s="453" t="s">
        <v>258</v>
      </c>
      <c r="S83" s="453" t="s">
        <v>801</v>
      </c>
      <c r="T83" s="978" t="s">
        <v>255</v>
      </c>
      <c r="U83" s="440"/>
      <c r="V83" s="419"/>
    </row>
    <row r="84" spans="2:22" ht="16.5" x14ac:dyDescent="0.55000000000000004">
      <c r="B84" s="649" t="s">
        <v>3749</v>
      </c>
      <c r="C84" s="650" t="s">
        <v>3752</v>
      </c>
      <c r="D84" s="651" t="s">
        <v>1213</v>
      </c>
      <c r="E84" s="652">
        <v>1E-4</v>
      </c>
      <c r="F84" s="651">
        <v>1E-4</v>
      </c>
      <c r="G84" s="651">
        <v>1E-4</v>
      </c>
      <c r="H84" s="651">
        <v>1E-4</v>
      </c>
      <c r="I84" s="651">
        <v>1E-4</v>
      </c>
      <c r="J84" s="651">
        <v>1E-4</v>
      </c>
      <c r="K84" s="624" t="s">
        <v>1213</v>
      </c>
      <c r="L84" s="624" t="s">
        <v>1213</v>
      </c>
      <c r="M84" s="653" t="s">
        <v>3163</v>
      </c>
      <c r="N84" s="653" t="s">
        <v>3164</v>
      </c>
      <c r="O84" s="454" t="s">
        <v>3176</v>
      </c>
      <c r="P84" s="655">
        <v>2</v>
      </c>
      <c r="Q84" s="655" t="s">
        <v>436</v>
      </c>
      <c r="R84" s="453" t="s">
        <v>258</v>
      </c>
      <c r="S84" s="453" t="s">
        <v>801</v>
      </c>
      <c r="T84" s="978" t="s">
        <v>255</v>
      </c>
      <c r="U84" s="656"/>
      <c r="V84" s="657"/>
    </row>
    <row r="85" spans="2:22" ht="16.5" x14ac:dyDescent="0.55000000000000004">
      <c r="B85" s="649" t="s">
        <v>3750</v>
      </c>
      <c r="C85" s="650" t="s">
        <v>3751</v>
      </c>
      <c r="D85" s="651" t="s">
        <v>1213</v>
      </c>
      <c r="E85" s="652">
        <v>1E-4</v>
      </c>
      <c r="F85" s="651">
        <v>1E-4</v>
      </c>
      <c r="G85" s="651">
        <v>1E-4</v>
      </c>
      <c r="H85" s="651">
        <v>1E-4</v>
      </c>
      <c r="I85" s="651">
        <v>1E-4</v>
      </c>
      <c r="J85" s="651">
        <v>1E-4</v>
      </c>
      <c r="K85" s="624" t="s">
        <v>1213</v>
      </c>
      <c r="L85" s="624" t="s">
        <v>1213</v>
      </c>
      <c r="M85" s="653" t="s">
        <v>3163</v>
      </c>
      <c r="N85" s="653" t="s">
        <v>3164</v>
      </c>
      <c r="O85" s="454" t="s">
        <v>3176</v>
      </c>
      <c r="P85" s="655">
        <v>2</v>
      </c>
      <c r="Q85" s="655" t="s">
        <v>436</v>
      </c>
      <c r="R85" s="453" t="s">
        <v>258</v>
      </c>
      <c r="S85" s="453" t="s">
        <v>801</v>
      </c>
      <c r="T85" s="978" t="s">
        <v>255</v>
      </c>
      <c r="U85" s="656"/>
      <c r="V85" s="657"/>
    </row>
    <row r="86" spans="2:22" ht="16.899999999999999" thickBot="1" x14ac:dyDescent="0.6">
      <c r="B86" s="105" t="s">
        <v>440</v>
      </c>
      <c r="C86" s="443" t="s">
        <v>3177</v>
      </c>
      <c r="D86" s="625">
        <v>11.542299999999999</v>
      </c>
      <c r="E86" s="625">
        <v>11.542299999999999</v>
      </c>
      <c r="F86" s="625">
        <v>11.542299999999999</v>
      </c>
      <c r="G86" s="625">
        <v>0.14710000000000001</v>
      </c>
      <c r="H86" s="625">
        <v>11.542299999999999</v>
      </c>
      <c r="I86" s="625">
        <v>11.542299999999999</v>
      </c>
      <c r="J86" s="625">
        <v>11.542299999999999</v>
      </c>
      <c r="K86" s="2292">
        <v>11.854799999999999</v>
      </c>
      <c r="L86" s="2292">
        <v>11.854799999999999</v>
      </c>
      <c r="M86" s="457" t="s">
        <v>3163</v>
      </c>
      <c r="N86" s="458" t="s">
        <v>3164</v>
      </c>
      <c r="O86" s="459" t="s">
        <v>3178</v>
      </c>
      <c r="P86" s="456">
        <v>1</v>
      </c>
      <c r="Q86" s="456" t="s">
        <v>436</v>
      </c>
      <c r="R86" s="456" t="s">
        <v>258</v>
      </c>
      <c r="S86" s="456" t="s">
        <v>801</v>
      </c>
      <c r="T86" s="979" t="s">
        <v>255</v>
      </c>
      <c r="U86" s="443"/>
      <c r="V86" s="369"/>
    </row>
    <row r="87" spans="2:22" s="70" customFormat="1" ht="16.149999999999999" thickBot="1" x14ac:dyDescent="0.5">
      <c r="B87" s="2508" t="s">
        <v>5386</v>
      </c>
      <c r="C87" s="2509" t="s">
        <v>5382</v>
      </c>
      <c r="D87" s="2497" t="s">
        <v>1213</v>
      </c>
      <c r="E87" s="2497">
        <v>1E-50</v>
      </c>
      <c r="F87" s="2497" t="s">
        <v>1213</v>
      </c>
      <c r="G87" s="2497">
        <v>0.753</v>
      </c>
      <c r="H87" s="2497" t="s">
        <v>1213</v>
      </c>
      <c r="I87" s="2497" t="s">
        <v>1213</v>
      </c>
      <c r="J87" s="2497" t="s">
        <v>1213</v>
      </c>
      <c r="K87" s="2497" t="s">
        <v>1213</v>
      </c>
      <c r="L87" s="2497" t="s">
        <v>1213</v>
      </c>
      <c r="M87" s="2510">
        <v>0</v>
      </c>
      <c r="N87" s="2510">
        <v>100</v>
      </c>
      <c r="O87" s="2511" t="s">
        <v>5387</v>
      </c>
      <c r="P87" s="2512">
        <v>1</v>
      </c>
      <c r="Q87" s="2512" t="s">
        <v>436</v>
      </c>
      <c r="R87" s="2512" t="s">
        <v>258</v>
      </c>
      <c r="S87" s="2512" t="s">
        <v>801</v>
      </c>
      <c r="T87" s="2510" t="s">
        <v>258</v>
      </c>
      <c r="U87" s="2513"/>
      <c r="V87" s="2514"/>
    </row>
    <row r="88" spans="2:22" ht="15.75" x14ac:dyDescent="0.55000000000000004">
      <c r="B88" s="444" t="s">
        <v>3179</v>
      </c>
      <c r="C88" s="445" t="s">
        <v>3168</v>
      </c>
      <c r="D88" s="460">
        <v>0.04</v>
      </c>
      <c r="E88" s="460">
        <v>0.04</v>
      </c>
      <c r="F88" s="460">
        <v>0.04</v>
      </c>
      <c r="G88" s="460">
        <v>0.04</v>
      </c>
      <c r="H88" s="460">
        <v>0.04</v>
      </c>
      <c r="I88" s="460">
        <v>0.04</v>
      </c>
      <c r="J88" s="460">
        <v>0.04</v>
      </c>
      <c r="K88" s="2293">
        <v>0.04</v>
      </c>
      <c r="L88" s="2293">
        <v>0.04</v>
      </c>
      <c r="M88" s="460">
        <v>0</v>
      </c>
      <c r="N88" s="461">
        <v>100</v>
      </c>
      <c r="O88" s="462" t="s">
        <v>1888</v>
      </c>
      <c r="P88" s="463">
        <v>2</v>
      </c>
      <c r="Q88" s="463" t="s">
        <v>28</v>
      </c>
      <c r="R88" s="463" t="s">
        <v>258</v>
      </c>
      <c r="S88" s="463" t="s">
        <v>3180</v>
      </c>
      <c r="T88" s="980" t="s">
        <v>4944</v>
      </c>
      <c r="U88" s="445"/>
      <c r="V88" s="446"/>
    </row>
    <row r="89" spans="2:22" ht="15.75" x14ac:dyDescent="0.55000000000000004">
      <c r="B89" s="438" t="s">
        <v>3181</v>
      </c>
      <c r="C89" s="441" t="s">
        <v>3170</v>
      </c>
      <c r="D89" s="447" t="s">
        <v>1213</v>
      </c>
      <c r="E89" s="108">
        <v>1E-50</v>
      </c>
      <c r="F89" s="447" t="s">
        <v>1213</v>
      </c>
      <c r="G89" s="447" t="s">
        <v>1213</v>
      </c>
      <c r="H89" s="447" t="s">
        <v>1213</v>
      </c>
      <c r="I89" s="447" t="s">
        <v>1213</v>
      </c>
      <c r="J89" s="447" t="s">
        <v>1213</v>
      </c>
      <c r="K89" s="2294" t="s">
        <v>1213</v>
      </c>
      <c r="L89" s="2294" t="s">
        <v>1213</v>
      </c>
      <c r="M89" s="447">
        <v>0</v>
      </c>
      <c r="N89" s="432">
        <v>100</v>
      </c>
      <c r="O89" s="449" t="s">
        <v>1888</v>
      </c>
      <c r="P89" s="448">
        <v>2</v>
      </c>
      <c r="Q89" s="448" t="s">
        <v>28</v>
      </c>
      <c r="R89" s="448" t="s">
        <v>258</v>
      </c>
      <c r="S89" s="448" t="s">
        <v>3180</v>
      </c>
      <c r="T89" s="977" t="s">
        <v>148</v>
      </c>
      <c r="U89" s="439"/>
      <c r="V89" s="419"/>
    </row>
    <row r="90" spans="2:22" ht="15.75" x14ac:dyDescent="0.55000000000000004">
      <c r="B90" s="438" t="s">
        <v>3182</v>
      </c>
      <c r="C90" s="441" t="s">
        <v>3172</v>
      </c>
      <c r="D90" s="447" t="s">
        <v>1213</v>
      </c>
      <c r="E90" s="108">
        <v>1E-50</v>
      </c>
      <c r="F90" s="447" t="s">
        <v>1213</v>
      </c>
      <c r="G90" s="447" t="s">
        <v>1213</v>
      </c>
      <c r="H90" s="447" t="s">
        <v>1213</v>
      </c>
      <c r="I90" s="447" t="s">
        <v>1213</v>
      </c>
      <c r="J90" s="447" t="s">
        <v>1213</v>
      </c>
      <c r="K90" s="2294" t="s">
        <v>1213</v>
      </c>
      <c r="L90" s="2294" t="s">
        <v>1213</v>
      </c>
      <c r="M90" s="447">
        <v>0</v>
      </c>
      <c r="N90" s="432">
        <v>100</v>
      </c>
      <c r="O90" s="449" t="s">
        <v>1888</v>
      </c>
      <c r="P90" s="448">
        <v>2</v>
      </c>
      <c r="Q90" s="448" t="s">
        <v>28</v>
      </c>
      <c r="R90" s="448" t="s">
        <v>258</v>
      </c>
      <c r="S90" s="448" t="s">
        <v>3180</v>
      </c>
      <c r="T90" s="977" t="s">
        <v>148</v>
      </c>
      <c r="U90" s="439"/>
      <c r="V90" s="419"/>
    </row>
    <row r="91" spans="2:22" ht="15.75" x14ac:dyDescent="0.55000000000000004">
      <c r="B91" s="438" t="s">
        <v>3183</v>
      </c>
      <c r="C91" s="440" t="s">
        <v>3173</v>
      </c>
      <c r="D91" s="447">
        <v>20.95</v>
      </c>
      <c r="E91" s="447">
        <v>20.95</v>
      </c>
      <c r="F91" s="447">
        <v>20.95</v>
      </c>
      <c r="G91" s="447">
        <v>20.95</v>
      </c>
      <c r="H91" s="447">
        <v>20.95</v>
      </c>
      <c r="I91" s="447">
        <v>20.95</v>
      </c>
      <c r="J91" s="447">
        <v>20.95</v>
      </c>
      <c r="K91" s="2294">
        <v>20.95</v>
      </c>
      <c r="L91" s="2294">
        <v>20.95</v>
      </c>
      <c r="M91" s="447">
        <v>0</v>
      </c>
      <c r="N91" s="432">
        <v>100</v>
      </c>
      <c r="O91" s="449" t="s">
        <v>1888</v>
      </c>
      <c r="P91" s="448">
        <v>2</v>
      </c>
      <c r="Q91" s="453" t="s">
        <v>28</v>
      </c>
      <c r="R91" s="453" t="s">
        <v>258</v>
      </c>
      <c r="S91" s="453" t="s">
        <v>3180</v>
      </c>
      <c r="T91" s="978" t="s">
        <v>4943</v>
      </c>
      <c r="U91" s="439"/>
      <c r="V91" s="419"/>
    </row>
    <row r="92" spans="2:22" ht="15.75" x14ac:dyDescent="0.55000000000000004">
      <c r="B92" s="438" t="s">
        <v>3184</v>
      </c>
      <c r="C92" s="442" t="s">
        <v>3175</v>
      </c>
      <c r="D92" s="447" t="s">
        <v>1213</v>
      </c>
      <c r="E92" s="108">
        <v>1E-50</v>
      </c>
      <c r="F92" s="447" t="s">
        <v>1213</v>
      </c>
      <c r="G92" s="447" t="s">
        <v>1213</v>
      </c>
      <c r="H92" s="447" t="s">
        <v>1213</v>
      </c>
      <c r="I92" s="447" t="s">
        <v>1213</v>
      </c>
      <c r="J92" s="447" t="s">
        <v>1213</v>
      </c>
      <c r="K92" s="2294" t="s">
        <v>1213</v>
      </c>
      <c r="L92" s="2294" t="s">
        <v>1213</v>
      </c>
      <c r="M92" s="447">
        <v>0</v>
      </c>
      <c r="N92" s="432">
        <v>100</v>
      </c>
      <c r="O92" s="449" t="s">
        <v>1888</v>
      </c>
      <c r="P92" s="448">
        <v>2</v>
      </c>
      <c r="Q92" s="453" t="s">
        <v>28</v>
      </c>
      <c r="R92" s="453" t="s">
        <v>258</v>
      </c>
      <c r="S92" s="453" t="s">
        <v>3180</v>
      </c>
      <c r="T92" s="978" t="s">
        <v>255</v>
      </c>
      <c r="U92" s="439"/>
      <c r="V92" s="419"/>
    </row>
    <row r="93" spans="2:22" ht="15.75" x14ac:dyDescent="0.55000000000000004">
      <c r="B93" s="649" t="s">
        <v>3753</v>
      </c>
      <c r="C93" s="650" t="s">
        <v>3752</v>
      </c>
      <c r="D93" s="651" t="s">
        <v>1213</v>
      </c>
      <c r="E93" s="108">
        <v>1E-50</v>
      </c>
      <c r="F93" s="447" t="s">
        <v>1213</v>
      </c>
      <c r="G93" s="447" t="s">
        <v>1213</v>
      </c>
      <c r="H93" s="447" t="s">
        <v>1213</v>
      </c>
      <c r="I93" s="447" t="s">
        <v>1213</v>
      </c>
      <c r="J93" s="447" t="s">
        <v>1213</v>
      </c>
      <c r="K93" s="2294" t="s">
        <v>1213</v>
      </c>
      <c r="L93" s="2294" t="s">
        <v>1213</v>
      </c>
      <c r="M93" s="447">
        <v>0</v>
      </c>
      <c r="N93" s="432">
        <v>100</v>
      </c>
      <c r="O93" s="654" t="s">
        <v>1888</v>
      </c>
      <c r="P93" s="655">
        <v>2</v>
      </c>
      <c r="Q93" s="453" t="s">
        <v>28</v>
      </c>
      <c r="R93" s="453" t="s">
        <v>258</v>
      </c>
      <c r="S93" s="453" t="s">
        <v>3180</v>
      </c>
      <c r="T93" s="978" t="s">
        <v>255</v>
      </c>
      <c r="U93" s="656"/>
      <c r="V93" s="657"/>
    </row>
    <row r="94" spans="2:22" ht="15.75" x14ac:dyDescent="0.55000000000000004">
      <c r="B94" s="649" t="s">
        <v>3754</v>
      </c>
      <c r="C94" s="650" t="s">
        <v>3751</v>
      </c>
      <c r="D94" s="651" t="s">
        <v>1213</v>
      </c>
      <c r="E94" s="108">
        <v>1E-50</v>
      </c>
      <c r="F94" s="447" t="s">
        <v>1213</v>
      </c>
      <c r="G94" s="447" t="s">
        <v>1213</v>
      </c>
      <c r="H94" s="447" t="s">
        <v>1213</v>
      </c>
      <c r="I94" s="447" t="s">
        <v>1213</v>
      </c>
      <c r="J94" s="447" t="s">
        <v>1213</v>
      </c>
      <c r="K94" s="2294" t="s">
        <v>1213</v>
      </c>
      <c r="L94" s="2294" t="s">
        <v>1213</v>
      </c>
      <c r="M94" s="447">
        <v>0</v>
      </c>
      <c r="N94" s="432">
        <v>100</v>
      </c>
      <c r="O94" s="654" t="s">
        <v>1888</v>
      </c>
      <c r="P94" s="655">
        <v>2</v>
      </c>
      <c r="Q94" s="453" t="s">
        <v>28</v>
      </c>
      <c r="R94" s="453" t="s">
        <v>258</v>
      </c>
      <c r="S94" s="453" t="s">
        <v>3180</v>
      </c>
      <c r="T94" s="978" t="s">
        <v>255</v>
      </c>
      <c r="U94" s="656"/>
      <c r="V94" s="657"/>
    </row>
    <row r="95" spans="2:22" ht="16.149999999999999" thickBot="1" x14ac:dyDescent="0.6">
      <c r="B95" s="105" t="s">
        <v>3185</v>
      </c>
      <c r="C95" s="443" t="s">
        <v>3177</v>
      </c>
      <c r="D95" s="455">
        <v>79.010000000000005</v>
      </c>
      <c r="E95" s="455">
        <v>79.010000000000005</v>
      </c>
      <c r="F95" s="455">
        <v>79.010000000000005</v>
      </c>
      <c r="G95" s="455">
        <v>79.010000000000005</v>
      </c>
      <c r="H95" s="455">
        <v>79.010000000000005</v>
      </c>
      <c r="I95" s="455">
        <v>79.010000000000005</v>
      </c>
      <c r="J95" s="455">
        <v>79.010000000000005</v>
      </c>
      <c r="K95" s="2295">
        <v>79.010000000000005</v>
      </c>
      <c r="L95" s="2295">
        <v>79.010000000000005</v>
      </c>
      <c r="M95" s="455">
        <v>0</v>
      </c>
      <c r="N95" s="458">
        <v>100</v>
      </c>
      <c r="O95" s="464" t="s">
        <v>1888</v>
      </c>
      <c r="P95" s="456">
        <v>2</v>
      </c>
      <c r="Q95" s="456" t="s">
        <v>28</v>
      </c>
      <c r="R95" s="456" t="s">
        <v>258</v>
      </c>
      <c r="S95" s="456" t="s">
        <v>3180</v>
      </c>
      <c r="T95" s="979" t="s">
        <v>255</v>
      </c>
      <c r="U95" s="443"/>
      <c r="V95" s="369"/>
    </row>
    <row r="96" spans="2:22" s="70" customFormat="1" ht="16.149999999999999" thickBot="1" x14ac:dyDescent="0.5">
      <c r="B96" s="2494" t="s">
        <v>5381</v>
      </c>
      <c r="C96" s="2495" t="s">
        <v>5382</v>
      </c>
      <c r="D96" s="2496" t="s">
        <v>1213</v>
      </c>
      <c r="E96" s="2496">
        <v>1E-50</v>
      </c>
      <c r="F96" s="2496" t="s">
        <v>1213</v>
      </c>
      <c r="G96" s="2496" t="s">
        <v>1213</v>
      </c>
      <c r="H96" s="2496" t="s">
        <v>1213</v>
      </c>
      <c r="I96" s="2496" t="s">
        <v>1213</v>
      </c>
      <c r="J96" s="2496" t="s">
        <v>1213</v>
      </c>
      <c r="K96" s="2497" t="s">
        <v>1213</v>
      </c>
      <c r="L96" s="2497" t="s">
        <v>1213</v>
      </c>
      <c r="M96" s="979">
        <v>0</v>
      </c>
      <c r="N96" s="979">
        <v>100</v>
      </c>
      <c r="O96" s="2498" t="s">
        <v>1888</v>
      </c>
      <c r="P96" s="2499">
        <v>1</v>
      </c>
      <c r="Q96" s="2499" t="s">
        <v>436</v>
      </c>
      <c r="R96" s="2499" t="s">
        <v>258</v>
      </c>
      <c r="S96" s="2499" t="s">
        <v>3180</v>
      </c>
      <c r="T96" s="979" t="s">
        <v>258</v>
      </c>
      <c r="U96" s="2500"/>
      <c r="V96" s="2501"/>
    </row>
    <row r="97" spans="1:26" s="70" customFormat="1" ht="16.149999999999999" thickBot="1" x14ac:dyDescent="0.5">
      <c r="B97" s="2502" t="s">
        <v>5383</v>
      </c>
      <c r="C97" s="2503" t="s">
        <v>5384</v>
      </c>
      <c r="D97" s="2504" t="s">
        <v>1213</v>
      </c>
      <c r="E97" s="2504">
        <v>0.5</v>
      </c>
      <c r="F97" s="2504">
        <v>0.5</v>
      </c>
      <c r="G97" s="2505">
        <v>1</v>
      </c>
      <c r="H97" s="2504">
        <v>0.5</v>
      </c>
      <c r="I97" s="2504">
        <v>0.5</v>
      </c>
      <c r="J97" s="2504">
        <v>0.5</v>
      </c>
      <c r="K97" s="2504">
        <v>0.5</v>
      </c>
      <c r="L97" s="2504" t="s">
        <v>1213</v>
      </c>
      <c r="M97" s="2506">
        <v>0</v>
      </c>
      <c r="N97" s="2506">
        <v>1</v>
      </c>
      <c r="O97" s="2506" t="s">
        <v>1907</v>
      </c>
      <c r="P97" s="2506">
        <v>2</v>
      </c>
      <c r="Q97" s="2506" t="s">
        <v>257</v>
      </c>
      <c r="R97" s="2506" t="s">
        <v>258</v>
      </c>
      <c r="S97" s="2506" t="s">
        <v>261</v>
      </c>
      <c r="T97" s="2506" t="s">
        <v>5385</v>
      </c>
      <c r="U97" s="2503"/>
      <c r="V97" s="2507"/>
    </row>
    <row r="98" spans="1:26" s="1852" customFormat="1" ht="15.75" x14ac:dyDescent="0.45">
      <c r="A98" s="2834"/>
      <c r="B98" s="2835" t="s">
        <v>5876</v>
      </c>
      <c r="C98" s="2836" t="s">
        <v>5855</v>
      </c>
      <c r="D98" s="2837">
        <v>0.1</v>
      </c>
      <c r="E98" s="2837">
        <v>0.2</v>
      </c>
      <c r="F98" s="2837">
        <v>0.2</v>
      </c>
      <c r="G98" s="2837">
        <v>180</v>
      </c>
      <c r="H98" s="2837">
        <v>0.5</v>
      </c>
      <c r="I98" s="2837">
        <v>10</v>
      </c>
      <c r="J98" s="2838">
        <v>8.0000000000000016E-2</v>
      </c>
      <c r="K98" s="2838">
        <v>7.21141E-2</v>
      </c>
      <c r="L98" s="2838">
        <v>7.6972800000000001</v>
      </c>
      <c r="M98" s="2839" t="s">
        <v>3163</v>
      </c>
      <c r="N98" s="2839" t="s">
        <v>3164</v>
      </c>
      <c r="O98" s="2839" t="s">
        <v>5856</v>
      </c>
      <c r="P98" s="2839">
        <v>1</v>
      </c>
      <c r="Q98" s="2839" t="s">
        <v>257</v>
      </c>
      <c r="R98" s="2839" t="s">
        <v>260</v>
      </c>
      <c r="S98" s="2839" t="s">
        <v>261</v>
      </c>
      <c r="T98" s="2840" t="s">
        <v>4942</v>
      </c>
      <c r="U98" s="2841" t="s">
        <v>5857</v>
      </c>
      <c r="V98" s="2842"/>
      <c r="Z98" s="2843"/>
    </row>
  </sheetData>
  <phoneticPr fontId="31" type="noConversion"/>
  <conditionalFormatting sqref="C64 C66 C68 C70">
    <cfRule type="cellIs" dxfId="145" priority="17" operator="equal">
      <formula>0</formula>
    </cfRule>
  </conditionalFormatting>
  <conditionalFormatting sqref="C65 C67 C69">
    <cfRule type="cellIs" dxfId="144" priority="16" operator="equal">
      <formula>0</formula>
    </cfRule>
  </conditionalFormatting>
  <conditionalFormatting sqref="J24">
    <cfRule type="cellIs" dxfId="143" priority="13" operator="equal">
      <formula>0</formula>
    </cfRule>
    <cfRule type="cellIs" dxfId="142" priority="14" operator="equal">
      <formula>0</formula>
    </cfRule>
    <cfRule type="cellIs" dxfId="141" priority="15" operator="equal">
      <formula>0</formula>
    </cfRule>
  </conditionalFormatting>
  <conditionalFormatting sqref="J25:J26">
    <cfRule type="cellIs" dxfId="140" priority="10" operator="equal">
      <formula>0</formula>
    </cfRule>
    <cfRule type="cellIs" dxfId="139" priority="11" operator="equal">
      <formula>0</formula>
    </cfRule>
    <cfRule type="cellIs" dxfId="138" priority="12" operator="equal">
      <formula>0</formula>
    </cfRule>
  </conditionalFormatting>
  <conditionalFormatting sqref="J98">
    <cfRule type="cellIs" dxfId="137" priority="7" operator="equal">
      <formula>0</formula>
    </cfRule>
    <cfRule type="cellIs" dxfId="136" priority="8" operator="equal">
      <formula>0</formula>
    </cfRule>
    <cfRule type="cellIs" dxfId="135" priority="9" operator="equal">
      <formula>0</formula>
    </cfRule>
  </conditionalFormatting>
  <conditionalFormatting sqref="K98">
    <cfRule type="cellIs" dxfId="134" priority="4" operator="equal">
      <formula>0</formula>
    </cfRule>
    <cfRule type="cellIs" dxfId="133" priority="5" operator="equal">
      <formula>0</formula>
    </cfRule>
    <cfRule type="cellIs" dxfId="132" priority="6" operator="equal">
      <formula>0</formula>
    </cfRule>
  </conditionalFormatting>
  <conditionalFormatting sqref="L98">
    <cfRule type="cellIs" dxfId="131" priority="1" operator="equal">
      <formula>0</formula>
    </cfRule>
    <cfRule type="cellIs" dxfId="130" priority="2" operator="equal">
      <formula>0</formula>
    </cfRule>
    <cfRule type="cellIs" dxfId="129" priority="3" operator="equal">
      <formula>0</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unka5"/>
  <dimension ref="B1:G4"/>
  <sheetViews>
    <sheetView showGridLines="0" workbookViewId="0">
      <selection activeCell="D23" sqref="D23"/>
    </sheetView>
  </sheetViews>
  <sheetFormatPr defaultColWidth="9.1328125" defaultRowHeight="14.25" x14ac:dyDescent="0.45"/>
  <cols>
    <col min="1" max="1" width="16.86328125" customWidth="1"/>
    <col min="2" max="2" width="7.53125" bestFit="1" customWidth="1"/>
    <col min="3" max="3" width="19.46484375" customWidth="1"/>
    <col min="4" max="4" width="51.86328125" customWidth="1"/>
    <col min="5" max="5" width="4.86328125" bestFit="1" customWidth="1"/>
    <col min="6" max="6" width="5" bestFit="1" customWidth="1"/>
    <col min="7" max="7" width="22.46484375" customWidth="1"/>
  </cols>
  <sheetData>
    <row r="1" spans="2:7" s="47" customFormat="1" ht="57.75" customHeight="1" thickBot="1" x14ac:dyDescent="0.5"/>
    <row r="2" spans="2:7" ht="14.65" thickBot="1" x14ac:dyDescent="0.5">
      <c r="B2" s="4"/>
      <c r="C2" s="62" t="s">
        <v>115</v>
      </c>
      <c r="D2" s="63" t="s">
        <v>118</v>
      </c>
      <c r="E2" s="4"/>
      <c r="F2" s="4"/>
      <c r="G2" s="4"/>
    </row>
    <row r="3" spans="2:7" x14ac:dyDescent="0.45">
      <c r="B3" s="57" t="s">
        <v>0</v>
      </c>
      <c r="C3" s="58" t="s">
        <v>1</v>
      </c>
      <c r="D3" s="58" t="s">
        <v>5</v>
      </c>
      <c r="E3" s="59" t="s">
        <v>2</v>
      </c>
      <c r="F3" s="60" t="s">
        <v>116</v>
      </c>
      <c r="G3" s="61" t="s">
        <v>117</v>
      </c>
    </row>
    <row r="4" spans="2:7" x14ac:dyDescent="0.45">
      <c r="B4" s="6"/>
      <c r="C4" s="6"/>
      <c r="D4" s="6"/>
      <c r="E4" s="6"/>
      <c r="F4" s="6"/>
      <c r="G4" s="6"/>
    </row>
  </sheetData>
  <phoneticPr fontId="3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unka6"/>
  <dimension ref="B1:G4"/>
  <sheetViews>
    <sheetView showGridLines="0" workbookViewId="0">
      <selection activeCell="C2" sqref="C2"/>
    </sheetView>
  </sheetViews>
  <sheetFormatPr defaultColWidth="9.1328125" defaultRowHeight="14.25" x14ac:dyDescent="0.45"/>
  <cols>
    <col min="2" max="2" width="15.1328125" customWidth="1"/>
    <col min="3" max="3" width="24.86328125" customWidth="1"/>
    <col min="4" max="4" width="20.86328125" customWidth="1"/>
    <col min="7" max="7" width="23.46484375" customWidth="1"/>
  </cols>
  <sheetData>
    <row r="1" spans="2:7" s="47" customFormat="1" ht="43.5" customHeight="1" thickBot="1" x14ac:dyDescent="0.5"/>
    <row r="2" spans="2:7" ht="14.65" thickBot="1" x14ac:dyDescent="0.5">
      <c r="B2" s="4"/>
      <c r="C2" s="2" t="s">
        <v>115</v>
      </c>
      <c r="D2" s="14"/>
      <c r="E2" s="4"/>
      <c r="F2" s="4"/>
      <c r="G2" s="4"/>
    </row>
    <row r="3" spans="2:7" x14ac:dyDescent="0.45">
      <c r="B3" s="15" t="s">
        <v>0</v>
      </c>
      <c r="C3" s="16" t="s">
        <v>1</v>
      </c>
      <c r="D3" s="16" t="s">
        <v>5</v>
      </c>
      <c r="E3" s="17" t="s">
        <v>2</v>
      </c>
      <c r="F3" s="18" t="s">
        <v>116</v>
      </c>
      <c r="G3" s="19" t="s">
        <v>117</v>
      </c>
    </row>
    <row r="4" spans="2:7" x14ac:dyDescent="0.45">
      <c r="B4" s="6"/>
      <c r="C4" s="6"/>
      <c r="D4" s="6"/>
      <c r="E4" s="6"/>
      <c r="F4" s="6"/>
      <c r="G4" s="6"/>
    </row>
  </sheetData>
  <phoneticPr fontId="3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unka9"/>
  <dimension ref="A1:R851"/>
  <sheetViews>
    <sheetView showGridLines="0" zoomScale="70" zoomScaleNormal="70" workbookViewId="0">
      <pane ySplit="1" topLeftCell="A595" activePane="bottomLeft" state="frozen"/>
      <selection pane="bottomLeft" activeCell="C640" sqref="C640"/>
    </sheetView>
  </sheetViews>
  <sheetFormatPr defaultColWidth="9.1328125" defaultRowHeight="14.25" outlineLevelRow="1" x14ac:dyDescent="0.45"/>
  <cols>
    <col min="1" max="1" width="3.53125" style="115" customWidth="1"/>
    <col min="2" max="2" width="23.1328125" style="115" bestFit="1" customWidth="1"/>
    <col min="3" max="3" width="69.53125" style="115" customWidth="1"/>
    <col min="4" max="4" width="78.86328125" style="115" customWidth="1"/>
    <col min="5" max="5" width="20.53125" style="1332" customWidth="1"/>
    <col min="6" max="6" width="15" style="115" customWidth="1"/>
    <col min="7" max="7" width="12" style="115" bestFit="1" customWidth="1"/>
    <col min="8" max="8" width="50.1328125" style="1046" bestFit="1" customWidth="1"/>
    <col min="9" max="9" width="57.1328125" style="115" customWidth="1"/>
    <col min="10" max="10" width="33.1328125" style="115" bestFit="1" customWidth="1"/>
    <col min="11" max="11" width="33.86328125" style="115" customWidth="1"/>
    <col min="12" max="12" width="26.46484375" style="115" customWidth="1"/>
    <col min="13" max="16384" width="9.1328125" style="115"/>
  </cols>
  <sheetData>
    <row r="1" spans="1:9" s="1292" customFormat="1" ht="50.2" customHeight="1" thickBot="1" x14ac:dyDescent="0.5">
      <c r="A1" s="1292" t="s">
        <v>1220</v>
      </c>
      <c r="E1" s="1330"/>
      <c r="H1" s="1612"/>
    </row>
    <row r="2" spans="1:9" ht="14.65" thickBot="1" x14ac:dyDescent="0.5">
      <c r="C2" s="152" t="s">
        <v>320</v>
      </c>
      <c r="D2" s="2076" t="s">
        <v>317</v>
      </c>
      <c r="E2" s="2090"/>
    </row>
    <row r="3" spans="1:9" ht="14.65" thickBot="1" x14ac:dyDescent="0.5">
      <c r="B3" s="1502" t="s">
        <v>0</v>
      </c>
      <c r="C3" s="1314" t="s">
        <v>1</v>
      </c>
      <c r="D3" s="1314" t="s">
        <v>5</v>
      </c>
      <c r="E3" s="1314" t="s">
        <v>152</v>
      </c>
      <c r="F3" s="1314" t="s">
        <v>2</v>
      </c>
      <c r="G3" s="1314" t="s">
        <v>300</v>
      </c>
      <c r="H3" s="1644" t="s">
        <v>116</v>
      </c>
      <c r="I3" s="1503" t="s">
        <v>117</v>
      </c>
    </row>
    <row r="4" spans="1:9" s="124" customFormat="1" ht="15.75" outlineLevel="1" x14ac:dyDescent="0.45">
      <c r="B4" s="2787" t="s">
        <v>1756</v>
      </c>
      <c r="C4" s="2788" t="s">
        <v>282</v>
      </c>
      <c r="D4" s="2788" t="s">
        <v>5881</v>
      </c>
      <c r="E4" s="2789">
        <f>X_OHO+X_CASTO+X_MOB+X_MEOLO+X_AOB+X_NOB+X_AMX+X_AMETO+X_HMETO+X_ASRO+X_HSRO+X_SOO</f>
        <v>1241.7</v>
      </c>
      <c r="F4" s="2790" t="s">
        <v>1182</v>
      </c>
      <c r="G4" s="2790">
        <v>1</v>
      </c>
      <c r="H4" s="2790"/>
      <c r="I4" s="2791"/>
    </row>
    <row r="5" spans="1:9" ht="15.75" outlineLevel="1" x14ac:dyDescent="0.45">
      <c r="B5" s="2022" t="s">
        <v>1757</v>
      </c>
      <c r="C5" s="2048" t="s">
        <v>2702</v>
      </c>
      <c r="D5" s="2048" t="s">
        <v>2152</v>
      </c>
      <c r="E5" s="2091">
        <f>X_BIO+X_B+X_U+X_PHA+X_GLY+X_E_ana+X_E</f>
        <v>2578.7999999999997</v>
      </c>
      <c r="F5" s="2048" t="s">
        <v>1182</v>
      </c>
      <c r="G5" s="2048">
        <v>1</v>
      </c>
      <c r="H5" s="2132"/>
      <c r="I5" s="2003"/>
    </row>
    <row r="6" spans="1:9" s="1616" customFormat="1" ht="15.75" outlineLevel="1" x14ac:dyDescent="0.45">
      <c r="B6" s="2023" t="s">
        <v>3026</v>
      </c>
      <c r="C6" s="2049" t="s">
        <v>3027</v>
      </c>
      <c r="D6" s="2077" t="s">
        <v>3034</v>
      </c>
      <c r="E6" s="2092">
        <f>S_B+S_VFA+S_MEOL</f>
        <v>1.01</v>
      </c>
      <c r="F6" s="2048" t="s">
        <v>1182</v>
      </c>
      <c r="G6" s="2049">
        <v>1</v>
      </c>
      <c r="H6" s="2133"/>
      <c r="I6" s="2153"/>
    </row>
    <row r="7" spans="1:9" s="1616" customFormat="1" ht="15.75" outlineLevel="1" x14ac:dyDescent="0.45">
      <c r="B7" s="2023" t="s">
        <v>3028</v>
      </c>
      <c r="C7" s="2049" t="s">
        <v>3029</v>
      </c>
      <c r="D7" s="2049" t="s">
        <v>3030</v>
      </c>
      <c r="E7" s="2092">
        <f>X_B+C_B</f>
        <v>14.01</v>
      </c>
      <c r="F7" s="2048" t="s">
        <v>1182</v>
      </c>
      <c r="G7" s="2049">
        <v>1</v>
      </c>
      <c r="H7" s="2133"/>
      <c r="I7" s="2153"/>
    </row>
    <row r="8" spans="1:9" ht="15.75" outlineLevel="1" x14ac:dyDescent="0.45">
      <c r="B8" s="2022" t="s">
        <v>1758</v>
      </c>
      <c r="C8" s="2048" t="s">
        <v>2703</v>
      </c>
      <c r="D8" s="2048" t="s">
        <v>1759</v>
      </c>
      <c r="E8" s="2091">
        <f>X_BIO/i_CV_BIO</f>
        <v>874.43661971830988</v>
      </c>
      <c r="F8" s="2048" t="s">
        <v>1760</v>
      </c>
      <c r="G8" s="2048">
        <v>1</v>
      </c>
      <c r="H8" s="2132"/>
      <c r="I8" s="2003"/>
    </row>
    <row r="9" spans="1:9" ht="31.5" outlineLevel="1" x14ac:dyDescent="0.45">
      <c r="B9" s="2022" t="s">
        <v>1761</v>
      </c>
      <c r="C9" s="2048" t="s">
        <v>2125</v>
      </c>
      <c r="D9" s="1982" t="s">
        <v>4501</v>
      </c>
      <c r="E9" s="2091">
        <f>X_VSS_BIO+X_B/i_CV_XB+X_U/i_CV_XU+X_PHA/i_CV_PHA+X_GLY/i_CV_GLY+X_E_ana/i_CV_XE+X_E/i_CV_XE+(f_H2O_HFO_VSS+f_H2O_HFO_TSS)*X_HFO*M_MFeOH3/A_MFe+(f_H2O_HAO_VSS+f_H2O_HAO_TSS)*X_HAO*M_MAlOH3/A_MAl</f>
        <v>1877.3001138165525</v>
      </c>
      <c r="F9" s="2048" t="s">
        <v>1760</v>
      </c>
      <c r="G9" s="2048">
        <v>1</v>
      </c>
      <c r="H9" s="2132"/>
      <c r="I9" s="2003"/>
    </row>
    <row r="10" spans="1:9" ht="15.75" outlineLevel="1" x14ac:dyDescent="0.45">
      <c r="B10" s="2022" t="s">
        <v>1764</v>
      </c>
      <c r="C10" s="2048" t="s">
        <v>2124</v>
      </c>
      <c r="D10" s="2048" t="s">
        <v>1765</v>
      </c>
      <c r="E10" s="2091">
        <f>X_VSS+S_U/i_CV_SU+S_B/i_CV_SB+S_VFA/i_CV_VFA+S_MEOL/i_CV_MEOL+C_B/i_CV_CB+C_U/i_CV_CU</f>
        <v>1885.8202240951598</v>
      </c>
      <c r="F10" s="2048" t="s">
        <v>1766</v>
      </c>
      <c r="G10" s="2048">
        <v>1</v>
      </c>
      <c r="H10" s="2132"/>
      <c r="I10" s="2003"/>
    </row>
    <row r="11" spans="1:9" ht="15.75" outlineLevel="1" x14ac:dyDescent="0.45">
      <c r="B11" s="2022" t="s">
        <v>2126</v>
      </c>
      <c r="C11" s="2048" t="s">
        <v>2704</v>
      </c>
      <c r="D11" s="2048" t="s">
        <v>2695</v>
      </c>
      <c r="E11" s="2091">
        <f>X_U/i_CV_XU+S_U/i_CV_SU+C_U/i_CV_CU</f>
        <v>776.79785678684163</v>
      </c>
      <c r="F11" s="2048" t="s">
        <v>1766</v>
      </c>
      <c r="G11" s="2048">
        <v>1</v>
      </c>
      <c r="H11" s="2132"/>
      <c r="I11" s="2003"/>
    </row>
    <row r="12" spans="1:9" ht="15.75" outlineLevel="1" x14ac:dyDescent="0.45">
      <c r="B12" s="2022" t="s">
        <v>2031</v>
      </c>
      <c r="C12" s="2048" t="s">
        <v>2192</v>
      </c>
      <c r="D12" s="1982" t="s">
        <v>4502</v>
      </c>
      <c r="E12" s="2091">
        <f>X_CaCO3+X_ACP+X_STR+X_Vivi+X_BSH</f>
        <v>4.9999999999999997E-50</v>
      </c>
      <c r="F12" s="2048" t="s">
        <v>1763</v>
      </c>
      <c r="G12" s="2048">
        <v>1</v>
      </c>
      <c r="H12" s="2132"/>
      <c r="I12" s="2003"/>
    </row>
    <row r="13" spans="1:9" ht="31.5" outlineLevel="1" x14ac:dyDescent="0.45">
      <c r="B13" s="2024" t="s">
        <v>2032</v>
      </c>
      <c r="C13" s="1982" t="s">
        <v>2034</v>
      </c>
      <c r="D13" s="1982" t="s">
        <v>4503</v>
      </c>
      <c r="E13" s="2093">
        <f>(1-f_H2O_HFO_TSS)*X_HFO*M_MFeOH3/A_MFe+(X_HFO_L_P+X_HFO_L_P_old)*A_SFHFO_L*(M_MPO4/A_MFe)+(X_HFO_H_P+X_HFO_H_P_old)*A_SFHFO_H*(M_MPO4/A_MFe)</f>
        <v>1.7549958643029814E-2</v>
      </c>
      <c r="F13" s="1982" t="s">
        <v>1763</v>
      </c>
      <c r="G13" s="1982">
        <v>1</v>
      </c>
      <c r="H13" s="1926"/>
      <c r="I13" s="1997"/>
    </row>
    <row r="14" spans="1:9" s="116" customFormat="1" ht="31.5" outlineLevel="1" x14ac:dyDescent="0.45">
      <c r="B14" s="2024" t="s">
        <v>4504</v>
      </c>
      <c r="C14" s="1982" t="s">
        <v>4505</v>
      </c>
      <c r="D14" s="1982" t="s">
        <v>4506</v>
      </c>
      <c r="E14" s="2093">
        <f>(1-f_H2O_HAO_TSS)*X_HAO*M_MAlOH3/A_MAl+(X_HAO_L_P+X_HAO_L_P_old)*A_SFHAO_L*(M_MPO4/A_MAl)+(X_HAO_H_P+X_HAO_H_P_old)*A_SFHAO_H*(M_MPO4/A_MAl)</f>
        <v>2.3902325667587054E-2</v>
      </c>
      <c r="F14" s="1982" t="s">
        <v>1763</v>
      </c>
      <c r="G14" s="1982">
        <v>1</v>
      </c>
      <c r="H14" s="1926"/>
      <c r="I14" s="2154"/>
    </row>
    <row r="15" spans="1:9" s="116" customFormat="1" ht="15.75" outlineLevel="1" x14ac:dyDescent="0.45">
      <c r="B15" s="2022" t="s">
        <v>3061</v>
      </c>
      <c r="C15" s="2050" t="s">
        <v>3062</v>
      </c>
      <c r="D15" s="1982" t="s">
        <v>4507</v>
      </c>
      <c r="E15" s="2094">
        <f>X_HFO_TSS+X_HAO_TSS</f>
        <v>4.1452284310616871E-2</v>
      </c>
      <c r="F15" s="2050" t="s">
        <v>1763</v>
      </c>
      <c r="G15" s="2050">
        <v>1</v>
      </c>
      <c r="H15" s="2134"/>
      <c r="I15" s="373"/>
    </row>
    <row r="16" spans="1:9" ht="15.75" outlineLevel="1" x14ac:dyDescent="0.45">
      <c r="B16" s="2022" t="s">
        <v>2030</v>
      </c>
      <c r="C16" s="2048" t="s">
        <v>2705</v>
      </c>
      <c r="D16" s="2048" t="s">
        <v>3063</v>
      </c>
      <c r="E16" s="2091">
        <f>X_Me_TSS+X_precip+X_INORG+i_TSS_PP*X_PP</f>
        <v>671.00919421979449</v>
      </c>
      <c r="F16" s="2048" t="s">
        <v>1763</v>
      </c>
      <c r="G16" s="2048">
        <v>1</v>
      </c>
      <c r="H16" s="2132"/>
      <c r="I16" s="2003"/>
    </row>
    <row r="17" spans="2:9" ht="15.75" outlineLevel="1" x14ac:dyDescent="0.45">
      <c r="B17" s="2022" t="s">
        <v>1762</v>
      </c>
      <c r="C17" s="2048" t="s">
        <v>2706</v>
      </c>
      <c r="D17" s="2048" t="s">
        <v>2033</v>
      </c>
      <c r="E17" s="2091">
        <f>X_VSS+X_ISS</f>
        <v>2548.3093080363469</v>
      </c>
      <c r="F17" s="2048" t="s">
        <v>1763</v>
      </c>
      <c r="G17" s="2048">
        <v>1</v>
      </c>
      <c r="H17" s="2132"/>
      <c r="I17" s="2003"/>
    </row>
    <row r="18" spans="2:9" ht="31.5" outlineLevel="1" x14ac:dyDescent="0.45">
      <c r="B18" s="2022" t="s">
        <v>2036</v>
      </c>
      <c r="C18" s="2051" t="s">
        <v>2035</v>
      </c>
      <c r="D18" s="2048" t="s">
        <v>3808</v>
      </c>
      <c r="E18" s="2091">
        <f>X_TSS+S_U/i_CV_SU+S_B/i_CV_SB+f_VFA_DM*S_VFA/i_CV_VFA+C_B/i_CV_CB+C_U/i_CV_CU+S_NO3*M_MNO3/A_MN+S_NO2*M_MNO2/A_MN+S_NO*M_MNO/A_MN+S_N2O*M_MN2O/A_MN+S_PO4*M_MPO4/A_MP+S_CAT+S_AN+S_Ca+S_Mg+S_K+S_Fe2</f>
        <v>2945.9159802957474</v>
      </c>
      <c r="F18" s="2048" t="s">
        <v>3722</v>
      </c>
      <c r="G18" s="2048">
        <v>1</v>
      </c>
      <c r="H18" s="2132"/>
      <c r="I18" s="2003"/>
    </row>
    <row r="19" spans="2:9" ht="16.5" outlineLevel="1" x14ac:dyDescent="0.45">
      <c r="B19" s="2022" t="s">
        <v>2128</v>
      </c>
      <c r="C19" s="2048" t="s">
        <v>2707</v>
      </c>
      <c r="D19" s="2048" t="s">
        <v>2131</v>
      </c>
      <c r="E19" s="2091">
        <f>Y_BOD_ult*(S_VFA+S_B+S_MEOL+C_B)</f>
        <v>0.96899999999999997</v>
      </c>
      <c r="F19" s="2049" t="s">
        <v>829</v>
      </c>
      <c r="G19" s="2048">
        <v>1</v>
      </c>
      <c r="H19" s="2132"/>
      <c r="I19" s="1997" t="s">
        <v>3672</v>
      </c>
    </row>
    <row r="20" spans="2:9" ht="16.5" outlineLevel="1" x14ac:dyDescent="0.45">
      <c r="B20" s="2022" t="s">
        <v>2129</v>
      </c>
      <c r="C20" s="2048" t="s">
        <v>322</v>
      </c>
      <c r="D20" s="2048" t="s">
        <v>2151</v>
      </c>
      <c r="E20" s="2091">
        <f>Y_BOD_ult*(X_BIO+X_B+X_PHA+X_GLY)</f>
        <v>1214.7650000000001</v>
      </c>
      <c r="F20" s="2049" t="s">
        <v>829</v>
      </c>
      <c r="G20" s="2048">
        <v>1</v>
      </c>
      <c r="H20" s="2132"/>
      <c r="I20" s="2003"/>
    </row>
    <row r="21" spans="2:9" ht="16.5" outlineLevel="1" x14ac:dyDescent="0.45">
      <c r="B21" s="2022" t="s">
        <v>2130</v>
      </c>
      <c r="C21" s="2048" t="s">
        <v>323</v>
      </c>
      <c r="D21" s="2048" t="s">
        <v>2132</v>
      </c>
      <c r="E21" s="2091">
        <f>S_BOD_ult+X_BOD_ult</f>
        <v>1215.7340000000002</v>
      </c>
      <c r="F21" s="2049" t="s">
        <v>829</v>
      </c>
      <c r="G21" s="2048">
        <v>1</v>
      </c>
      <c r="H21" s="2132"/>
      <c r="I21" s="2003"/>
    </row>
    <row r="22" spans="2:9" ht="16.5" outlineLevel="1" x14ac:dyDescent="0.45">
      <c r="B22" s="2022" t="s">
        <v>324</v>
      </c>
      <c r="C22" s="2048" t="s">
        <v>2708</v>
      </c>
      <c r="D22" s="2048" t="s">
        <v>3024</v>
      </c>
      <c r="E22" s="2091">
        <f>Y_BOD_ult*(S_VFA+S_B+S_MEOL)*f_S_BOD5_BODult+Y_BOD_ult*C_B*f_C_BOD5_BODult</f>
        <v>0.86924999999999997</v>
      </c>
      <c r="F22" s="2049" t="s">
        <v>829</v>
      </c>
      <c r="G22" s="2048">
        <v>1</v>
      </c>
      <c r="H22" s="2132"/>
      <c r="I22" s="2003"/>
    </row>
    <row r="23" spans="2:9" ht="16.5" outlineLevel="1" x14ac:dyDescent="0.45">
      <c r="B23" s="2022" t="s">
        <v>325</v>
      </c>
      <c r="C23" s="2048" t="s">
        <v>349</v>
      </c>
      <c r="D23" s="2048" t="s">
        <v>3025</v>
      </c>
      <c r="E23" s="2091">
        <f>X_BOD_ult*f_X_BOD5_BODult</f>
        <v>607.38250000000005</v>
      </c>
      <c r="F23" s="2049" t="s">
        <v>829</v>
      </c>
      <c r="G23" s="2048">
        <v>1</v>
      </c>
      <c r="H23" s="2132"/>
      <c r="I23" s="2003"/>
    </row>
    <row r="24" spans="2:9" ht="16.5" outlineLevel="1" x14ac:dyDescent="0.45">
      <c r="B24" s="2022" t="s">
        <v>326</v>
      </c>
      <c r="C24" s="2048" t="s">
        <v>350</v>
      </c>
      <c r="D24" s="2048" t="s">
        <v>3047</v>
      </c>
      <c r="E24" s="2091">
        <f>S_BOD_5+X_BOD_5</f>
        <v>608.25175000000002</v>
      </c>
      <c r="F24" s="2049" t="s">
        <v>829</v>
      </c>
      <c r="G24" s="2048">
        <v>1</v>
      </c>
      <c r="H24" s="2132"/>
      <c r="I24" s="2003"/>
    </row>
    <row r="25" spans="2:9" ht="15.75" outlineLevel="1" x14ac:dyDescent="0.45">
      <c r="B25" s="2022" t="s">
        <v>327</v>
      </c>
      <c r="C25" s="2048" t="s">
        <v>352</v>
      </c>
      <c r="D25" s="2048" t="s">
        <v>1717</v>
      </c>
      <c r="E25" s="2091">
        <f>S_U+S_B+S_VFA+S_MEOL</f>
        <v>8.01</v>
      </c>
      <c r="F25" s="2048" t="s">
        <v>1182</v>
      </c>
      <c r="G25" s="2048">
        <v>1</v>
      </c>
      <c r="H25" s="2132"/>
      <c r="I25" s="2003"/>
    </row>
    <row r="26" spans="2:9" ht="15.75" outlineLevel="1" x14ac:dyDescent="0.45">
      <c r="B26" s="2022" t="s">
        <v>351</v>
      </c>
      <c r="C26" s="2048" t="s">
        <v>2709</v>
      </c>
      <c r="D26" s="2048" t="s">
        <v>944</v>
      </c>
      <c r="E26" s="2091">
        <f>S_COD+C_B+C_U</f>
        <v>8.0299999999999994</v>
      </c>
      <c r="F26" s="2048" t="s">
        <v>1182</v>
      </c>
      <c r="G26" s="2048">
        <v>1</v>
      </c>
      <c r="H26" s="2132"/>
      <c r="I26" s="2003"/>
    </row>
    <row r="27" spans="2:9" ht="15.75" outlineLevel="1" x14ac:dyDescent="0.45">
      <c r="B27" s="2022" t="s">
        <v>1767</v>
      </c>
      <c r="C27" s="2048" t="s">
        <v>328</v>
      </c>
      <c r="D27" s="2048" t="s">
        <v>1768</v>
      </c>
      <c r="E27" s="2091">
        <f>S_CCOD+X_COD</f>
        <v>2586.83</v>
      </c>
      <c r="F27" s="2048" t="s">
        <v>1182</v>
      </c>
      <c r="G27" s="2048">
        <v>1</v>
      </c>
      <c r="H27" s="2132"/>
      <c r="I27" s="2003"/>
    </row>
    <row r="28" spans="2:9" s="116" customFormat="1" ht="31.5" outlineLevel="1" x14ac:dyDescent="0.45">
      <c r="B28" s="2022" t="s">
        <v>2494</v>
      </c>
      <c r="C28" s="2048" t="s">
        <v>2495</v>
      </c>
      <c r="D28" s="2048" t="s">
        <v>3791</v>
      </c>
      <c r="E28" s="2091">
        <f>T_COD+S_H2+S_CH4+E_EQFe2*S_Fe2+(3*A_MFe/M_MVivi*E_EQFe2)*X_Vivi-E_EQNO3*S_NO3-E_EQNO2*S_NO2-E_EQNO*S_NO-E_EQN2O*S_N2O-E_EQN2*S_N2-S_O2</f>
        <v>2530.7122257205488</v>
      </c>
      <c r="F28" s="2048" t="s">
        <v>1182</v>
      </c>
      <c r="G28" s="2048">
        <v>1</v>
      </c>
      <c r="H28" s="2132"/>
      <c r="I28" s="373"/>
    </row>
    <row r="29" spans="2:9" ht="15.75" outlineLevel="1" x14ac:dyDescent="0.45">
      <c r="B29" s="2022" t="s">
        <v>1769</v>
      </c>
      <c r="C29" s="2048" t="s">
        <v>335</v>
      </c>
      <c r="D29" s="2048" t="s">
        <v>2185</v>
      </c>
      <c r="E29" s="2091">
        <f>S_NHx+S_N_B+i_N_CB*C_B+X_N_B+i_N_SU*S_U+i_N_CU*C_U+X_N_U+i_N_BIO*X_BIO+i_N_XE*(X_E_ana+X_E)+i_N_XSTR*X_STR</f>
        <v>117.49520000000001</v>
      </c>
      <c r="F29" s="2048" t="s">
        <v>886</v>
      </c>
      <c r="G29" s="2048">
        <v>1</v>
      </c>
      <c r="H29" s="2132"/>
      <c r="I29" s="2003"/>
    </row>
    <row r="30" spans="2:9" s="124" customFormat="1" ht="15.75" outlineLevel="1" x14ac:dyDescent="0.45">
      <c r="B30" s="2025" t="s">
        <v>5143</v>
      </c>
      <c r="C30" s="2065" t="s">
        <v>5144</v>
      </c>
      <c r="D30" s="2065" t="s">
        <v>5145</v>
      </c>
      <c r="E30" s="2095">
        <f>S_N_B+i_N_CB*C_B+X_N_B+i_N_BIO*X_BIO</f>
        <v>88.419100000000014</v>
      </c>
      <c r="F30" s="2052" t="s">
        <v>886</v>
      </c>
      <c r="G30" s="2052">
        <v>1</v>
      </c>
      <c r="H30" s="2052"/>
      <c r="I30" s="2156"/>
    </row>
    <row r="31" spans="2:9" s="1295" customFormat="1" ht="15.75" outlineLevel="1" x14ac:dyDescent="0.45">
      <c r="B31" s="2023" t="s">
        <v>5131</v>
      </c>
      <c r="C31" s="2048" t="s">
        <v>5130</v>
      </c>
      <c r="D31" s="2054" t="s">
        <v>5129</v>
      </c>
      <c r="E31" s="2092">
        <f>S_NO_OHO+S_NO_AOB</f>
        <v>0.03</v>
      </c>
      <c r="F31" s="2049" t="s">
        <v>336</v>
      </c>
      <c r="G31" s="2049">
        <v>1</v>
      </c>
      <c r="H31" s="2133"/>
      <c r="I31" s="2155"/>
    </row>
    <row r="32" spans="2:9" s="1295" customFormat="1" ht="15.75" outlineLevel="1" x14ac:dyDescent="0.45">
      <c r="B32" s="2023" t="s">
        <v>2330</v>
      </c>
      <c r="C32" s="2048" t="s">
        <v>2710</v>
      </c>
      <c r="D32" s="2054" t="s">
        <v>5141</v>
      </c>
      <c r="E32" s="2092">
        <f>S_NO2+S_NO3</f>
        <v>5.0999999999999996</v>
      </c>
      <c r="F32" s="2049" t="s">
        <v>336</v>
      </c>
      <c r="G32" s="2049">
        <v>1</v>
      </c>
      <c r="H32" s="2133"/>
      <c r="I32" s="2155"/>
    </row>
    <row r="33" spans="2:9" s="70" customFormat="1" ht="15.75" outlineLevel="1" x14ac:dyDescent="0.45">
      <c r="B33" s="2225" t="s">
        <v>5146</v>
      </c>
      <c r="C33" s="2226" t="s">
        <v>5147</v>
      </c>
      <c r="D33" s="2065" t="s">
        <v>5148</v>
      </c>
      <c r="E33" s="2227">
        <f>S_NHx+S_NOx+S_NH2OH+S_NO</f>
        <v>6.14</v>
      </c>
      <c r="F33" s="2228" t="s">
        <v>336</v>
      </c>
      <c r="G33" s="2228">
        <v>1</v>
      </c>
      <c r="H33" s="2228"/>
      <c r="I33" s="2229"/>
    </row>
    <row r="34" spans="2:9" ht="15.75" outlineLevel="1" x14ac:dyDescent="0.45">
      <c r="B34" s="2022" t="s">
        <v>1770</v>
      </c>
      <c r="C34" s="2048" t="s">
        <v>337</v>
      </c>
      <c r="D34" s="2048" t="s">
        <v>5142</v>
      </c>
      <c r="E34" s="2091">
        <f>T_KN+S_NH2OH+S_NO+S_NOx</f>
        <v>122.63520000000001</v>
      </c>
      <c r="F34" s="2048" t="s">
        <v>886</v>
      </c>
      <c r="G34" s="2048">
        <v>1</v>
      </c>
      <c r="H34" s="2132"/>
      <c r="I34" s="2003"/>
    </row>
    <row r="35" spans="2:9" ht="31.5" outlineLevel="1" x14ac:dyDescent="0.45">
      <c r="B35" s="2022" t="s">
        <v>1771</v>
      </c>
      <c r="C35" s="2048" t="s">
        <v>790</v>
      </c>
      <c r="D35" s="1982" t="s">
        <v>4508</v>
      </c>
      <c r="E35" s="2091">
        <f>i_P_BIO*(X_BIO+X_E_ana+X_E)+S_PO4+S_P_B+i_P_CB*C_B+X_P_B+i_P_SU*S_U+X_P_U+i_P_CU*C_U+X_PP+i_P_XSTR*X_STR+X_HFO_P+X_HAO_P+i_P_XACP*X_ACP+i_P_XVivi*X_Vivi+i_P_XBSH*X_BSH</f>
        <v>93.860039999999998</v>
      </c>
      <c r="F35" s="2048" t="s">
        <v>888</v>
      </c>
      <c r="G35" s="2048">
        <v>1</v>
      </c>
      <c r="H35" s="2132"/>
      <c r="I35" s="2003"/>
    </row>
    <row r="36" spans="2:9" s="124" customFormat="1" ht="31.5" outlineLevel="1" x14ac:dyDescent="0.45">
      <c r="B36" s="2410" t="s">
        <v>5388</v>
      </c>
      <c r="C36" s="2065" t="s">
        <v>5389</v>
      </c>
      <c r="D36" s="2065" t="s">
        <v>5390</v>
      </c>
      <c r="E36" s="2095">
        <f>i_S_BIO*(X_BIO+X_E_ana+X_E)+i_S_SB*S_B+i_S_CB*C_B+i_S_XB*X_B+i_S_SU*S_U+i_S_XU*X_U+i_S_CU*C_U+i_S_FeS*X_FeS+S_H2S+S_SO4+X_S</f>
        <v>33.971029999999999</v>
      </c>
      <c r="F36" s="2052" t="s">
        <v>5246</v>
      </c>
      <c r="G36" s="2052">
        <v>1</v>
      </c>
      <c r="H36" s="2052"/>
      <c r="I36" s="2515"/>
    </row>
    <row r="37" spans="2:9" ht="15.75" outlineLevel="1" x14ac:dyDescent="0.45">
      <c r="B37" s="2024" t="s">
        <v>3574</v>
      </c>
      <c r="C37" s="1982" t="s">
        <v>3575</v>
      </c>
      <c r="D37" s="1982" t="s">
        <v>3576</v>
      </c>
      <c r="E37" s="2093">
        <f>S_NHx+S_N_B+i_N_CB*C_B+i_N_SU*S_U+i_N_CU*C_U</f>
        <v>1.5702</v>
      </c>
      <c r="F37" s="1982" t="s">
        <v>886</v>
      </c>
      <c r="G37" s="1982">
        <v>1</v>
      </c>
      <c r="H37" s="1926"/>
      <c r="I37" s="1997"/>
    </row>
    <row r="38" spans="2:9" s="124" customFormat="1" ht="15.75" outlineLevel="1" x14ac:dyDescent="0.45">
      <c r="B38" s="2025" t="s">
        <v>4970</v>
      </c>
      <c r="C38" s="2052" t="s">
        <v>4971</v>
      </c>
      <c r="D38" s="2065" t="s">
        <v>4972</v>
      </c>
      <c r="E38" s="2095">
        <f>S_U*i_N_SU</f>
        <v>7.0000000000000007E-2</v>
      </c>
      <c r="F38" s="2052" t="s">
        <v>886</v>
      </c>
      <c r="G38" s="2052">
        <v>1</v>
      </c>
      <c r="H38" s="2052" t="s">
        <v>4530</v>
      </c>
      <c r="I38" s="2156"/>
    </row>
    <row r="39" spans="2:9" ht="15.75" outlineLevel="1" x14ac:dyDescent="0.45">
      <c r="B39" s="2024" t="s">
        <v>3577</v>
      </c>
      <c r="C39" s="1982" t="s">
        <v>3578</v>
      </c>
      <c r="D39" s="1978" t="s">
        <v>3579</v>
      </c>
      <c r="E39" s="2093">
        <f>S_PO4+S_P_B+i_P_CB*C_B+i_P_SU*S_U+i_P_CU*C_U</f>
        <v>0.52404000000000006</v>
      </c>
      <c r="F39" s="1982" t="s">
        <v>888</v>
      </c>
      <c r="G39" s="1982">
        <v>1</v>
      </c>
      <c r="H39" s="1926"/>
      <c r="I39" s="1997"/>
    </row>
    <row r="40" spans="2:9" s="124" customFormat="1" ht="15.75" outlineLevel="1" x14ac:dyDescent="0.45">
      <c r="B40" s="2025" t="s">
        <v>1772</v>
      </c>
      <c r="C40" s="2065" t="s">
        <v>468</v>
      </c>
      <c r="D40" s="2065" t="s">
        <v>1773</v>
      </c>
      <c r="E40" s="2792">
        <f>X_HFO_H+X_HFO_L+X_HFO_L_P+X_HFO_H_P+X_HFO_old+X_HFO_L_P_old+X_HFO_H_P_old</f>
        <v>0.01</v>
      </c>
      <c r="F40" s="2052" t="s">
        <v>1968</v>
      </c>
      <c r="G40" s="2052">
        <v>1</v>
      </c>
      <c r="H40" s="2052"/>
      <c r="I40" s="2156"/>
    </row>
    <row r="41" spans="2:9" s="124" customFormat="1" ht="15.75" outlineLevel="1" x14ac:dyDescent="0.45">
      <c r="B41" s="2025" t="s">
        <v>4509</v>
      </c>
      <c r="C41" s="2065" t="s">
        <v>4510</v>
      </c>
      <c r="D41" s="2065" t="s">
        <v>4511</v>
      </c>
      <c r="E41" s="2792">
        <f>X_HAO_H+X_HAO_L+X_HAO_L_P+X_HAO_H_P+X_HAO_old+X_HAO_L_P_old+X_HAO_H_P_old</f>
        <v>0.01</v>
      </c>
      <c r="F41" s="2052" t="s">
        <v>4512</v>
      </c>
      <c r="G41" s="2052">
        <v>1</v>
      </c>
      <c r="H41" s="2052"/>
      <c r="I41" s="2156"/>
    </row>
    <row r="42" spans="2:9" ht="15.75" outlineLevel="1" x14ac:dyDescent="0.45">
      <c r="B42" s="2022" t="s">
        <v>1774</v>
      </c>
      <c r="C42" s="2048" t="s">
        <v>1606</v>
      </c>
      <c r="D42" s="2048" t="s">
        <v>1902</v>
      </c>
      <c r="E42" s="2091">
        <f>X_HFO+S_Fe2+X_Vivi*3*A_MFe/M_MVivi</f>
        <v>0.01</v>
      </c>
      <c r="F42" s="2048" t="s">
        <v>1968</v>
      </c>
      <c r="G42" s="2048">
        <v>1</v>
      </c>
      <c r="H42" s="2132"/>
      <c r="I42" s="2003"/>
    </row>
    <row r="43" spans="2:9" ht="15.75" outlineLevel="1" x14ac:dyDescent="0.45">
      <c r="B43" s="2024" t="s">
        <v>4513</v>
      </c>
      <c r="C43" s="1982" t="s">
        <v>4514</v>
      </c>
      <c r="D43" s="1982" t="s">
        <v>4515</v>
      </c>
      <c r="E43" s="2093">
        <f>X_HAO</f>
        <v>0.01</v>
      </c>
      <c r="F43" s="1982" t="s">
        <v>4512</v>
      </c>
      <c r="G43" s="1982">
        <v>1</v>
      </c>
      <c r="H43" s="1926"/>
      <c r="I43" s="1997"/>
    </row>
    <row r="44" spans="2:9" ht="31.5" outlineLevel="1" x14ac:dyDescent="0.45">
      <c r="B44" s="2024" t="s">
        <v>4516</v>
      </c>
      <c r="C44" s="1982" t="s">
        <v>4517</v>
      </c>
      <c r="D44" s="1982" t="s">
        <v>4518</v>
      </c>
      <c r="E44" s="2093">
        <f>S_Ca+i_Ca_PP*A_MCa/A_MP*X_PP+i_Ca_INORG*X_INORG+X_ACP*3*A_MCa/M_MACP+X_CaCO3*A_MCa/M_MCaCO3+X_BSH*A_MCa/M_MBSH</f>
        <v>180.76360322156796</v>
      </c>
      <c r="F44" s="2122" t="s">
        <v>986</v>
      </c>
      <c r="G44" s="2122">
        <v>1</v>
      </c>
      <c r="H44" s="1926"/>
      <c r="I44" s="1997"/>
    </row>
    <row r="45" spans="2:9" ht="15.75" outlineLevel="1" x14ac:dyDescent="0.45">
      <c r="B45" s="2024" t="s">
        <v>4519</v>
      </c>
      <c r="C45" s="1982" t="s">
        <v>4520</v>
      </c>
      <c r="D45" s="1982" t="s">
        <v>4521</v>
      </c>
      <c r="E45" s="2093">
        <f>S_Mg+i_Mg_PP*A_MMg/A_MP*X_PP+i_Mg_INORG*X_INORG+X_STR*A_MMg/M_MSTR</f>
        <v>54.478624608282161</v>
      </c>
      <c r="F45" s="2122" t="s">
        <v>835</v>
      </c>
      <c r="G45" s="2122">
        <v>1</v>
      </c>
      <c r="H45" s="1926"/>
      <c r="I45" s="1997"/>
    </row>
    <row r="46" spans="2:9" ht="15.75" outlineLevel="1" x14ac:dyDescent="0.45">
      <c r="B46" s="2022" t="s">
        <v>1775</v>
      </c>
      <c r="C46" s="2048" t="s">
        <v>2711</v>
      </c>
      <c r="D46" s="1982" t="s">
        <v>4525</v>
      </c>
      <c r="E46" s="2091">
        <f>(X_HFO_L_P+X_HFO_L_P_old)*A_SFHFO_L*(A_MP/A_MFe)+(X_HFO_H_P+X_HFO_H_P_old)*A_SFHFO_H*(A_MP/A_MFe)</f>
        <v>1.5529865549288207E-50</v>
      </c>
      <c r="F46" s="2048" t="s">
        <v>888</v>
      </c>
      <c r="G46" s="2048">
        <v>1</v>
      </c>
      <c r="H46" s="2132"/>
      <c r="I46" s="2003"/>
    </row>
    <row r="47" spans="2:9" ht="15.75" outlineLevel="1" x14ac:dyDescent="0.45">
      <c r="B47" s="2024" t="s">
        <v>4522</v>
      </c>
      <c r="C47" s="1982" t="s">
        <v>4523</v>
      </c>
      <c r="D47" s="1982" t="s">
        <v>4524</v>
      </c>
      <c r="E47" s="2093">
        <f>(X_HAO_L_P+X_HAO_L_P_old)*A_SFHAO_L*(A_MP/A_MAl)+(X_HAO_H_P+X_HAO_H_P_old)*A_SFHAO_H*(A_MP/A_MAl)</f>
        <v>2.5255184789578044E-50</v>
      </c>
      <c r="F47" s="1982" t="s">
        <v>888</v>
      </c>
      <c r="G47" s="1982">
        <v>1</v>
      </c>
      <c r="H47" s="1926"/>
      <c r="I47" s="1997"/>
    </row>
    <row r="48" spans="2:9" ht="15.75" outlineLevel="1" x14ac:dyDescent="0.45">
      <c r="B48" s="2026" t="s">
        <v>3719</v>
      </c>
      <c r="C48" s="2053" t="s">
        <v>3720</v>
      </c>
      <c r="D48" s="2053" t="s">
        <v>3721</v>
      </c>
      <c r="E48" s="2097">
        <f>S_NHx-S_NOx</f>
        <v>-4.0999999999999996</v>
      </c>
      <c r="F48" s="1982" t="s">
        <v>886</v>
      </c>
      <c r="G48" s="1982">
        <v>1</v>
      </c>
      <c r="H48" s="2135"/>
      <c r="I48" s="2157"/>
    </row>
    <row r="49" spans="1:14" ht="15.75" outlineLevel="1" x14ac:dyDescent="0.45">
      <c r="A49" s="1616"/>
      <c r="B49" s="2026" t="s">
        <v>2696</v>
      </c>
      <c r="C49" s="2053" t="s">
        <v>1977</v>
      </c>
      <c r="D49" s="2053" t="s">
        <v>1978</v>
      </c>
      <c r="E49" s="2097">
        <f>X_VSS/X_TSS</f>
        <v>0.73668455704976621</v>
      </c>
      <c r="F49" s="1982" t="s">
        <v>3726</v>
      </c>
      <c r="G49" s="1982">
        <v>2</v>
      </c>
      <c r="H49" s="2135"/>
      <c r="I49" s="2157"/>
      <c r="J49" s="1616"/>
      <c r="K49" s="1616"/>
      <c r="L49" s="1616"/>
      <c r="M49" s="1616"/>
      <c r="N49" s="1616"/>
    </row>
    <row r="50" spans="1:14" ht="15.75" outlineLevel="1" x14ac:dyDescent="0.45">
      <c r="A50" s="1616"/>
      <c r="B50" s="2026" t="s">
        <v>3727</v>
      </c>
      <c r="C50" s="2053" t="s">
        <v>3728</v>
      </c>
      <c r="D50" s="2053" t="s">
        <v>1283</v>
      </c>
      <c r="E50" s="2097">
        <f>S_ALK</f>
        <v>5.5299706224952441E-3</v>
      </c>
      <c r="F50" s="1982" t="s">
        <v>1905</v>
      </c>
      <c r="G50" s="1982">
        <v>1</v>
      </c>
      <c r="H50" s="2135" t="s">
        <v>11</v>
      </c>
      <c r="I50" s="2157"/>
      <c r="J50" s="1616"/>
      <c r="K50" s="1616"/>
      <c r="L50" s="1616"/>
      <c r="M50" s="1616"/>
      <c r="N50" s="1616"/>
    </row>
    <row r="51" spans="1:14" s="7" customFormat="1" ht="15.75" outlineLevel="1" x14ac:dyDescent="0.45">
      <c r="B51" s="2027" t="s">
        <v>4526</v>
      </c>
      <c r="C51" s="2054" t="s">
        <v>4527</v>
      </c>
      <c r="D51" s="2078" t="s">
        <v>4528</v>
      </c>
      <c r="E51" s="2098">
        <f>MAX(0,f_TOC_1*T_COD-f_TOC_2)</f>
        <v>862.73536983999998</v>
      </c>
      <c r="F51" s="2054" t="s">
        <v>4529</v>
      </c>
      <c r="G51" s="2054">
        <v>1</v>
      </c>
      <c r="H51" s="2136" t="s">
        <v>4530</v>
      </c>
      <c r="I51" s="2158"/>
    </row>
    <row r="52" spans="1:14" s="7" customFormat="1" ht="47.65" outlineLevel="1" thickBot="1" x14ac:dyDescent="0.5">
      <c r="B52" s="2028" t="s">
        <v>4531</v>
      </c>
      <c r="C52" s="2055" t="s">
        <v>4532</v>
      </c>
      <c r="D52" s="2079" t="s">
        <v>4533</v>
      </c>
      <c r="E52" s="2099">
        <f>(X_VSS_BIO*(i_vw_BIO+i_iw_BIO+i_wh_BIO)+X_VSS_BIO*(i_vw_EPS+i_wh_EPS)+X_E/i_CV_XE*(i_vw_XE+i_wh_XE)+X_E/i_CV_XE*(i_vw_EPS+i_wh_EPS)+X_B/i_CV_XB*(i_vw_XB+i_wh_XB)+X_U/i_CV_XU*(i_vw_XU+i_wh_XU)+X_PHA/i_CV_PHA*(i_vw_PHA+i_wh_PHA)+X_GLY/i_CV_GLY*(i_vw_GLY+i_wh_GLY)+C_B/i_CV_CB*i_vw_CB+C_U/i_CV_CU*i_vw_CU)/X_TSS</f>
        <v>1.0819545468223968</v>
      </c>
      <c r="F52" s="2055" t="s">
        <v>4285</v>
      </c>
      <c r="G52" s="2055">
        <v>1</v>
      </c>
      <c r="H52" s="2137"/>
      <c r="I52" s="2159"/>
    </row>
    <row r="53" spans="1:14" ht="14.65" thickBot="1" x14ac:dyDescent="0.5">
      <c r="B53" s="153"/>
      <c r="C53" s="153"/>
      <c r="D53" s="153"/>
      <c r="E53" s="153"/>
      <c r="F53" s="153"/>
      <c r="G53" s="153"/>
      <c r="H53" s="1044"/>
      <c r="I53" s="153"/>
    </row>
    <row r="54" spans="1:14" ht="14.65" thickBot="1" x14ac:dyDescent="0.5">
      <c r="C54" s="1501" t="s">
        <v>4534</v>
      </c>
      <c r="D54" s="2076" t="s">
        <v>301</v>
      </c>
      <c r="E54" s="115"/>
    </row>
    <row r="55" spans="1:14" ht="14.65" thickBot="1" x14ac:dyDescent="0.5">
      <c r="B55" s="1502" t="s">
        <v>0</v>
      </c>
      <c r="C55" s="1314" t="s">
        <v>1</v>
      </c>
      <c r="D55" s="1314" t="s">
        <v>5</v>
      </c>
      <c r="E55" s="1314" t="s">
        <v>152</v>
      </c>
      <c r="F55" s="1314" t="s">
        <v>2</v>
      </c>
      <c r="G55" s="1314" t="s">
        <v>300</v>
      </c>
      <c r="H55" s="1644" t="s">
        <v>116</v>
      </c>
      <c r="I55" s="1503" t="s">
        <v>117</v>
      </c>
    </row>
    <row r="56" spans="1:14" ht="15.75" outlineLevel="1" x14ac:dyDescent="0.45">
      <c r="A56" s="7"/>
      <c r="B56" s="2024" t="s">
        <v>4535</v>
      </c>
      <c r="C56" s="1982" t="s">
        <v>4536</v>
      </c>
      <c r="D56" s="1982" t="s">
        <v>4537</v>
      </c>
      <c r="E56" s="2093">
        <f>X_PHA+X_GLY</f>
        <v>23</v>
      </c>
      <c r="F56" s="1982" t="s">
        <v>1182</v>
      </c>
      <c r="G56" s="1982">
        <v>1</v>
      </c>
      <c r="H56" s="1926"/>
      <c r="I56" s="1997"/>
    </row>
    <row r="57" spans="1:14" s="7" customFormat="1" ht="15.75" outlineLevel="1" x14ac:dyDescent="0.45">
      <c r="B57" s="2027" t="s">
        <v>4538</v>
      </c>
      <c r="C57" s="2056" t="s">
        <v>4939</v>
      </c>
      <c r="D57" s="2080" t="s">
        <v>4539</v>
      </c>
      <c r="E57" s="2098">
        <f>X_PHA/X_STC</f>
        <v>0.86956521739130432</v>
      </c>
      <c r="F57" s="1982" t="s">
        <v>283</v>
      </c>
      <c r="G57" s="2054">
        <v>1</v>
      </c>
      <c r="H57" s="2136"/>
      <c r="I57" s="2158"/>
    </row>
    <row r="58" spans="1:14" s="7" customFormat="1" ht="15.75" outlineLevel="1" x14ac:dyDescent="0.45">
      <c r="B58" s="2027" t="s">
        <v>4540</v>
      </c>
      <c r="C58" s="2056" t="s">
        <v>4940</v>
      </c>
      <c r="D58" s="2080" t="s">
        <v>4541</v>
      </c>
      <c r="E58" s="2098">
        <f>X_GLY/X_STC</f>
        <v>0.13043478260869565</v>
      </c>
      <c r="F58" s="1982" t="s">
        <v>283</v>
      </c>
      <c r="G58" s="2054">
        <v>1</v>
      </c>
      <c r="H58" s="2136"/>
      <c r="I58" s="2158"/>
    </row>
    <row r="59" spans="1:14" ht="15.75" outlineLevel="1" x14ac:dyDescent="0.45">
      <c r="A59" s="7"/>
      <c r="B59" s="2024" t="s">
        <v>4542</v>
      </c>
      <c r="C59" s="1982" t="s">
        <v>4543</v>
      </c>
      <c r="D59" s="1982" t="s">
        <v>4544</v>
      </c>
      <c r="E59" s="2093">
        <f>actPAO*X_CASTO</f>
        <v>434.78260869565219</v>
      </c>
      <c r="F59" s="1982" t="s">
        <v>1182</v>
      </c>
      <c r="G59" s="1982">
        <v>1</v>
      </c>
      <c r="H59" s="1926"/>
      <c r="I59" s="1997"/>
    </row>
    <row r="60" spans="1:14" ht="15.75" outlineLevel="1" x14ac:dyDescent="0.45">
      <c r="A60" s="7"/>
      <c r="B60" s="2024" t="s">
        <v>4545</v>
      </c>
      <c r="C60" s="1982" t="s">
        <v>2961</v>
      </c>
      <c r="D60" s="1982" t="s">
        <v>4546</v>
      </c>
      <c r="E60" s="2093">
        <f>actGAO*X_CASTO</f>
        <v>65.217391304347828</v>
      </c>
      <c r="F60" s="1982" t="s">
        <v>1182</v>
      </c>
      <c r="G60" s="1982">
        <v>1</v>
      </c>
      <c r="H60" s="1926"/>
      <c r="I60" s="1997"/>
    </row>
    <row r="61" spans="1:14" s="7" customFormat="1" ht="15.75" outlineLevel="1" x14ac:dyDescent="0.45">
      <c r="B61" s="2027" t="s">
        <v>4547</v>
      </c>
      <c r="C61" s="2054" t="s">
        <v>4548</v>
      </c>
      <c r="D61" s="2080" t="s">
        <v>4549</v>
      </c>
      <c r="E61" s="2098">
        <f>L_ogsatORP_GAO_T</f>
        <v>0.99999603422334271</v>
      </c>
      <c r="F61" s="1982" t="s">
        <v>283</v>
      </c>
      <c r="G61" s="2054">
        <v>1</v>
      </c>
      <c r="H61" s="2136"/>
      <c r="I61" s="2158"/>
    </row>
    <row r="62" spans="1:14" s="7" customFormat="1" ht="15.75" outlineLevel="1" x14ac:dyDescent="0.45">
      <c r="B62" s="2027" t="s">
        <v>4550</v>
      </c>
      <c r="C62" s="2054" t="s">
        <v>4551</v>
      </c>
      <c r="D62" s="2081" t="s">
        <v>4552</v>
      </c>
      <c r="E62" s="2098">
        <f>(1-L_ogsatORP_GAO_T)</f>
        <v>3.9657766572886999E-6</v>
      </c>
      <c r="F62" s="1982" t="s">
        <v>283</v>
      </c>
      <c r="G62" s="2054">
        <v>1</v>
      </c>
      <c r="H62" s="2136"/>
      <c r="I62" s="2158"/>
    </row>
    <row r="63" spans="1:14" s="7" customFormat="1" ht="15.75" outlineLevel="1" x14ac:dyDescent="0.45">
      <c r="B63" s="2027" t="s">
        <v>4553</v>
      </c>
      <c r="C63" s="2054" t="s">
        <v>4554</v>
      </c>
      <c r="D63" s="2080" t="s">
        <v>4555</v>
      </c>
      <c r="E63" s="2098">
        <f>(1-L_ogsatORP_GAO_T)*L_oginhORP_PAO</f>
        <v>6.6380497512766371E-26</v>
      </c>
      <c r="F63" s="1982" t="s">
        <v>283</v>
      </c>
      <c r="G63" s="2054">
        <v>1</v>
      </c>
      <c r="H63" s="2136"/>
      <c r="I63" s="2158"/>
    </row>
    <row r="64" spans="1:14" s="1666" customFormat="1" ht="16.5" outlineLevel="1" x14ac:dyDescent="0.45">
      <c r="A64" s="115"/>
      <c r="B64" s="2024" t="s">
        <v>4556</v>
      </c>
      <c r="C64" s="1982" t="s">
        <v>4557</v>
      </c>
      <c r="D64" s="1982" t="s">
        <v>4558</v>
      </c>
      <c r="E64" s="2096">
        <f>(Y_CASTO_PHA_ox*X_PHA+Y_CASTO_GLY_ox*X_GLY)/X_STC</f>
        <v>0.63391304347826094</v>
      </c>
      <c r="F64" s="1952" t="s">
        <v>4559</v>
      </c>
      <c r="G64" s="2062">
        <v>2</v>
      </c>
      <c r="H64" s="1926"/>
      <c r="I64" s="1997"/>
    </row>
    <row r="65" spans="1:9" s="1666" customFormat="1" ht="16.5" outlineLevel="1" x14ac:dyDescent="0.45">
      <c r="A65" s="115"/>
      <c r="B65" s="2024" t="s">
        <v>4560</v>
      </c>
      <c r="C65" s="1982" t="s">
        <v>4561</v>
      </c>
      <c r="D65" s="1982" t="s">
        <v>4562</v>
      </c>
      <c r="E65" s="2096">
        <f>(Y_CASTO_PHA_anox*X_PHA+Y_CASTO_GLY_anox*X_GLY)/X_STC</f>
        <v>0.5173913043478261</v>
      </c>
      <c r="F65" s="1952" t="s">
        <v>4559</v>
      </c>
      <c r="G65" s="2062">
        <v>2</v>
      </c>
      <c r="H65" s="1926"/>
      <c r="I65" s="1997"/>
    </row>
    <row r="66" spans="1:9" s="1666" customFormat="1" ht="16.149999999999999" outlineLevel="1" thickBot="1" x14ac:dyDescent="0.5">
      <c r="A66" s="115"/>
      <c r="B66" s="2029" t="s">
        <v>4563</v>
      </c>
      <c r="C66" s="2057" t="s">
        <v>4564</v>
      </c>
      <c r="D66" s="1979" t="s">
        <v>4565</v>
      </c>
      <c r="E66" s="2100">
        <f>(i_CIT_PHA*X_PHA+i_CIT_GLY*X_GLY)/X_STC</f>
        <v>0.33847826086956523</v>
      </c>
      <c r="F66" s="2055" t="s">
        <v>1919</v>
      </c>
      <c r="G66" s="1979">
        <v>2</v>
      </c>
      <c r="H66" s="1930"/>
      <c r="I66" s="1998"/>
    </row>
    <row r="67" spans="1:9" ht="14.65" thickBot="1" x14ac:dyDescent="0.5">
      <c r="B67" s="153"/>
      <c r="C67" s="153"/>
      <c r="D67" s="153"/>
      <c r="E67" s="153"/>
      <c r="F67" s="153"/>
      <c r="G67" s="153"/>
      <c r="H67" s="1044"/>
      <c r="I67" s="153"/>
    </row>
    <row r="68" spans="1:9" ht="14.65" thickBot="1" x14ac:dyDescent="0.5">
      <c r="C68" s="1501" t="s">
        <v>2205</v>
      </c>
      <c r="D68" s="2076" t="s">
        <v>301</v>
      </c>
      <c r="E68" s="115"/>
    </row>
    <row r="69" spans="1:9" ht="14.65" thickBot="1" x14ac:dyDescent="0.5">
      <c r="B69" s="1502" t="s">
        <v>0</v>
      </c>
      <c r="C69" s="1314" t="s">
        <v>1</v>
      </c>
      <c r="D69" s="1314" t="s">
        <v>5</v>
      </c>
      <c r="E69" s="1314" t="s">
        <v>152</v>
      </c>
      <c r="F69" s="1314" t="s">
        <v>2</v>
      </c>
      <c r="G69" s="1314" t="s">
        <v>300</v>
      </c>
      <c r="H69" s="1644" t="s">
        <v>116</v>
      </c>
      <c r="I69" s="1503" t="s">
        <v>117</v>
      </c>
    </row>
    <row r="70" spans="1:9" s="4" customFormat="1" ht="15.75" outlineLevel="1" x14ac:dyDescent="0.45">
      <c r="B70" s="146" t="s">
        <v>2206</v>
      </c>
      <c r="C70" s="2058" t="s">
        <v>2238</v>
      </c>
      <c r="D70" s="2080" t="s">
        <v>5782</v>
      </c>
      <c r="E70" s="2776">
        <f>O_RPbase+(O_RPmax_SO2-O_RPbase)*S_O2/(K_ORP_SO2+S_O2)</f>
        <v>285.36585365853659</v>
      </c>
      <c r="F70" s="1975" t="s">
        <v>2200</v>
      </c>
      <c r="G70" s="1975">
        <v>1</v>
      </c>
      <c r="H70" s="1975"/>
      <c r="I70" s="2777"/>
    </row>
    <row r="71" spans="1:9" s="7" customFormat="1" ht="15.75" outlineLevel="1" x14ac:dyDescent="0.45">
      <c r="B71" s="2027" t="s">
        <v>2207</v>
      </c>
      <c r="C71" s="2054" t="s">
        <v>4566</v>
      </c>
      <c r="D71" s="2080" t="s">
        <v>4567</v>
      </c>
      <c r="E71" s="2098">
        <f>O_RPbase+(O_RPmax_SNOx-O_RPbase)*S_NOx/(K_ORP_SNOx+S_NOx)</f>
        <v>62.884615384615415</v>
      </c>
      <c r="F71" s="2054" t="s">
        <v>2200</v>
      </c>
      <c r="G71" s="2054">
        <v>1</v>
      </c>
      <c r="H71" s="2136"/>
      <c r="I71" s="2158"/>
    </row>
    <row r="72" spans="1:9" s="4" customFormat="1" ht="15.75" outlineLevel="1" x14ac:dyDescent="0.45">
      <c r="B72" s="2516" t="s">
        <v>5391</v>
      </c>
      <c r="C72" s="2226" t="s">
        <v>5392</v>
      </c>
      <c r="D72" s="2080" t="s">
        <v>5393</v>
      </c>
      <c r="E72" s="2227">
        <f>S_H2+S_CH4+S_H2S</f>
        <v>0.03</v>
      </c>
      <c r="F72" s="2052" t="s">
        <v>1182</v>
      </c>
      <c r="G72" s="2228"/>
      <c r="H72" s="2228"/>
      <c r="I72" s="2491"/>
    </row>
    <row r="73" spans="1:9" s="4" customFormat="1" ht="28.5" outlineLevel="1" x14ac:dyDescent="0.45">
      <c r="B73" s="2516" t="s">
        <v>5394</v>
      </c>
      <c r="C73" s="2226" t="s">
        <v>5395</v>
      </c>
      <c r="D73" s="2080" t="s">
        <v>5396</v>
      </c>
      <c r="E73" s="2227">
        <f>O_RPbase*(S_H2_CH4_H2S)/(K_ORP_H2_CH4_H2S+S_H2_CH4_H2S)</f>
        <v>-1.7892644135188867</v>
      </c>
      <c r="F73" s="2228" t="s">
        <v>2200</v>
      </c>
      <c r="G73" s="2228">
        <v>1</v>
      </c>
      <c r="H73" s="2228"/>
      <c r="I73" s="2491"/>
    </row>
    <row r="74" spans="1:9" s="4" customFormat="1" ht="16.149999999999999" outlineLevel="1" thickBot="1" x14ac:dyDescent="0.5">
      <c r="B74" s="2517" t="s">
        <v>2208</v>
      </c>
      <c r="C74" s="2495" t="s">
        <v>2205</v>
      </c>
      <c r="D74" s="2518" t="s">
        <v>5397</v>
      </c>
      <c r="E74" s="2519">
        <f>MAX(O_RPO2,O_RPNOx,O_RPH2_CH4_H2S)</f>
        <v>285.36585365853659</v>
      </c>
      <c r="F74" s="2500" t="s">
        <v>2200</v>
      </c>
      <c r="G74" s="2500">
        <v>1</v>
      </c>
      <c r="H74" s="2500"/>
      <c r="I74" s="2501"/>
    </row>
    <row r="75" spans="1:9" ht="14.65" thickBot="1" x14ac:dyDescent="0.5">
      <c r="B75" s="153"/>
      <c r="C75" s="153"/>
      <c r="D75" s="153"/>
      <c r="E75" s="153"/>
      <c r="F75" s="153"/>
      <c r="G75" s="153"/>
      <c r="H75" s="1044"/>
      <c r="I75" s="153"/>
    </row>
    <row r="76" spans="1:9" ht="14.65" thickBot="1" x14ac:dyDescent="0.5">
      <c r="C76" s="1501" t="s">
        <v>4568</v>
      </c>
      <c r="D76" s="2076" t="s">
        <v>301</v>
      </c>
      <c r="E76" s="115"/>
    </row>
    <row r="77" spans="1:9" ht="14.65" thickBot="1" x14ac:dyDescent="0.5">
      <c r="B77" s="1502" t="s">
        <v>0</v>
      </c>
      <c r="C77" s="1314" t="s">
        <v>1</v>
      </c>
      <c r="D77" s="1314" t="s">
        <v>5</v>
      </c>
      <c r="E77" s="1314" t="s">
        <v>152</v>
      </c>
      <c r="F77" s="1314" t="s">
        <v>2</v>
      </c>
      <c r="G77" s="1314" t="s">
        <v>300</v>
      </c>
      <c r="H77" s="1644" t="s">
        <v>116</v>
      </c>
      <c r="I77" s="1503" t="s">
        <v>117</v>
      </c>
    </row>
    <row r="78" spans="1:9" s="7" customFormat="1" ht="15.75" outlineLevel="1" x14ac:dyDescent="0.45">
      <c r="A78" s="115"/>
      <c r="B78" s="1898" t="s">
        <v>2794</v>
      </c>
      <c r="C78" s="2058" t="s">
        <v>2795</v>
      </c>
      <c r="D78" s="2080" t="s">
        <v>4975</v>
      </c>
      <c r="E78" s="2101">
        <f>(1/(1+EXP(((O_RP)-(L_ogsatORP_PAO_Half))*(L_ogsatORP_PAO_Slope))))</f>
        <v>1.6738334820435658E-20</v>
      </c>
      <c r="F78" s="2066" t="s">
        <v>283</v>
      </c>
      <c r="G78" s="2066">
        <v>2</v>
      </c>
      <c r="H78" s="1917"/>
      <c r="I78" s="2160"/>
    </row>
    <row r="79" spans="1:9" s="7" customFormat="1" ht="15.75" outlineLevel="1" x14ac:dyDescent="0.45">
      <c r="A79" s="115"/>
      <c r="B79" s="1898" t="s">
        <v>4569</v>
      </c>
      <c r="C79" s="2058" t="s">
        <v>4570</v>
      </c>
      <c r="D79" s="2080" t="s">
        <v>4571</v>
      </c>
      <c r="E79" s="2101">
        <f>(L_ogsatORP_GAO_Half_25-L_ogsatORP_GAO_Half_15)/(25-15)</f>
        <v>-8</v>
      </c>
      <c r="F79" s="2066" t="s">
        <v>4572</v>
      </c>
      <c r="G79" s="2066">
        <v>1</v>
      </c>
      <c r="H79" s="1917"/>
      <c r="I79" s="2160"/>
    </row>
    <row r="80" spans="1:9" s="7" customFormat="1" ht="15.75" outlineLevel="1" x14ac:dyDescent="0.45">
      <c r="A80" s="115"/>
      <c r="B80" s="1898" t="s">
        <v>4573</v>
      </c>
      <c r="C80" s="2058" t="s">
        <v>4574</v>
      </c>
      <c r="D80" s="2080" t="s">
        <v>4575</v>
      </c>
      <c r="E80" s="2101">
        <f>L_ogsatORP_GAO_Half_25-s_lORP_GAO_Half_T*25</f>
        <v>90</v>
      </c>
      <c r="F80" s="2066" t="s">
        <v>2200</v>
      </c>
      <c r="G80" s="2066">
        <v>1</v>
      </c>
      <c r="H80" s="1917"/>
      <c r="I80" s="2160"/>
    </row>
    <row r="81" spans="1:10" s="7" customFormat="1" ht="15.75" outlineLevel="1" x14ac:dyDescent="0.45">
      <c r="A81" s="115"/>
      <c r="B81" s="2027" t="s">
        <v>4576</v>
      </c>
      <c r="C81" s="2058" t="s">
        <v>4577</v>
      </c>
      <c r="D81" s="2082" t="s">
        <v>4578</v>
      </c>
      <c r="E81" s="2082">
        <f>s_lORP_GAO_Half_T*T__+y_ORP_GAO_Half_T</f>
        <v>-70</v>
      </c>
      <c r="F81" s="2082" t="s">
        <v>2200</v>
      </c>
      <c r="G81" s="2082">
        <v>2</v>
      </c>
      <c r="H81" s="2136"/>
      <c r="I81" s="2158"/>
      <c r="J81" s="115"/>
    </row>
    <row r="82" spans="1:10" s="7" customFormat="1" ht="15.75" outlineLevel="1" x14ac:dyDescent="0.45">
      <c r="A82" s="115"/>
      <c r="B82" s="2027" t="s">
        <v>4579</v>
      </c>
      <c r="C82" s="2058" t="s">
        <v>2796</v>
      </c>
      <c r="D82" s="2082" t="s">
        <v>4973</v>
      </c>
      <c r="E82" s="2102">
        <f>(1/(1+EXP(((L_ogsatORP_GAO_Half_T)-(O_RP))*(L_ogsatORP_GAO_Slope))))</f>
        <v>0.99999603422334271</v>
      </c>
      <c r="F82" s="2082" t="s">
        <v>283</v>
      </c>
      <c r="G82" s="2082">
        <v>2</v>
      </c>
      <c r="H82" s="2136"/>
      <c r="I82" s="2158"/>
      <c r="J82" s="115"/>
    </row>
    <row r="83" spans="1:10" s="7" customFormat="1" ht="16.149999999999999" outlineLevel="1" thickBot="1" x14ac:dyDescent="0.5">
      <c r="A83" s="115"/>
      <c r="B83" s="2028" t="s">
        <v>3161</v>
      </c>
      <c r="C83" s="2055" t="s">
        <v>3162</v>
      </c>
      <c r="D83" s="2083" t="s">
        <v>4974</v>
      </c>
      <c r="E83" s="2103">
        <f>(1/(1+EXP(((O_RP)-(L_ogsatORP_HFO_Half))*(L_ogsatORP_HFO_Slope))))</f>
        <v>1.8355812980967403E-17</v>
      </c>
      <c r="F83" s="2083" t="s">
        <v>283</v>
      </c>
      <c r="G83" s="2083">
        <v>2</v>
      </c>
      <c r="H83" s="2137"/>
      <c r="I83" s="2159"/>
      <c r="J83" s="115"/>
    </row>
    <row r="84" spans="1:10" s="4" customFormat="1" ht="16.149999999999999" outlineLevel="1" thickBot="1" x14ac:dyDescent="0.5">
      <c r="B84" s="2517" t="s">
        <v>5398</v>
      </c>
      <c r="C84" s="2495" t="s">
        <v>5399</v>
      </c>
      <c r="D84" s="2521" t="s">
        <v>5400</v>
      </c>
      <c r="E84" s="2522">
        <f>(1/(1+EXP(((O_RP)-(L_ogsatORP_MM_Half))*(L_ogsatORP_MM_Slope))))</f>
        <v>1.8355812980967403E-17</v>
      </c>
      <c r="F84" s="2523" t="s">
        <v>283</v>
      </c>
      <c r="G84" s="2523">
        <v>2</v>
      </c>
      <c r="H84" s="2500"/>
      <c r="I84" s="2501"/>
      <c r="J84" s="124"/>
    </row>
    <row r="85" spans="1:10" s="4" customFormat="1" ht="14.65" outlineLevel="1" thickBot="1" x14ac:dyDescent="0.5">
      <c r="B85" s="2524"/>
      <c r="C85" s="1294"/>
      <c r="D85" s="2520"/>
      <c r="E85" s="2525"/>
      <c r="F85" s="2526"/>
      <c r="G85" s="2526"/>
      <c r="H85" s="2524"/>
      <c r="I85" s="2524"/>
      <c r="J85" s="124"/>
    </row>
    <row r="86" spans="1:10" s="124" customFormat="1" ht="14.65" thickBot="1" x14ac:dyDescent="0.5">
      <c r="C86" s="2527" t="s">
        <v>5401</v>
      </c>
      <c r="D86" s="14" t="s">
        <v>301</v>
      </c>
      <c r="E86" s="14"/>
    </row>
    <row r="87" spans="1:10" s="124" customFormat="1" ht="14.65" thickBot="1" x14ac:dyDescent="0.5">
      <c r="B87" s="981" t="s">
        <v>0</v>
      </c>
      <c r="C87" s="2528" t="s">
        <v>1</v>
      </c>
      <c r="D87" s="1748" t="s">
        <v>5</v>
      </c>
      <c r="E87" s="1748" t="s">
        <v>152</v>
      </c>
      <c r="F87" s="1748" t="s">
        <v>2</v>
      </c>
      <c r="G87" s="1748" t="s">
        <v>300</v>
      </c>
      <c r="H87" s="1748" t="s">
        <v>116</v>
      </c>
      <c r="I87" s="1749" t="s">
        <v>117</v>
      </c>
    </row>
    <row r="88" spans="1:10" s="124" customFormat="1" ht="15.75" outlineLevel="1" x14ac:dyDescent="0.45">
      <c r="B88" s="2410" t="s">
        <v>5402</v>
      </c>
      <c r="C88" s="2053" t="s">
        <v>5403</v>
      </c>
      <c r="D88" s="2529" t="s">
        <v>5404</v>
      </c>
      <c r="E88" s="2530">
        <f>MIN(MAX(G_H2S/G_H2S_odor_lim,0)*10,10)</f>
        <v>9.9999999999999997E-48</v>
      </c>
      <c r="F88" s="2530" t="s">
        <v>1907</v>
      </c>
      <c r="G88" s="2531">
        <v>0</v>
      </c>
      <c r="H88" s="2531"/>
      <c r="I88" s="2532"/>
    </row>
    <row r="89" spans="1:10" s="124" customFormat="1" ht="15.75" outlineLevel="1" x14ac:dyDescent="0.45">
      <c r="B89" s="2410" t="s">
        <v>5405</v>
      </c>
      <c r="C89" s="2053" t="s">
        <v>5406</v>
      </c>
      <c r="D89" s="2529" t="s">
        <v>5407</v>
      </c>
      <c r="E89" s="2530">
        <f>MIN(MAX(r_120/r_transfer_MM_lim,0)*10,10)</f>
        <v>0.19241106174567885</v>
      </c>
      <c r="F89" s="2530" t="s">
        <v>1907</v>
      </c>
      <c r="G89" s="2531">
        <v>0</v>
      </c>
      <c r="H89" s="2531"/>
      <c r="I89" s="2532"/>
    </row>
    <row r="90" spans="1:10" s="124" customFormat="1" ht="16.149999999999999" outlineLevel="1" thickBot="1" x14ac:dyDescent="0.5">
      <c r="B90" s="2533" t="s">
        <v>5408</v>
      </c>
      <c r="C90" s="2067" t="s">
        <v>5409</v>
      </c>
      <c r="D90" s="2534" t="s">
        <v>5410</v>
      </c>
      <c r="E90" s="2500">
        <f>n_H2S_odor*O_dorH2S+(1-n_H2S_odor)*O_dorMM</f>
        <v>0.12891541136960483</v>
      </c>
      <c r="F90" s="2500" t="s">
        <v>1907</v>
      </c>
      <c r="G90" s="2470">
        <v>0</v>
      </c>
      <c r="H90" s="2470"/>
      <c r="I90" s="2471"/>
    </row>
    <row r="91" spans="1:10" ht="14.65" thickBot="1" x14ac:dyDescent="0.5">
      <c r="B91" s="153"/>
      <c r="C91" s="153"/>
      <c r="D91" s="153"/>
      <c r="E91" s="153"/>
      <c r="F91" s="153"/>
      <c r="G91" s="153"/>
      <c r="H91" s="1044"/>
      <c r="I91" s="153"/>
    </row>
    <row r="92" spans="1:10" ht="14.65" thickBot="1" x14ac:dyDescent="0.5">
      <c r="C92" s="1501" t="s">
        <v>1211</v>
      </c>
      <c r="D92" s="2076" t="s">
        <v>301</v>
      </c>
      <c r="E92" s="115"/>
    </row>
    <row r="93" spans="1:10" ht="14.65" thickBot="1" x14ac:dyDescent="0.5">
      <c r="B93" s="1502" t="s">
        <v>0</v>
      </c>
      <c r="C93" s="1314" t="s">
        <v>1</v>
      </c>
      <c r="D93" s="1314" t="s">
        <v>5</v>
      </c>
      <c r="E93" s="1314" t="s">
        <v>152</v>
      </c>
      <c r="F93" s="1314" t="s">
        <v>2</v>
      </c>
      <c r="G93" s="1314" t="s">
        <v>300</v>
      </c>
      <c r="H93" s="1644" t="s">
        <v>116</v>
      </c>
      <c r="I93" s="1503" t="s">
        <v>117</v>
      </c>
    </row>
    <row r="94" spans="1:10" ht="16.5" outlineLevel="1" x14ac:dyDescent="0.45">
      <c r="B94" s="2030" t="s">
        <v>1776</v>
      </c>
      <c r="C94" s="2059" t="s">
        <v>2712</v>
      </c>
      <c r="D94" s="2059" t="s">
        <v>1777</v>
      </c>
      <c r="E94" s="2104">
        <f>((conc_Mg2p_I^(1/3)*conc_NH4p_I^(1/3)*conc_PO43m_I^(1/3)-K_sp_STR^(1/3))/K_sp_STR^(1/3))</f>
        <v>-0.94691736125084691</v>
      </c>
      <c r="F94" s="2123" t="s">
        <v>1907</v>
      </c>
      <c r="G94" s="2125">
        <v>2</v>
      </c>
      <c r="H94" s="2138" t="s">
        <v>1609</v>
      </c>
      <c r="I94" s="2161"/>
    </row>
    <row r="95" spans="1:10" ht="15.75" outlineLevel="1" x14ac:dyDescent="0.45">
      <c r="B95" s="2031" t="s">
        <v>1776</v>
      </c>
      <c r="C95" s="2060" t="s">
        <v>2712</v>
      </c>
      <c r="D95" s="2060">
        <v>0</v>
      </c>
      <c r="E95" s="2105">
        <f>0</f>
        <v>0</v>
      </c>
      <c r="F95" s="2124" t="s">
        <v>1907</v>
      </c>
      <c r="G95" s="2105">
        <v>0</v>
      </c>
      <c r="H95" s="2139" t="s">
        <v>1610</v>
      </c>
      <c r="I95" s="2162"/>
    </row>
    <row r="96" spans="1:10" ht="15.75" outlineLevel="1" x14ac:dyDescent="0.45">
      <c r="B96" s="2031" t="s">
        <v>1776</v>
      </c>
      <c r="C96" s="2060" t="s">
        <v>2712</v>
      </c>
      <c r="D96" s="2060">
        <v>0</v>
      </c>
      <c r="E96" s="2105">
        <f>0</f>
        <v>0</v>
      </c>
      <c r="F96" s="2124" t="s">
        <v>1907</v>
      </c>
      <c r="G96" s="2105">
        <v>0</v>
      </c>
      <c r="H96" s="2139" t="s">
        <v>1626</v>
      </c>
      <c r="I96" s="2162"/>
    </row>
    <row r="97" spans="2:9" ht="15.75" outlineLevel="1" x14ac:dyDescent="0.45">
      <c r="B97" s="2031" t="s">
        <v>1374</v>
      </c>
      <c r="C97" s="2060" t="s">
        <v>2596</v>
      </c>
      <c r="D97" s="2060" t="s">
        <v>2713</v>
      </c>
      <c r="E97" s="2105">
        <f>IF(P_recipDrivingForceSTR&gt;0,q_STR_PREC,q_STR_DISS*M_satXSTR_KSTR_DISS)</f>
        <v>9.9999999999999997E-48</v>
      </c>
      <c r="F97" s="2105" t="s">
        <v>1317</v>
      </c>
      <c r="G97" s="2105">
        <v>0</v>
      </c>
      <c r="H97" s="2139"/>
      <c r="I97" s="2162"/>
    </row>
    <row r="98" spans="2:9" ht="16.5" outlineLevel="1" x14ac:dyDescent="0.45">
      <c r="B98" s="2032" t="s">
        <v>1607</v>
      </c>
      <c r="C98" s="2061" t="s">
        <v>2714</v>
      </c>
      <c r="D98" s="2061" t="s">
        <v>1778</v>
      </c>
      <c r="E98" s="2106">
        <f>(conc_Ca2p_I^(3/5)*conc_PO43m_I^(2/5)-K_sp_ACP^(1/5))/K_sp_ACP^(1/5)</f>
        <v>-0.4401933402379028</v>
      </c>
      <c r="F98" s="2124" t="s">
        <v>1907</v>
      </c>
      <c r="G98" s="2126">
        <v>2</v>
      </c>
      <c r="H98" s="2140" t="s">
        <v>1609</v>
      </c>
      <c r="I98" s="2163"/>
    </row>
    <row r="99" spans="2:9" ht="15.75" outlineLevel="1" x14ac:dyDescent="0.45">
      <c r="B99" s="2031" t="s">
        <v>1607</v>
      </c>
      <c r="C99" s="2060" t="s">
        <v>2714</v>
      </c>
      <c r="D99" s="2060">
        <v>0</v>
      </c>
      <c r="E99" s="2105">
        <f>0</f>
        <v>0</v>
      </c>
      <c r="F99" s="2124" t="s">
        <v>1907</v>
      </c>
      <c r="G99" s="2105">
        <v>0</v>
      </c>
      <c r="H99" s="2139" t="s">
        <v>1610</v>
      </c>
      <c r="I99" s="2162"/>
    </row>
    <row r="100" spans="2:9" ht="15.75" outlineLevel="1" x14ac:dyDescent="0.45">
      <c r="B100" s="2031" t="s">
        <v>1607</v>
      </c>
      <c r="C100" s="2060" t="s">
        <v>2714</v>
      </c>
      <c r="D100" s="2060">
        <v>0</v>
      </c>
      <c r="E100" s="2105">
        <f>0</f>
        <v>0</v>
      </c>
      <c r="F100" s="2124" t="s">
        <v>1907</v>
      </c>
      <c r="G100" s="2105">
        <v>0</v>
      </c>
      <c r="H100" s="2139" t="s">
        <v>1626</v>
      </c>
      <c r="I100" s="2162"/>
    </row>
    <row r="101" spans="2:9" ht="15.75" outlineLevel="1" x14ac:dyDescent="0.45">
      <c r="B101" s="2031" t="s">
        <v>1375</v>
      </c>
      <c r="C101" s="2060" t="s">
        <v>2598</v>
      </c>
      <c r="D101" s="2060" t="s">
        <v>2715</v>
      </c>
      <c r="E101" s="2105">
        <f>IF(P_recipDrivingForceACP&gt;0,q_ACP_PREC,-q_ACP_DISS*M_satXACP_KACP_DISS)</f>
        <v>-4.9999999999999999E-48</v>
      </c>
      <c r="F101" s="2105" t="s">
        <v>1317</v>
      </c>
      <c r="G101" s="2105">
        <v>0</v>
      </c>
      <c r="H101" s="2139"/>
      <c r="I101" s="2162"/>
    </row>
    <row r="102" spans="2:9" ht="16.5" outlineLevel="1" x14ac:dyDescent="0.45">
      <c r="B102" s="2033" t="s">
        <v>4580</v>
      </c>
      <c r="C102" s="2062" t="s">
        <v>4581</v>
      </c>
      <c r="D102" s="2062" t="s">
        <v>4582</v>
      </c>
      <c r="E102" s="2107">
        <f>(conc_Ca2p_I^(1/2)*conc_HPO42m_I^(1/2)-K_sp_BSH^(1/2))/K_sp_BSH^(1/2)</f>
        <v>-0.70194703022622273</v>
      </c>
      <c r="F102" s="2063" t="s">
        <v>1907</v>
      </c>
      <c r="G102" s="2062">
        <v>2</v>
      </c>
      <c r="H102" s="2141" t="s">
        <v>1609</v>
      </c>
      <c r="I102" s="2164"/>
    </row>
    <row r="103" spans="2:9" ht="15.75" outlineLevel="1" x14ac:dyDescent="0.45">
      <c r="B103" s="2034" t="s">
        <v>4580</v>
      </c>
      <c r="C103" s="2063" t="s">
        <v>4581</v>
      </c>
      <c r="D103" s="2063">
        <v>0</v>
      </c>
      <c r="E103" s="2063">
        <f>0</f>
        <v>0</v>
      </c>
      <c r="F103" s="2063" t="s">
        <v>1907</v>
      </c>
      <c r="G103" s="2063">
        <v>0</v>
      </c>
      <c r="H103" s="2142" t="s">
        <v>1610</v>
      </c>
      <c r="I103" s="2165"/>
    </row>
    <row r="104" spans="2:9" ht="15.75" outlineLevel="1" x14ac:dyDescent="0.45">
      <c r="B104" s="2034" t="s">
        <v>4580</v>
      </c>
      <c r="C104" s="2063" t="s">
        <v>4581</v>
      </c>
      <c r="D104" s="2063">
        <v>0</v>
      </c>
      <c r="E104" s="2063">
        <f>0</f>
        <v>0</v>
      </c>
      <c r="F104" s="2063" t="s">
        <v>1907</v>
      </c>
      <c r="G104" s="2063">
        <v>0</v>
      </c>
      <c r="H104" s="2142" t="s">
        <v>1626</v>
      </c>
      <c r="I104" s="2165"/>
    </row>
    <row r="105" spans="2:9" ht="15.75" outlineLevel="1" x14ac:dyDescent="0.45">
      <c r="B105" s="2034" t="s">
        <v>4583</v>
      </c>
      <c r="C105" s="2063" t="s">
        <v>4584</v>
      </c>
      <c r="D105" s="2063" t="s">
        <v>4585</v>
      </c>
      <c r="E105" s="2063">
        <f>IF(P_recipDrivingForceBSH&gt;0,q_BSH_PREC,-q_BSH_DISS*M_satXBSH_KBSH_DISS)</f>
        <v>-4.9999999999999999E-46</v>
      </c>
      <c r="F105" s="2063" t="s">
        <v>4586</v>
      </c>
      <c r="G105" s="2063">
        <v>0</v>
      </c>
      <c r="H105" s="2142"/>
      <c r="I105" s="2165"/>
    </row>
    <row r="106" spans="2:9" ht="16.5" outlineLevel="1" x14ac:dyDescent="0.45">
      <c r="B106" s="2032" t="s">
        <v>1608</v>
      </c>
      <c r="C106" s="2061" t="s">
        <v>2716</v>
      </c>
      <c r="D106" s="2061" t="s">
        <v>1779</v>
      </c>
      <c r="E106" s="2106">
        <f>(conc_Ca2p_I^(1/2)*conc_CO32m_I^(1/2)-K_sp_CaCO3^(1/2))/K_sp_CaCO3^(1/2)</f>
        <v>-0.70673036380065479</v>
      </c>
      <c r="F106" s="2124" t="s">
        <v>1907</v>
      </c>
      <c r="G106" s="2126">
        <v>2</v>
      </c>
      <c r="H106" s="2140" t="s">
        <v>1609</v>
      </c>
      <c r="I106" s="2163"/>
    </row>
    <row r="107" spans="2:9" ht="15.75" outlineLevel="1" x14ac:dyDescent="0.45">
      <c r="B107" s="2031" t="s">
        <v>1608</v>
      </c>
      <c r="C107" s="2060" t="s">
        <v>2716</v>
      </c>
      <c r="D107" s="2060">
        <v>0</v>
      </c>
      <c r="E107" s="2105">
        <f>0</f>
        <v>0</v>
      </c>
      <c r="F107" s="2124" t="s">
        <v>1907</v>
      </c>
      <c r="G107" s="2105">
        <v>0</v>
      </c>
      <c r="H107" s="2139" t="s">
        <v>1610</v>
      </c>
      <c r="I107" s="2162"/>
    </row>
    <row r="108" spans="2:9" ht="15.75" outlineLevel="1" x14ac:dyDescent="0.45">
      <c r="B108" s="2031" t="s">
        <v>1608</v>
      </c>
      <c r="C108" s="2060" t="s">
        <v>2716</v>
      </c>
      <c r="D108" s="2060">
        <v>0</v>
      </c>
      <c r="E108" s="2105">
        <f>0</f>
        <v>0</v>
      </c>
      <c r="F108" s="2124" t="s">
        <v>1907</v>
      </c>
      <c r="G108" s="2105">
        <v>0</v>
      </c>
      <c r="H108" s="2139" t="s">
        <v>1626</v>
      </c>
      <c r="I108" s="2162"/>
    </row>
    <row r="109" spans="2:9" ht="15.75" outlineLevel="1" x14ac:dyDescent="0.45">
      <c r="B109" s="2031" t="s">
        <v>1376</v>
      </c>
      <c r="C109" s="2060" t="s">
        <v>2594</v>
      </c>
      <c r="D109" s="2060" t="s">
        <v>2717</v>
      </c>
      <c r="E109" s="2105">
        <f>IF(P_recipDrivingForceCaCO3&gt;0,q_CaCO3_PREC,-q_CaCO3_DISS*M_satXCaCO3_KCaCO3_DISS)</f>
        <v>-9.9999999999999994E-50</v>
      </c>
      <c r="F109" s="2105" t="s">
        <v>1317</v>
      </c>
      <c r="G109" s="2105">
        <v>0</v>
      </c>
      <c r="H109" s="2139"/>
      <c r="I109" s="2162"/>
    </row>
    <row r="110" spans="2:9" s="124" customFormat="1" ht="16.5" outlineLevel="1" x14ac:dyDescent="0.45">
      <c r="B110" s="2535" t="s">
        <v>5411</v>
      </c>
      <c r="C110" s="2536" t="s">
        <v>5412</v>
      </c>
      <c r="D110" s="2537" t="s">
        <v>5413</v>
      </c>
      <c r="E110" s="2538">
        <f>(conc_Fe2p_I^(0.5)*conc_HSm_I^(0.5)-K_sp_FeS^(0.5))/K_sp_FeS^(0.5)</f>
        <v>-1</v>
      </c>
      <c r="F110" s="2530" t="s">
        <v>1907</v>
      </c>
      <c r="G110" s="2539">
        <v>2</v>
      </c>
      <c r="H110" s="2539" t="s">
        <v>1609</v>
      </c>
      <c r="I110" s="2540"/>
    </row>
    <row r="111" spans="2:9" s="124" customFormat="1" ht="15.75" outlineLevel="1" x14ac:dyDescent="0.45">
      <c r="B111" s="2541" t="s">
        <v>5411</v>
      </c>
      <c r="C111" s="2536" t="s">
        <v>5412</v>
      </c>
      <c r="D111" s="2536">
        <v>0</v>
      </c>
      <c r="E111" s="2530">
        <f>0</f>
        <v>0</v>
      </c>
      <c r="F111" s="2530" t="s">
        <v>1907</v>
      </c>
      <c r="G111" s="2530">
        <v>0</v>
      </c>
      <c r="H111" s="2530" t="s">
        <v>1610</v>
      </c>
      <c r="I111" s="2542"/>
    </row>
    <row r="112" spans="2:9" s="124" customFormat="1" ht="15.75" outlineLevel="1" x14ac:dyDescent="0.45">
      <c r="B112" s="2541" t="s">
        <v>5411</v>
      </c>
      <c r="C112" s="2536" t="s">
        <v>5412</v>
      </c>
      <c r="D112" s="2536">
        <v>0</v>
      </c>
      <c r="E112" s="2530">
        <f>0</f>
        <v>0</v>
      </c>
      <c r="F112" s="2530" t="s">
        <v>1907</v>
      </c>
      <c r="G112" s="2530">
        <v>0</v>
      </c>
      <c r="H112" s="2530" t="s">
        <v>1626</v>
      </c>
      <c r="I112" s="2542"/>
    </row>
    <row r="113" spans="2:9" s="124" customFormat="1" ht="15.75" outlineLevel="1" x14ac:dyDescent="0.45">
      <c r="B113" s="2541" t="s">
        <v>5414</v>
      </c>
      <c r="C113" s="2536" t="s">
        <v>5252</v>
      </c>
      <c r="D113" s="2536" t="s">
        <v>5415</v>
      </c>
      <c r="E113" s="2543">
        <f>IF(P_recipDrivingForceFeS&gt;0,q_FeS_PREC,-q_FeS_DISS*M_satXFeS_KFeS_DISS)</f>
        <v>-2E-55</v>
      </c>
      <c r="F113" s="2530" t="s">
        <v>1317</v>
      </c>
      <c r="G113" s="2530">
        <v>0</v>
      </c>
      <c r="H113" s="2530"/>
      <c r="I113" s="2542"/>
    </row>
    <row r="114" spans="2:9" ht="16.5" outlineLevel="1" x14ac:dyDescent="0.45">
      <c r="B114" s="2032" t="s">
        <v>1780</v>
      </c>
      <c r="C114" s="2061" t="s">
        <v>2718</v>
      </c>
      <c r="D114" s="2061" t="s">
        <v>1781</v>
      </c>
      <c r="E114" s="2108">
        <f>((conc_Fe2p_I^(3/5)*conc_PO43m_I^(2/5)-K_sp_Vivi^(1/5))/K_sp_Vivi^(1/5))</f>
        <v>-1</v>
      </c>
      <c r="F114" s="2109" t="s">
        <v>1907</v>
      </c>
      <c r="G114" s="2127">
        <v>2</v>
      </c>
      <c r="H114" s="2140" t="s">
        <v>1609</v>
      </c>
      <c r="I114" s="2163"/>
    </row>
    <row r="115" spans="2:9" ht="15.75" outlineLevel="1" x14ac:dyDescent="0.45">
      <c r="B115" s="2031" t="s">
        <v>1780</v>
      </c>
      <c r="C115" s="2060" t="s">
        <v>2718</v>
      </c>
      <c r="D115" s="2060">
        <v>0</v>
      </c>
      <c r="E115" s="2109">
        <f>0</f>
        <v>0</v>
      </c>
      <c r="F115" s="2109" t="s">
        <v>1907</v>
      </c>
      <c r="G115" s="2109">
        <v>0</v>
      </c>
      <c r="H115" s="2139" t="s">
        <v>1610</v>
      </c>
      <c r="I115" s="2162"/>
    </row>
    <row r="116" spans="2:9" ht="15.75" outlineLevel="1" x14ac:dyDescent="0.45">
      <c r="B116" s="2031" t="s">
        <v>1780</v>
      </c>
      <c r="C116" s="2060" t="s">
        <v>2718</v>
      </c>
      <c r="D116" s="2060">
        <v>0</v>
      </c>
      <c r="E116" s="2109">
        <f>0</f>
        <v>0</v>
      </c>
      <c r="F116" s="2109" t="s">
        <v>1907</v>
      </c>
      <c r="G116" s="2109">
        <v>0</v>
      </c>
      <c r="H116" s="2139" t="s">
        <v>1626</v>
      </c>
      <c r="I116" s="2166"/>
    </row>
    <row r="117" spans="2:9" ht="16.149999999999999" outlineLevel="1" thickBot="1" x14ac:dyDescent="0.5">
      <c r="B117" s="2035" t="s">
        <v>1377</v>
      </c>
      <c r="C117" s="2064" t="s">
        <v>2600</v>
      </c>
      <c r="D117" s="2064" t="s">
        <v>2719</v>
      </c>
      <c r="E117" s="2110">
        <f>IF(P_recipDrivingForceVivi&gt;0,q_Vivi_PREC,-q_Vivi_DISS*M_satXVivi_KVivi_DISS)</f>
        <v>-1E-50</v>
      </c>
      <c r="F117" s="2110" t="s">
        <v>1317</v>
      </c>
      <c r="G117" s="2110">
        <v>0</v>
      </c>
      <c r="H117" s="2143"/>
      <c r="I117" s="2167"/>
    </row>
    <row r="118" spans="2:9" ht="14.65" thickBot="1" x14ac:dyDescent="0.5">
      <c r="B118" s="153"/>
      <c r="C118" s="153"/>
      <c r="D118" s="153"/>
      <c r="E118" s="153"/>
      <c r="F118" s="153"/>
      <c r="G118" s="153"/>
      <c r="H118" s="1044"/>
      <c r="I118" s="153"/>
    </row>
    <row r="119" spans="2:9" ht="14.65" thickBot="1" x14ac:dyDescent="0.5">
      <c r="C119" s="1501" t="s">
        <v>329</v>
      </c>
      <c r="D119" s="2076" t="s">
        <v>301</v>
      </c>
      <c r="E119" s="115"/>
    </row>
    <row r="120" spans="2:9" ht="14.65" thickBot="1" x14ac:dyDescent="0.5">
      <c r="B120" s="1502" t="s">
        <v>0</v>
      </c>
      <c r="C120" s="1314" t="s">
        <v>1</v>
      </c>
      <c r="D120" s="1314" t="s">
        <v>5</v>
      </c>
      <c r="E120" s="1314" t="s">
        <v>152</v>
      </c>
      <c r="F120" s="1314" t="s">
        <v>2</v>
      </c>
      <c r="G120" s="1314" t="s">
        <v>300</v>
      </c>
      <c r="H120" s="1644" t="s">
        <v>116</v>
      </c>
      <c r="I120" s="1503" t="s">
        <v>117</v>
      </c>
    </row>
    <row r="121" spans="2:9" s="124" customFormat="1" ht="31.5" outlineLevel="1" x14ac:dyDescent="0.45">
      <c r="B121" s="2787" t="s">
        <v>330</v>
      </c>
      <c r="C121" s="2788" t="s">
        <v>3031</v>
      </c>
      <c r="D121" s="2803" t="s">
        <v>5813</v>
      </c>
      <c r="E121" s="2804">
        <f>C_OUR+N_OUR-(v_119_SO2*r_119+v_122_SO2*r_122+v_127_SO2*r_127+v_128_SO2*r_128+v_79_SO2*r_79+v_131_SO2*r_131)</f>
        <v>759.72820434054904</v>
      </c>
      <c r="F121" s="2805" t="s">
        <v>353</v>
      </c>
      <c r="G121" s="2805">
        <v>1</v>
      </c>
      <c r="H121" s="2805" t="s">
        <v>331</v>
      </c>
      <c r="I121" s="2806"/>
    </row>
    <row r="122" spans="2:9" ht="45.75" outlineLevel="1" x14ac:dyDescent="0.45">
      <c r="B122" s="1898" t="s">
        <v>2133</v>
      </c>
      <c r="C122" s="2065" t="s">
        <v>2722</v>
      </c>
      <c r="D122" s="2073" t="s">
        <v>5862</v>
      </c>
      <c r="E122" s="2101">
        <f>-(v_1_SO2*r_1+v_6_SO2*r_6+v_13_SO2*r_13+v_20_SO2*r_20+v_23_SO2*r_23+v_26_SO2*r_26+v_31_SO2*r_31+v_134_SO2*r_134)</f>
        <v>371.73024317726447</v>
      </c>
      <c r="F122" s="2065" t="s">
        <v>353</v>
      </c>
      <c r="G122" s="2065">
        <v>1</v>
      </c>
      <c r="H122" s="2144" t="s">
        <v>331</v>
      </c>
      <c r="I122" s="2168" t="s">
        <v>4097</v>
      </c>
    </row>
    <row r="123" spans="2:9" ht="15.75" outlineLevel="1" x14ac:dyDescent="0.45">
      <c r="B123" s="1898" t="s">
        <v>2134</v>
      </c>
      <c r="C123" s="2066" t="s">
        <v>2723</v>
      </c>
      <c r="D123" s="2073" t="s">
        <v>4907</v>
      </c>
      <c r="E123" s="2101">
        <f>-(v_40_SO2*r_40+v_41_SO2*r_41+v_42_SO2*r_42+v_47_SO2*r_47)</f>
        <v>290.21069995449051</v>
      </c>
      <c r="F123" s="2066" t="s">
        <v>353</v>
      </c>
      <c r="G123" s="2065">
        <v>1</v>
      </c>
      <c r="H123" s="1917" t="s">
        <v>331</v>
      </c>
      <c r="I123" s="2168" t="s">
        <v>4098</v>
      </c>
    </row>
    <row r="124" spans="2:9" ht="45.75" outlineLevel="1" x14ac:dyDescent="0.45">
      <c r="B124" s="2036" t="s">
        <v>2720</v>
      </c>
      <c r="C124" s="2065" t="s">
        <v>332</v>
      </c>
      <c r="D124" s="2085" t="s">
        <v>5814</v>
      </c>
      <c r="E124" s="2101">
        <f>-(v_2_SNO3*r_2+v_7_SNO3*r_7+v_17_SNO3*r_17+v_22_SNO3*r_22+v_25_SNO3*r_25+v_28_SNO3*r_28+v_33_SNO3*r_33+v_70_SNO3*r_70+v_121_SNO3*r_121+v_124_SNO3*r_124)</f>
        <v>15.365775866180439</v>
      </c>
      <c r="F124" s="2065" t="s">
        <v>1782</v>
      </c>
      <c r="G124" s="2065">
        <v>1</v>
      </c>
      <c r="H124" s="2144" t="s">
        <v>331</v>
      </c>
      <c r="I124" s="2169" t="s">
        <v>4099</v>
      </c>
    </row>
    <row r="125" spans="2:9" ht="61.5" outlineLevel="1" x14ac:dyDescent="0.45">
      <c r="B125" s="2036" t="s">
        <v>2721</v>
      </c>
      <c r="C125" s="2065" t="s">
        <v>2331</v>
      </c>
      <c r="D125" s="2085" t="s">
        <v>5815</v>
      </c>
      <c r="E125" s="2111">
        <f>-(v_3_SNO2*r_3+v_8_SNO2*r_8+v_16_SNO2*r_16+v_21_SNO2*r_21+v_24_SNO2*r_24+v_27_SNO2*r_27+v_32_SNO2*r_32+v_44_SNO2*r_44+v_47_SNO2*r_47+v_50_SNO2*r_50+v_69_SNO2*r_69+v_120_SNO2*r_120+v_123_SNO2*r_123)</f>
        <v>70.737784978999144</v>
      </c>
      <c r="F125" s="2065" t="s">
        <v>1782</v>
      </c>
      <c r="G125" s="2065">
        <v>1</v>
      </c>
      <c r="H125" s="2144" t="s">
        <v>331</v>
      </c>
      <c r="I125" s="2169" t="s">
        <v>4100</v>
      </c>
    </row>
    <row r="126" spans="2:9" ht="15.75" outlineLevel="1" x14ac:dyDescent="0.45">
      <c r="B126" s="2036" t="s">
        <v>4120</v>
      </c>
      <c r="C126" s="2065" t="s">
        <v>4123</v>
      </c>
      <c r="D126" s="2036" t="s">
        <v>5132</v>
      </c>
      <c r="E126" s="2111">
        <f>N_2OPR_denit+N_2OPR_nit</f>
        <v>2.0582377805725462</v>
      </c>
      <c r="F126" s="2065" t="s">
        <v>4131</v>
      </c>
      <c r="G126" s="2065">
        <v>2</v>
      </c>
      <c r="H126" s="2144" t="s">
        <v>331</v>
      </c>
      <c r="I126" s="2169" t="s">
        <v>4133</v>
      </c>
    </row>
    <row r="127" spans="2:9" ht="15.75" outlineLevel="1" x14ac:dyDescent="0.45">
      <c r="B127" s="2036" t="s">
        <v>5136</v>
      </c>
      <c r="C127" s="2065" t="s">
        <v>5137</v>
      </c>
      <c r="D127" s="2085" t="s">
        <v>5138</v>
      </c>
      <c r="E127" s="2111">
        <f>MAX(0,-(v_4_SN2O*r_4+v_9_SN2O*r_9+v_5_SN2O*r_5+v_10_SN2O*r_10))</f>
        <v>0</v>
      </c>
      <c r="F127" s="2065" t="s">
        <v>4131</v>
      </c>
      <c r="G127" s="2065">
        <v>2</v>
      </c>
      <c r="H127" s="2144" t="s">
        <v>331</v>
      </c>
      <c r="I127" s="2169" t="s">
        <v>4138</v>
      </c>
    </row>
    <row r="128" spans="2:9" ht="15.75" outlineLevel="1" x14ac:dyDescent="0.45">
      <c r="B128" s="2036" t="s">
        <v>4134</v>
      </c>
      <c r="C128" s="2065" t="s">
        <v>4136</v>
      </c>
      <c r="D128" s="2085" t="s">
        <v>5134</v>
      </c>
      <c r="E128" s="2111">
        <f>MAX(0,v_4_SN2O*r_4+v_9_SN2O*r_9+v_5_SN2O*r_5+v_10_SN2O*r_10)</f>
        <v>2.0500517789232475</v>
      </c>
      <c r="F128" s="2065" t="s">
        <v>4131</v>
      </c>
      <c r="G128" s="2065">
        <v>2</v>
      </c>
      <c r="H128" s="2144" t="s">
        <v>331</v>
      </c>
      <c r="I128" s="2169" t="s">
        <v>4138</v>
      </c>
    </row>
    <row r="129" spans="2:10" ht="15.75" outlineLevel="1" x14ac:dyDescent="0.45">
      <c r="B129" s="2036" t="s">
        <v>4135</v>
      </c>
      <c r="C129" s="2065" t="s">
        <v>4137</v>
      </c>
      <c r="D129" s="2036" t="s">
        <v>5133</v>
      </c>
      <c r="E129" s="2111">
        <f>N_2OPR_NN+N_2OPR_ND</f>
        <v>8.1860016492988005E-3</v>
      </c>
      <c r="F129" s="2065" t="s">
        <v>4131</v>
      </c>
      <c r="G129" s="2065">
        <v>2</v>
      </c>
      <c r="H129" s="2144" t="s">
        <v>331</v>
      </c>
      <c r="I129" s="2169" t="s">
        <v>4121</v>
      </c>
    </row>
    <row r="130" spans="2:10" ht="15.75" outlineLevel="1" x14ac:dyDescent="0.45">
      <c r="B130" s="2036" t="s">
        <v>4122</v>
      </c>
      <c r="C130" s="2065" t="s">
        <v>4124</v>
      </c>
      <c r="D130" s="2085" t="s">
        <v>4908</v>
      </c>
      <c r="E130" s="2111">
        <f>v_43_SN2O*r_43</f>
        <v>7.2527472527472523E-3</v>
      </c>
      <c r="F130" s="2065" t="s">
        <v>4131</v>
      </c>
      <c r="G130" s="2065">
        <v>2</v>
      </c>
      <c r="H130" s="2144" t="s">
        <v>331</v>
      </c>
      <c r="I130" s="2169" t="s">
        <v>4127</v>
      </c>
    </row>
    <row r="131" spans="2:10" ht="15.75" outlineLevel="1" x14ac:dyDescent="0.45">
      <c r="B131" s="2036" t="s">
        <v>4125</v>
      </c>
      <c r="C131" s="2065" t="s">
        <v>4126</v>
      </c>
      <c r="D131" s="2085" t="s">
        <v>4909</v>
      </c>
      <c r="E131" s="2111">
        <f>v_44_SN2O*r_44</f>
        <v>9.3325439655154833E-4</v>
      </c>
      <c r="F131" s="2065" t="s">
        <v>4131</v>
      </c>
      <c r="G131" s="2065">
        <v>2</v>
      </c>
      <c r="H131" s="2144" t="s">
        <v>331</v>
      </c>
      <c r="I131" s="2169" t="s">
        <v>4128</v>
      </c>
    </row>
    <row r="132" spans="2:10" ht="45.75" outlineLevel="1" x14ac:dyDescent="0.45">
      <c r="B132" s="2036" t="s">
        <v>333</v>
      </c>
      <c r="C132" s="2065" t="s">
        <v>334</v>
      </c>
      <c r="D132" s="2085" t="s">
        <v>5863</v>
      </c>
      <c r="E132" s="2111">
        <f>i_N_BIO*(r_1+r_2+r_3+r_4+r_5+r_6+r_7+r_8+r_9+r_10+r_11+r_12+r_13+r_16+r_17+r_20+r_21+r_22+r_26+r_27+r_28+r_36+r_37+r_41+r_57+r_53+r_56+r_113+r_116+r_119+r_120+r_121+r_122+r_123+r_124+r_134)-(v_40_SNHx*r_40+v_50_SNHx*r_50+v_90_SNHx*r_90)</f>
        <v>139.84430275852617</v>
      </c>
      <c r="F132" s="2065" t="s">
        <v>1782</v>
      </c>
      <c r="G132" s="2065">
        <v>1</v>
      </c>
      <c r="H132" s="2144" t="s">
        <v>331</v>
      </c>
      <c r="I132" s="2169" t="s">
        <v>4101</v>
      </c>
    </row>
    <row r="133" spans="2:10" ht="15.75" outlineLevel="1" x14ac:dyDescent="0.45">
      <c r="B133" s="2036" t="s">
        <v>1908</v>
      </c>
      <c r="C133" s="2065" t="s">
        <v>1909</v>
      </c>
      <c r="D133" s="2085" t="s">
        <v>2466</v>
      </c>
      <c r="E133" s="2097">
        <f>P_URBIO+P_URCHEM</f>
        <v>317.85680769585059</v>
      </c>
      <c r="F133" s="2065" t="s">
        <v>1910</v>
      </c>
      <c r="G133" s="2065">
        <v>1</v>
      </c>
      <c r="H133" s="2144" t="s">
        <v>331</v>
      </c>
      <c r="I133" s="2169" t="s">
        <v>2466</v>
      </c>
    </row>
    <row r="134" spans="2:10" ht="45.75" outlineLevel="1" x14ac:dyDescent="0.45">
      <c r="B134" s="2036" t="s">
        <v>1911</v>
      </c>
      <c r="C134" s="2053" t="s">
        <v>3032</v>
      </c>
      <c r="D134" s="2085" t="s">
        <v>5864</v>
      </c>
      <c r="E134" s="2097">
        <f>i_P_BIO*(r_1+r_2+r_3+r_4+r_5+r_6+r_7+r_8+r_9+r_10+r_11+r_12+r_13+r_16+r_17+r_20+r_21+r_22+r_36+r_37+r_41+r_47+r_50+r_53+r_56+r_113+r_116+r_119+r_120+r_121+r_122+r_123+r_124+r_134)-(v_23_SPO4*r_23+v_24_SPO4*r_24+v_25_SPO4*r_25)</f>
        <v>317.85680769585059</v>
      </c>
      <c r="F134" s="2065" t="s">
        <v>1910</v>
      </c>
      <c r="G134" s="2065">
        <v>1</v>
      </c>
      <c r="H134" s="2144" t="s">
        <v>331</v>
      </c>
      <c r="I134" s="2169" t="s">
        <v>4102</v>
      </c>
    </row>
    <row r="135" spans="2:10" ht="45.75" outlineLevel="1" x14ac:dyDescent="0.45">
      <c r="B135" s="2036" t="s">
        <v>1912</v>
      </c>
      <c r="C135" s="2053" t="s">
        <v>3033</v>
      </c>
      <c r="D135" s="2085" t="s">
        <v>5135</v>
      </c>
      <c r="E135" s="2097">
        <f>-(v_73_SPO4*r_73+v_74_SPO4*r_74+v_82_SPO4*r_82+v_83_SPO4*r_83+v_88_SPO4*r_88+v_89_SPO4*r_89+v_90_SPO4*r_90+v_91_SPO4*r_91)</f>
        <v>-4.284760826548799E-47</v>
      </c>
      <c r="F135" s="2065" t="s">
        <v>1910</v>
      </c>
      <c r="G135" s="2065">
        <v>1</v>
      </c>
      <c r="H135" s="2144" t="s">
        <v>331</v>
      </c>
      <c r="I135" s="2169" t="s">
        <v>4103</v>
      </c>
    </row>
    <row r="136" spans="2:10" ht="47.65" outlineLevel="1" thickBot="1" x14ac:dyDescent="0.5">
      <c r="B136" s="2037" t="s">
        <v>1913</v>
      </c>
      <c r="C136" s="2067" t="s">
        <v>1914</v>
      </c>
      <c r="D136" s="2223" t="s">
        <v>5816</v>
      </c>
      <c r="E136" s="2112">
        <f>v_29_SPO4*r_29+v_35_SPO4*r_35+v_38_SPO4*r_38+v_39_SPO4*r_39+v_65_SPO4*r_65+v_69_SPO4*r_69+v_70_SPO4*r_70+v_75_SPO4*r_75+v_76_SPO4*r_76+v_77_SPO4*r_77+v_78_SPO4*r_78+v_84_SPO4*r_84+v_85_SPO4*r_85+v_86_SPO4*r_86+v_130_SPO4*r_130</f>
        <v>9.8560810797884209</v>
      </c>
      <c r="F136" s="2067" t="s">
        <v>1910</v>
      </c>
      <c r="G136" s="2067">
        <v>1</v>
      </c>
      <c r="H136" s="2145" t="s">
        <v>331</v>
      </c>
      <c r="I136" s="2170" t="s">
        <v>4104</v>
      </c>
    </row>
    <row r="137" spans="2:10" s="124" customFormat="1" ht="15.75" outlineLevel="1" x14ac:dyDescent="0.45">
      <c r="B137" s="2025" t="s">
        <v>5787</v>
      </c>
      <c r="C137" s="2065" t="s">
        <v>5788</v>
      </c>
      <c r="D137" s="2073" t="s">
        <v>5817</v>
      </c>
      <c r="E137" s="2793">
        <f>-(v_119_SH2S*r_119+v_120_SH2S*r_120+v_121_SH2S*r_121+v_127_SH2S*r_127+v_129_SH2S*r_129)</f>
        <v>107.12016098135275</v>
      </c>
      <c r="F137" s="2052" t="s">
        <v>5789</v>
      </c>
      <c r="G137" s="2052">
        <v>1</v>
      </c>
      <c r="H137" s="2052" t="s">
        <v>331</v>
      </c>
      <c r="I137" s="2794"/>
    </row>
    <row r="138" spans="2:10" s="124" customFormat="1" ht="60.4" outlineLevel="1" thickBot="1" x14ac:dyDescent="0.5">
      <c r="B138" s="2701" t="s">
        <v>5790</v>
      </c>
      <c r="C138" s="2795" t="s">
        <v>5791</v>
      </c>
      <c r="D138" s="2223" t="s">
        <v>5865</v>
      </c>
      <c r="E138" s="2796">
        <f>i_S_BIO*(r_1+r_2+r_3+r_4+r_5+r_13+r_16+r_17+r_20+r_21+r_22+r_26+r_27+r_28+r_41+r_47+r_50+r_53+r_56+r_119+r_120+r_121+r_134)-(v_6_SSO4*r_6+v_7_SSO4*r_7+v_8_SSO4*r_8+v_9_SSO4*r_9+v_10_SSO4*r_10+v_11_SSO4*r_11+v_12_SSO4*r_12+v_66_SSO4*r_66+v_67_SSO4*r_67+v_113_SSO4*r_113+v_116_SSO4*r_116)</f>
        <v>4.4669260140865283</v>
      </c>
      <c r="F138" s="2797" t="s">
        <v>5789</v>
      </c>
      <c r="G138" s="2797">
        <v>1</v>
      </c>
      <c r="H138" s="2797" t="s">
        <v>331</v>
      </c>
      <c r="I138" s="2798"/>
    </row>
    <row r="139" spans="2:10" ht="14.65" thickBot="1" x14ac:dyDescent="0.5">
      <c r="B139" s="153"/>
      <c r="C139" s="153"/>
      <c r="D139" s="153"/>
      <c r="E139" s="153"/>
      <c r="F139" s="153"/>
      <c r="G139" s="153"/>
      <c r="H139" s="1044"/>
      <c r="I139" s="153"/>
    </row>
    <row r="140" spans="2:10" ht="14.65" thickBot="1" x14ac:dyDescent="0.5">
      <c r="C140" s="1501" t="s">
        <v>2195</v>
      </c>
      <c r="D140" s="2076" t="s">
        <v>301</v>
      </c>
      <c r="E140" s="115"/>
    </row>
    <row r="141" spans="2:10" ht="14.65" thickBot="1" x14ac:dyDescent="0.5">
      <c r="B141" s="1502" t="s">
        <v>0</v>
      </c>
      <c r="C141" s="1314" t="s">
        <v>1</v>
      </c>
      <c r="D141" s="1314" t="s">
        <v>5</v>
      </c>
      <c r="E141" s="1314" t="s">
        <v>152</v>
      </c>
      <c r="F141" s="1314" t="s">
        <v>2</v>
      </c>
      <c r="G141" s="1314" t="s">
        <v>300</v>
      </c>
      <c r="H141" s="1644" t="s">
        <v>116</v>
      </c>
      <c r="I141" s="1503" t="s">
        <v>117</v>
      </c>
    </row>
    <row r="142" spans="2:10" s="1336" customFormat="1" ht="15.75" outlineLevel="1" x14ac:dyDescent="0.45">
      <c r="B142" s="2038" t="s">
        <v>2016</v>
      </c>
      <c r="C142" s="2047" t="s">
        <v>2724</v>
      </c>
      <c r="D142" s="2086" t="s">
        <v>2136</v>
      </c>
      <c r="E142" s="2113">
        <f>m_tox_ana_max</f>
        <v>10</v>
      </c>
      <c r="F142" s="2113" t="s">
        <v>1256</v>
      </c>
      <c r="G142" s="2128" t="s">
        <v>2017</v>
      </c>
      <c r="H142" s="2146" t="s">
        <v>1212</v>
      </c>
      <c r="I142" s="2171"/>
      <c r="J142" s="150"/>
    </row>
    <row r="143" spans="2:10" s="1336" customFormat="1" ht="16.149999999999999" outlineLevel="1" thickBot="1" x14ac:dyDescent="0.5">
      <c r="B143" s="2039" t="s">
        <v>2016</v>
      </c>
      <c r="C143" s="2068" t="s">
        <v>2725</v>
      </c>
      <c r="D143" s="2068">
        <v>0</v>
      </c>
      <c r="E143" s="2068">
        <f>0</f>
        <v>0</v>
      </c>
      <c r="F143" s="2068" t="s">
        <v>1256</v>
      </c>
      <c r="G143" s="2129" t="s">
        <v>2017</v>
      </c>
      <c r="H143" s="2147" t="s">
        <v>2137</v>
      </c>
      <c r="I143" s="125"/>
      <c r="J143" s="150"/>
    </row>
    <row r="144" spans="2:10" ht="14.65" thickBot="1" x14ac:dyDescent="0.5">
      <c r="B144" s="153"/>
      <c r="C144" s="153"/>
      <c r="D144" s="153"/>
      <c r="E144" s="153"/>
      <c r="F144" s="153"/>
      <c r="G144" s="153"/>
      <c r="H144" s="1044"/>
      <c r="I144" s="153"/>
    </row>
    <row r="145" spans="2:9" ht="14.65" thickBot="1" x14ac:dyDescent="0.5">
      <c r="C145" s="1501" t="s">
        <v>3004</v>
      </c>
      <c r="D145" s="2076" t="s">
        <v>301</v>
      </c>
      <c r="E145" s="115"/>
    </row>
    <row r="146" spans="2:9" ht="14.65" thickBot="1" x14ac:dyDescent="0.5">
      <c r="B146" s="1502" t="s">
        <v>0</v>
      </c>
      <c r="C146" s="1314" t="s">
        <v>1</v>
      </c>
      <c r="D146" s="1314" t="s">
        <v>5</v>
      </c>
      <c r="E146" s="1314" t="s">
        <v>152</v>
      </c>
      <c r="F146" s="1314" t="s">
        <v>2</v>
      </c>
      <c r="G146" s="1314" t="s">
        <v>300</v>
      </c>
      <c r="H146" s="1644" t="s">
        <v>116</v>
      </c>
      <c r="I146" s="1503" t="s">
        <v>117</v>
      </c>
    </row>
    <row r="147" spans="2:9" s="1670" customFormat="1" ht="15.75" outlineLevel="1" x14ac:dyDescent="0.45">
      <c r="B147" s="1667" t="s">
        <v>2332</v>
      </c>
      <c r="C147" s="1337" t="s">
        <v>2726</v>
      </c>
      <c r="D147" s="1337" t="s">
        <v>2333</v>
      </c>
      <c r="E147" s="1668">
        <f>K_NHx_AOB_AS</f>
        <v>0.01</v>
      </c>
      <c r="F147" s="1337" t="s">
        <v>336</v>
      </c>
      <c r="G147" s="1337">
        <v>2</v>
      </c>
      <c r="H147" s="1617" t="s">
        <v>1251</v>
      </c>
      <c r="I147" s="1669"/>
    </row>
    <row r="148" spans="2:9" s="1670" customFormat="1" ht="15.75" outlineLevel="1" x14ac:dyDescent="0.45">
      <c r="B148" s="1340" t="s">
        <v>2332</v>
      </c>
      <c r="C148" s="1338" t="s">
        <v>2726</v>
      </c>
      <c r="D148" s="1338" t="s">
        <v>3532</v>
      </c>
      <c r="E148" s="749">
        <f>K_NHx_AOB_AS*f_KS_biofilm</f>
        <v>4.0000000000000001E-3</v>
      </c>
      <c r="F148" s="1338" t="s">
        <v>336</v>
      </c>
      <c r="G148" s="1338">
        <v>2</v>
      </c>
      <c r="H148" s="1304" t="s">
        <v>1177</v>
      </c>
      <c r="I148" s="1671" t="s">
        <v>3573</v>
      </c>
    </row>
    <row r="149" spans="2:9" s="1670" customFormat="1" ht="15.75" outlineLevel="1" x14ac:dyDescent="0.45">
      <c r="B149" s="1672" t="s">
        <v>4150</v>
      </c>
      <c r="C149" s="1339" t="s">
        <v>4151</v>
      </c>
      <c r="D149" s="1339" t="s">
        <v>4152</v>
      </c>
      <c r="E149" s="1241">
        <f>K_NHx_NH2OH_AOB_AS</f>
        <v>0.7</v>
      </c>
      <c r="F149" s="1339" t="s">
        <v>336</v>
      </c>
      <c r="G149" s="1339">
        <v>2</v>
      </c>
      <c r="H149" s="1618" t="s">
        <v>1251</v>
      </c>
      <c r="I149" s="1673"/>
    </row>
    <row r="150" spans="2:9" s="1670" customFormat="1" ht="15.75" outlineLevel="1" x14ac:dyDescent="0.45">
      <c r="B150" s="1340" t="s">
        <v>4150</v>
      </c>
      <c r="C150" s="1339" t="s">
        <v>4151</v>
      </c>
      <c r="D150" s="1338" t="s">
        <v>4153</v>
      </c>
      <c r="E150" s="749">
        <f>K_NHx_AOB_AS*f_KS_biofilm</f>
        <v>4.0000000000000001E-3</v>
      </c>
      <c r="F150" s="1338" t="s">
        <v>336</v>
      </c>
      <c r="G150" s="1338">
        <v>2</v>
      </c>
      <c r="H150" s="1304" t="s">
        <v>1177</v>
      </c>
      <c r="I150" s="1671" t="s">
        <v>3573</v>
      </c>
    </row>
    <row r="151" spans="2:9" s="1670" customFormat="1" ht="15.75" outlineLevel="1" x14ac:dyDescent="0.45">
      <c r="B151" s="1672" t="s">
        <v>4055</v>
      </c>
      <c r="C151" s="1339" t="s">
        <v>4054</v>
      </c>
      <c r="D151" s="1339" t="s">
        <v>4056</v>
      </c>
      <c r="E151" s="1241">
        <f>K_NH2OH_AOB_AS</f>
        <v>0.9</v>
      </c>
      <c r="F151" s="1339" t="s">
        <v>336</v>
      </c>
      <c r="G151" s="1339">
        <v>2</v>
      </c>
      <c r="H151" s="1618" t="s">
        <v>1251</v>
      </c>
      <c r="I151" s="1673"/>
    </row>
    <row r="152" spans="2:9" s="1670" customFormat="1" ht="15.75" outlineLevel="1" x14ac:dyDescent="0.45">
      <c r="B152" s="1340" t="s">
        <v>4055</v>
      </c>
      <c r="C152" s="1339" t="s">
        <v>4054</v>
      </c>
      <c r="D152" s="1338" t="s">
        <v>4057</v>
      </c>
      <c r="E152" s="749">
        <f>K_NHx_AOB_AS*f_KS_biofilm</f>
        <v>4.0000000000000001E-3</v>
      </c>
      <c r="F152" s="1338" t="s">
        <v>336</v>
      </c>
      <c r="G152" s="1338">
        <v>2</v>
      </c>
      <c r="H152" s="1304" t="s">
        <v>1177</v>
      </c>
      <c r="I152" s="1671" t="s">
        <v>3573</v>
      </c>
    </row>
    <row r="153" spans="2:9" s="1670" customFormat="1" ht="15.75" outlineLevel="1" x14ac:dyDescent="0.45">
      <c r="B153" s="1340" t="s">
        <v>2334</v>
      </c>
      <c r="C153" s="1338" t="s">
        <v>2727</v>
      </c>
      <c r="D153" s="1338" t="s">
        <v>2335</v>
      </c>
      <c r="E153" s="749">
        <f>K_CO2_AOB_AS</f>
        <v>12</v>
      </c>
      <c r="F153" s="749" t="s">
        <v>1214</v>
      </c>
      <c r="G153" s="1338">
        <v>2</v>
      </c>
      <c r="H153" s="1304" t="s">
        <v>5084</v>
      </c>
      <c r="I153" s="1671"/>
    </row>
    <row r="154" spans="2:9" s="1670" customFormat="1" ht="15.75" outlineLevel="1" x14ac:dyDescent="0.45">
      <c r="B154" s="1340" t="s">
        <v>2334</v>
      </c>
      <c r="C154" s="1338" t="s">
        <v>2727</v>
      </c>
      <c r="D154" s="1338" t="s">
        <v>2336</v>
      </c>
      <c r="E154" s="749">
        <f>K_CO2_AOB_sidestream</f>
        <v>48</v>
      </c>
      <c r="F154" s="749" t="s">
        <v>1214</v>
      </c>
      <c r="G154" s="1338">
        <v>2</v>
      </c>
      <c r="H154" s="1304" t="s">
        <v>3501</v>
      </c>
      <c r="I154" s="1671"/>
    </row>
    <row r="155" spans="2:9" s="1670" customFormat="1" ht="16.5" outlineLevel="1" x14ac:dyDescent="0.45">
      <c r="B155" s="1340" t="s">
        <v>2337</v>
      </c>
      <c r="C155" s="1338" t="s">
        <v>2728</v>
      </c>
      <c r="D155" s="1338" t="s">
        <v>2338</v>
      </c>
      <c r="E155" s="749">
        <f>K_CO2_AOB_pH_AS</f>
        <v>1E-3</v>
      </c>
      <c r="F155" s="749" t="s">
        <v>1969</v>
      </c>
      <c r="G155" s="1338">
        <v>2</v>
      </c>
      <c r="H155" s="1304" t="s">
        <v>5085</v>
      </c>
      <c r="I155" s="1671"/>
    </row>
    <row r="156" spans="2:9" s="1670" customFormat="1" ht="16.5" outlineLevel="1" x14ac:dyDescent="0.45">
      <c r="B156" s="1340" t="s">
        <v>2337</v>
      </c>
      <c r="C156" s="1338" t="s">
        <v>2728</v>
      </c>
      <c r="D156" s="1338" t="s">
        <v>2339</v>
      </c>
      <c r="E156" s="749">
        <f>K_CO2_AOB_pH_sidestream</f>
        <v>4.0000000000000001E-3</v>
      </c>
      <c r="F156" s="749" t="s">
        <v>1969</v>
      </c>
      <c r="G156" s="1338">
        <v>2</v>
      </c>
      <c r="H156" s="1304" t="s">
        <v>3502</v>
      </c>
      <c r="I156" s="1671"/>
    </row>
    <row r="157" spans="2:9" s="1670" customFormat="1" ht="16.5" outlineLevel="1" x14ac:dyDescent="0.45">
      <c r="B157" s="1674" t="s">
        <v>4072</v>
      </c>
      <c r="C157" s="747" t="s">
        <v>4052</v>
      </c>
      <c r="D157" s="1338" t="s">
        <v>4078</v>
      </c>
      <c r="E157" s="749">
        <f>K_O2_NHx_AOB_AS</f>
        <v>0.25</v>
      </c>
      <c r="F157" s="749" t="s">
        <v>1181</v>
      </c>
      <c r="G157" s="1338">
        <v>2</v>
      </c>
      <c r="H157" s="1304" t="s">
        <v>1614</v>
      </c>
      <c r="I157" s="1671"/>
    </row>
    <row r="158" spans="2:9" s="1670" customFormat="1" ht="16.5" outlineLevel="1" x14ac:dyDescent="0.45">
      <c r="B158" s="1674" t="s">
        <v>4072</v>
      </c>
      <c r="C158" s="747" t="s">
        <v>4052</v>
      </c>
      <c r="D158" s="1338" t="s">
        <v>4074</v>
      </c>
      <c r="E158" s="749">
        <f>K_O2_AOB_sidestream</f>
        <v>0.5</v>
      </c>
      <c r="F158" s="749" t="s">
        <v>1181</v>
      </c>
      <c r="G158" s="1338">
        <v>2</v>
      </c>
      <c r="H158" s="1304" t="s">
        <v>1611</v>
      </c>
      <c r="I158" s="1671"/>
    </row>
    <row r="159" spans="2:9" s="1670" customFormat="1" ht="16.5" outlineLevel="1" x14ac:dyDescent="0.45">
      <c r="B159" s="1674" t="s">
        <v>4072</v>
      </c>
      <c r="C159" s="747" t="s">
        <v>4052</v>
      </c>
      <c r="D159" s="1338" t="s">
        <v>4075</v>
      </c>
      <c r="E159" s="749">
        <f>K_O2_AOB_AS*f_KS_biofilm</f>
        <v>0.1</v>
      </c>
      <c r="F159" s="749" t="s">
        <v>1181</v>
      </c>
      <c r="G159" s="1338">
        <v>2</v>
      </c>
      <c r="H159" s="1304" t="s">
        <v>1615</v>
      </c>
      <c r="I159" s="1671" t="s">
        <v>3573</v>
      </c>
    </row>
    <row r="160" spans="2:9" s="1670" customFormat="1" ht="16.5" outlineLevel="1" x14ac:dyDescent="0.45">
      <c r="B160" s="1674" t="s">
        <v>4073</v>
      </c>
      <c r="C160" s="747" t="s">
        <v>4053</v>
      </c>
      <c r="D160" s="1338" t="s">
        <v>4079</v>
      </c>
      <c r="E160" s="749">
        <f>K_O2_NH2OH_AOB_AS</f>
        <v>0.15</v>
      </c>
      <c r="F160" s="749" t="s">
        <v>1181</v>
      </c>
      <c r="G160" s="1338">
        <v>2</v>
      </c>
      <c r="H160" s="1304" t="s">
        <v>1614</v>
      </c>
      <c r="I160" s="1671"/>
    </row>
    <row r="161" spans="2:18" s="1670" customFormat="1" ht="16.5" outlineLevel="1" x14ac:dyDescent="0.45">
      <c r="B161" s="1674" t="s">
        <v>4073</v>
      </c>
      <c r="C161" s="747" t="s">
        <v>4053</v>
      </c>
      <c r="D161" s="1338" t="s">
        <v>4076</v>
      </c>
      <c r="E161" s="749">
        <f>K_O2_AOB_sidestream</f>
        <v>0.5</v>
      </c>
      <c r="F161" s="749" t="s">
        <v>1181</v>
      </c>
      <c r="G161" s="1338">
        <v>2</v>
      </c>
      <c r="H161" s="1304" t="s">
        <v>1611</v>
      </c>
      <c r="I161" s="1671"/>
    </row>
    <row r="162" spans="2:18" s="1670" customFormat="1" ht="16.5" outlineLevel="1" x14ac:dyDescent="0.45">
      <c r="B162" s="1674" t="s">
        <v>4073</v>
      </c>
      <c r="C162" s="747" t="s">
        <v>4053</v>
      </c>
      <c r="D162" s="1338" t="s">
        <v>4077</v>
      </c>
      <c r="E162" s="749">
        <f>K_O2_AOB_AS*f_KS_biofilm</f>
        <v>0.1</v>
      </c>
      <c r="F162" s="749" t="s">
        <v>1181</v>
      </c>
      <c r="G162" s="1338">
        <v>2</v>
      </c>
      <c r="H162" s="1304" t="s">
        <v>1615</v>
      </c>
      <c r="I162" s="1671" t="s">
        <v>3573</v>
      </c>
    </row>
    <row r="163" spans="2:18" s="1670" customFormat="1" ht="15.75" outlineLevel="1" x14ac:dyDescent="0.45">
      <c r="B163" s="1340" t="s">
        <v>2343</v>
      </c>
      <c r="C163" s="1338" t="s">
        <v>2730</v>
      </c>
      <c r="D163" s="1338" t="s">
        <v>2344</v>
      </c>
      <c r="E163" s="1341">
        <f>K_NOx_AOB_AS</f>
        <v>0.03</v>
      </c>
      <c r="F163" s="749" t="s">
        <v>886</v>
      </c>
      <c r="G163" s="1338">
        <v>2</v>
      </c>
      <c r="H163" s="1304" t="s">
        <v>1251</v>
      </c>
      <c r="I163" s="1671"/>
    </row>
    <row r="164" spans="2:18" s="1670" customFormat="1" ht="15.75" outlineLevel="1" x14ac:dyDescent="0.45">
      <c r="B164" s="1340" t="s">
        <v>2343</v>
      </c>
      <c r="C164" s="1338" t="s">
        <v>2730</v>
      </c>
      <c r="D164" s="1338" t="s">
        <v>3534</v>
      </c>
      <c r="E164" s="1341">
        <f>K_NOx_AOB_AS*f_KS_biofilm</f>
        <v>1.2E-2</v>
      </c>
      <c r="F164" s="749" t="s">
        <v>886</v>
      </c>
      <c r="G164" s="1338">
        <v>2</v>
      </c>
      <c r="H164" s="1304" t="s">
        <v>1177</v>
      </c>
      <c r="I164" s="1671" t="s">
        <v>3573</v>
      </c>
    </row>
    <row r="165" spans="2:18" s="1670" customFormat="1" ht="15.75" outlineLevel="1" x14ac:dyDescent="0.45">
      <c r="B165" s="1340" t="s">
        <v>4112</v>
      </c>
      <c r="C165" s="1338" t="s">
        <v>4113</v>
      </c>
      <c r="D165" s="1338" t="s">
        <v>4110</v>
      </c>
      <c r="E165" s="1341">
        <f>K_HNO2_AOB_AS</f>
        <v>4.0000000000000001E-3</v>
      </c>
      <c r="F165" s="749" t="s">
        <v>886</v>
      </c>
      <c r="G165" s="1338">
        <v>2</v>
      </c>
      <c r="H165" s="1304" t="s">
        <v>1251</v>
      </c>
      <c r="I165" s="1671"/>
    </row>
    <row r="166" spans="2:18" s="1670" customFormat="1" ht="15.75" outlineLevel="1" x14ac:dyDescent="0.45">
      <c r="B166" s="1340" t="s">
        <v>4112</v>
      </c>
      <c r="C166" s="1338" t="s">
        <v>4113</v>
      </c>
      <c r="D166" s="1338" t="s">
        <v>4111</v>
      </c>
      <c r="E166" s="1341">
        <f>K_HNO2_AOB_AS*f_KS_biofilm</f>
        <v>1.6000000000000001E-3</v>
      </c>
      <c r="F166" s="749" t="s">
        <v>886</v>
      </c>
      <c r="G166" s="1338">
        <v>3</v>
      </c>
      <c r="H166" s="1304" t="s">
        <v>1177</v>
      </c>
      <c r="I166" s="1671"/>
    </row>
    <row r="167" spans="2:18" s="1675" customFormat="1" ht="15.75" outlineLevel="1" x14ac:dyDescent="0.45">
      <c r="B167" s="1674" t="s">
        <v>4063</v>
      </c>
      <c r="C167" s="747" t="s">
        <v>4058</v>
      </c>
      <c r="D167" s="1338" t="s">
        <v>4038</v>
      </c>
      <c r="E167" s="823">
        <f>K_NO_NO2_AOB_AS</f>
        <v>2.9999999999999997E-4</v>
      </c>
      <c r="F167" s="749" t="s">
        <v>886</v>
      </c>
      <c r="G167" s="1338">
        <v>2</v>
      </c>
      <c r="H167" s="1304" t="s">
        <v>1251</v>
      </c>
      <c r="I167" s="1671"/>
      <c r="J167" s="1670"/>
      <c r="K167" s="1336"/>
      <c r="L167" s="1336"/>
      <c r="M167" s="1336"/>
      <c r="N167" s="1336"/>
      <c r="O167" s="1336"/>
      <c r="P167" s="1336"/>
      <c r="Q167" s="1336"/>
      <c r="R167" s="1336"/>
    </row>
    <row r="168" spans="2:18" s="1675" customFormat="1" ht="15.75" outlineLevel="1" x14ac:dyDescent="0.45">
      <c r="B168" s="1674" t="s">
        <v>4063</v>
      </c>
      <c r="C168" s="747" t="s">
        <v>4058</v>
      </c>
      <c r="D168" s="1338" t="s">
        <v>4060</v>
      </c>
      <c r="E168" s="823">
        <f>K_NO_NO2_AOB_AS*f_KS</f>
        <v>2.9999999999999997E-5</v>
      </c>
      <c r="F168" s="749" t="s">
        <v>886</v>
      </c>
      <c r="G168" s="1338">
        <v>3</v>
      </c>
      <c r="H168" s="1304" t="s">
        <v>1177</v>
      </c>
      <c r="I168" s="1671"/>
      <c r="J168" s="1670"/>
      <c r="K168" s="1336"/>
      <c r="L168" s="1336"/>
      <c r="M168" s="1336"/>
      <c r="N168" s="1336"/>
      <c r="O168" s="1336"/>
      <c r="P168" s="1336"/>
      <c r="Q168" s="1336"/>
      <c r="R168" s="1336"/>
    </row>
    <row r="169" spans="2:18" s="1675" customFormat="1" ht="15.75" outlineLevel="1" x14ac:dyDescent="0.45">
      <c r="B169" s="1674" t="s">
        <v>4064</v>
      </c>
      <c r="C169" s="747" t="s">
        <v>4059</v>
      </c>
      <c r="D169" s="1338" t="s">
        <v>4039</v>
      </c>
      <c r="E169" s="823">
        <f>K_NO_N2O_AOB_AS</f>
        <v>8.0000000000000002E-3</v>
      </c>
      <c r="F169" s="749" t="s">
        <v>886</v>
      </c>
      <c r="G169" s="1338">
        <v>2</v>
      </c>
      <c r="H169" s="1304" t="s">
        <v>1251</v>
      </c>
      <c r="I169" s="1671"/>
      <c r="J169" s="1670"/>
      <c r="K169" s="1336"/>
      <c r="L169" s="1336"/>
      <c r="M169" s="1336"/>
      <c r="N169" s="1336"/>
      <c r="O169" s="1336"/>
      <c r="P169" s="1336"/>
      <c r="Q169" s="1336"/>
      <c r="R169" s="1336"/>
    </row>
    <row r="170" spans="2:18" s="1675" customFormat="1" ht="15.75" outlineLevel="1" x14ac:dyDescent="0.45">
      <c r="B170" s="1674" t="s">
        <v>4064</v>
      </c>
      <c r="C170" s="747" t="s">
        <v>4059</v>
      </c>
      <c r="D170" s="1338" t="s">
        <v>4061</v>
      </c>
      <c r="E170" s="823">
        <f>K_NO_N2O_AOB_AS*f_KS</f>
        <v>8.0000000000000004E-4</v>
      </c>
      <c r="F170" s="749" t="s">
        <v>886</v>
      </c>
      <c r="G170" s="1338">
        <v>3</v>
      </c>
      <c r="H170" s="1304" t="s">
        <v>1177</v>
      </c>
      <c r="I170" s="1671"/>
      <c r="J170" s="1670"/>
      <c r="K170" s="1336"/>
      <c r="L170" s="1336"/>
      <c r="M170" s="1336"/>
      <c r="N170" s="1336"/>
      <c r="O170" s="1336"/>
      <c r="P170" s="1336"/>
      <c r="Q170" s="1336"/>
      <c r="R170" s="1336"/>
    </row>
    <row r="171" spans="2:18" s="1670" customFormat="1" ht="15.75" outlineLevel="1" x14ac:dyDescent="0.45">
      <c r="B171" s="1674" t="s">
        <v>4065</v>
      </c>
      <c r="C171" s="747" t="s">
        <v>4041</v>
      </c>
      <c r="D171" s="1338" t="s">
        <v>4040</v>
      </c>
      <c r="E171" s="1341">
        <f>K_iO2_AOB_AS</f>
        <v>0.8</v>
      </c>
      <c r="F171" s="749" t="s">
        <v>886</v>
      </c>
      <c r="G171" s="1338">
        <v>2</v>
      </c>
      <c r="H171" s="1304" t="s">
        <v>1251</v>
      </c>
      <c r="I171" s="1671"/>
    </row>
    <row r="172" spans="2:18" s="1670" customFormat="1" ht="15.75" outlineLevel="1" x14ac:dyDescent="0.45">
      <c r="B172" s="1674" t="s">
        <v>4065</v>
      </c>
      <c r="C172" s="747" t="s">
        <v>4041</v>
      </c>
      <c r="D172" s="1338" t="s">
        <v>4062</v>
      </c>
      <c r="E172" s="823">
        <f>K_iO2_AOB_AS*f_KS</f>
        <v>8.0000000000000016E-2</v>
      </c>
      <c r="F172" s="749" t="s">
        <v>886</v>
      </c>
      <c r="G172" s="1338">
        <v>3</v>
      </c>
      <c r="H172" s="1304" t="s">
        <v>1177</v>
      </c>
      <c r="I172" s="1671"/>
    </row>
    <row r="173" spans="2:18" s="1670" customFormat="1" ht="16.5" outlineLevel="1" x14ac:dyDescent="0.45">
      <c r="B173" s="1340" t="s">
        <v>2340</v>
      </c>
      <c r="C173" s="1338" t="s">
        <v>2729</v>
      </c>
      <c r="D173" s="1338" t="s">
        <v>2341</v>
      </c>
      <c r="E173" s="749">
        <f>K_O2_AOB_AS</f>
        <v>0.25</v>
      </c>
      <c r="F173" s="749" t="s">
        <v>1181</v>
      </c>
      <c r="G173" s="1338">
        <v>2</v>
      </c>
      <c r="H173" s="1304" t="s">
        <v>1614</v>
      </c>
      <c r="I173" s="1671"/>
    </row>
    <row r="174" spans="2:18" s="1670" customFormat="1" ht="16.5" outlineLevel="1" x14ac:dyDescent="0.45">
      <c r="B174" s="1340" t="s">
        <v>2340</v>
      </c>
      <c r="C174" s="1338" t="s">
        <v>2729</v>
      </c>
      <c r="D174" s="1338" t="s">
        <v>2342</v>
      </c>
      <c r="E174" s="749">
        <f>K_O2_AOB_sidestream</f>
        <v>0.5</v>
      </c>
      <c r="F174" s="749" t="s">
        <v>1181</v>
      </c>
      <c r="G174" s="1338">
        <v>2</v>
      </c>
      <c r="H174" s="1304" t="s">
        <v>1611</v>
      </c>
      <c r="I174" s="1671"/>
    </row>
    <row r="175" spans="2:18" s="1670" customFormat="1" ht="16.899999999999999" outlineLevel="1" thickBot="1" x14ac:dyDescent="0.5">
      <c r="B175" s="1676" t="s">
        <v>2340</v>
      </c>
      <c r="C175" s="1342" t="s">
        <v>2729</v>
      </c>
      <c r="D175" s="1342" t="s">
        <v>3533</v>
      </c>
      <c r="E175" s="1291">
        <f>K_O2_AOB_AS*f_KS_biofilm</f>
        <v>0.1</v>
      </c>
      <c r="F175" s="1291" t="s">
        <v>1181</v>
      </c>
      <c r="G175" s="1342">
        <v>2</v>
      </c>
      <c r="H175" s="1619" t="s">
        <v>1615</v>
      </c>
      <c r="I175" s="1677" t="s">
        <v>3573</v>
      </c>
    </row>
    <row r="176" spans="2:18" s="2778" customFormat="1" ht="15.75" outlineLevel="1" x14ac:dyDescent="0.45">
      <c r="B176" s="1821" t="s">
        <v>5783</v>
      </c>
      <c r="C176" s="1338" t="s">
        <v>5784</v>
      </c>
      <c r="D176" s="1338" t="s">
        <v>5785</v>
      </c>
      <c r="E176" s="2779">
        <f>K_iHNO2_AOB_pH_AS</f>
        <v>9999</v>
      </c>
      <c r="F176" s="2779" t="s">
        <v>3009</v>
      </c>
      <c r="G176" s="748">
        <v>2</v>
      </c>
      <c r="H176" s="750" t="s">
        <v>3503</v>
      </c>
      <c r="I176" s="2780"/>
    </row>
    <row r="177" spans="2:9" s="2778" customFormat="1" ht="16.149999999999999" outlineLevel="1" thickBot="1" x14ac:dyDescent="0.5">
      <c r="B177" s="2781" t="s">
        <v>5783</v>
      </c>
      <c r="C177" s="2782" t="s">
        <v>5784</v>
      </c>
      <c r="D177" s="2782" t="s">
        <v>5786</v>
      </c>
      <c r="E177" s="2783">
        <f>K_iHNO2_AOB_pH_AS*f_KS_biofilm</f>
        <v>3999.6000000000004</v>
      </c>
      <c r="F177" s="2783" t="s">
        <v>3009</v>
      </c>
      <c r="G177" s="2784">
        <v>2</v>
      </c>
      <c r="H177" s="2785" t="s">
        <v>3504</v>
      </c>
      <c r="I177" s="2786" t="s">
        <v>3573</v>
      </c>
    </row>
    <row r="178" spans="2:9" ht="14.65" thickBot="1" x14ac:dyDescent="0.5">
      <c r="B178" s="153"/>
      <c r="C178" s="153"/>
      <c r="D178" s="153"/>
      <c r="E178" s="153"/>
      <c r="F178" s="153"/>
      <c r="G178" s="153"/>
      <c r="H178" s="1044"/>
      <c r="I178" s="153"/>
    </row>
    <row r="179" spans="2:9" ht="14.65" thickBot="1" x14ac:dyDescent="0.5">
      <c r="C179" s="1501" t="s">
        <v>2739</v>
      </c>
      <c r="D179" s="2076" t="s">
        <v>301</v>
      </c>
      <c r="E179" s="115"/>
    </row>
    <row r="180" spans="2:9" ht="14.65" thickBot="1" x14ac:dyDescent="0.5">
      <c r="B180" s="1502" t="s">
        <v>0</v>
      </c>
      <c r="C180" s="1314" t="s">
        <v>1</v>
      </c>
      <c r="D180" s="1314" t="s">
        <v>5</v>
      </c>
      <c r="E180" s="1314" t="s">
        <v>152</v>
      </c>
      <c r="F180" s="1314" t="s">
        <v>2</v>
      </c>
      <c r="G180" s="1314" t="s">
        <v>300</v>
      </c>
      <c r="H180" s="1644" t="s">
        <v>116</v>
      </c>
      <c r="I180" s="1503" t="s">
        <v>117</v>
      </c>
    </row>
    <row r="181" spans="2:9" s="1670" customFormat="1" ht="15.75" outlineLevel="1" x14ac:dyDescent="0.45">
      <c r="B181" s="1672" t="s">
        <v>2345</v>
      </c>
      <c r="C181" s="1339" t="s">
        <v>2734</v>
      </c>
      <c r="D181" s="1339" t="s">
        <v>2346</v>
      </c>
      <c r="E181" s="1241">
        <f>K_NO2_NOB_AS</f>
        <v>0.1</v>
      </c>
      <c r="F181" s="1339" t="s">
        <v>336</v>
      </c>
      <c r="G181" s="1339">
        <v>2</v>
      </c>
      <c r="H181" s="1618" t="s">
        <v>1251</v>
      </c>
      <c r="I181" s="1673"/>
    </row>
    <row r="182" spans="2:9" s="1670" customFormat="1" ht="15.75" outlineLevel="1" x14ac:dyDescent="0.45">
      <c r="B182" s="1678" t="s">
        <v>2345</v>
      </c>
      <c r="C182" s="1343" t="s">
        <v>2734</v>
      </c>
      <c r="D182" s="1344" t="s">
        <v>3535</v>
      </c>
      <c r="E182" s="435">
        <f>K_NO2_NOB_AS*f_KS_biofilm</f>
        <v>4.0000000000000008E-2</v>
      </c>
      <c r="F182" s="1344" t="s">
        <v>336</v>
      </c>
      <c r="G182" s="1344">
        <v>2</v>
      </c>
      <c r="H182" s="1303" t="s">
        <v>1177</v>
      </c>
      <c r="I182" s="1679" t="s">
        <v>3573</v>
      </c>
    </row>
    <row r="183" spans="2:9" s="1670" customFormat="1" ht="16.5" outlineLevel="1" x14ac:dyDescent="0.45">
      <c r="B183" s="1678" t="s">
        <v>2347</v>
      </c>
      <c r="C183" s="1343" t="s">
        <v>2735</v>
      </c>
      <c r="D183" s="1344" t="s">
        <v>2348</v>
      </c>
      <c r="E183" s="435">
        <f>K_CO2_NOB_AS</f>
        <v>1</v>
      </c>
      <c r="F183" s="435" t="s">
        <v>2349</v>
      </c>
      <c r="G183" s="1344">
        <v>2</v>
      </c>
      <c r="H183" s="1303" t="s">
        <v>1153</v>
      </c>
      <c r="I183" s="1679"/>
    </row>
    <row r="184" spans="2:9" s="1670" customFormat="1" ht="16.5" outlineLevel="1" x14ac:dyDescent="0.45">
      <c r="B184" s="1678" t="s">
        <v>2350</v>
      </c>
      <c r="C184" s="1343" t="s">
        <v>2736</v>
      </c>
      <c r="D184" s="1344" t="s">
        <v>2351</v>
      </c>
      <c r="E184" s="435">
        <f>K_CO2_NOB_pH_AS</f>
        <v>1E-10</v>
      </c>
      <c r="F184" s="435" t="s">
        <v>1969</v>
      </c>
      <c r="G184" s="1344">
        <v>2</v>
      </c>
      <c r="H184" s="1303" t="s">
        <v>11</v>
      </c>
      <c r="I184" s="1679"/>
    </row>
    <row r="185" spans="2:9" s="1670" customFormat="1" ht="16.5" outlineLevel="1" x14ac:dyDescent="0.45">
      <c r="B185" s="1678" t="s">
        <v>2352</v>
      </c>
      <c r="C185" s="1343" t="s">
        <v>2737</v>
      </c>
      <c r="D185" s="1344" t="s">
        <v>2353</v>
      </c>
      <c r="E185" s="435">
        <f>K_O2_NOB_AS</f>
        <v>0.25</v>
      </c>
      <c r="F185" s="435" t="s">
        <v>1181</v>
      </c>
      <c r="G185" s="1344">
        <v>2</v>
      </c>
      <c r="H185" s="1303" t="s">
        <v>1614</v>
      </c>
      <c r="I185" s="1679"/>
    </row>
    <row r="186" spans="2:9" s="1670" customFormat="1" ht="16.5" outlineLevel="1" x14ac:dyDescent="0.45">
      <c r="B186" s="1678" t="s">
        <v>2352</v>
      </c>
      <c r="C186" s="1343" t="s">
        <v>2737</v>
      </c>
      <c r="D186" s="1344" t="s">
        <v>2354</v>
      </c>
      <c r="E186" s="435">
        <f>K_O2_NOB_sidestream</f>
        <v>0.5</v>
      </c>
      <c r="F186" s="435" t="s">
        <v>1181</v>
      </c>
      <c r="G186" s="1344">
        <v>2</v>
      </c>
      <c r="H186" s="1303" t="s">
        <v>1611</v>
      </c>
      <c r="I186" s="1679"/>
    </row>
    <row r="187" spans="2:9" s="1670" customFormat="1" ht="16.5" outlineLevel="1" x14ac:dyDescent="0.45">
      <c r="B187" s="1678" t="s">
        <v>2352</v>
      </c>
      <c r="C187" s="1343" t="s">
        <v>2737</v>
      </c>
      <c r="D187" s="1344" t="s">
        <v>3536</v>
      </c>
      <c r="E187" s="435">
        <f>K_O2_NOB_AS*f_KS_biofilm</f>
        <v>0.1</v>
      </c>
      <c r="F187" s="435" t="s">
        <v>1181</v>
      </c>
      <c r="G187" s="1344">
        <v>2</v>
      </c>
      <c r="H187" s="1303" t="s">
        <v>1615</v>
      </c>
      <c r="I187" s="1679" t="s">
        <v>3573</v>
      </c>
    </row>
    <row r="188" spans="2:9" s="1670" customFormat="1" ht="15.75" outlineLevel="1" x14ac:dyDescent="0.45">
      <c r="B188" s="1678" t="s">
        <v>2355</v>
      </c>
      <c r="C188" s="1343" t="s">
        <v>2738</v>
      </c>
      <c r="D188" s="1344" t="s">
        <v>2356</v>
      </c>
      <c r="E188" s="1345">
        <f>K_NOx_NOB_AS</f>
        <v>0.03</v>
      </c>
      <c r="F188" s="435" t="s">
        <v>886</v>
      </c>
      <c r="G188" s="1344">
        <v>2</v>
      </c>
      <c r="H188" s="1303" t="s">
        <v>1251</v>
      </c>
      <c r="I188" s="1679"/>
    </row>
    <row r="189" spans="2:9" s="1670" customFormat="1" ht="15.75" outlineLevel="1" x14ac:dyDescent="0.45">
      <c r="B189" s="1678" t="s">
        <v>2355</v>
      </c>
      <c r="C189" s="1343" t="s">
        <v>2738</v>
      </c>
      <c r="D189" s="1344" t="s">
        <v>3537</v>
      </c>
      <c r="E189" s="1345">
        <f>K_NOx_NOB_AS*f_KS_biofilm</f>
        <v>1.2E-2</v>
      </c>
      <c r="F189" s="435" t="s">
        <v>886</v>
      </c>
      <c r="G189" s="1344">
        <v>2</v>
      </c>
      <c r="H189" s="1303" t="s">
        <v>1177</v>
      </c>
      <c r="I189" s="1679" t="s">
        <v>3573</v>
      </c>
    </row>
    <row r="190" spans="2:9" s="1670" customFormat="1" ht="16.5" outlineLevel="1" x14ac:dyDescent="0.45">
      <c r="B190" s="1680" t="s">
        <v>2731</v>
      </c>
      <c r="C190" s="1343" t="s">
        <v>2732</v>
      </c>
      <c r="D190" s="1343" t="s">
        <v>2733</v>
      </c>
      <c r="E190" s="1345">
        <f>K_iNH3_NOB_pH_AS</f>
        <v>9999</v>
      </c>
      <c r="F190" s="1346" t="s">
        <v>2231</v>
      </c>
      <c r="G190" s="1344">
        <v>2</v>
      </c>
      <c r="H190" s="1303" t="s">
        <v>3503</v>
      </c>
      <c r="I190" s="1679"/>
    </row>
    <row r="191" spans="2:9" s="1670" customFormat="1" ht="16.899999999999999" outlineLevel="1" thickBot="1" x14ac:dyDescent="0.5">
      <c r="B191" s="1681" t="s">
        <v>2731</v>
      </c>
      <c r="C191" s="1347" t="s">
        <v>2732</v>
      </c>
      <c r="D191" s="1347" t="s">
        <v>3538</v>
      </c>
      <c r="E191" s="1348">
        <f>K_iNH3_NOB_pH_AS*f_KS_biofilm</f>
        <v>3999.6000000000004</v>
      </c>
      <c r="F191" s="1349" t="s">
        <v>2231</v>
      </c>
      <c r="G191" s="1347">
        <v>2</v>
      </c>
      <c r="H191" s="1620" t="s">
        <v>3504</v>
      </c>
      <c r="I191" s="1682" t="s">
        <v>3573</v>
      </c>
    </row>
    <row r="192" spans="2:9" ht="14.65" thickBot="1" x14ac:dyDescent="0.5">
      <c r="B192" s="153"/>
      <c r="C192" s="153"/>
      <c r="D192" s="153"/>
      <c r="E192" s="153"/>
      <c r="F192" s="153"/>
      <c r="G192" s="153"/>
      <c r="H192" s="1044"/>
      <c r="I192" s="153"/>
    </row>
    <row r="193" spans="2:9" ht="14.65" thickBot="1" x14ac:dyDescent="0.5">
      <c r="C193" s="1501" t="s">
        <v>2740</v>
      </c>
      <c r="D193" s="2076" t="s">
        <v>301</v>
      </c>
      <c r="E193" s="115"/>
    </row>
    <row r="194" spans="2:9" ht="14.65" thickBot="1" x14ac:dyDescent="0.5">
      <c r="B194" s="1502" t="s">
        <v>0</v>
      </c>
      <c r="C194" s="1314" t="s">
        <v>1</v>
      </c>
      <c r="D194" s="1314" t="s">
        <v>5</v>
      </c>
      <c r="E194" s="1314" t="s">
        <v>152</v>
      </c>
      <c r="F194" s="1314" t="s">
        <v>2</v>
      </c>
      <c r="G194" s="1314" t="s">
        <v>300</v>
      </c>
      <c r="H194" s="1644" t="s">
        <v>116</v>
      </c>
      <c r="I194" s="1503" t="s">
        <v>117</v>
      </c>
    </row>
    <row r="195" spans="2:9" s="1670" customFormat="1" ht="15.75" outlineLevel="1" x14ac:dyDescent="0.45">
      <c r="B195" s="1683" t="s">
        <v>2357</v>
      </c>
      <c r="C195" s="1297" t="s">
        <v>2576</v>
      </c>
      <c r="D195" s="1350" t="s">
        <v>2358</v>
      </c>
      <c r="E195" s="1684">
        <f>K_NHx_AMX_AS</f>
        <v>2</v>
      </c>
      <c r="F195" s="1350" t="s">
        <v>336</v>
      </c>
      <c r="G195" s="1350">
        <v>2</v>
      </c>
      <c r="H195" s="1621" t="s">
        <v>1251</v>
      </c>
      <c r="I195" s="1685"/>
    </row>
    <row r="196" spans="2:9" s="1670" customFormat="1" ht="15.75" outlineLevel="1" x14ac:dyDescent="0.45">
      <c r="B196" s="1353" t="s">
        <v>2357</v>
      </c>
      <c r="C196" s="1351" t="s">
        <v>2576</v>
      </c>
      <c r="D196" s="1352" t="s">
        <v>3539</v>
      </c>
      <c r="E196" s="436">
        <f>K_NHx_AMX_AS*f_KS_biofilm</f>
        <v>0.8</v>
      </c>
      <c r="F196" s="1352" t="s">
        <v>336</v>
      </c>
      <c r="G196" s="1352">
        <v>2</v>
      </c>
      <c r="H196" s="1622" t="s">
        <v>1177</v>
      </c>
      <c r="I196" s="1686" t="s">
        <v>3573</v>
      </c>
    </row>
    <row r="197" spans="2:9" s="1670" customFormat="1" ht="15.75" outlineLevel="1" x14ac:dyDescent="0.45">
      <c r="B197" s="1353" t="s">
        <v>2359</v>
      </c>
      <c r="C197" s="1351" t="s">
        <v>2577</v>
      </c>
      <c r="D197" s="1352" t="s">
        <v>2360</v>
      </c>
      <c r="E197" s="436">
        <f>K_NO2_AMX_AS</f>
        <v>1</v>
      </c>
      <c r="F197" s="1352" t="s">
        <v>336</v>
      </c>
      <c r="G197" s="1352">
        <v>2</v>
      </c>
      <c r="H197" s="1622" t="s">
        <v>1251</v>
      </c>
      <c r="I197" s="1686"/>
    </row>
    <row r="198" spans="2:9" s="1670" customFormat="1" ht="15.75" outlineLevel="1" x14ac:dyDescent="0.45">
      <c r="B198" s="1353" t="s">
        <v>2359</v>
      </c>
      <c r="C198" s="1351" t="s">
        <v>2577</v>
      </c>
      <c r="D198" s="1352" t="s">
        <v>3540</v>
      </c>
      <c r="E198" s="436">
        <f>K_NO2_AMX_AS*f_KS_biofilm</f>
        <v>0.4</v>
      </c>
      <c r="F198" s="1352" t="s">
        <v>336</v>
      </c>
      <c r="G198" s="1352">
        <v>2</v>
      </c>
      <c r="H198" s="1622" t="s">
        <v>1177</v>
      </c>
      <c r="I198" s="1686" t="s">
        <v>3573</v>
      </c>
    </row>
    <row r="199" spans="2:9" s="1670" customFormat="1" ht="16.5" outlineLevel="1" x14ac:dyDescent="0.45">
      <c r="B199" s="1353" t="s">
        <v>2361</v>
      </c>
      <c r="C199" s="1351" t="s">
        <v>2578</v>
      </c>
      <c r="D199" s="1352" t="s">
        <v>2362</v>
      </c>
      <c r="E199" s="436">
        <f>K_CO2_AMX_AS</f>
        <v>10</v>
      </c>
      <c r="F199" s="436" t="s">
        <v>2349</v>
      </c>
      <c r="G199" s="1352">
        <v>2</v>
      </c>
      <c r="H199" s="1622" t="s">
        <v>1153</v>
      </c>
      <c r="I199" s="1686"/>
    </row>
    <row r="200" spans="2:9" s="1670" customFormat="1" ht="16.5" outlineLevel="1" x14ac:dyDescent="0.45">
      <c r="B200" s="1353" t="s">
        <v>2363</v>
      </c>
      <c r="C200" s="1351" t="s">
        <v>2579</v>
      </c>
      <c r="D200" s="1352" t="s">
        <v>2364</v>
      </c>
      <c r="E200" s="436">
        <f>K_CO2_AMX_pH_AS</f>
        <v>1E-4</v>
      </c>
      <c r="F200" s="436" t="s">
        <v>1969</v>
      </c>
      <c r="G200" s="1352">
        <v>2</v>
      </c>
      <c r="H200" s="1622" t="s">
        <v>11</v>
      </c>
      <c r="I200" s="1686"/>
    </row>
    <row r="201" spans="2:9" s="1670" customFormat="1" ht="16.5" outlineLevel="1" x14ac:dyDescent="0.45">
      <c r="B201" s="1353" t="s">
        <v>3615</v>
      </c>
      <c r="C201" s="1351" t="s">
        <v>3616</v>
      </c>
      <c r="D201" s="1352" t="s">
        <v>3617</v>
      </c>
      <c r="E201" s="436">
        <f>K_iO2_AMX_AS</f>
        <v>0.4</v>
      </c>
      <c r="F201" s="436" t="s">
        <v>1181</v>
      </c>
      <c r="G201" s="1352">
        <v>2</v>
      </c>
      <c r="H201" s="1622" t="s">
        <v>1251</v>
      </c>
      <c r="I201" s="1686"/>
    </row>
    <row r="202" spans="2:9" s="1670" customFormat="1" ht="16.5" outlineLevel="1" x14ac:dyDescent="0.45">
      <c r="B202" s="1353" t="s">
        <v>3615</v>
      </c>
      <c r="C202" s="1351" t="s">
        <v>3616</v>
      </c>
      <c r="D202" s="1352" t="s">
        <v>3618</v>
      </c>
      <c r="E202" s="436">
        <f>K_iO2_AMX_AS*f_KS_biofilm</f>
        <v>0.16000000000000003</v>
      </c>
      <c r="F202" s="436" t="s">
        <v>1181</v>
      </c>
      <c r="G202" s="1352">
        <v>2</v>
      </c>
      <c r="H202" s="1622" t="s">
        <v>1177</v>
      </c>
      <c r="I202" s="1686" t="s">
        <v>3573</v>
      </c>
    </row>
    <row r="203" spans="2:9" s="1670" customFormat="1" ht="15.75" outlineLevel="1" x14ac:dyDescent="0.45">
      <c r="B203" s="1353" t="s">
        <v>2365</v>
      </c>
      <c r="C203" s="405" t="s">
        <v>3010</v>
      </c>
      <c r="D203" s="1352" t="s">
        <v>2366</v>
      </c>
      <c r="E203" s="1354">
        <f>K_NOx_AMX_AS</f>
        <v>0.1</v>
      </c>
      <c r="F203" s="436" t="s">
        <v>886</v>
      </c>
      <c r="G203" s="1352">
        <v>2</v>
      </c>
      <c r="H203" s="1622" t="s">
        <v>1251</v>
      </c>
      <c r="I203" s="1686"/>
    </row>
    <row r="204" spans="2:9" s="1670" customFormat="1" ht="15.75" outlineLevel="1" x14ac:dyDescent="0.45">
      <c r="B204" s="1353" t="s">
        <v>2365</v>
      </c>
      <c r="C204" s="405" t="s">
        <v>3010</v>
      </c>
      <c r="D204" s="1352" t="s">
        <v>3541</v>
      </c>
      <c r="E204" s="1354">
        <f>K_NOx_AMX_AS*f_KS_biofilm</f>
        <v>4.0000000000000008E-2</v>
      </c>
      <c r="F204" s="436" t="s">
        <v>886</v>
      </c>
      <c r="G204" s="1352">
        <v>2</v>
      </c>
      <c r="H204" s="1622" t="s">
        <v>1177</v>
      </c>
      <c r="I204" s="1686" t="s">
        <v>3573</v>
      </c>
    </row>
    <row r="205" spans="2:9" s="1670" customFormat="1" ht="16.5" outlineLevel="1" x14ac:dyDescent="0.45">
      <c r="B205" s="1458" t="s">
        <v>2935</v>
      </c>
      <c r="C205" s="1355" t="s">
        <v>2581</v>
      </c>
      <c r="D205" s="1355" t="s">
        <v>2936</v>
      </c>
      <c r="E205" s="1354">
        <f>K_iHNO2_AMX_pH_AS</f>
        <v>1</v>
      </c>
      <c r="F205" s="1356" t="s">
        <v>3009</v>
      </c>
      <c r="G205" s="1352">
        <v>2</v>
      </c>
      <c r="H205" s="1622" t="s">
        <v>3503</v>
      </c>
      <c r="I205" s="1686"/>
    </row>
    <row r="206" spans="2:9" s="1670" customFormat="1" ht="16.899999999999999" outlineLevel="1" thickBot="1" x14ac:dyDescent="0.5">
      <c r="B206" s="1687" t="s">
        <v>2935</v>
      </c>
      <c r="C206" s="1357" t="s">
        <v>2581</v>
      </c>
      <c r="D206" s="1358" t="s">
        <v>3542</v>
      </c>
      <c r="E206" s="1359">
        <f>K_iHNO2_AMX_pH_AS*f_KS_biofilm</f>
        <v>0.4</v>
      </c>
      <c r="F206" s="1360" t="s">
        <v>3009</v>
      </c>
      <c r="G206" s="1358">
        <v>2</v>
      </c>
      <c r="H206" s="1623" t="s">
        <v>3504</v>
      </c>
      <c r="I206" s="1688" t="s">
        <v>3573</v>
      </c>
    </row>
    <row r="207" spans="2:9" ht="14.65" thickBot="1" x14ac:dyDescent="0.5">
      <c r="B207" s="153"/>
      <c r="C207" s="153"/>
      <c r="D207" s="153"/>
      <c r="E207" s="153"/>
      <c r="F207" s="153"/>
      <c r="G207" s="153"/>
      <c r="H207" s="1044"/>
      <c r="I207" s="153"/>
    </row>
    <row r="208" spans="2:9" ht="14.65" thickBot="1" x14ac:dyDescent="0.5">
      <c r="C208" s="1501" t="s">
        <v>2741</v>
      </c>
      <c r="D208" s="2076" t="s">
        <v>301</v>
      </c>
      <c r="E208" s="115"/>
    </row>
    <row r="209" spans="2:9" ht="14.65" thickBot="1" x14ac:dyDescent="0.5">
      <c r="B209" s="1502" t="s">
        <v>0</v>
      </c>
      <c r="C209" s="1314" t="s">
        <v>1</v>
      </c>
      <c r="D209" s="1314" t="s">
        <v>5</v>
      </c>
      <c r="E209" s="1314" t="s">
        <v>152</v>
      </c>
      <c r="F209" s="1314" t="s">
        <v>2</v>
      </c>
      <c r="G209" s="1314" t="s">
        <v>300</v>
      </c>
      <c r="H209" s="1644" t="s">
        <v>116</v>
      </c>
      <c r="I209" s="1503" t="s">
        <v>117</v>
      </c>
    </row>
    <row r="210" spans="2:9" s="1666" customFormat="1" ht="15.75" outlineLevel="1" x14ac:dyDescent="0.45">
      <c r="B210" s="1361" t="s">
        <v>1783</v>
      </c>
      <c r="C210" s="1362" t="s">
        <v>2743</v>
      </c>
      <c r="D210" s="1363" t="s">
        <v>1941</v>
      </c>
      <c r="E210" s="1364">
        <f>K_SB_AS</f>
        <v>5</v>
      </c>
      <c r="F210" s="1363" t="s">
        <v>1182</v>
      </c>
      <c r="G210" s="1363">
        <v>1</v>
      </c>
      <c r="H210" s="1154" t="s">
        <v>1251</v>
      </c>
      <c r="I210" s="1158"/>
    </row>
    <row r="211" spans="2:9" s="1666" customFormat="1" ht="15.75" outlineLevel="1" x14ac:dyDescent="0.45">
      <c r="B211" s="1361" t="s">
        <v>1783</v>
      </c>
      <c r="C211" s="1362" t="s">
        <v>2743</v>
      </c>
      <c r="D211" s="1363" t="s">
        <v>3543</v>
      </c>
      <c r="E211" s="1365">
        <f>K_SB_AS*f_KS_biofilm</f>
        <v>2</v>
      </c>
      <c r="F211" s="1363" t="s">
        <v>1182</v>
      </c>
      <c r="G211" s="1363">
        <v>2</v>
      </c>
      <c r="H211" s="1154" t="s">
        <v>1177</v>
      </c>
      <c r="I211" s="1158" t="s">
        <v>3573</v>
      </c>
    </row>
    <row r="212" spans="2:9" s="1336" customFormat="1" ht="15.75" outlineLevel="1" x14ac:dyDescent="0.45">
      <c r="B212" s="1361" t="s">
        <v>3902</v>
      </c>
      <c r="C212" s="386" t="s">
        <v>3898</v>
      </c>
      <c r="D212" s="1363" t="s">
        <v>3858</v>
      </c>
      <c r="E212" s="824">
        <f>K_SB_NO3_AS</f>
        <v>5</v>
      </c>
      <c r="F212" s="1363" t="s">
        <v>1182</v>
      </c>
      <c r="G212" s="1363">
        <v>1</v>
      </c>
      <c r="H212" s="1154" t="s">
        <v>1251</v>
      </c>
      <c r="I212" s="1158"/>
    </row>
    <row r="213" spans="2:9" s="1336" customFormat="1" ht="15.75" outlineLevel="1" x14ac:dyDescent="0.45">
      <c r="B213" s="1361" t="s">
        <v>3902</v>
      </c>
      <c r="C213" s="386" t="s">
        <v>3898</v>
      </c>
      <c r="D213" s="1363" t="s">
        <v>3906</v>
      </c>
      <c r="E213" s="825"/>
      <c r="F213" s="1363" t="s">
        <v>1182</v>
      </c>
      <c r="G213" s="1363">
        <v>2</v>
      </c>
      <c r="H213" s="1154" t="s">
        <v>1177</v>
      </c>
      <c r="I213" s="1158" t="s">
        <v>3573</v>
      </c>
    </row>
    <row r="214" spans="2:9" s="1336" customFormat="1" ht="15.75" outlineLevel="1" x14ac:dyDescent="0.45">
      <c r="B214" s="1361" t="s">
        <v>3903</v>
      </c>
      <c r="C214" s="386" t="s">
        <v>3899</v>
      </c>
      <c r="D214" s="1363" t="s">
        <v>3860</v>
      </c>
      <c r="E214" s="824">
        <f>K_SB_NO2_AS</f>
        <v>5</v>
      </c>
      <c r="F214" s="1363" t="s">
        <v>1182</v>
      </c>
      <c r="G214" s="1363">
        <v>1</v>
      </c>
      <c r="H214" s="1154" t="s">
        <v>1251</v>
      </c>
      <c r="I214" s="1158"/>
    </row>
    <row r="215" spans="2:9" s="1336" customFormat="1" ht="15.75" outlineLevel="1" x14ac:dyDescent="0.45">
      <c r="B215" s="1361" t="s">
        <v>3903</v>
      </c>
      <c r="C215" s="386" t="s">
        <v>3899</v>
      </c>
      <c r="D215" s="1363" t="s">
        <v>3907</v>
      </c>
      <c r="E215" s="825"/>
      <c r="F215" s="1363" t="s">
        <v>1182</v>
      </c>
      <c r="G215" s="1363">
        <v>2</v>
      </c>
      <c r="H215" s="1154" t="s">
        <v>1177</v>
      </c>
      <c r="I215" s="1158" t="s">
        <v>3573</v>
      </c>
    </row>
    <row r="216" spans="2:9" s="1336" customFormat="1" ht="15.75" outlineLevel="1" x14ac:dyDescent="0.45">
      <c r="B216" s="1361" t="s">
        <v>3904</v>
      </c>
      <c r="C216" s="386" t="s">
        <v>3900</v>
      </c>
      <c r="D216" s="1363" t="s">
        <v>3862</v>
      </c>
      <c r="E216" s="824">
        <f>K_SB_NO_AS</f>
        <v>5</v>
      </c>
      <c r="F216" s="1363" t="s">
        <v>1182</v>
      </c>
      <c r="G216" s="1363">
        <v>1</v>
      </c>
      <c r="H216" s="1154" t="s">
        <v>1251</v>
      </c>
      <c r="I216" s="1158"/>
    </row>
    <row r="217" spans="2:9" s="1336" customFormat="1" ht="15.75" outlineLevel="1" x14ac:dyDescent="0.45">
      <c r="B217" s="1361" t="s">
        <v>3904</v>
      </c>
      <c r="C217" s="386" t="s">
        <v>3900</v>
      </c>
      <c r="D217" s="1363" t="s">
        <v>3908</v>
      </c>
      <c r="E217" s="825"/>
      <c r="F217" s="1363" t="s">
        <v>1182</v>
      </c>
      <c r="G217" s="1363">
        <v>2</v>
      </c>
      <c r="H217" s="1154" t="s">
        <v>1177</v>
      </c>
      <c r="I217" s="1158" t="s">
        <v>3573</v>
      </c>
    </row>
    <row r="218" spans="2:9" s="1336" customFormat="1" ht="15.75" outlineLevel="1" x14ac:dyDescent="0.45">
      <c r="B218" s="1361" t="s">
        <v>3905</v>
      </c>
      <c r="C218" s="386" t="s">
        <v>3901</v>
      </c>
      <c r="D218" s="1363" t="s">
        <v>3864</v>
      </c>
      <c r="E218" s="824">
        <f>K_SB_N2O_AS</f>
        <v>5</v>
      </c>
      <c r="F218" s="1363" t="s">
        <v>1182</v>
      </c>
      <c r="G218" s="1363">
        <v>1</v>
      </c>
      <c r="H218" s="1154" t="s">
        <v>1251</v>
      </c>
      <c r="I218" s="1158"/>
    </row>
    <row r="219" spans="2:9" s="1666" customFormat="1" ht="15.75" outlineLevel="1" x14ac:dyDescent="0.45">
      <c r="B219" s="1361" t="s">
        <v>3905</v>
      </c>
      <c r="C219" s="386" t="s">
        <v>3901</v>
      </c>
      <c r="D219" s="1363" t="s">
        <v>3909</v>
      </c>
      <c r="E219" s="1366"/>
      <c r="F219" s="1363" t="s">
        <v>1182</v>
      </c>
      <c r="G219" s="1363">
        <v>2</v>
      </c>
      <c r="H219" s="1154" t="s">
        <v>1177</v>
      </c>
      <c r="I219" s="1158" t="s">
        <v>3573</v>
      </c>
    </row>
    <row r="220" spans="2:9" s="1666" customFormat="1" ht="15.75" outlineLevel="1" x14ac:dyDescent="0.45">
      <c r="B220" s="1361" t="s">
        <v>1784</v>
      </c>
      <c r="C220" s="1362" t="s">
        <v>2744</v>
      </c>
      <c r="D220" s="1363" t="s">
        <v>1942</v>
      </c>
      <c r="E220" s="1365">
        <f>K_VFA_AS</f>
        <v>0.5</v>
      </c>
      <c r="F220" s="1363" t="s">
        <v>1785</v>
      </c>
      <c r="G220" s="1363">
        <v>2</v>
      </c>
      <c r="H220" s="1154" t="s">
        <v>1251</v>
      </c>
      <c r="I220" s="1158"/>
    </row>
    <row r="221" spans="2:9" s="1666" customFormat="1" ht="15.75" outlineLevel="1" x14ac:dyDescent="0.45">
      <c r="B221" s="1361" t="s">
        <v>1784</v>
      </c>
      <c r="C221" s="1362" t="s">
        <v>2744</v>
      </c>
      <c r="D221" s="1363" t="s">
        <v>3544</v>
      </c>
      <c r="E221" s="1367">
        <f>K_VFA_AS*f_KS_biofilm</f>
        <v>0.2</v>
      </c>
      <c r="F221" s="1363" t="s">
        <v>1785</v>
      </c>
      <c r="G221" s="1363">
        <v>3</v>
      </c>
      <c r="H221" s="1154" t="s">
        <v>1177</v>
      </c>
      <c r="I221" s="1158" t="s">
        <v>3573</v>
      </c>
    </row>
    <row r="222" spans="2:9" s="1336" customFormat="1" ht="15.75" outlineLevel="1" x14ac:dyDescent="0.45">
      <c r="B222" s="1361" t="s">
        <v>3988</v>
      </c>
      <c r="C222" s="386" t="s">
        <v>3992</v>
      </c>
      <c r="D222" s="1363" t="s">
        <v>3980</v>
      </c>
      <c r="E222" s="824">
        <f>K_VFA_NO3_AS</f>
        <v>0.5</v>
      </c>
      <c r="F222" s="1363" t="s">
        <v>1182</v>
      </c>
      <c r="G222" s="1363">
        <v>1</v>
      </c>
      <c r="H222" s="1154" t="s">
        <v>1251</v>
      </c>
      <c r="I222" s="1158"/>
    </row>
    <row r="223" spans="2:9" s="1336" customFormat="1" ht="15.75" outlineLevel="1" x14ac:dyDescent="0.45">
      <c r="B223" s="1361" t="s">
        <v>3988</v>
      </c>
      <c r="C223" s="386" t="s">
        <v>3992</v>
      </c>
      <c r="D223" s="1363" t="s">
        <v>3996</v>
      </c>
      <c r="E223" s="825"/>
      <c r="F223" s="1363" t="s">
        <v>1182</v>
      </c>
      <c r="G223" s="1363">
        <v>2</v>
      </c>
      <c r="H223" s="1154" t="s">
        <v>1177</v>
      </c>
      <c r="I223" s="1158" t="s">
        <v>3573</v>
      </c>
    </row>
    <row r="224" spans="2:9" s="1336" customFormat="1" ht="15.75" outlineLevel="1" x14ac:dyDescent="0.45">
      <c r="B224" s="1361" t="s">
        <v>3989</v>
      </c>
      <c r="C224" s="386" t="s">
        <v>3993</v>
      </c>
      <c r="D224" s="1363" t="s">
        <v>3981</v>
      </c>
      <c r="E224" s="824">
        <f>K_VFA_NO2_AS</f>
        <v>0.5</v>
      </c>
      <c r="F224" s="1363" t="s">
        <v>1182</v>
      </c>
      <c r="G224" s="1363">
        <v>1</v>
      </c>
      <c r="H224" s="1154" t="s">
        <v>1251</v>
      </c>
      <c r="I224" s="1158"/>
    </row>
    <row r="225" spans="2:9" s="1336" customFormat="1" ht="15.75" outlineLevel="1" x14ac:dyDescent="0.45">
      <c r="B225" s="1361" t="s">
        <v>3989</v>
      </c>
      <c r="C225" s="386" t="s">
        <v>3993</v>
      </c>
      <c r="D225" s="1363" t="s">
        <v>3997</v>
      </c>
      <c r="E225" s="825"/>
      <c r="F225" s="1363" t="s">
        <v>1182</v>
      </c>
      <c r="G225" s="1363">
        <v>2</v>
      </c>
      <c r="H225" s="1154" t="s">
        <v>1177</v>
      </c>
      <c r="I225" s="1158" t="s">
        <v>3573</v>
      </c>
    </row>
    <row r="226" spans="2:9" s="1336" customFormat="1" ht="15.75" outlineLevel="1" x14ac:dyDescent="0.45">
      <c r="B226" s="1361" t="s">
        <v>3990</v>
      </c>
      <c r="C226" s="386" t="s">
        <v>3994</v>
      </c>
      <c r="D226" s="1363" t="s">
        <v>3982</v>
      </c>
      <c r="E226" s="824">
        <f>K_VFA_NO_AS</f>
        <v>0.5</v>
      </c>
      <c r="F226" s="1363" t="s">
        <v>1182</v>
      </c>
      <c r="G226" s="1363">
        <v>1</v>
      </c>
      <c r="H226" s="1154" t="s">
        <v>1251</v>
      </c>
      <c r="I226" s="1158"/>
    </row>
    <row r="227" spans="2:9" s="1336" customFormat="1" ht="15.75" outlineLevel="1" x14ac:dyDescent="0.45">
      <c r="B227" s="1361" t="s">
        <v>3990</v>
      </c>
      <c r="C227" s="386" t="s">
        <v>3994</v>
      </c>
      <c r="D227" s="1363" t="s">
        <v>3998</v>
      </c>
      <c r="E227" s="825"/>
      <c r="F227" s="1363" t="s">
        <v>1182</v>
      </c>
      <c r="G227" s="1363">
        <v>2</v>
      </c>
      <c r="H227" s="1154" t="s">
        <v>1177</v>
      </c>
      <c r="I227" s="1158" t="s">
        <v>3573</v>
      </c>
    </row>
    <row r="228" spans="2:9" s="1336" customFormat="1" ht="15.75" outlineLevel="1" x14ac:dyDescent="0.45">
      <c r="B228" s="1361" t="s">
        <v>3991</v>
      </c>
      <c r="C228" s="386" t="s">
        <v>3995</v>
      </c>
      <c r="D228" s="1363" t="s">
        <v>3983</v>
      </c>
      <c r="E228" s="824">
        <f>K_VFA_N2O_AS</f>
        <v>0.5</v>
      </c>
      <c r="F228" s="1363" t="s">
        <v>1182</v>
      </c>
      <c r="G228" s="1363">
        <v>1</v>
      </c>
      <c r="H228" s="1154" t="s">
        <v>1251</v>
      </c>
      <c r="I228" s="1158"/>
    </row>
    <row r="229" spans="2:9" s="1666" customFormat="1" ht="15.75" outlineLevel="1" x14ac:dyDescent="0.45">
      <c r="B229" s="1361" t="s">
        <v>3991</v>
      </c>
      <c r="C229" s="386" t="s">
        <v>3995</v>
      </c>
      <c r="D229" s="1363" t="s">
        <v>3999</v>
      </c>
      <c r="E229" s="1366"/>
      <c r="F229" s="1363" t="s">
        <v>1182</v>
      </c>
      <c r="G229" s="1363">
        <v>2</v>
      </c>
      <c r="H229" s="1154" t="s">
        <v>1177</v>
      </c>
      <c r="I229" s="1158" t="s">
        <v>3573</v>
      </c>
    </row>
    <row r="230" spans="2:9" s="1666" customFormat="1" ht="16.5" outlineLevel="1" x14ac:dyDescent="0.45">
      <c r="B230" s="1368" t="s">
        <v>1786</v>
      </c>
      <c r="C230" s="1369" t="s">
        <v>2745</v>
      </c>
      <c r="D230" s="1370" t="s">
        <v>1944</v>
      </c>
      <c r="E230" s="1371">
        <f>K_O2_OHO_AS</f>
        <v>0.15</v>
      </c>
      <c r="F230" s="1370" t="s">
        <v>1181</v>
      </c>
      <c r="G230" s="1370">
        <v>2</v>
      </c>
      <c r="H230" s="1154" t="s">
        <v>1251</v>
      </c>
      <c r="I230" s="1689"/>
    </row>
    <row r="231" spans="2:9" s="1666" customFormat="1" ht="16.5" outlineLevel="1" x14ac:dyDescent="0.45">
      <c r="B231" s="1361" t="s">
        <v>1786</v>
      </c>
      <c r="C231" s="1362" t="s">
        <v>2745</v>
      </c>
      <c r="D231" s="1363" t="s">
        <v>3545</v>
      </c>
      <c r="E231" s="1367">
        <f>K_O2_OHO_AS*f_KS_biofilm</f>
        <v>0.06</v>
      </c>
      <c r="F231" s="1363" t="s">
        <v>1181</v>
      </c>
      <c r="G231" s="1363">
        <v>3</v>
      </c>
      <c r="H231" s="1154" t="s">
        <v>1177</v>
      </c>
      <c r="I231" s="1158" t="s">
        <v>3573</v>
      </c>
    </row>
    <row r="232" spans="2:9" s="1336" customFormat="1" ht="16.5" outlineLevel="1" x14ac:dyDescent="0.45">
      <c r="B232" s="1372" t="s">
        <v>3914</v>
      </c>
      <c r="C232" s="386" t="s">
        <v>3910</v>
      </c>
      <c r="D232" s="1363" t="s">
        <v>3872</v>
      </c>
      <c r="E232" s="824">
        <f>K_O2_OHO_NO3_AS</f>
        <v>0.15</v>
      </c>
      <c r="F232" s="1370" t="s">
        <v>1181</v>
      </c>
      <c r="G232" s="1370">
        <v>2</v>
      </c>
      <c r="H232" s="1154" t="s">
        <v>1251</v>
      </c>
      <c r="I232" s="1689"/>
    </row>
    <row r="233" spans="2:9" s="1336" customFormat="1" ht="16.5" outlineLevel="1" x14ac:dyDescent="0.45">
      <c r="B233" s="1372" t="s">
        <v>3914</v>
      </c>
      <c r="C233" s="386" t="s">
        <v>3910</v>
      </c>
      <c r="D233" s="1363" t="s">
        <v>3918</v>
      </c>
      <c r="E233" s="825"/>
      <c r="F233" s="1363" t="s">
        <v>1181</v>
      </c>
      <c r="G233" s="1363">
        <v>3</v>
      </c>
      <c r="H233" s="1154" t="s">
        <v>1177</v>
      </c>
      <c r="I233" s="1158" t="s">
        <v>3573</v>
      </c>
    </row>
    <row r="234" spans="2:9" s="1336" customFormat="1" ht="16.5" outlineLevel="1" x14ac:dyDescent="0.45">
      <c r="B234" s="1372" t="s">
        <v>3915</v>
      </c>
      <c r="C234" s="386" t="s">
        <v>3911</v>
      </c>
      <c r="D234" s="1363" t="s">
        <v>3873</v>
      </c>
      <c r="E234" s="824">
        <f>K_O2_OHO_NO2_AS</f>
        <v>0.15</v>
      </c>
      <c r="F234" s="1370" t="s">
        <v>1181</v>
      </c>
      <c r="G234" s="1370">
        <v>2</v>
      </c>
      <c r="H234" s="1154" t="s">
        <v>1251</v>
      </c>
      <c r="I234" s="1689"/>
    </row>
    <row r="235" spans="2:9" s="1336" customFormat="1" ht="16.5" outlineLevel="1" x14ac:dyDescent="0.45">
      <c r="B235" s="1372" t="s">
        <v>3915</v>
      </c>
      <c r="C235" s="386" t="s">
        <v>3911</v>
      </c>
      <c r="D235" s="1363" t="s">
        <v>3919</v>
      </c>
      <c r="E235" s="825"/>
      <c r="F235" s="1363" t="s">
        <v>1181</v>
      </c>
      <c r="G235" s="1363">
        <v>3</v>
      </c>
      <c r="H235" s="1154" t="s">
        <v>1177</v>
      </c>
      <c r="I235" s="1158" t="s">
        <v>3573</v>
      </c>
    </row>
    <row r="236" spans="2:9" s="1336" customFormat="1" ht="16.5" outlineLevel="1" x14ac:dyDescent="0.45">
      <c r="B236" s="1372" t="s">
        <v>3916</v>
      </c>
      <c r="C236" s="386" t="s">
        <v>3912</v>
      </c>
      <c r="D236" s="1363" t="s">
        <v>3874</v>
      </c>
      <c r="E236" s="824">
        <f>K_O2_OHO_NO_AS</f>
        <v>0.15</v>
      </c>
      <c r="F236" s="1370" t="s">
        <v>1181</v>
      </c>
      <c r="G236" s="1370">
        <v>2</v>
      </c>
      <c r="H236" s="1154" t="s">
        <v>1251</v>
      </c>
      <c r="I236" s="1689"/>
    </row>
    <row r="237" spans="2:9" s="1336" customFormat="1" ht="16.5" outlineLevel="1" x14ac:dyDescent="0.45">
      <c r="B237" s="1372" t="s">
        <v>3916</v>
      </c>
      <c r="C237" s="386" t="s">
        <v>3912</v>
      </c>
      <c r="D237" s="1363" t="s">
        <v>3920</v>
      </c>
      <c r="E237" s="825"/>
      <c r="F237" s="1363" t="s">
        <v>1181</v>
      </c>
      <c r="G237" s="1363">
        <v>3</v>
      </c>
      <c r="H237" s="1154" t="s">
        <v>1177</v>
      </c>
      <c r="I237" s="1158" t="s">
        <v>3573</v>
      </c>
    </row>
    <row r="238" spans="2:9" s="1336" customFormat="1" ht="16.5" outlineLevel="1" x14ac:dyDescent="0.45">
      <c r="B238" s="1372" t="s">
        <v>3917</v>
      </c>
      <c r="C238" s="386" t="s">
        <v>3913</v>
      </c>
      <c r="D238" s="1363" t="s">
        <v>3870</v>
      </c>
      <c r="E238" s="824">
        <f>K_O2_OHO_N2O_AS</f>
        <v>0.15</v>
      </c>
      <c r="F238" s="1370" t="s">
        <v>1181</v>
      </c>
      <c r="G238" s="1370">
        <v>2</v>
      </c>
      <c r="H238" s="1154" t="s">
        <v>1251</v>
      </c>
      <c r="I238" s="1689"/>
    </row>
    <row r="239" spans="2:9" s="1666" customFormat="1" ht="16.5" outlineLevel="1" x14ac:dyDescent="0.45">
      <c r="B239" s="1372" t="s">
        <v>3917</v>
      </c>
      <c r="C239" s="386" t="s">
        <v>3913</v>
      </c>
      <c r="D239" s="1363" t="s">
        <v>3921</v>
      </c>
      <c r="E239" s="1373"/>
      <c r="F239" s="1363" t="s">
        <v>1181</v>
      </c>
      <c r="G239" s="1363">
        <v>3</v>
      </c>
      <c r="H239" s="1154" t="s">
        <v>1177</v>
      </c>
      <c r="I239" s="1158" t="s">
        <v>3573</v>
      </c>
    </row>
    <row r="240" spans="2:9" s="1666" customFormat="1" ht="15.75" outlineLevel="1" x14ac:dyDescent="0.45">
      <c r="B240" s="1361" t="s">
        <v>1787</v>
      </c>
      <c r="C240" s="1362" t="s">
        <v>2746</v>
      </c>
      <c r="D240" s="1363" t="s">
        <v>1943</v>
      </c>
      <c r="E240" s="1365">
        <f>K_MEOL_OHO_AS</f>
        <v>0.1</v>
      </c>
      <c r="F240" s="1363" t="s">
        <v>1182</v>
      </c>
      <c r="G240" s="1363">
        <v>2</v>
      </c>
      <c r="H240" s="1154" t="s">
        <v>1251</v>
      </c>
      <c r="I240" s="1158"/>
    </row>
    <row r="241" spans="2:9" s="1666" customFormat="1" ht="15.75" outlineLevel="1" x14ac:dyDescent="0.45">
      <c r="B241" s="1361" t="s">
        <v>1787</v>
      </c>
      <c r="C241" s="1362" t="s">
        <v>2746</v>
      </c>
      <c r="D241" s="1363" t="s">
        <v>3546</v>
      </c>
      <c r="E241" s="1367">
        <f>K_MEOL_OHO_AS*f_KS_biofilm</f>
        <v>4.0000000000000008E-2</v>
      </c>
      <c r="F241" s="1363" t="s">
        <v>1182</v>
      </c>
      <c r="G241" s="1363">
        <v>3</v>
      </c>
      <c r="H241" s="1154" t="s">
        <v>1177</v>
      </c>
      <c r="I241" s="1158" t="s">
        <v>3573</v>
      </c>
    </row>
    <row r="242" spans="2:9" s="1336" customFormat="1" ht="15.75" outlineLevel="1" x14ac:dyDescent="0.45">
      <c r="B242" s="1372" t="s">
        <v>1788</v>
      </c>
      <c r="C242" s="386" t="s">
        <v>2748</v>
      </c>
      <c r="D242" s="1363" t="s">
        <v>1945</v>
      </c>
      <c r="E242" s="824">
        <f>K_NO3_OHO_AS</f>
        <v>0.2</v>
      </c>
      <c r="F242" s="1363" t="s">
        <v>886</v>
      </c>
      <c r="G242" s="1363">
        <v>3</v>
      </c>
      <c r="H242" s="1154" t="s">
        <v>1251</v>
      </c>
      <c r="I242" s="1158"/>
    </row>
    <row r="243" spans="2:9" s="1336" customFormat="1" ht="15.75" outlineLevel="1" x14ac:dyDescent="0.45">
      <c r="B243" s="1372" t="s">
        <v>1788</v>
      </c>
      <c r="C243" s="386" t="s">
        <v>2748</v>
      </c>
      <c r="D243" s="1363" t="s">
        <v>3547</v>
      </c>
      <c r="E243" s="825"/>
      <c r="F243" s="1363" t="s">
        <v>886</v>
      </c>
      <c r="G243" s="1363">
        <v>4</v>
      </c>
      <c r="H243" s="1154" t="s">
        <v>1177</v>
      </c>
      <c r="I243" s="1158" t="s">
        <v>3573</v>
      </c>
    </row>
    <row r="244" spans="2:9" s="1336" customFormat="1" ht="15.75" outlineLevel="1" x14ac:dyDescent="0.45">
      <c r="B244" s="1372" t="s">
        <v>3927</v>
      </c>
      <c r="C244" s="386" t="s">
        <v>2747</v>
      </c>
      <c r="D244" s="1363" t="s">
        <v>2285</v>
      </c>
      <c r="E244" s="824">
        <f>K_NO2_OHO_AS</f>
        <v>0.2</v>
      </c>
      <c r="F244" s="1363" t="s">
        <v>886</v>
      </c>
      <c r="G244" s="1363">
        <v>3</v>
      </c>
      <c r="H244" s="1154" t="s">
        <v>1251</v>
      </c>
      <c r="I244" s="1158"/>
    </row>
    <row r="245" spans="2:9" s="1336" customFormat="1" ht="15.75" outlineLevel="1" x14ac:dyDescent="0.45">
      <c r="B245" s="1372" t="s">
        <v>3927</v>
      </c>
      <c r="C245" s="386" t="s">
        <v>2747</v>
      </c>
      <c r="D245" s="1363" t="s">
        <v>3933</v>
      </c>
      <c r="E245" s="825"/>
      <c r="F245" s="1363" t="s">
        <v>886</v>
      </c>
      <c r="G245" s="1363">
        <v>4</v>
      </c>
      <c r="H245" s="1154" t="s">
        <v>1177</v>
      </c>
      <c r="I245" s="1158" t="s">
        <v>3573</v>
      </c>
    </row>
    <row r="246" spans="2:9" s="1336" customFormat="1" ht="15.75" outlineLevel="1" x14ac:dyDescent="0.45">
      <c r="B246" s="1372" t="s">
        <v>3928</v>
      </c>
      <c r="C246" s="386" t="s">
        <v>3922</v>
      </c>
      <c r="D246" s="1363" t="s">
        <v>3878</v>
      </c>
      <c r="E246" s="824">
        <f>K_NO_OHO_AS</f>
        <v>0.05</v>
      </c>
      <c r="F246" s="1363" t="s">
        <v>886</v>
      </c>
      <c r="G246" s="1363">
        <v>3</v>
      </c>
      <c r="H246" s="1154" t="s">
        <v>1251</v>
      </c>
      <c r="I246" s="1158"/>
    </row>
    <row r="247" spans="2:9" s="1336" customFormat="1" ht="15.75" outlineLevel="1" x14ac:dyDescent="0.45">
      <c r="B247" s="1372" t="s">
        <v>3928</v>
      </c>
      <c r="C247" s="386" t="s">
        <v>3922</v>
      </c>
      <c r="D247" s="1363" t="s">
        <v>3934</v>
      </c>
      <c r="E247" s="825"/>
      <c r="F247" s="1363" t="s">
        <v>886</v>
      </c>
      <c r="G247" s="1363">
        <v>4</v>
      </c>
      <c r="H247" s="1154" t="s">
        <v>1177</v>
      </c>
      <c r="I247" s="1158" t="s">
        <v>3573</v>
      </c>
    </row>
    <row r="248" spans="2:9" s="1336" customFormat="1" ht="15.75" outlineLevel="1" x14ac:dyDescent="0.45">
      <c r="B248" s="1372" t="s">
        <v>3929</v>
      </c>
      <c r="C248" s="386" t="s">
        <v>3923</v>
      </c>
      <c r="D248" s="1363" t="s">
        <v>3880</v>
      </c>
      <c r="E248" s="824">
        <f>K_N2O_OHO_AS</f>
        <v>0.05</v>
      </c>
      <c r="F248" s="1363" t="s">
        <v>886</v>
      </c>
      <c r="G248" s="1363">
        <v>3</v>
      </c>
      <c r="H248" s="1154" t="s">
        <v>1251</v>
      </c>
      <c r="I248" s="1158"/>
    </row>
    <row r="249" spans="2:9" s="1336" customFormat="1" ht="15.75" outlineLevel="1" x14ac:dyDescent="0.45">
      <c r="B249" s="1372" t="s">
        <v>3929</v>
      </c>
      <c r="C249" s="386" t="s">
        <v>3923</v>
      </c>
      <c r="D249" s="1363" t="s">
        <v>3935</v>
      </c>
      <c r="E249" s="825"/>
      <c r="F249" s="1363" t="s">
        <v>886</v>
      </c>
      <c r="G249" s="1363">
        <v>4</v>
      </c>
      <c r="H249" s="1154" t="s">
        <v>1177</v>
      </c>
      <c r="I249" s="1158" t="s">
        <v>3573</v>
      </c>
    </row>
    <row r="250" spans="2:9" s="1336" customFormat="1" ht="15.75" outlineLevel="1" x14ac:dyDescent="0.45">
      <c r="B250" s="1372" t="s">
        <v>3930</v>
      </c>
      <c r="C250" s="386" t="s">
        <v>3924</v>
      </c>
      <c r="D250" s="1363" t="s">
        <v>3883</v>
      </c>
      <c r="E250" s="824">
        <f>K_iNO_OHO_NO2_AS</f>
        <v>0.5</v>
      </c>
      <c r="F250" s="1363" t="s">
        <v>886</v>
      </c>
      <c r="G250" s="1363">
        <v>3</v>
      </c>
      <c r="H250" s="1154" t="s">
        <v>1251</v>
      </c>
      <c r="I250" s="1158"/>
    </row>
    <row r="251" spans="2:9" s="1336" customFormat="1" ht="15.75" outlineLevel="1" x14ac:dyDescent="0.45">
      <c r="B251" s="1372" t="s">
        <v>3930</v>
      </c>
      <c r="C251" s="386" t="s">
        <v>3924</v>
      </c>
      <c r="D251" s="1363" t="s">
        <v>3936</v>
      </c>
      <c r="E251" s="825"/>
      <c r="F251" s="1363" t="s">
        <v>886</v>
      </c>
      <c r="G251" s="1363">
        <v>4</v>
      </c>
      <c r="H251" s="1154" t="s">
        <v>1177</v>
      </c>
      <c r="I251" s="1158" t="s">
        <v>3573</v>
      </c>
    </row>
    <row r="252" spans="2:9" s="1336" customFormat="1" ht="15.75" outlineLevel="1" x14ac:dyDescent="0.45">
      <c r="B252" s="1372" t="s">
        <v>3931</v>
      </c>
      <c r="C252" s="386" t="s">
        <v>3925</v>
      </c>
      <c r="D252" s="1363" t="s">
        <v>3884</v>
      </c>
      <c r="E252" s="824">
        <f>K_iNO_OHO_NO_AS</f>
        <v>0.3</v>
      </c>
      <c r="F252" s="1363" t="s">
        <v>886</v>
      </c>
      <c r="G252" s="1363">
        <v>3</v>
      </c>
      <c r="H252" s="1154" t="s">
        <v>1251</v>
      </c>
      <c r="I252" s="1158"/>
    </row>
    <row r="253" spans="2:9" s="1336" customFormat="1" ht="15.75" outlineLevel="1" x14ac:dyDescent="0.45">
      <c r="B253" s="1372" t="s">
        <v>3931</v>
      </c>
      <c r="C253" s="386" t="s">
        <v>3925</v>
      </c>
      <c r="D253" s="1363" t="s">
        <v>3937</v>
      </c>
      <c r="E253" s="825"/>
      <c r="F253" s="1363" t="s">
        <v>886</v>
      </c>
      <c r="G253" s="1363">
        <v>4</v>
      </c>
      <c r="H253" s="1154" t="s">
        <v>1177</v>
      </c>
      <c r="I253" s="1158" t="s">
        <v>3573</v>
      </c>
    </row>
    <row r="254" spans="2:9" s="1336" customFormat="1" ht="15.75" outlineLevel="1" x14ac:dyDescent="0.45">
      <c r="B254" s="1372" t="s">
        <v>3932</v>
      </c>
      <c r="C254" s="386" t="s">
        <v>3926</v>
      </c>
      <c r="D254" s="1363" t="s">
        <v>3886</v>
      </c>
      <c r="E254" s="824">
        <f>K_iNO_OHO_N2O_AS</f>
        <v>7.4999999999999997E-2</v>
      </c>
      <c r="F254" s="1363" t="s">
        <v>886</v>
      </c>
      <c r="G254" s="1363">
        <v>3</v>
      </c>
      <c r="H254" s="1154" t="s">
        <v>1251</v>
      </c>
      <c r="I254" s="1158"/>
    </row>
    <row r="255" spans="2:9" s="1666" customFormat="1" ht="15.75" outlineLevel="1" x14ac:dyDescent="0.45">
      <c r="B255" s="1372" t="s">
        <v>3932</v>
      </c>
      <c r="C255" s="386" t="s">
        <v>3926</v>
      </c>
      <c r="D255" s="1363" t="s">
        <v>3938</v>
      </c>
      <c r="E255" s="1374"/>
      <c r="F255" s="1363" t="s">
        <v>886</v>
      </c>
      <c r="G255" s="1363">
        <v>4</v>
      </c>
      <c r="H255" s="1154" t="s">
        <v>1177</v>
      </c>
      <c r="I255" s="1158" t="s">
        <v>3573</v>
      </c>
    </row>
    <row r="256" spans="2:9" s="1666" customFormat="1" ht="15.75" outlineLevel="1" x14ac:dyDescent="0.45">
      <c r="B256" s="1375" t="s">
        <v>2220</v>
      </c>
      <c r="C256" s="386" t="s">
        <v>2751</v>
      </c>
      <c r="D256" s="1363" t="s">
        <v>2211</v>
      </c>
      <c r="E256" s="1365">
        <f>K_VFA_FERM_AS</f>
        <v>50</v>
      </c>
      <c r="F256" s="1363" t="s">
        <v>1785</v>
      </c>
      <c r="G256" s="1363">
        <v>2</v>
      </c>
      <c r="H256" s="1154" t="s">
        <v>1251</v>
      </c>
      <c r="I256" s="1158"/>
    </row>
    <row r="257" spans="2:9" s="1666" customFormat="1" ht="15.75" outlineLevel="1" x14ac:dyDescent="0.45">
      <c r="B257" s="1375" t="s">
        <v>2220</v>
      </c>
      <c r="C257" s="386" t="s">
        <v>2751</v>
      </c>
      <c r="D257" s="1363" t="s">
        <v>3548</v>
      </c>
      <c r="E257" s="1367">
        <f>K_VFA_FERM_AS*f_KS_biofilm</f>
        <v>20</v>
      </c>
      <c r="F257" s="1363" t="s">
        <v>1785</v>
      </c>
      <c r="G257" s="1363">
        <v>3</v>
      </c>
      <c r="H257" s="1154" t="s">
        <v>1177</v>
      </c>
      <c r="I257" s="1158" t="s">
        <v>3573</v>
      </c>
    </row>
    <row r="258" spans="2:9" s="1666" customFormat="1" ht="15.75" outlineLevel="1" x14ac:dyDescent="0.45">
      <c r="B258" s="1376" t="s">
        <v>1883</v>
      </c>
      <c r="C258" s="1377" t="s">
        <v>2749</v>
      </c>
      <c r="D258" s="1377" t="s">
        <v>1946</v>
      </c>
      <c r="E258" s="1378">
        <f>K_SB_ana_AS</f>
        <v>5</v>
      </c>
      <c r="F258" s="1377" t="s">
        <v>1182</v>
      </c>
      <c r="G258" s="1377">
        <v>1</v>
      </c>
      <c r="H258" s="1049" t="s">
        <v>4624</v>
      </c>
      <c r="I258" s="1690"/>
    </row>
    <row r="259" spans="2:9" s="1666" customFormat="1" ht="15.75" outlineLevel="1" x14ac:dyDescent="0.45">
      <c r="B259" s="1376" t="s">
        <v>1883</v>
      </c>
      <c r="C259" s="1377" t="s">
        <v>2749</v>
      </c>
      <c r="D259" s="1377" t="s">
        <v>3549</v>
      </c>
      <c r="E259" s="1379">
        <f>K_SB_ana_AS*f_KS_biofilm</f>
        <v>2</v>
      </c>
      <c r="F259" s="1377" t="s">
        <v>1182</v>
      </c>
      <c r="G259" s="1377">
        <v>2</v>
      </c>
      <c r="H259" s="1049" t="s">
        <v>4625</v>
      </c>
      <c r="I259" s="1690" t="s">
        <v>3573</v>
      </c>
    </row>
    <row r="260" spans="2:9" s="1666" customFormat="1" ht="16.149999999999999" outlineLevel="1" thickBot="1" x14ac:dyDescent="0.5">
      <c r="B260" s="1380" t="s">
        <v>1883</v>
      </c>
      <c r="C260" s="1381" t="s">
        <v>2749</v>
      </c>
      <c r="D260" s="1381" t="s">
        <v>4500</v>
      </c>
      <c r="E260" s="1382">
        <f>K_SB_ana_AS</f>
        <v>5</v>
      </c>
      <c r="F260" s="1381" t="s">
        <v>1182</v>
      </c>
      <c r="G260" s="1381">
        <v>1</v>
      </c>
      <c r="H260" s="1624" t="s">
        <v>1212</v>
      </c>
      <c r="I260" s="1691"/>
    </row>
    <row r="261" spans="2:9" ht="14.65" thickBot="1" x14ac:dyDescent="0.5">
      <c r="B261" s="153"/>
      <c r="C261" s="153"/>
      <c r="D261" s="153"/>
      <c r="E261" s="153"/>
      <c r="F261" s="153"/>
      <c r="G261" s="153"/>
      <c r="H261" s="1044"/>
      <c r="I261" s="153"/>
    </row>
    <row r="262" spans="2:9" ht="14.65" thickBot="1" x14ac:dyDescent="0.5">
      <c r="C262" s="1501" t="s">
        <v>2742</v>
      </c>
      <c r="D262" s="2076" t="s">
        <v>301</v>
      </c>
      <c r="E262" s="115"/>
    </row>
    <row r="263" spans="2:9" ht="14.65" thickBot="1" x14ac:dyDescent="0.5">
      <c r="B263" s="1502" t="s">
        <v>0</v>
      </c>
      <c r="C263" s="1314" t="s">
        <v>1</v>
      </c>
      <c r="D263" s="1314" t="s">
        <v>5</v>
      </c>
      <c r="E263" s="1314" t="s">
        <v>152</v>
      </c>
      <c r="F263" s="1314" t="s">
        <v>2</v>
      </c>
      <c r="G263" s="1314" t="s">
        <v>300</v>
      </c>
      <c r="H263" s="1644" t="s">
        <v>116</v>
      </c>
      <c r="I263" s="1503" t="s">
        <v>117</v>
      </c>
    </row>
    <row r="264" spans="2:9" s="1666" customFormat="1" ht="15.75" outlineLevel="1" x14ac:dyDescent="0.45">
      <c r="B264" s="1383" t="s">
        <v>1789</v>
      </c>
      <c r="C264" s="1384" t="s">
        <v>2752</v>
      </c>
      <c r="D264" s="1384" t="s">
        <v>1947</v>
      </c>
      <c r="E264" s="1692">
        <f>K_MEOL_AS</f>
        <v>0.5</v>
      </c>
      <c r="F264" s="409" t="s">
        <v>1182</v>
      </c>
      <c r="G264" s="1384">
        <v>2</v>
      </c>
      <c r="H264" s="1625" t="s">
        <v>1251</v>
      </c>
      <c r="I264" s="1693"/>
    </row>
    <row r="265" spans="2:9" s="1666" customFormat="1" ht="15.75" outlineLevel="1" x14ac:dyDescent="0.45">
      <c r="B265" s="1385" t="s">
        <v>1789</v>
      </c>
      <c r="C265" s="1386" t="s">
        <v>2752</v>
      </c>
      <c r="D265" s="1386" t="s">
        <v>3550</v>
      </c>
      <c r="E265" s="1387">
        <f>K_MEOL_AS*f_KS_biofilm</f>
        <v>0.2</v>
      </c>
      <c r="F265" s="410" t="s">
        <v>1182</v>
      </c>
      <c r="G265" s="1386">
        <v>3</v>
      </c>
      <c r="H265" s="1626" t="s">
        <v>1177</v>
      </c>
      <c r="I265" s="1694" t="s">
        <v>3573</v>
      </c>
    </row>
    <row r="266" spans="2:9" s="1666" customFormat="1" ht="16.5" outlineLevel="1" x14ac:dyDescent="0.45">
      <c r="B266" s="1385" t="s">
        <v>3587</v>
      </c>
      <c r="C266" s="1386" t="s">
        <v>3588</v>
      </c>
      <c r="D266" s="1386" t="s">
        <v>3580</v>
      </c>
      <c r="E266" s="1387">
        <f>K_iO2_MEOLO_AS</f>
        <v>0.05</v>
      </c>
      <c r="F266" s="410" t="s">
        <v>1181</v>
      </c>
      <c r="G266" s="1386">
        <v>3</v>
      </c>
      <c r="H266" s="1626" t="s">
        <v>1251</v>
      </c>
      <c r="I266" s="1694"/>
    </row>
    <row r="267" spans="2:9" s="1666" customFormat="1" ht="16.5" outlineLevel="1" x14ac:dyDescent="0.45">
      <c r="B267" s="1385" t="s">
        <v>3587</v>
      </c>
      <c r="C267" s="1386" t="s">
        <v>3588</v>
      </c>
      <c r="D267" s="1386" t="s">
        <v>3589</v>
      </c>
      <c r="E267" s="1388">
        <f>K_iO2_MEOLO_AS*f_KS_biofilm</f>
        <v>2.0000000000000004E-2</v>
      </c>
      <c r="F267" s="410" t="s">
        <v>1181</v>
      </c>
      <c r="G267" s="1386">
        <v>4</v>
      </c>
      <c r="H267" s="1626" t="s">
        <v>1177</v>
      </c>
      <c r="I267" s="1694" t="s">
        <v>3573</v>
      </c>
    </row>
    <row r="268" spans="2:9" s="1666" customFormat="1" ht="15.75" outlineLevel="1" x14ac:dyDescent="0.45">
      <c r="B268" s="1385" t="s">
        <v>2367</v>
      </c>
      <c r="C268" s="1386" t="s">
        <v>2753</v>
      </c>
      <c r="D268" s="1386" t="s">
        <v>2368</v>
      </c>
      <c r="E268" s="1387">
        <f>K_NO2_MEOLO_AS</f>
        <v>0.02</v>
      </c>
      <c r="F268" s="410" t="s">
        <v>886</v>
      </c>
      <c r="G268" s="1386">
        <v>2</v>
      </c>
      <c r="H268" s="1626" t="s">
        <v>1251</v>
      </c>
      <c r="I268" s="1694"/>
    </row>
    <row r="269" spans="2:9" s="1666" customFormat="1" ht="15.75" outlineLevel="1" x14ac:dyDescent="0.45">
      <c r="B269" s="1385" t="s">
        <v>2367</v>
      </c>
      <c r="C269" s="1386" t="s">
        <v>2753</v>
      </c>
      <c r="D269" s="1386" t="s">
        <v>3551</v>
      </c>
      <c r="E269" s="1388">
        <f>K_NO2_MEOLO_AS*f_KS_biofilm</f>
        <v>8.0000000000000002E-3</v>
      </c>
      <c r="F269" s="410" t="s">
        <v>886</v>
      </c>
      <c r="G269" s="1386">
        <v>2</v>
      </c>
      <c r="H269" s="1626" t="s">
        <v>1177</v>
      </c>
      <c r="I269" s="1694" t="s">
        <v>3573</v>
      </c>
    </row>
    <row r="270" spans="2:9" s="1666" customFormat="1" ht="15.75" outlineLevel="1" x14ac:dyDescent="0.45">
      <c r="B270" s="1385" t="s">
        <v>1790</v>
      </c>
      <c r="C270" s="1386" t="s">
        <v>2754</v>
      </c>
      <c r="D270" s="1386" t="s">
        <v>1948</v>
      </c>
      <c r="E270" s="1387">
        <f>K_NO3_MEOLO_AS</f>
        <v>0.05</v>
      </c>
      <c r="F270" s="410" t="s">
        <v>886</v>
      </c>
      <c r="G270" s="1386">
        <v>3</v>
      </c>
      <c r="H270" s="1626" t="s">
        <v>1251</v>
      </c>
      <c r="I270" s="1694"/>
    </row>
    <row r="271" spans="2:9" s="1666" customFormat="1" ht="16.149999999999999" outlineLevel="1" thickBot="1" x14ac:dyDescent="0.5">
      <c r="B271" s="1389" t="s">
        <v>1790</v>
      </c>
      <c r="C271" s="1390" t="s">
        <v>2754</v>
      </c>
      <c r="D271" s="1390" t="s">
        <v>3552</v>
      </c>
      <c r="E271" s="1695">
        <f>K_NO3_MEOLO_AS*f_KS_biofilm</f>
        <v>2.0000000000000004E-2</v>
      </c>
      <c r="F271" s="411" t="s">
        <v>886</v>
      </c>
      <c r="G271" s="1390">
        <v>4</v>
      </c>
      <c r="H271" s="1627" t="s">
        <v>1177</v>
      </c>
      <c r="I271" s="1696" t="s">
        <v>3573</v>
      </c>
    </row>
    <row r="272" spans="2:9" ht="14.65" thickBot="1" x14ac:dyDescent="0.5">
      <c r="B272" s="153"/>
      <c r="C272" s="153"/>
      <c r="D272" s="153"/>
      <c r="E272" s="153"/>
      <c r="F272" s="153"/>
      <c r="G272" s="153"/>
      <c r="H272" s="1044"/>
      <c r="I272" s="153"/>
    </row>
    <row r="273" spans="2:9" ht="14.65" thickBot="1" x14ac:dyDescent="0.5">
      <c r="C273" s="1501" t="s">
        <v>4626</v>
      </c>
      <c r="D273" s="2076" t="s">
        <v>301</v>
      </c>
      <c r="E273" s="115"/>
    </row>
    <row r="274" spans="2:9" ht="14.65" thickBot="1" x14ac:dyDescent="0.5">
      <c r="B274" s="1502" t="s">
        <v>0</v>
      </c>
      <c r="C274" s="1314" t="s">
        <v>1</v>
      </c>
      <c r="D274" s="1314" t="s">
        <v>5</v>
      </c>
      <c r="E274" s="1314" t="s">
        <v>152</v>
      </c>
      <c r="F274" s="1314" t="s">
        <v>2</v>
      </c>
      <c r="G274" s="1314" t="s">
        <v>300</v>
      </c>
      <c r="H274" s="1644" t="s">
        <v>116</v>
      </c>
      <c r="I274" s="1503" t="s">
        <v>117</v>
      </c>
    </row>
    <row r="275" spans="2:9" s="1666" customFormat="1" ht="16.5" outlineLevel="1" x14ac:dyDescent="0.45">
      <c r="B275" s="1391" t="s">
        <v>4627</v>
      </c>
      <c r="C275" s="1392" t="s">
        <v>4628</v>
      </c>
      <c r="D275" s="1392" t="s">
        <v>4198</v>
      </c>
      <c r="E275" s="575">
        <f>K_O2_CASTO_AS</f>
        <v>0.05</v>
      </c>
      <c r="F275" s="575" t="s">
        <v>1181</v>
      </c>
      <c r="G275" s="1392">
        <v>2</v>
      </c>
      <c r="H275" s="1058" t="s">
        <v>1251</v>
      </c>
      <c r="I275" s="1173"/>
    </row>
    <row r="276" spans="2:9" s="1666" customFormat="1" ht="16.5" outlineLevel="1" x14ac:dyDescent="0.45">
      <c r="B276" s="1391" t="s">
        <v>4627</v>
      </c>
      <c r="C276" s="1392" t="s">
        <v>4628</v>
      </c>
      <c r="D276" s="1392" t="s">
        <v>4629</v>
      </c>
      <c r="E276" s="575">
        <f>K_O2_CASTO_AS*f_KS_biofilm</f>
        <v>2.0000000000000004E-2</v>
      </c>
      <c r="F276" s="575" t="s">
        <v>1181</v>
      </c>
      <c r="G276" s="1392">
        <v>3</v>
      </c>
      <c r="H276" s="1058" t="s">
        <v>1177</v>
      </c>
      <c r="I276" s="1173" t="s">
        <v>3573</v>
      </c>
    </row>
    <row r="277" spans="2:9" s="1666" customFormat="1" ht="15.75" outlineLevel="1" x14ac:dyDescent="0.45">
      <c r="B277" s="1391" t="s">
        <v>4630</v>
      </c>
      <c r="C277" s="1392" t="s">
        <v>4631</v>
      </c>
      <c r="D277" s="1392" t="s">
        <v>4632</v>
      </c>
      <c r="E277" s="575">
        <f>K_NO2_CASTO_AS</f>
        <v>0.05</v>
      </c>
      <c r="F277" s="575" t="s">
        <v>886</v>
      </c>
      <c r="G277" s="1392">
        <v>2</v>
      </c>
      <c r="H277" s="1058" t="s">
        <v>1251</v>
      </c>
      <c r="I277" s="1173"/>
    </row>
    <row r="278" spans="2:9" s="1666" customFormat="1" ht="15.75" outlineLevel="1" x14ac:dyDescent="0.45">
      <c r="B278" s="1391" t="s">
        <v>4630</v>
      </c>
      <c r="C278" s="1392" t="s">
        <v>4631</v>
      </c>
      <c r="D278" s="1392" t="s">
        <v>4633</v>
      </c>
      <c r="E278" s="575">
        <f>K_NO2_CASTO_AS*f_KS_biofilm</f>
        <v>2.0000000000000004E-2</v>
      </c>
      <c r="F278" s="575" t="s">
        <v>886</v>
      </c>
      <c r="G278" s="1392">
        <v>2</v>
      </c>
      <c r="H278" s="1058" t="s">
        <v>1177</v>
      </c>
      <c r="I278" s="1173" t="s">
        <v>3573</v>
      </c>
    </row>
    <row r="279" spans="2:9" s="1666" customFormat="1" ht="15.75" outlineLevel="1" x14ac:dyDescent="0.45">
      <c r="B279" s="1391" t="s">
        <v>4634</v>
      </c>
      <c r="C279" s="1392" t="s">
        <v>4635</v>
      </c>
      <c r="D279" s="1392" t="s">
        <v>4200</v>
      </c>
      <c r="E279" s="575">
        <f>K_NO3_CASTO_AS</f>
        <v>0.1</v>
      </c>
      <c r="F279" s="575" t="s">
        <v>886</v>
      </c>
      <c r="G279" s="1392">
        <v>2</v>
      </c>
      <c r="H279" s="1058" t="s">
        <v>1251</v>
      </c>
      <c r="I279" s="1173"/>
    </row>
    <row r="280" spans="2:9" s="1666" customFormat="1" ht="15.75" outlineLevel="1" x14ac:dyDescent="0.45">
      <c r="B280" s="1391" t="s">
        <v>4634</v>
      </c>
      <c r="C280" s="1392" t="s">
        <v>4635</v>
      </c>
      <c r="D280" s="1392" t="s">
        <v>4636</v>
      </c>
      <c r="E280" s="575">
        <f>K_NO3_CASTO_AS*f_KS_biofilm</f>
        <v>4.0000000000000008E-2</v>
      </c>
      <c r="F280" s="575" t="s">
        <v>886</v>
      </c>
      <c r="G280" s="1392">
        <v>3</v>
      </c>
      <c r="H280" s="1058" t="s">
        <v>1177</v>
      </c>
      <c r="I280" s="1173" t="s">
        <v>3573</v>
      </c>
    </row>
    <row r="281" spans="2:9" s="1666" customFormat="1" ht="15.75" outlineLevel="1" x14ac:dyDescent="0.45">
      <c r="B281" s="1391" t="s">
        <v>4637</v>
      </c>
      <c r="C281" s="1392" t="s">
        <v>4638</v>
      </c>
      <c r="D281" s="1392" t="s">
        <v>4204</v>
      </c>
      <c r="E281" s="1393">
        <f>K_VFA_CASTO_AS</f>
        <v>5</v>
      </c>
      <c r="F281" s="575" t="s">
        <v>1182</v>
      </c>
      <c r="G281" s="1392">
        <v>1</v>
      </c>
      <c r="H281" s="1058" t="s">
        <v>1251</v>
      </c>
      <c r="I281" s="1173"/>
    </row>
    <row r="282" spans="2:9" s="1666" customFormat="1" ht="15.75" outlineLevel="1" x14ac:dyDescent="0.45">
      <c r="B282" s="1391" t="s">
        <v>4637</v>
      </c>
      <c r="C282" s="1392" t="s">
        <v>4638</v>
      </c>
      <c r="D282" s="1392" t="s">
        <v>4639</v>
      </c>
      <c r="E282" s="580">
        <f>K_VFA_CASTO_AS*f_KS_biofilm</f>
        <v>2</v>
      </c>
      <c r="F282" s="575" t="s">
        <v>1182</v>
      </c>
      <c r="G282" s="1392">
        <v>2</v>
      </c>
      <c r="H282" s="1058" t="s">
        <v>1177</v>
      </c>
      <c r="I282" s="1173" t="s">
        <v>3573</v>
      </c>
    </row>
    <row r="283" spans="2:9" s="1666" customFormat="1" ht="15.75" outlineLevel="1" x14ac:dyDescent="0.45">
      <c r="B283" s="1394" t="s">
        <v>1183</v>
      </c>
      <c r="C283" s="1392" t="s">
        <v>2756</v>
      </c>
      <c r="D283" s="1392" t="s">
        <v>1949</v>
      </c>
      <c r="E283" s="580">
        <f>K_PO4_PAO_AS</f>
        <v>0.3</v>
      </c>
      <c r="F283" s="575" t="s">
        <v>888</v>
      </c>
      <c r="G283" s="1392">
        <v>2</v>
      </c>
      <c r="H283" s="1058" t="s">
        <v>1251</v>
      </c>
      <c r="I283" s="1173"/>
    </row>
    <row r="284" spans="2:9" s="1666" customFormat="1" ht="15.75" outlineLevel="1" x14ac:dyDescent="0.45">
      <c r="B284" s="1394" t="s">
        <v>1183</v>
      </c>
      <c r="C284" s="1392" t="s">
        <v>2756</v>
      </c>
      <c r="D284" s="1392" t="s">
        <v>3553</v>
      </c>
      <c r="E284" s="1395">
        <f>K_PO4_PAO_AS*f_KS_biofilm</f>
        <v>0.12</v>
      </c>
      <c r="F284" s="575" t="s">
        <v>888</v>
      </c>
      <c r="G284" s="1392">
        <v>3</v>
      </c>
      <c r="H284" s="1058" t="s">
        <v>1177</v>
      </c>
      <c r="I284" s="1173" t="s">
        <v>3573</v>
      </c>
    </row>
    <row r="285" spans="2:9" s="1666" customFormat="1" ht="15.75" outlineLevel="1" x14ac:dyDescent="0.45">
      <c r="B285" s="1394" t="s">
        <v>1619</v>
      </c>
      <c r="C285" s="575" t="s">
        <v>2757</v>
      </c>
      <c r="D285" s="575" t="s">
        <v>1950</v>
      </c>
      <c r="E285" s="575">
        <f>K_Mg_PAO_AS</f>
        <v>1E-3</v>
      </c>
      <c r="F285" s="575" t="s">
        <v>1616</v>
      </c>
      <c r="G285" s="1392">
        <v>4</v>
      </c>
      <c r="H285" s="1058" t="s">
        <v>1251</v>
      </c>
      <c r="I285" s="1173"/>
    </row>
    <row r="286" spans="2:9" s="1666" customFormat="1" ht="15.75" outlineLevel="1" x14ac:dyDescent="0.45">
      <c r="B286" s="1394" t="s">
        <v>1619</v>
      </c>
      <c r="C286" s="575" t="s">
        <v>2757</v>
      </c>
      <c r="D286" s="575" t="s">
        <v>3554</v>
      </c>
      <c r="E286" s="575">
        <f>K_Mg_PAO_AS*f_KS_biofilm</f>
        <v>4.0000000000000002E-4</v>
      </c>
      <c r="F286" s="575" t="s">
        <v>1616</v>
      </c>
      <c r="G286" s="1392">
        <v>5</v>
      </c>
      <c r="H286" s="1058" t="s">
        <v>1177</v>
      </c>
      <c r="I286" s="1173" t="s">
        <v>3573</v>
      </c>
    </row>
    <row r="287" spans="2:9" s="1666" customFormat="1" ht="15.75" outlineLevel="1" x14ac:dyDescent="0.45">
      <c r="B287" s="1394" t="s">
        <v>1620</v>
      </c>
      <c r="C287" s="575" t="s">
        <v>2758</v>
      </c>
      <c r="D287" s="575" t="s">
        <v>1951</v>
      </c>
      <c r="E287" s="575">
        <f>K_K_PAO_AS</f>
        <v>1E-3</v>
      </c>
      <c r="F287" s="575" t="s">
        <v>1617</v>
      </c>
      <c r="G287" s="1392">
        <v>4</v>
      </c>
      <c r="H287" s="1058" t="s">
        <v>1251</v>
      </c>
      <c r="I287" s="1173"/>
    </row>
    <row r="288" spans="2:9" s="1666" customFormat="1" ht="15.75" outlineLevel="1" x14ac:dyDescent="0.45">
      <c r="B288" s="1394" t="s">
        <v>1620</v>
      </c>
      <c r="C288" s="575" t="s">
        <v>2758</v>
      </c>
      <c r="D288" s="575" t="s">
        <v>3555</v>
      </c>
      <c r="E288" s="575">
        <f>K_K_PAO_AS*f_KS_biofilm</f>
        <v>4.0000000000000002E-4</v>
      </c>
      <c r="F288" s="575" t="s">
        <v>1617</v>
      </c>
      <c r="G288" s="1392">
        <v>5</v>
      </c>
      <c r="H288" s="1058" t="s">
        <v>1177</v>
      </c>
      <c r="I288" s="1173" t="s">
        <v>3573</v>
      </c>
    </row>
    <row r="289" spans="1:9" s="1666" customFormat="1" ht="15.75" outlineLevel="1" x14ac:dyDescent="0.45">
      <c r="B289" s="1394" t="s">
        <v>1621</v>
      </c>
      <c r="C289" s="575" t="s">
        <v>2759</v>
      </c>
      <c r="D289" s="575" t="s">
        <v>1952</v>
      </c>
      <c r="E289" s="575">
        <f>K_Ca_PAO_AS</f>
        <v>1E-3</v>
      </c>
      <c r="F289" s="575" t="s">
        <v>1618</v>
      </c>
      <c r="G289" s="1392">
        <v>4</v>
      </c>
      <c r="H289" s="1058" t="s">
        <v>1251</v>
      </c>
      <c r="I289" s="1173"/>
    </row>
    <row r="290" spans="1:9" s="1666" customFormat="1" ht="15.75" outlineLevel="1" x14ac:dyDescent="0.45">
      <c r="B290" s="1394" t="s">
        <v>1621</v>
      </c>
      <c r="C290" s="575" t="s">
        <v>2759</v>
      </c>
      <c r="D290" s="575" t="s">
        <v>3556</v>
      </c>
      <c r="E290" s="575">
        <f>K_Ca_PAO_AS*f_KS_biofilm</f>
        <v>4.0000000000000002E-4</v>
      </c>
      <c r="F290" s="575" t="s">
        <v>1618</v>
      </c>
      <c r="G290" s="1392">
        <v>5</v>
      </c>
      <c r="H290" s="1058" t="s">
        <v>1177</v>
      </c>
      <c r="I290" s="1173" t="s">
        <v>3573</v>
      </c>
    </row>
    <row r="291" spans="1:9" s="1666" customFormat="1" ht="15.75" outlineLevel="1" x14ac:dyDescent="0.45">
      <c r="B291" s="1394" t="s">
        <v>2763</v>
      </c>
      <c r="C291" s="1392" t="s">
        <v>2760</v>
      </c>
      <c r="D291" s="1392" t="s">
        <v>2540</v>
      </c>
      <c r="E291" s="575">
        <f>K_iPO4_lim_AS</f>
        <v>5.0000000000000001E-3</v>
      </c>
      <c r="F291" s="575" t="s">
        <v>888</v>
      </c>
      <c r="G291" s="1392">
        <v>3</v>
      </c>
      <c r="H291" s="1058" t="s">
        <v>1251</v>
      </c>
      <c r="I291" s="1173"/>
    </row>
    <row r="292" spans="1:9" s="1666" customFormat="1" ht="16.149999999999999" outlineLevel="1" thickBot="1" x14ac:dyDescent="0.5">
      <c r="B292" s="1396" t="s">
        <v>2763</v>
      </c>
      <c r="C292" s="1397" t="s">
        <v>2760</v>
      </c>
      <c r="D292" s="1397" t="s">
        <v>3557</v>
      </c>
      <c r="E292" s="1174">
        <f>K_iPO4_lim_AS*f_KS_biofilm</f>
        <v>2E-3</v>
      </c>
      <c r="F292" s="1174" t="s">
        <v>888</v>
      </c>
      <c r="G292" s="1397">
        <v>4</v>
      </c>
      <c r="H292" s="1155" t="s">
        <v>1177</v>
      </c>
      <c r="I292" s="1697" t="s">
        <v>3573</v>
      </c>
    </row>
    <row r="293" spans="1:9" ht="14.65" thickBot="1" x14ac:dyDescent="0.5">
      <c r="B293" s="153"/>
      <c r="C293" s="153"/>
      <c r="D293" s="153"/>
      <c r="E293" s="153"/>
      <c r="F293" s="153"/>
      <c r="G293" s="153"/>
      <c r="H293" s="1044"/>
      <c r="I293" s="153"/>
    </row>
    <row r="294" spans="1:9" ht="14.65" thickBot="1" x14ac:dyDescent="0.5">
      <c r="C294" s="1501" t="s">
        <v>2765</v>
      </c>
      <c r="D294" s="2076" t="s">
        <v>301</v>
      </c>
      <c r="E294" s="115"/>
    </row>
    <row r="295" spans="1:9" ht="14.65" thickBot="1" x14ac:dyDescent="0.5">
      <c r="B295" s="1502" t="s">
        <v>0</v>
      </c>
      <c r="C295" s="1314" t="s">
        <v>1</v>
      </c>
      <c r="D295" s="1314" t="s">
        <v>5</v>
      </c>
      <c r="E295" s="1314" t="s">
        <v>152</v>
      </c>
      <c r="F295" s="1314" t="s">
        <v>2</v>
      </c>
      <c r="G295" s="1314" t="s">
        <v>300</v>
      </c>
      <c r="H295" s="1644" t="s">
        <v>116</v>
      </c>
      <c r="I295" s="1503" t="s">
        <v>117</v>
      </c>
    </row>
    <row r="296" spans="1:9" s="1666" customFormat="1" ht="15.75" outlineLevel="1" x14ac:dyDescent="0.45">
      <c r="B296" s="1400" t="s">
        <v>1792</v>
      </c>
      <c r="C296" s="1401" t="s">
        <v>2767</v>
      </c>
      <c r="D296" s="1401" t="s">
        <v>1953</v>
      </c>
      <c r="E296" s="1698">
        <f>K_VFA_AMETO_AS</f>
        <v>400</v>
      </c>
      <c r="F296" s="555" t="s">
        <v>1182</v>
      </c>
      <c r="G296" s="1401">
        <v>1</v>
      </c>
      <c r="H296" s="1629" t="s">
        <v>1251</v>
      </c>
      <c r="I296" s="1699"/>
    </row>
    <row r="297" spans="1:9" s="1666" customFormat="1" ht="15.75" outlineLevel="1" x14ac:dyDescent="0.45">
      <c r="B297" s="1402" t="s">
        <v>1792</v>
      </c>
      <c r="C297" s="1403" t="s">
        <v>2767</v>
      </c>
      <c r="D297" s="1403" t="s">
        <v>3558</v>
      </c>
      <c r="E297" s="1700">
        <f>K_VFA_AMETO_AS*f_KS_biofilm</f>
        <v>160</v>
      </c>
      <c r="F297" s="556" t="s">
        <v>1182</v>
      </c>
      <c r="G297" s="1403">
        <v>1</v>
      </c>
      <c r="H297" s="1630" t="s">
        <v>1177</v>
      </c>
      <c r="I297" s="1701" t="s">
        <v>3573</v>
      </c>
    </row>
    <row r="298" spans="1:9" s="1666" customFormat="1" ht="15.75" outlineLevel="1" x14ac:dyDescent="0.45">
      <c r="B298" s="1402" t="s">
        <v>2770</v>
      </c>
      <c r="C298" s="1403" t="s">
        <v>2768</v>
      </c>
      <c r="D298" s="1403" t="s">
        <v>2582</v>
      </c>
      <c r="E298" s="1700">
        <f>K_iVFA_AMETO_AS</f>
        <v>99999</v>
      </c>
      <c r="F298" s="556" t="s">
        <v>1182</v>
      </c>
      <c r="G298" s="1403">
        <v>1</v>
      </c>
      <c r="H298" s="1630" t="s">
        <v>1251</v>
      </c>
      <c r="I298" s="1701"/>
    </row>
    <row r="299" spans="1:9" s="1666" customFormat="1" ht="15.75" outlineLevel="1" x14ac:dyDescent="0.45">
      <c r="B299" s="1402" t="s">
        <v>2770</v>
      </c>
      <c r="C299" s="1403" t="s">
        <v>2768</v>
      </c>
      <c r="D299" s="1403" t="s">
        <v>3559</v>
      </c>
      <c r="E299" s="1700">
        <f>K_iVFA_AMETO_AS*f_KS_biofilm</f>
        <v>39999.600000000006</v>
      </c>
      <c r="F299" s="556" t="s">
        <v>1182</v>
      </c>
      <c r="G299" s="1403">
        <v>1</v>
      </c>
      <c r="H299" s="1630" t="s">
        <v>1177</v>
      </c>
      <c r="I299" s="1701" t="s">
        <v>3573</v>
      </c>
    </row>
    <row r="300" spans="1:9" s="2241" customFormat="1" ht="15.75" outlineLevel="1" x14ac:dyDescent="0.45">
      <c r="A300" s="2237"/>
      <c r="B300" s="2238" t="s">
        <v>5156</v>
      </c>
      <c r="C300" s="2235" t="s">
        <v>5160</v>
      </c>
      <c r="D300" s="2235" t="s">
        <v>5149</v>
      </c>
      <c r="E300" s="2239">
        <f>K_iNHx_AMETO_AS</f>
        <v>9999</v>
      </c>
      <c r="F300" s="2233" t="s">
        <v>886</v>
      </c>
      <c r="G300" s="2240">
        <v>1</v>
      </c>
      <c r="H300" s="2233" t="s">
        <v>1251</v>
      </c>
      <c r="I300" s="2234"/>
    </row>
    <row r="301" spans="1:9" s="2241" customFormat="1" ht="15.75" outlineLevel="1" x14ac:dyDescent="0.45">
      <c r="A301" s="2237"/>
      <c r="B301" s="2238" t="s">
        <v>5156</v>
      </c>
      <c r="C301" s="2235" t="s">
        <v>5160</v>
      </c>
      <c r="D301" s="2235" t="s">
        <v>5157</v>
      </c>
      <c r="E301" s="2239">
        <f>K_iNHx_AMETO_AS*f_KS_biofilm</f>
        <v>3999.6000000000004</v>
      </c>
      <c r="F301" s="2233" t="s">
        <v>886</v>
      </c>
      <c r="G301" s="2240">
        <v>1</v>
      </c>
      <c r="H301" s="2233" t="s">
        <v>1177</v>
      </c>
      <c r="I301" s="2234" t="s">
        <v>3573</v>
      </c>
    </row>
    <row r="302" spans="1:9" s="2241" customFormat="1" ht="15.75" outlineLevel="1" x14ac:dyDescent="0.45">
      <c r="A302" s="2237"/>
      <c r="B302" s="2238" t="s">
        <v>5158</v>
      </c>
      <c r="C302" s="2235" t="s">
        <v>5161</v>
      </c>
      <c r="D302" s="2235" t="s">
        <v>5151</v>
      </c>
      <c r="E302" s="2239">
        <f>K_iNH3_AMETO_pH_AS</f>
        <v>0.999</v>
      </c>
      <c r="F302" s="2233" t="s">
        <v>384</v>
      </c>
      <c r="G302" s="2240">
        <v>3</v>
      </c>
      <c r="H302" s="2233" t="s">
        <v>1251</v>
      </c>
      <c r="I302" s="2234"/>
    </row>
    <row r="303" spans="1:9" s="2241" customFormat="1" ht="15.75" outlineLevel="1" x14ac:dyDescent="0.45">
      <c r="A303" s="2237"/>
      <c r="B303" s="2238" t="s">
        <v>5158</v>
      </c>
      <c r="C303" s="2235" t="s">
        <v>5161</v>
      </c>
      <c r="D303" s="2235" t="s">
        <v>5159</v>
      </c>
      <c r="E303" s="2239">
        <f>K_iNH3_AMETO_pH_AS*f_KS_biofilm</f>
        <v>0.39960000000000001</v>
      </c>
      <c r="F303" s="2233" t="s">
        <v>384</v>
      </c>
      <c r="G303" s="2240">
        <v>3</v>
      </c>
      <c r="H303" s="2233" t="s">
        <v>1177</v>
      </c>
      <c r="I303" s="2234" t="s">
        <v>3573</v>
      </c>
    </row>
    <row r="304" spans="1:9" s="1666" customFormat="1" ht="16.5" outlineLevel="1" x14ac:dyDescent="0.45">
      <c r="B304" s="1402" t="s">
        <v>3590</v>
      </c>
      <c r="C304" s="1403" t="s">
        <v>3591</v>
      </c>
      <c r="D304" s="1403" t="s">
        <v>3582</v>
      </c>
      <c r="E304" s="556">
        <f>K_iO2_AMETO_AS</f>
        <v>0.05</v>
      </c>
      <c r="F304" s="556" t="s">
        <v>1181</v>
      </c>
      <c r="G304" s="1403">
        <v>2</v>
      </c>
      <c r="H304" s="1630" t="s">
        <v>1251</v>
      </c>
      <c r="I304" s="1701"/>
    </row>
    <row r="305" spans="2:9" s="1666" customFormat="1" ht="16.5" outlineLevel="1" x14ac:dyDescent="0.45">
      <c r="B305" s="1402" t="s">
        <v>3590</v>
      </c>
      <c r="C305" s="1403" t="s">
        <v>3591</v>
      </c>
      <c r="D305" s="1403" t="s">
        <v>3592</v>
      </c>
      <c r="E305" s="556">
        <f>K_iO2_AMETO_AS*f_KS_biofilm</f>
        <v>2.0000000000000004E-2</v>
      </c>
      <c r="F305" s="556" t="s">
        <v>1181</v>
      </c>
      <c r="G305" s="1403">
        <v>3</v>
      </c>
      <c r="H305" s="1630" t="s">
        <v>1177</v>
      </c>
      <c r="I305" s="1701" t="s">
        <v>3573</v>
      </c>
    </row>
    <row r="306" spans="2:9" s="1666" customFormat="1" ht="15.75" outlineLevel="1" x14ac:dyDescent="0.45">
      <c r="B306" s="1402" t="s">
        <v>2432</v>
      </c>
      <c r="C306" s="1403" t="s">
        <v>2769</v>
      </c>
      <c r="D306" s="1403" t="s">
        <v>2430</v>
      </c>
      <c r="E306" s="556">
        <f>K_NOx_AMETO_AS</f>
        <v>0.05</v>
      </c>
      <c r="F306" s="556" t="s">
        <v>886</v>
      </c>
      <c r="G306" s="1403">
        <v>2</v>
      </c>
      <c r="H306" s="1630" t="s">
        <v>1251</v>
      </c>
      <c r="I306" s="1701"/>
    </row>
    <row r="307" spans="2:9" s="1666" customFormat="1" ht="16.149999999999999" outlineLevel="1" thickBot="1" x14ac:dyDescent="0.5">
      <c r="B307" s="1404" t="s">
        <v>2432</v>
      </c>
      <c r="C307" s="1405" t="s">
        <v>2769</v>
      </c>
      <c r="D307" s="1405" t="s">
        <v>3560</v>
      </c>
      <c r="E307" s="557">
        <f>K_NOx_AMETO_AS*f_KS_biofilm</f>
        <v>2.0000000000000004E-2</v>
      </c>
      <c r="F307" s="557" t="s">
        <v>886</v>
      </c>
      <c r="G307" s="1405">
        <v>3</v>
      </c>
      <c r="H307" s="1631" t="s">
        <v>1177</v>
      </c>
      <c r="I307" s="1702" t="s">
        <v>3573</v>
      </c>
    </row>
    <row r="308" spans="2:9" ht="14.65" thickBot="1" x14ac:dyDescent="0.5">
      <c r="B308" s="153"/>
      <c r="C308" s="153"/>
      <c r="D308" s="153"/>
      <c r="E308" s="153"/>
      <c r="F308" s="153"/>
      <c r="G308" s="153"/>
      <c r="H308" s="1044"/>
      <c r="I308" s="153"/>
    </row>
    <row r="309" spans="2:9" ht="14.65" thickBot="1" x14ac:dyDescent="0.5">
      <c r="C309" s="1501" t="s">
        <v>2766</v>
      </c>
      <c r="D309" s="2076" t="s">
        <v>301</v>
      </c>
      <c r="E309" s="115"/>
    </row>
    <row r="310" spans="2:9" ht="14.65" thickBot="1" x14ac:dyDescent="0.5">
      <c r="B310" s="1502" t="s">
        <v>0</v>
      </c>
      <c r="C310" s="1314" t="s">
        <v>1</v>
      </c>
      <c r="D310" s="1314" t="s">
        <v>5</v>
      </c>
      <c r="E310" s="1314" t="s">
        <v>152</v>
      </c>
      <c r="F310" s="1314" t="s">
        <v>2</v>
      </c>
      <c r="G310" s="1314" t="s">
        <v>300</v>
      </c>
      <c r="H310" s="1644" t="s">
        <v>116</v>
      </c>
      <c r="I310" s="1503" t="s">
        <v>117</v>
      </c>
    </row>
    <row r="311" spans="2:9" s="1666" customFormat="1" ht="15.75" outlineLevel="1" x14ac:dyDescent="0.45">
      <c r="B311" s="1406" t="s">
        <v>1793</v>
      </c>
      <c r="C311" s="1407" t="s">
        <v>2771</v>
      </c>
      <c r="D311" s="1408" t="s">
        <v>1962</v>
      </c>
      <c r="E311" s="1703">
        <f>K_H2_HMETO_AS</f>
        <v>0.1</v>
      </c>
      <c r="F311" s="324" t="s">
        <v>1182</v>
      </c>
      <c r="G311" s="1408">
        <v>2</v>
      </c>
      <c r="H311" s="1632" t="s">
        <v>1251</v>
      </c>
      <c r="I311" s="1704"/>
    </row>
    <row r="312" spans="2:9" s="1666" customFormat="1" ht="15.75" outlineLevel="1" x14ac:dyDescent="0.45">
      <c r="B312" s="1406" t="s">
        <v>1793</v>
      </c>
      <c r="C312" s="1407" t="s">
        <v>2771</v>
      </c>
      <c r="D312" s="1408" t="s">
        <v>3561</v>
      </c>
      <c r="E312" s="1412">
        <f>K_H2_HMETO_AS*f_KS_biofilm</f>
        <v>4.0000000000000008E-2</v>
      </c>
      <c r="F312" s="312" t="s">
        <v>1182</v>
      </c>
      <c r="G312" s="1409">
        <v>3</v>
      </c>
      <c r="H312" s="1157" t="s">
        <v>1177</v>
      </c>
      <c r="I312" s="1246" t="s">
        <v>3573</v>
      </c>
    </row>
    <row r="313" spans="2:9" s="1666" customFormat="1" ht="16.5" outlineLevel="1" x14ac:dyDescent="0.45">
      <c r="B313" s="1410" t="s">
        <v>3593</v>
      </c>
      <c r="C313" s="1411" t="s">
        <v>3594</v>
      </c>
      <c r="D313" s="1409" t="s">
        <v>3595</v>
      </c>
      <c r="E313" s="1412">
        <f>K_iO2_HMETO_AS</f>
        <v>0.05</v>
      </c>
      <c r="F313" s="312" t="s">
        <v>1181</v>
      </c>
      <c r="G313" s="1409">
        <v>3</v>
      </c>
      <c r="H313" s="1157" t="s">
        <v>1251</v>
      </c>
      <c r="I313" s="1246"/>
    </row>
    <row r="314" spans="2:9" s="1666" customFormat="1" ht="16.5" outlineLevel="1" x14ac:dyDescent="0.45">
      <c r="B314" s="1410" t="s">
        <v>3593</v>
      </c>
      <c r="C314" s="1411" t="s">
        <v>3594</v>
      </c>
      <c r="D314" s="1409" t="s">
        <v>3596</v>
      </c>
      <c r="E314" s="1413">
        <f>K_iO2_HMETO_AS*f_KS_biofilm</f>
        <v>2.0000000000000004E-2</v>
      </c>
      <c r="F314" s="312" t="s">
        <v>1181</v>
      </c>
      <c r="G314" s="1409">
        <v>4</v>
      </c>
      <c r="H314" s="1157" t="s">
        <v>1177</v>
      </c>
      <c r="I314" s="1246" t="s">
        <v>3573</v>
      </c>
    </row>
    <row r="315" spans="2:9" s="1666" customFormat="1" ht="15.75" outlineLevel="1" x14ac:dyDescent="0.45">
      <c r="B315" s="1410" t="s">
        <v>2433</v>
      </c>
      <c r="C315" s="1411" t="s">
        <v>2772</v>
      </c>
      <c r="D315" s="1409" t="s">
        <v>2434</v>
      </c>
      <c r="E315" s="1412">
        <f>K_NOx_HMETO_AS</f>
        <v>0.05</v>
      </c>
      <c r="F315" s="312" t="s">
        <v>886</v>
      </c>
      <c r="G315" s="1409">
        <v>3</v>
      </c>
      <c r="H315" s="1157" t="s">
        <v>1251</v>
      </c>
      <c r="I315" s="1246"/>
    </row>
    <row r="316" spans="2:9" s="1666" customFormat="1" ht="16.149999999999999" outlineLevel="1" thickBot="1" x14ac:dyDescent="0.5">
      <c r="B316" s="1414" t="s">
        <v>2433</v>
      </c>
      <c r="C316" s="1415" t="s">
        <v>2772</v>
      </c>
      <c r="D316" s="1415" t="s">
        <v>3562</v>
      </c>
      <c r="E316" s="1705">
        <f>K_NOx_HMETO_AS*f_KS_biofilm</f>
        <v>2.0000000000000004E-2</v>
      </c>
      <c r="F316" s="323" t="s">
        <v>886</v>
      </c>
      <c r="G316" s="1415">
        <v>4</v>
      </c>
      <c r="H316" s="1633" t="s">
        <v>1177</v>
      </c>
      <c r="I316" s="1706" t="s">
        <v>3573</v>
      </c>
    </row>
    <row r="317" spans="2:9" s="1666" customFormat="1" ht="14.65" outlineLevel="1" thickBot="1" x14ac:dyDescent="0.5">
      <c r="B317" s="2629"/>
      <c r="C317" s="2629"/>
      <c r="D317" s="2629"/>
      <c r="E317" s="2630"/>
      <c r="F317" s="2631"/>
      <c r="G317" s="2629"/>
      <c r="H317" s="2632"/>
      <c r="I317" s="2631"/>
    </row>
    <row r="318" spans="2:9" s="124" customFormat="1" ht="14.65" thickBot="1" x14ac:dyDescent="0.5">
      <c r="C318" s="2633" t="s">
        <v>5527</v>
      </c>
      <c r="D318" s="14" t="s">
        <v>301</v>
      </c>
      <c r="E318" s="14"/>
    </row>
    <row r="319" spans="2:9" s="4" customFormat="1" ht="14.65" thickBot="1" x14ac:dyDescent="0.5">
      <c r="B319" s="981" t="s">
        <v>0</v>
      </c>
      <c r="C319" s="2528" t="s">
        <v>1</v>
      </c>
      <c r="D319" s="1748" t="s">
        <v>5</v>
      </c>
      <c r="E319" s="1748" t="s">
        <v>152</v>
      </c>
      <c r="F319" s="1748" t="s">
        <v>2</v>
      </c>
      <c r="G319" s="1748" t="s">
        <v>300</v>
      </c>
      <c r="H319" s="1748" t="s">
        <v>116</v>
      </c>
      <c r="I319" s="1749" t="s">
        <v>117</v>
      </c>
    </row>
    <row r="320" spans="2:9" s="2237" customFormat="1" ht="15.75" outlineLevel="1" x14ac:dyDescent="0.45">
      <c r="B320" s="2634" t="s">
        <v>5528</v>
      </c>
      <c r="C320" s="2635" t="s">
        <v>5529</v>
      </c>
      <c r="D320" s="2636" t="s">
        <v>5199</v>
      </c>
      <c r="E320" s="2637">
        <f>K_VFA_ASRO_AS</f>
        <v>100</v>
      </c>
      <c r="F320" s="2638" t="s">
        <v>1182</v>
      </c>
      <c r="G320" s="2639">
        <v>1</v>
      </c>
      <c r="H320" s="2638" t="s">
        <v>1251</v>
      </c>
      <c r="I320" s="2640"/>
    </row>
    <row r="321" spans="2:10" s="2237" customFormat="1" ht="15.75" outlineLevel="1" x14ac:dyDescent="0.45">
      <c r="B321" s="2641" t="s">
        <v>5528</v>
      </c>
      <c r="C321" s="2642" t="s">
        <v>5529</v>
      </c>
      <c r="D321" s="2643" t="s">
        <v>5530</v>
      </c>
      <c r="E321" s="2644">
        <f>K_VFA_ASRO_AS*f_KS_biofilm</f>
        <v>40</v>
      </c>
      <c r="F321" s="2645" t="s">
        <v>1182</v>
      </c>
      <c r="G321" s="2646">
        <v>1</v>
      </c>
      <c r="H321" s="2645" t="s">
        <v>1177</v>
      </c>
      <c r="I321" s="2314" t="s">
        <v>3573</v>
      </c>
    </row>
    <row r="322" spans="2:10" s="2237" customFormat="1" ht="15.75" outlineLevel="1" x14ac:dyDescent="0.45">
      <c r="B322" s="2647" t="s">
        <v>5531</v>
      </c>
      <c r="C322" s="2642" t="s">
        <v>5532</v>
      </c>
      <c r="D322" s="2642" t="s">
        <v>5201</v>
      </c>
      <c r="E322" s="2648">
        <f>K_SO4_ASRO_AS</f>
        <v>19</v>
      </c>
      <c r="F322" s="2645" t="s">
        <v>5246</v>
      </c>
      <c r="G322" s="2646">
        <v>1</v>
      </c>
      <c r="H322" s="2645" t="s">
        <v>1251</v>
      </c>
      <c r="I322" s="2314"/>
    </row>
    <row r="323" spans="2:10" s="2237" customFormat="1" ht="15.75" outlineLevel="1" x14ac:dyDescent="0.45">
      <c r="B323" s="2647" t="s">
        <v>5531</v>
      </c>
      <c r="C323" s="2642" t="s">
        <v>5532</v>
      </c>
      <c r="D323" s="2642" t="s">
        <v>5533</v>
      </c>
      <c r="E323" s="2644">
        <f>K_SO4_ASRO_AS*f_KS_biofilm</f>
        <v>7.6000000000000005</v>
      </c>
      <c r="F323" s="2645" t="s">
        <v>5246</v>
      </c>
      <c r="G323" s="2646">
        <v>2</v>
      </c>
      <c r="H323" s="2645" t="s">
        <v>1177</v>
      </c>
      <c r="I323" s="2314" t="s">
        <v>3573</v>
      </c>
    </row>
    <row r="324" spans="2:10" s="1889" customFormat="1" ht="15.75" outlineLevel="1" x14ac:dyDescent="0.45">
      <c r="B324" s="2647" t="s">
        <v>5534</v>
      </c>
      <c r="C324" s="2642" t="s">
        <v>5535</v>
      </c>
      <c r="D324" s="2642" t="s">
        <v>5204</v>
      </c>
      <c r="E324" s="2645">
        <f>K_iH2S_ASRO_AS</f>
        <v>2000</v>
      </c>
      <c r="F324" s="2645" t="s">
        <v>5246</v>
      </c>
      <c r="G324" s="2645">
        <v>0</v>
      </c>
      <c r="H324" s="2645" t="s">
        <v>1251</v>
      </c>
      <c r="I324" s="2314"/>
      <c r="J324" s="148"/>
    </row>
    <row r="325" spans="2:10" s="2237" customFormat="1" ht="15.75" outlineLevel="1" x14ac:dyDescent="0.45">
      <c r="B325" s="2647" t="s">
        <v>5534</v>
      </c>
      <c r="C325" s="2642" t="s">
        <v>5535</v>
      </c>
      <c r="D325" s="2642" t="s">
        <v>5536</v>
      </c>
      <c r="E325" s="2648">
        <f>K_iH2S_ASRO_AS*f_KS_biofilm</f>
        <v>800</v>
      </c>
      <c r="F325" s="2645" t="s">
        <v>5246</v>
      </c>
      <c r="G325" s="2646">
        <v>0</v>
      </c>
      <c r="H325" s="2645" t="s">
        <v>1177</v>
      </c>
      <c r="I325" s="2314" t="s">
        <v>3573</v>
      </c>
    </row>
    <row r="326" spans="2:10" s="2237" customFormat="1" ht="15.75" outlineLevel="1" x14ac:dyDescent="0.45">
      <c r="B326" s="2647" t="s">
        <v>5537</v>
      </c>
      <c r="C326" s="2642" t="s">
        <v>5538</v>
      </c>
      <c r="D326" s="2642" t="s">
        <v>5539</v>
      </c>
      <c r="E326" s="2648">
        <f>K_iO2_ASRO_AS</f>
        <v>0.05</v>
      </c>
      <c r="F326" s="2645" t="s">
        <v>1181</v>
      </c>
      <c r="G326" s="2646">
        <v>3</v>
      </c>
      <c r="H326" s="2645" t="s">
        <v>1251</v>
      </c>
      <c r="I326" s="2314"/>
    </row>
    <row r="327" spans="2:10" s="2237" customFormat="1" ht="15.75" outlineLevel="1" x14ac:dyDescent="0.45">
      <c r="B327" s="2647" t="s">
        <v>5537</v>
      </c>
      <c r="C327" s="2642" t="s">
        <v>5538</v>
      </c>
      <c r="D327" s="2642" t="s">
        <v>5540</v>
      </c>
      <c r="E327" s="2648">
        <f>K_iO2_ASRO_AS*f_KS_biofilm</f>
        <v>2.0000000000000004E-2</v>
      </c>
      <c r="F327" s="2645" t="s">
        <v>1181</v>
      </c>
      <c r="G327" s="2646">
        <v>4</v>
      </c>
      <c r="H327" s="2645" t="s">
        <v>1177</v>
      </c>
      <c r="I327" s="2314" t="s">
        <v>3573</v>
      </c>
    </row>
    <row r="328" spans="2:10" s="2237" customFormat="1" ht="15.75" outlineLevel="1" x14ac:dyDescent="0.45">
      <c r="B328" s="2647" t="s">
        <v>5541</v>
      </c>
      <c r="C328" s="2642" t="s">
        <v>5542</v>
      </c>
      <c r="D328" s="2642" t="s">
        <v>5543</v>
      </c>
      <c r="E328" s="2648">
        <f>K_NOx_ASRO_AS</f>
        <v>0.05</v>
      </c>
      <c r="F328" s="2645" t="s">
        <v>886</v>
      </c>
      <c r="G328" s="2646">
        <v>3</v>
      </c>
      <c r="H328" s="2645" t="s">
        <v>1251</v>
      </c>
      <c r="I328" s="2314"/>
    </row>
    <row r="329" spans="2:10" s="2237" customFormat="1" ht="16.149999999999999" outlineLevel="1" thickBot="1" x14ac:dyDescent="0.5">
      <c r="B329" s="2649" t="s">
        <v>5541</v>
      </c>
      <c r="C329" s="2650" t="s">
        <v>5542</v>
      </c>
      <c r="D329" s="2650" t="s">
        <v>5544</v>
      </c>
      <c r="E329" s="2651">
        <f>K_NOx_ASRO_AS*f_KS_biofilm</f>
        <v>2.0000000000000004E-2</v>
      </c>
      <c r="F329" s="2306" t="s">
        <v>886</v>
      </c>
      <c r="G329" s="2652">
        <v>4</v>
      </c>
      <c r="H329" s="2306" t="s">
        <v>1177</v>
      </c>
      <c r="I329" s="2307" t="s">
        <v>3573</v>
      </c>
    </row>
    <row r="330" spans="2:10" s="2237" customFormat="1" ht="14.65" outlineLevel="1" thickBot="1" x14ac:dyDescent="0.5">
      <c r="B330" s="2653"/>
      <c r="C330" s="2654"/>
      <c r="D330" s="2654"/>
      <c r="E330" s="2655"/>
      <c r="F330" s="2653"/>
      <c r="G330" s="2656"/>
      <c r="H330" s="2653"/>
      <c r="I330" s="2653"/>
    </row>
    <row r="331" spans="2:10" s="124" customFormat="1" ht="14.65" thickBot="1" x14ac:dyDescent="0.5">
      <c r="C331" s="2657" t="s">
        <v>5545</v>
      </c>
      <c r="D331" s="14" t="s">
        <v>301</v>
      </c>
      <c r="E331" s="14"/>
    </row>
    <row r="332" spans="2:10" s="4" customFormat="1" ht="14.65" thickBot="1" x14ac:dyDescent="0.5">
      <c r="B332" s="2658" t="s">
        <v>0</v>
      </c>
      <c r="C332" s="2659" t="s">
        <v>1</v>
      </c>
      <c r="D332" s="2660" t="s">
        <v>5</v>
      </c>
      <c r="E332" s="2660" t="s">
        <v>152</v>
      </c>
      <c r="F332" s="2660" t="s">
        <v>2</v>
      </c>
      <c r="G332" s="2660" t="s">
        <v>300</v>
      </c>
      <c r="H332" s="2660" t="s">
        <v>116</v>
      </c>
      <c r="I332" s="2661" t="s">
        <v>117</v>
      </c>
    </row>
    <row r="333" spans="2:10" s="2237" customFormat="1" ht="15.75" outlineLevel="1" x14ac:dyDescent="0.45">
      <c r="B333" s="2662" t="s">
        <v>5546</v>
      </c>
      <c r="C333" s="2663" t="s">
        <v>5547</v>
      </c>
      <c r="D333" s="2663" t="s">
        <v>5215</v>
      </c>
      <c r="E333" s="2664">
        <f>K_H2_HSRO_AS</f>
        <v>6.0000000000000001E-3</v>
      </c>
      <c r="F333" s="2664" t="s">
        <v>1182</v>
      </c>
      <c r="G333" s="2665">
        <v>3</v>
      </c>
      <c r="H333" s="2664" t="s">
        <v>1251</v>
      </c>
      <c r="I333" s="2666"/>
    </row>
    <row r="334" spans="2:10" s="2237" customFormat="1" ht="15.75" outlineLevel="1" x14ac:dyDescent="0.45">
      <c r="B334" s="2667" t="s">
        <v>5546</v>
      </c>
      <c r="C334" s="2668" t="s">
        <v>5547</v>
      </c>
      <c r="D334" s="2668" t="s">
        <v>5548</v>
      </c>
      <c r="E334" s="2669">
        <f>K_H2_HSRO_AS*f_KS_biofilm</f>
        <v>2.4000000000000002E-3</v>
      </c>
      <c r="F334" s="2669" t="s">
        <v>1182</v>
      </c>
      <c r="G334" s="2670">
        <v>4</v>
      </c>
      <c r="H334" s="2669" t="s">
        <v>1177</v>
      </c>
      <c r="I334" s="2329" t="s">
        <v>3573</v>
      </c>
    </row>
    <row r="335" spans="2:10" s="2237" customFormat="1" ht="15.75" outlineLevel="1" x14ac:dyDescent="0.45">
      <c r="B335" s="2667" t="s">
        <v>5549</v>
      </c>
      <c r="C335" s="2668" t="s">
        <v>5550</v>
      </c>
      <c r="D335" s="2668" t="s">
        <v>5217</v>
      </c>
      <c r="E335" s="2671">
        <f>K_SO4_HSRO_AS</f>
        <v>19</v>
      </c>
      <c r="F335" s="2669" t="s">
        <v>5551</v>
      </c>
      <c r="G335" s="2670">
        <v>1</v>
      </c>
      <c r="H335" s="2669" t="s">
        <v>1251</v>
      </c>
      <c r="I335" s="2329"/>
    </row>
    <row r="336" spans="2:10" s="2237" customFormat="1" ht="15.75" outlineLevel="1" x14ac:dyDescent="0.45">
      <c r="B336" s="2667" t="s">
        <v>5549</v>
      </c>
      <c r="C336" s="2668" t="s">
        <v>5550</v>
      </c>
      <c r="D336" s="2668" t="s">
        <v>5552</v>
      </c>
      <c r="E336" s="2669">
        <f>K_SO4_HSRO_AS*f_KS_biofilm</f>
        <v>7.6000000000000005</v>
      </c>
      <c r="F336" s="2669" t="s">
        <v>5551</v>
      </c>
      <c r="G336" s="2670">
        <v>1</v>
      </c>
      <c r="H336" s="2669" t="s">
        <v>1177</v>
      </c>
      <c r="I336" s="2329" t="s">
        <v>3573</v>
      </c>
    </row>
    <row r="337" spans="2:10" s="1889" customFormat="1" ht="15.75" outlineLevel="1" x14ac:dyDescent="0.45">
      <c r="B337" s="2667" t="s">
        <v>5553</v>
      </c>
      <c r="C337" s="2668" t="s">
        <v>5554</v>
      </c>
      <c r="D337" s="2668" t="s">
        <v>5219</v>
      </c>
      <c r="E337" s="2669">
        <f>K_iH2S_HSRO_AS</f>
        <v>2000</v>
      </c>
      <c r="F337" s="2669" t="s">
        <v>5551</v>
      </c>
      <c r="G337" s="2669">
        <v>0</v>
      </c>
      <c r="H337" s="2669" t="s">
        <v>1251</v>
      </c>
      <c r="I337" s="2329"/>
      <c r="J337" s="148"/>
    </row>
    <row r="338" spans="2:10" s="1889" customFormat="1" ht="15.75" outlineLevel="1" x14ac:dyDescent="0.45">
      <c r="B338" s="2667" t="s">
        <v>5553</v>
      </c>
      <c r="C338" s="2668" t="s">
        <v>5554</v>
      </c>
      <c r="D338" s="2668" t="s">
        <v>5555</v>
      </c>
      <c r="E338" s="2669">
        <f>K_iH2S_HSRO_AS*f_KS_biofilm</f>
        <v>800</v>
      </c>
      <c r="F338" s="2669" t="s">
        <v>5551</v>
      </c>
      <c r="G338" s="2669">
        <v>0</v>
      </c>
      <c r="H338" s="2669" t="s">
        <v>1177</v>
      </c>
      <c r="I338" s="2329" t="s">
        <v>3573</v>
      </c>
      <c r="J338" s="148"/>
    </row>
    <row r="339" spans="2:10" s="2237" customFormat="1" ht="15.75" outlineLevel="1" x14ac:dyDescent="0.45">
      <c r="B339" s="2667" t="s">
        <v>5556</v>
      </c>
      <c r="C339" s="2668" t="s">
        <v>5557</v>
      </c>
      <c r="D339" s="2668" t="s">
        <v>5558</v>
      </c>
      <c r="E339" s="2671">
        <f>K_iO2_HSRO_AS</f>
        <v>0.05</v>
      </c>
      <c r="F339" s="2669" t="s">
        <v>1181</v>
      </c>
      <c r="G339" s="2670">
        <v>3</v>
      </c>
      <c r="H339" s="2669" t="s">
        <v>1251</v>
      </c>
      <c r="I339" s="2329"/>
    </row>
    <row r="340" spans="2:10" s="2237" customFormat="1" ht="15.75" outlineLevel="1" x14ac:dyDescent="0.45">
      <c r="B340" s="2667" t="s">
        <v>5556</v>
      </c>
      <c r="C340" s="2668" t="s">
        <v>5557</v>
      </c>
      <c r="D340" s="2668" t="s">
        <v>5559</v>
      </c>
      <c r="E340" s="2671">
        <f>K_iO2_HSRO_AS*f_KS_biofilm</f>
        <v>2.0000000000000004E-2</v>
      </c>
      <c r="F340" s="2669" t="s">
        <v>1181</v>
      </c>
      <c r="G340" s="2670">
        <v>4</v>
      </c>
      <c r="H340" s="2669" t="s">
        <v>1177</v>
      </c>
      <c r="I340" s="2329" t="s">
        <v>3573</v>
      </c>
    </row>
    <row r="341" spans="2:10" s="2237" customFormat="1" ht="15.75" outlineLevel="1" x14ac:dyDescent="0.45">
      <c r="B341" s="2667" t="s">
        <v>5560</v>
      </c>
      <c r="C341" s="2668" t="s">
        <v>5561</v>
      </c>
      <c r="D341" s="2668" t="s">
        <v>5562</v>
      </c>
      <c r="E341" s="2671">
        <f>K_NOx_HSRO_AS</f>
        <v>0.05</v>
      </c>
      <c r="F341" s="2669" t="s">
        <v>886</v>
      </c>
      <c r="G341" s="2670">
        <v>3</v>
      </c>
      <c r="H341" s="2669" t="s">
        <v>1251</v>
      </c>
      <c r="I341" s="2329"/>
    </row>
    <row r="342" spans="2:10" s="2237" customFormat="1" ht="16.149999999999999" outlineLevel="1" thickBot="1" x14ac:dyDescent="0.5">
      <c r="B342" s="2672" t="s">
        <v>5560</v>
      </c>
      <c r="C342" s="2459" t="s">
        <v>5561</v>
      </c>
      <c r="D342" s="2459" t="s">
        <v>5563</v>
      </c>
      <c r="E342" s="2673">
        <f>K_NOx_HSRO_AS*f_KS_biofilm</f>
        <v>2.0000000000000004E-2</v>
      </c>
      <c r="F342" s="2334" t="s">
        <v>886</v>
      </c>
      <c r="G342" s="2674">
        <v>4</v>
      </c>
      <c r="H342" s="2334" t="s">
        <v>1177</v>
      </c>
      <c r="I342" s="2335" t="s">
        <v>3573</v>
      </c>
    </row>
    <row r="343" spans="2:10" s="2237" customFormat="1" ht="14.65" outlineLevel="1" thickBot="1" x14ac:dyDescent="0.5">
      <c r="B343" s="2653"/>
      <c r="C343" s="2654"/>
      <c r="D343" s="2654"/>
      <c r="E343" s="2655"/>
      <c r="F343" s="2653"/>
      <c r="G343" s="2656"/>
      <c r="H343" s="2653"/>
      <c r="I343" s="2653"/>
    </row>
    <row r="344" spans="2:10" s="124" customFormat="1" ht="14.65" thickBot="1" x14ac:dyDescent="0.5">
      <c r="C344" s="2657" t="s">
        <v>5564</v>
      </c>
      <c r="D344" s="14" t="s">
        <v>301</v>
      </c>
      <c r="E344" s="14"/>
    </row>
    <row r="345" spans="2:10" s="4" customFormat="1" ht="14.65" thickBot="1" x14ac:dyDescent="0.5">
      <c r="B345" s="2658" t="s">
        <v>0</v>
      </c>
      <c r="C345" s="2659" t="s">
        <v>1</v>
      </c>
      <c r="D345" s="2660" t="s">
        <v>5</v>
      </c>
      <c r="E345" s="2660" t="s">
        <v>152</v>
      </c>
      <c r="F345" s="2660" t="s">
        <v>2</v>
      </c>
      <c r="G345" s="2660" t="s">
        <v>300</v>
      </c>
      <c r="H345" s="2660" t="s">
        <v>116</v>
      </c>
      <c r="I345" s="2661" t="s">
        <v>117</v>
      </c>
    </row>
    <row r="346" spans="2:10" s="2237" customFormat="1" ht="15.75" outlineLevel="1" x14ac:dyDescent="0.45">
      <c r="B346" s="2675" t="s">
        <v>5565</v>
      </c>
      <c r="C346" s="2449" t="s">
        <v>5566</v>
      </c>
      <c r="D346" s="2676" t="s">
        <v>5232</v>
      </c>
      <c r="E346" s="2677">
        <f>K_O2_H2S_SOO_AS</f>
        <v>1</v>
      </c>
      <c r="F346" s="2678" t="s">
        <v>2229</v>
      </c>
      <c r="G346" s="2679">
        <v>2</v>
      </c>
      <c r="H346" s="2678" t="s">
        <v>1251</v>
      </c>
      <c r="I346" s="2680"/>
    </row>
    <row r="347" spans="2:10" s="2237" customFormat="1" ht="15.75" outlineLevel="1" x14ac:dyDescent="0.45">
      <c r="B347" s="2681" t="s">
        <v>5565</v>
      </c>
      <c r="C347" s="2682" t="s">
        <v>5566</v>
      </c>
      <c r="D347" s="2682" t="s">
        <v>5567</v>
      </c>
      <c r="E347" s="2683">
        <f>K_O2_H2S_SOO_AS*f_KS_biofilm</f>
        <v>0.4</v>
      </c>
      <c r="F347" s="2684" t="s">
        <v>2229</v>
      </c>
      <c r="G347" s="2685">
        <v>3</v>
      </c>
      <c r="H347" s="2684" t="s">
        <v>1177</v>
      </c>
      <c r="I347" s="2348" t="s">
        <v>3573</v>
      </c>
    </row>
    <row r="348" spans="2:10" s="2237" customFormat="1" ht="15.75" outlineLevel="1" x14ac:dyDescent="0.45">
      <c r="B348" s="2681" t="s">
        <v>5568</v>
      </c>
      <c r="C348" s="2682" t="s">
        <v>5569</v>
      </c>
      <c r="D348" s="2682" t="s">
        <v>5234</v>
      </c>
      <c r="E348" s="2683">
        <f>K_NO2_H2S_SOO_AS</f>
        <v>0.1</v>
      </c>
      <c r="F348" s="2684" t="s">
        <v>886</v>
      </c>
      <c r="G348" s="2685">
        <v>3</v>
      </c>
      <c r="H348" s="2684" t="s">
        <v>1251</v>
      </c>
      <c r="I348" s="2348"/>
    </row>
    <row r="349" spans="2:10" s="2237" customFormat="1" ht="15.75" outlineLevel="1" x14ac:dyDescent="0.45">
      <c r="B349" s="2681" t="s">
        <v>5568</v>
      </c>
      <c r="C349" s="2682" t="s">
        <v>5569</v>
      </c>
      <c r="D349" s="2682" t="s">
        <v>5570</v>
      </c>
      <c r="E349" s="2686">
        <f>K_NO2_H2S_SOO_AS*f_KS_biofilm</f>
        <v>4.0000000000000008E-2</v>
      </c>
      <c r="F349" s="2684" t="s">
        <v>886</v>
      </c>
      <c r="G349" s="2685">
        <v>4</v>
      </c>
      <c r="H349" s="2684" t="s">
        <v>1177</v>
      </c>
      <c r="I349" s="2348" t="s">
        <v>3573</v>
      </c>
    </row>
    <row r="350" spans="2:10" s="2237" customFormat="1" ht="15.75" outlineLevel="1" x14ac:dyDescent="0.45">
      <c r="B350" s="2681" t="s">
        <v>5571</v>
      </c>
      <c r="C350" s="2682" t="s">
        <v>5572</v>
      </c>
      <c r="D350" s="2682" t="s">
        <v>5236</v>
      </c>
      <c r="E350" s="2683">
        <f>K_NO3_H2S_SOO_AS</f>
        <v>0.1</v>
      </c>
      <c r="F350" s="2684" t="s">
        <v>886</v>
      </c>
      <c r="G350" s="2685">
        <v>3</v>
      </c>
      <c r="H350" s="2684" t="s">
        <v>1251</v>
      </c>
      <c r="I350" s="2348"/>
    </row>
    <row r="351" spans="2:10" s="2237" customFormat="1" ht="15.75" outlineLevel="1" x14ac:dyDescent="0.45">
      <c r="B351" s="2681" t="s">
        <v>5571</v>
      </c>
      <c r="C351" s="2682" t="s">
        <v>5572</v>
      </c>
      <c r="D351" s="2682" t="s">
        <v>5573</v>
      </c>
      <c r="E351" s="2686">
        <f>K_NO3_H2S_SOO_AS*f_KS_biofilm</f>
        <v>4.0000000000000008E-2</v>
      </c>
      <c r="F351" s="2684" t="s">
        <v>886</v>
      </c>
      <c r="G351" s="2685">
        <v>4</v>
      </c>
      <c r="H351" s="2684" t="s">
        <v>1177</v>
      </c>
      <c r="I351" s="2348" t="s">
        <v>3573</v>
      </c>
    </row>
    <row r="352" spans="2:10" s="2237" customFormat="1" ht="15.75" outlineLevel="1" x14ac:dyDescent="0.45">
      <c r="B352" s="2687" t="s">
        <v>5574</v>
      </c>
      <c r="C352" s="2682" t="s">
        <v>5575</v>
      </c>
      <c r="D352" s="2449" t="s">
        <v>5238</v>
      </c>
      <c r="E352" s="2688">
        <f>K_O2_S_SOO_AS</f>
        <v>2</v>
      </c>
      <c r="F352" s="2689" t="s">
        <v>2229</v>
      </c>
      <c r="G352" s="2690">
        <v>2</v>
      </c>
      <c r="H352" s="2689" t="s">
        <v>1251</v>
      </c>
      <c r="I352" s="2691"/>
    </row>
    <row r="353" spans="2:9" s="2237" customFormat="1" ht="15.75" outlineLevel="1" x14ac:dyDescent="0.45">
      <c r="B353" s="2681" t="s">
        <v>5574</v>
      </c>
      <c r="C353" s="2682" t="s">
        <v>5575</v>
      </c>
      <c r="D353" s="2682" t="s">
        <v>5576</v>
      </c>
      <c r="E353" s="2683">
        <f>K_O2_S_SOO_AS*f_KS_biofilm</f>
        <v>0.8</v>
      </c>
      <c r="F353" s="2684" t="s">
        <v>2229</v>
      </c>
      <c r="G353" s="2685">
        <v>3</v>
      </c>
      <c r="H353" s="2684" t="s">
        <v>1177</v>
      </c>
      <c r="I353" s="2348" t="s">
        <v>3573</v>
      </c>
    </row>
    <row r="354" spans="2:9" s="2237" customFormat="1" ht="15.75" outlineLevel="1" x14ac:dyDescent="0.45">
      <c r="B354" s="2681" t="s">
        <v>5577</v>
      </c>
      <c r="C354" s="2682" t="s">
        <v>5578</v>
      </c>
      <c r="D354" s="2682" t="s">
        <v>5240</v>
      </c>
      <c r="E354" s="2683">
        <f>K_NO2_S_SOO_AS</f>
        <v>0.2</v>
      </c>
      <c r="F354" s="2684" t="s">
        <v>886</v>
      </c>
      <c r="G354" s="2685">
        <v>3</v>
      </c>
      <c r="H354" s="2684" t="s">
        <v>1251</v>
      </c>
      <c r="I354" s="2348"/>
    </row>
    <row r="355" spans="2:9" s="2237" customFormat="1" ht="15.75" outlineLevel="1" x14ac:dyDescent="0.45">
      <c r="B355" s="2681" t="s">
        <v>5577</v>
      </c>
      <c r="C355" s="2682" t="s">
        <v>5578</v>
      </c>
      <c r="D355" s="2682" t="s">
        <v>5579</v>
      </c>
      <c r="E355" s="2686">
        <f>K_NO2_S_SOO_AS*f_KS_biofilm</f>
        <v>8.0000000000000016E-2</v>
      </c>
      <c r="F355" s="2684" t="s">
        <v>886</v>
      </c>
      <c r="G355" s="2685">
        <v>4</v>
      </c>
      <c r="H355" s="2684" t="s">
        <v>1177</v>
      </c>
      <c r="I355" s="2348" t="s">
        <v>3573</v>
      </c>
    </row>
    <row r="356" spans="2:9" s="2237" customFormat="1" ht="15.75" outlineLevel="1" x14ac:dyDescent="0.45">
      <c r="B356" s="2681" t="s">
        <v>5580</v>
      </c>
      <c r="C356" s="2682" t="s">
        <v>5581</v>
      </c>
      <c r="D356" s="2682" t="s">
        <v>5242</v>
      </c>
      <c r="E356" s="2683">
        <f>K_NO3_S_SOO_AS</f>
        <v>0.2</v>
      </c>
      <c r="F356" s="2684" t="s">
        <v>886</v>
      </c>
      <c r="G356" s="2685">
        <v>3</v>
      </c>
      <c r="H356" s="2684" t="s">
        <v>1251</v>
      </c>
      <c r="I356" s="2348"/>
    </row>
    <row r="357" spans="2:9" s="2237" customFormat="1" ht="15.75" outlineLevel="1" x14ac:dyDescent="0.45">
      <c r="B357" s="2681" t="s">
        <v>5580</v>
      </c>
      <c r="C357" s="2682" t="s">
        <v>5581</v>
      </c>
      <c r="D357" s="2682" t="s">
        <v>5582</v>
      </c>
      <c r="E357" s="2686">
        <f>K_NO3_S_SOO_AS*f_KS_biofilm</f>
        <v>8.0000000000000016E-2</v>
      </c>
      <c r="F357" s="2684" t="s">
        <v>886</v>
      </c>
      <c r="G357" s="2685">
        <v>4</v>
      </c>
      <c r="H357" s="2684" t="s">
        <v>1177</v>
      </c>
      <c r="I357" s="2348" t="s">
        <v>3573</v>
      </c>
    </row>
    <row r="358" spans="2:9" s="2237" customFormat="1" ht="15.75" outlineLevel="1" x14ac:dyDescent="0.45">
      <c r="B358" s="2681" t="s">
        <v>5583</v>
      </c>
      <c r="C358" s="2682" t="s">
        <v>5584</v>
      </c>
      <c r="D358" s="2682" t="s">
        <v>5244</v>
      </c>
      <c r="E358" s="2692">
        <f>K_H2S_SOO_AS</f>
        <v>1</v>
      </c>
      <c r="F358" s="2684" t="s">
        <v>5246</v>
      </c>
      <c r="G358" s="2685">
        <v>1</v>
      </c>
      <c r="H358" s="2684" t="s">
        <v>1251</v>
      </c>
      <c r="I358" s="2348"/>
    </row>
    <row r="359" spans="2:9" s="2237" customFormat="1" ht="15.75" outlineLevel="1" x14ac:dyDescent="0.45">
      <c r="B359" s="2681" t="s">
        <v>5583</v>
      </c>
      <c r="C359" s="2682" t="s">
        <v>5584</v>
      </c>
      <c r="D359" s="2682" t="s">
        <v>5585</v>
      </c>
      <c r="E359" s="2693">
        <f>K_H2S_SOO_AS*f_KS_biofilm</f>
        <v>0.4</v>
      </c>
      <c r="F359" s="2684" t="s">
        <v>5246</v>
      </c>
      <c r="G359" s="2685">
        <v>2</v>
      </c>
      <c r="H359" s="2684" t="s">
        <v>1177</v>
      </c>
      <c r="I359" s="2348" t="s">
        <v>3573</v>
      </c>
    </row>
    <row r="360" spans="2:9" s="2237" customFormat="1" ht="15.75" outlineLevel="1" x14ac:dyDescent="0.45">
      <c r="B360" s="2681" t="s">
        <v>5586</v>
      </c>
      <c r="C360" s="2682" t="s">
        <v>5587</v>
      </c>
      <c r="D360" s="2682" t="s">
        <v>5247</v>
      </c>
      <c r="E360" s="2684">
        <f>K_iH2S_SOO_AS</f>
        <v>80</v>
      </c>
      <c r="F360" s="2684" t="s">
        <v>5246</v>
      </c>
      <c r="G360" s="2685">
        <v>0</v>
      </c>
      <c r="H360" s="2684" t="s">
        <v>1251</v>
      </c>
      <c r="I360" s="2348"/>
    </row>
    <row r="361" spans="2:9" s="2237" customFormat="1" ht="15.75" outlineLevel="1" x14ac:dyDescent="0.45">
      <c r="B361" s="2681" t="s">
        <v>5586</v>
      </c>
      <c r="C361" s="2682" t="s">
        <v>5587</v>
      </c>
      <c r="D361" s="2682" t="s">
        <v>5588</v>
      </c>
      <c r="E361" s="2692">
        <f>K_iH2S_SOO_AS*f_KS_biofilm</f>
        <v>32</v>
      </c>
      <c r="F361" s="2684" t="s">
        <v>5246</v>
      </c>
      <c r="G361" s="2685">
        <v>1</v>
      </c>
      <c r="H361" s="2684" t="s">
        <v>1177</v>
      </c>
      <c r="I361" s="2348" t="s">
        <v>3573</v>
      </c>
    </row>
    <row r="362" spans="2:9" s="2237" customFormat="1" ht="15.75" outlineLevel="1" x14ac:dyDescent="0.45">
      <c r="B362" s="2681" t="s">
        <v>5589</v>
      </c>
      <c r="C362" s="2682" t="s">
        <v>5590</v>
      </c>
      <c r="D362" s="2682" t="s">
        <v>5249</v>
      </c>
      <c r="E362" s="2684">
        <f>K_S_SOO_AS</f>
        <v>0.5</v>
      </c>
      <c r="F362" s="2684" t="s">
        <v>5246</v>
      </c>
      <c r="G362" s="2685">
        <v>1</v>
      </c>
      <c r="H362" s="2684" t="s">
        <v>1251</v>
      </c>
      <c r="I362" s="2348"/>
    </row>
    <row r="363" spans="2:9" s="2237" customFormat="1" ht="16.149999999999999" outlineLevel="1" thickBot="1" x14ac:dyDescent="0.5">
      <c r="B363" s="2694" t="s">
        <v>5589</v>
      </c>
      <c r="C363" s="2695" t="s">
        <v>5590</v>
      </c>
      <c r="D363" s="2695" t="s">
        <v>5591</v>
      </c>
      <c r="E363" s="2354">
        <f>K_S_SOO_AS*f_KS_biofilm</f>
        <v>0.2</v>
      </c>
      <c r="F363" s="2354" t="s">
        <v>5246</v>
      </c>
      <c r="G363" s="2696">
        <v>2</v>
      </c>
      <c r="H363" s="2354" t="s">
        <v>1177</v>
      </c>
      <c r="I363" s="2355" t="s">
        <v>3573</v>
      </c>
    </row>
    <row r="364" spans="2:9" ht="14.65" thickBot="1" x14ac:dyDescent="0.5">
      <c r="B364" s="153"/>
      <c r="C364" s="153"/>
      <c r="D364" s="153"/>
      <c r="E364" s="153"/>
      <c r="F364" s="153"/>
      <c r="G364" s="153"/>
      <c r="H364" s="1044"/>
      <c r="I364" s="153"/>
    </row>
    <row r="365" spans="2:9" ht="14.65" thickBot="1" x14ac:dyDescent="0.5">
      <c r="C365" s="1501" t="s">
        <v>3011</v>
      </c>
      <c r="D365" s="2076" t="s">
        <v>301</v>
      </c>
      <c r="E365" s="115"/>
    </row>
    <row r="366" spans="2:9" ht="14.65" thickBot="1" x14ac:dyDescent="0.5">
      <c r="B366" s="1502" t="s">
        <v>0</v>
      </c>
      <c r="C366" s="1314" t="s">
        <v>1</v>
      </c>
      <c r="D366" s="1314" t="s">
        <v>5</v>
      </c>
      <c r="E366" s="1314" t="s">
        <v>152</v>
      </c>
      <c r="F366" s="1314" t="s">
        <v>2</v>
      </c>
      <c r="G366" s="1314" t="s">
        <v>300</v>
      </c>
      <c r="H366" s="1644" t="s">
        <v>116</v>
      </c>
      <c r="I366" s="1503" t="s">
        <v>117</v>
      </c>
    </row>
    <row r="367" spans="2:9" s="1666" customFormat="1" ht="15.75" outlineLevel="1" x14ac:dyDescent="0.45">
      <c r="B367" s="2040" t="s">
        <v>885</v>
      </c>
      <c r="C367" s="1981" t="s">
        <v>2775</v>
      </c>
      <c r="D367" s="1981" t="s">
        <v>1955</v>
      </c>
      <c r="E367" s="1981">
        <f>K_NHx_BIO_AS</f>
        <v>5.0000000000000001E-3</v>
      </c>
      <c r="F367" s="1981" t="s">
        <v>886</v>
      </c>
      <c r="G367" s="2130">
        <v>3</v>
      </c>
      <c r="H367" s="1925" t="s">
        <v>1251</v>
      </c>
      <c r="I367" s="2002"/>
    </row>
    <row r="368" spans="2:9" s="1666" customFormat="1" ht="15.75" outlineLevel="1" x14ac:dyDescent="0.45">
      <c r="B368" s="2024" t="s">
        <v>885</v>
      </c>
      <c r="C368" s="2069" t="s">
        <v>2775</v>
      </c>
      <c r="D368" s="2069" t="s">
        <v>3563</v>
      </c>
      <c r="E368" s="2069">
        <f>K_NHx_BIO_AS*f_KS_biofilm</f>
        <v>2E-3</v>
      </c>
      <c r="F368" s="2069" t="s">
        <v>886</v>
      </c>
      <c r="G368" s="2070">
        <v>4</v>
      </c>
      <c r="H368" s="2148" t="s">
        <v>1177</v>
      </c>
      <c r="I368" s="1997" t="s">
        <v>3573</v>
      </c>
    </row>
    <row r="369" spans="2:9" s="1666" customFormat="1" ht="15.75" outlineLevel="1" x14ac:dyDescent="0.45">
      <c r="B369" s="2024" t="s">
        <v>887</v>
      </c>
      <c r="C369" s="2069" t="s">
        <v>2776</v>
      </c>
      <c r="D369" s="2069" t="s">
        <v>1956</v>
      </c>
      <c r="E369" s="2069">
        <f>K_PO4_BIO_AS</f>
        <v>2E-3</v>
      </c>
      <c r="F369" s="2069" t="s">
        <v>888</v>
      </c>
      <c r="G369" s="2070">
        <v>3</v>
      </c>
      <c r="H369" s="2148" t="s">
        <v>1251</v>
      </c>
      <c r="I369" s="1997"/>
    </row>
    <row r="370" spans="2:9" s="1666" customFormat="1" ht="15.75" outlineLevel="1" x14ac:dyDescent="0.45">
      <c r="B370" s="2024" t="s">
        <v>887</v>
      </c>
      <c r="C370" s="2069" t="s">
        <v>2776</v>
      </c>
      <c r="D370" s="2069" t="s">
        <v>3564</v>
      </c>
      <c r="E370" s="2069">
        <f>K_PO4_BIO_AS*f_KS_biofilm</f>
        <v>8.0000000000000004E-4</v>
      </c>
      <c r="F370" s="2069" t="s">
        <v>1970</v>
      </c>
      <c r="G370" s="2070">
        <v>4</v>
      </c>
      <c r="H370" s="2148" t="s">
        <v>1177</v>
      </c>
      <c r="I370" s="1997" t="s">
        <v>3573</v>
      </c>
    </row>
    <row r="371" spans="2:9" s="2237" customFormat="1" ht="15.75" outlineLevel="1" x14ac:dyDescent="0.45">
      <c r="B371" s="2410" t="s">
        <v>5592</v>
      </c>
      <c r="C371" s="2698" t="s">
        <v>5593</v>
      </c>
      <c r="D371" s="2056" t="s">
        <v>5285</v>
      </c>
      <c r="E371" s="2699">
        <f>K_SO4_BIO_AS</f>
        <v>2E-3</v>
      </c>
      <c r="F371" s="2699" t="s">
        <v>5246</v>
      </c>
      <c r="G371" s="2700">
        <v>3</v>
      </c>
      <c r="H371" s="2699" t="s">
        <v>1251</v>
      </c>
      <c r="I371" s="2515"/>
    </row>
    <row r="372" spans="2:9" s="2237" customFormat="1" ht="15.75" outlineLevel="1" x14ac:dyDescent="0.45">
      <c r="B372" s="2410" t="s">
        <v>5592</v>
      </c>
      <c r="C372" s="2698" t="s">
        <v>5593</v>
      </c>
      <c r="D372" s="2056" t="s">
        <v>5594</v>
      </c>
      <c r="E372" s="2699">
        <f>K_SO4_BIO_AS*f_KS_biofilm</f>
        <v>8.0000000000000004E-4</v>
      </c>
      <c r="F372" s="2699" t="s">
        <v>5595</v>
      </c>
      <c r="G372" s="2700">
        <v>4</v>
      </c>
      <c r="H372" s="2699" t="s">
        <v>1177</v>
      </c>
      <c r="I372" s="2515" t="s">
        <v>3573</v>
      </c>
    </row>
    <row r="373" spans="2:9" s="1666" customFormat="1" ht="15.75" outlineLevel="1" x14ac:dyDescent="0.45">
      <c r="B373" s="2041" t="s">
        <v>1795</v>
      </c>
      <c r="C373" s="2070" t="s">
        <v>2617</v>
      </c>
      <c r="D373" s="2070" t="s">
        <v>1963</v>
      </c>
      <c r="E373" s="2069">
        <f>K_CO2_BIO_AS</f>
        <v>1.2</v>
      </c>
      <c r="F373" s="2069" t="s">
        <v>1214</v>
      </c>
      <c r="G373" s="2070">
        <v>1</v>
      </c>
      <c r="H373" s="2148" t="s">
        <v>1251</v>
      </c>
      <c r="I373" s="1997"/>
    </row>
    <row r="374" spans="2:9" s="1666" customFormat="1" ht="15.75" outlineLevel="1" x14ac:dyDescent="0.45">
      <c r="B374" s="2041" t="s">
        <v>1795</v>
      </c>
      <c r="C374" s="2070" t="s">
        <v>2617</v>
      </c>
      <c r="D374" s="2070" t="s">
        <v>3565</v>
      </c>
      <c r="E374" s="2069">
        <f>K_CO2_BIO_AS*f_KS_biofilm</f>
        <v>0.48</v>
      </c>
      <c r="F374" s="2069" t="s">
        <v>1214</v>
      </c>
      <c r="G374" s="2070">
        <v>2</v>
      </c>
      <c r="H374" s="2148" t="s">
        <v>1177</v>
      </c>
      <c r="I374" s="1997" t="s">
        <v>3573</v>
      </c>
    </row>
    <row r="375" spans="2:9" s="1666" customFormat="1" ht="15.75" outlineLevel="1" x14ac:dyDescent="0.45">
      <c r="B375" s="2024" t="s">
        <v>889</v>
      </c>
      <c r="C375" s="2069" t="s">
        <v>2618</v>
      </c>
      <c r="D375" s="2069" t="s">
        <v>1958</v>
      </c>
      <c r="E375" s="2069">
        <f>K_CAT_AS</f>
        <v>0.1</v>
      </c>
      <c r="F375" s="2069" t="s">
        <v>1971</v>
      </c>
      <c r="G375" s="2070">
        <v>1</v>
      </c>
      <c r="H375" s="2148" t="s">
        <v>1251</v>
      </c>
      <c r="I375" s="1997"/>
    </row>
    <row r="376" spans="2:9" s="1666" customFormat="1" ht="15.75" outlineLevel="1" x14ac:dyDescent="0.45">
      <c r="B376" s="2024" t="s">
        <v>889</v>
      </c>
      <c r="C376" s="2069" t="s">
        <v>2618</v>
      </c>
      <c r="D376" s="2069" t="s">
        <v>3566</v>
      </c>
      <c r="E376" s="2069">
        <f>K_CAT_AS*f_KS_biofilm</f>
        <v>4.0000000000000008E-2</v>
      </c>
      <c r="F376" s="2069" t="s">
        <v>1971</v>
      </c>
      <c r="G376" s="2070">
        <v>2</v>
      </c>
      <c r="H376" s="2148" t="s">
        <v>1177</v>
      </c>
      <c r="I376" s="1997" t="s">
        <v>3573</v>
      </c>
    </row>
    <row r="377" spans="2:9" s="1666" customFormat="1" ht="15.75" outlineLevel="1" x14ac:dyDescent="0.45">
      <c r="B377" s="2024" t="s">
        <v>890</v>
      </c>
      <c r="C377" s="2069" t="s">
        <v>2619</v>
      </c>
      <c r="D377" s="2069" t="s">
        <v>1959</v>
      </c>
      <c r="E377" s="2069">
        <f>K_AN_AS</f>
        <v>0.1</v>
      </c>
      <c r="F377" s="2069" t="s">
        <v>1972</v>
      </c>
      <c r="G377" s="2070">
        <v>1</v>
      </c>
      <c r="H377" s="2148" t="s">
        <v>1251</v>
      </c>
      <c r="I377" s="1997"/>
    </row>
    <row r="378" spans="2:9" s="1666" customFormat="1" ht="15.75" outlineLevel="1" x14ac:dyDescent="0.45">
      <c r="B378" s="2024" t="s">
        <v>890</v>
      </c>
      <c r="C378" s="2069" t="s">
        <v>2619</v>
      </c>
      <c r="D378" s="2069" t="s">
        <v>3567</v>
      </c>
      <c r="E378" s="2069">
        <f>K_AN_AS*f_KS_biofilm</f>
        <v>4.0000000000000008E-2</v>
      </c>
      <c r="F378" s="2069" t="s">
        <v>1972</v>
      </c>
      <c r="G378" s="2070">
        <v>2</v>
      </c>
      <c r="H378" s="2148" t="s">
        <v>1177</v>
      </c>
      <c r="I378" s="1997" t="s">
        <v>3573</v>
      </c>
    </row>
    <row r="379" spans="2:9" s="1666" customFormat="1" ht="15.75" outlineLevel="1" x14ac:dyDescent="0.45">
      <c r="B379" s="2024" t="s">
        <v>3697</v>
      </c>
      <c r="C379" s="1982" t="s">
        <v>3698</v>
      </c>
      <c r="D379" s="1982" t="s">
        <v>3693</v>
      </c>
      <c r="E379" s="1982">
        <f>K_Mg_BIO_AS</f>
        <v>1E-4</v>
      </c>
      <c r="F379" s="1982" t="s">
        <v>1616</v>
      </c>
      <c r="G379" s="2075">
        <v>4</v>
      </c>
      <c r="H379" s="1926" t="s">
        <v>1251</v>
      </c>
      <c r="I379" s="1997"/>
    </row>
    <row r="380" spans="2:9" s="1666" customFormat="1" ht="15.75" outlineLevel="1" x14ac:dyDescent="0.45">
      <c r="B380" s="2024" t="s">
        <v>3697</v>
      </c>
      <c r="C380" s="1982" t="s">
        <v>3698</v>
      </c>
      <c r="D380" s="1982" t="s">
        <v>3699</v>
      </c>
      <c r="E380" s="1982">
        <v>1E-4</v>
      </c>
      <c r="F380" s="1982" t="s">
        <v>1616</v>
      </c>
      <c r="G380" s="2075">
        <v>5</v>
      </c>
      <c r="H380" s="1926" t="s">
        <v>1177</v>
      </c>
      <c r="I380" s="1997" t="s">
        <v>3573</v>
      </c>
    </row>
    <row r="381" spans="2:9" s="1666" customFormat="1" ht="15.75" outlineLevel="1" x14ac:dyDescent="0.45">
      <c r="B381" s="2024" t="s">
        <v>3700</v>
      </c>
      <c r="C381" s="1982" t="s">
        <v>3701</v>
      </c>
      <c r="D381" s="1982" t="s">
        <v>3695</v>
      </c>
      <c r="E381" s="1982">
        <f>K_Ca_BIO_AS</f>
        <v>1E-4</v>
      </c>
      <c r="F381" s="1982" t="s">
        <v>1618</v>
      </c>
      <c r="G381" s="2075">
        <v>4</v>
      </c>
      <c r="H381" s="1926" t="s">
        <v>1251</v>
      </c>
      <c r="I381" s="1997"/>
    </row>
    <row r="382" spans="2:9" s="1666" customFormat="1" ht="15.75" outlineLevel="1" x14ac:dyDescent="0.45">
      <c r="B382" s="2024" t="s">
        <v>3700</v>
      </c>
      <c r="C382" s="1982" t="s">
        <v>3701</v>
      </c>
      <c r="D382" s="1982" t="s">
        <v>3702</v>
      </c>
      <c r="E382" s="1982">
        <v>1E-4</v>
      </c>
      <c r="F382" s="1982" t="s">
        <v>1618</v>
      </c>
      <c r="G382" s="2075">
        <v>5</v>
      </c>
      <c r="H382" s="1926" t="s">
        <v>1177</v>
      </c>
      <c r="I382" s="1997" t="s">
        <v>3573</v>
      </c>
    </row>
    <row r="383" spans="2:9" s="1666" customFormat="1" ht="15.75" outlineLevel="1" x14ac:dyDescent="0.45">
      <c r="B383" s="2024" t="s">
        <v>1185</v>
      </c>
      <c r="C383" s="2069" t="s">
        <v>2777</v>
      </c>
      <c r="D383" s="2069" t="s">
        <v>1964</v>
      </c>
      <c r="E383" s="2069">
        <f>K_FLOC_AS</f>
        <v>1E-3</v>
      </c>
      <c r="F383" s="2069" t="s">
        <v>2176</v>
      </c>
      <c r="G383" s="2070">
        <v>3</v>
      </c>
      <c r="H383" s="2148" t="s">
        <v>1251</v>
      </c>
      <c r="I383" s="1997"/>
    </row>
    <row r="384" spans="2:9" s="1666" customFormat="1" ht="15.75" outlineLevel="1" x14ac:dyDescent="0.45">
      <c r="B384" s="2024" t="s">
        <v>1185</v>
      </c>
      <c r="C384" s="2069" t="s">
        <v>2777</v>
      </c>
      <c r="D384" s="2069" t="s">
        <v>3568</v>
      </c>
      <c r="E384" s="2069">
        <f>K_FLOC_AS*f_KS_biofilm</f>
        <v>4.0000000000000002E-4</v>
      </c>
      <c r="F384" s="2069" t="s">
        <v>2176</v>
      </c>
      <c r="G384" s="2070">
        <v>4</v>
      </c>
      <c r="H384" s="2148" t="s">
        <v>1177</v>
      </c>
      <c r="I384" s="1997" t="s">
        <v>3573</v>
      </c>
    </row>
    <row r="385" spans="1:9" s="1666" customFormat="1" ht="15.75" outlineLevel="1" x14ac:dyDescent="0.45">
      <c r="B385" s="2024" t="s">
        <v>1186</v>
      </c>
      <c r="C385" s="2069" t="s">
        <v>2778</v>
      </c>
      <c r="D385" s="2069" t="s">
        <v>1965</v>
      </c>
      <c r="E385" s="2069">
        <f>K_HYD_AS</f>
        <v>0.05</v>
      </c>
      <c r="F385" s="2069" t="s">
        <v>2176</v>
      </c>
      <c r="G385" s="2070">
        <v>2</v>
      </c>
      <c r="H385" s="2148" t="s">
        <v>1251</v>
      </c>
      <c r="I385" s="1997"/>
    </row>
    <row r="386" spans="1:9" s="1666" customFormat="1" ht="15.75" outlineLevel="1" x14ac:dyDescent="0.45">
      <c r="B386" s="2024" t="s">
        <v>1186</v>
      </c>
      <c r="C386" s="2069" t="s">
        <v>2778</v>
      </c>
      <c r="D386" s="2069" t="s">
        <v>3569</v>
      </c>
      <c r="E386" s="2069">
        <f>K_HYD_AS*f_KS_biofilm</f>
        <v>2.0000000000000004E-2</v>
      </c>
      <c r="F386" s="2069" t="s">
        <v>2176</v>
      </c>
      <c r="G386" s="2070">
        <v>3</v>
      </c>
      <c r="H386" s="2148" t="s">
        <v>1177</v>
      </c>
      <c r="I386" s="1997" t="s">
        <v>3573</v>
      </c>
    </row>
    <row r="387" spans="1:9" s="1666" customFormat="1" ht="15.75" outlineLevel="1" x14ac:dyDescent="0.45">
      <c r="B387" s="2024" t="s">
        <v>2773</v>
      </c>
      <c r="C387" s="2069" t="s">
        <v>3008</v>
      </c>
      <c r="D387" s="2069" t="s">
        <v>2774</v>
      </c>
      <c r="E387" s="2069">
        <f>K_iNHx_ASSIM_AS</f>
        <v>5.0000000000000001E-4</v>
      </c>
      <c r="F387" s="2069" t="s">
        <v>886</v>
      </c>
      <c r="G387" s="2070">
        <v>4</v>
      </c>
      <c r="H387" s="2148" t="s">
        <v>1251</v>
      </c>
      <c r="I387" s="1997"/>
    </row>
    <row r="388" spans="1:9" s="1666" customFormat="1" ht="15.75" outlineLevel="1" x14ac:dyDescent="0.45">
      <c r="B388" s="2024" t="s">
        <v>2773</v>
      </c>
      <c r="C388" s="2069" t="s">
        <v>3008</v>
      </c>
      <c r="D388" s="2069" t="s">
        <v>3570</v>
      </c>
      <c r="E388" s="2069">
        <f>K_iNHx_ASSIM_AS*f_KS_biofilm</f>
        <v>2.0000000000000001E-4</v>
      </c>
      <c r="F388" s="2069" t="s">
        <v>886</v>
      </c>
      <c r="G388" s="2070">
        <v>5</v>
      </c>
      <c r="H388" s="2148" t="s">
        <v>1177</v>
      </c>
      <c r="I388" s="1997" t="s">
        <v>3573</v>
      </c>
    </row>
    <row r="389" spans="1:9" s="1707" customFormat="1" ht="15.75" outlineLevel="1" x14ac:dyDescent="0.45">
      <c r="B389" s="2042" t="s">
        <v>2369</v>
      </c>
      <c r="C389" s="2069" t="s">
        <v>2779</v>
      </c>
      <c r="D389" s="2069" t="s">
        <v>2370</v>
      </c>
      <c r="E389" s="2069">
        <f>K_NO2_ASSIM_AS</f>
        <v>1E-3</v>
      </c>
      <c r="F389" s="2069" t="s">
        <v>886</v>
      </c>
      <c r="G389" s="2070">
        <v>4</v>
      </c>
      <c r="H389" s="2149" t="s">
        <v>1251</v>
      </c>
      <c r="I389" s="2172"/>
    </row>
    <row r="390" spans="1:9" s="1707" customFormat="1" ht="15.75" outlineLevel="1" x14ac:dyDescent="0.45">
      <c r="B390" s="2042" t="s">
        <v>2369</v>
      </c>
      <c r="C390" s="2069" t="s">
        <v>2779</v>
      </c>
      <c r="D390" s="2069" t="s">
        <v>3571</v>
      </c>
      <c r="E390" s="2069">
        <f>K_NO2_ASSIM_AS*f_KS_biofilm</f>
        <v>4.0000000000000002E-4</v>
      </c>
      <c r="F390" s="2069" t="s">
        <v>886</v>
      </c>
      <c r="G390" s="2070">
        <v>5</v>
      </c>
      <c r="H390" s="2149" t="s">
        <v>1177</v>
      </c>
      <c r="I390" s="2172" t="s">
        <v>3573</v>
      </c>
    </row>
    <row r="391" spans="1:9" s="1707" customFormat="1" ht="15.75" outlineLevel="1" x14ac:dyDescent="0.45">
      <c r="B391" s="2042" t="s">
        <v>2371</v>
      </c>
      <c r="C391" s="2069" t="s">
        <v>2780</v>
      </c>
      <c r="D391" s="2069" t="s">
        <v>2372</v>
      </c>
      <c r="E391" s="2069">
        <f>K_NO3_ASSIM_AS</f>
        <v>1E-3</v>
      </c>
      <c r="F391" s="2069" t="s">
        <v>886</v>
      </c>
      <c r="G391" s="2070">
        <v>4</v>
      </c>
      <c r="H391" s="2149" t="s">
        <v>1251</v>
      </c>
      <c r="I391" s="2172"/>
    </row>
    <row r="392" spans="1:9" s="1707" customFormat="1" ht="16.149999999999999" outlineLevel="1" thickBot="1" x14ac:dyDescent="0.5">
      <c r="B392" s="2043" t="s">
        <v>2371</v>
      </c>
      <c r="C392" s="1979" t="s">
        <v>2780</v>
      </c>
      <c r="D392" s="1979" t="s">
        <v>3572</v>
      </c>
      <c r="E392" s="1979">
        <f>K_NO3_ASSIM_AS*f_KS_biofilm</f>
        <v>4.0000000000000002E-4</v>
      </c>
      <c r="F392" s="1979" t="s">
        <v>886</v>
      </c>
      <c r="G392" s="2131">
        <v>5</v>
      </c>
      <c r="H392" s="2137" t="s">
        <v>1177</v>
      </c>
      <c r="I392" s="2173" t="s">
        <v>3573</v>
      </c>
    </row>
    <row r="393" spans="1:9" s="2237" customFormat="1" ht="15.75" outlineLevel="1" x14ac:dyDescent="0.45">
      <c r="B393" s="2410" t="s">
        <v>5596</v>
      </c>
      <c r="C393" s="2056" t="s">
        <v>5597</v>
      </c>
      <c r="D393" s="2056" t="s">
        <v>5598</v>
      </c>
      <c r="E393" s="2699">
        <f>K_iSO4_ASSIM_AS</f>
        <v>5.0000000000000001E-4</v>
      </c>
      <c r="F393" s="2699" t="s">
        <v>5246</v>
      </c>
      <c r="G393" s="2700">
        <v>4</v>
      </c>
      <c r="H393" s="2699" t="s">
        <v>1251</v>
      </c>
      <c r="I393" s="2515"/>
    </row>
    <row r="394" spans="1:9" s="2237" customFormat="1" ht="15.75" outlineLevel="1" x14ac:dyDescent="0.45">
      <c r="B394" s="2410" t="s">
        <v>5596</v>
      </c>
      <c r="C394" s="2056" t="s">
        <v>5597</v>
      </c>
      <c r="D394" s="2056" t="s">
        <v>5599</v>
      </c>
      <c r="E394" s="2699">
        <f>K_iSO4_ASSIM_AS*f_KS_biofilm</f>
        <v>2.0000000000000001E-4</v>
      </c>
      <c r="F394" s="2699" t="s">
        <v>5246</v>
      </c>
      <c r="G394" s="2700">
        <v>5</v>
      </c>
      <c r="H394" s="2699" t="s">
        <v>1177</v>
      </c>
      <c r="I394" s="2515" t="s">
        <v>3573</v>
      </c>
    </row>
    <row r="395" spans="1:9" s="2237" customFormat="1" ht="15.75" outlineLevel="1" x14ac:dyDescent="0.45">
      <c r="B395" s="2410" t="s">
        <v>5600</v>
      </c>
      <c r="C395" s="2056" t="s">
        <v>5601</v>
      </c>
      <c r="D395" s="2056" t="s">
        <v>5602</v>
      </c>
      <c r="E395" s="2699">
        <f>K_H2S_ASSIM_AS</f>
        <v>1E-3</v>
      </c>
      <c r="F395" s="2699" t="s">
        <v>5246</v>
      </c>
      <c r="G395" s="2700">
        <v>3</v>
      </c>
      <c r="H395" s="2699" t="s">
        <v>1251</v>
      </c>
      <c r="I395" s="2515"/>
    </row>
    <row r="396" spans="1:9" s="2237" customFormat="1" ht="16.149999999999999" outlineLevel="1" thickBot="1" x14ac:dyDescent="0.5">
      <c r="B396" s="2701" t="s">
        <v>5600</v>
      </c>
      <c r="C396" s="2067" t="s">
        <v>5601</v>
      </c>
      <c r="D396" s="2067" t="s">
        <v>5603</v>
      </c>
      <c r="E396" s="2470">
        <f>K_H2S_ASSIM_AS*f_KS_biofilm</f>
        <v>4.0000000000000002E-4</v>
      </c>
      <c r="F396" s="2470" t="s">
        <v>5246</v>
      </c>
      <c r="G396" s="2702">
        <v>4</v>
      </c>
      <c r="H396" s="2470" t="s">
        <v>1177</v>
      </c>
      <c r="I396" s="2471" t="s">
        <v>3573</v>
      </c>
    </row>
    <row r="397" spans="1:9" s="1295" customFormat="1" ht="14.65" thickBot="1" x14ac:dyDescent="0.5">
      <c r="B397" s="1294"/>
      <c r="C397" s="1294"/>
      <c r="D397" s="1294"/>
      <c r="E397" s="2114"/>
      <c r="F397" s="153"/>
      <c r="G397" s="1294"/>
      <c r="H397" s="2150"/>
      <c r="I397" s="1294"/>
    </row>
    <row r="398" spans="1:9" customFormat="1" ht="18" customHeight="1" thickBot="1" x14ac:dyDescent="0.5">
      <c r="A398" s="1295"/>
      <c r="B398" s="124"/>
      <c r="C398" s="1793" t="s">
        <v>5027</v>
      </c>
      <c r="D398" s="14" t="s">
        <v>301</v>
      </c>
      <c r="E398" s="2115"/>
      <c r="F398" s="114"/>
      <c r="G398" s="114"/>
      <c r="H398" s="124"/>
      <c r="I398" s="124"/>
    </row>
    <row r="399" spans="1:9" customFormat="1" ht="18" customHeight="1" thickBot="1" x14ac:dyDescent="0.5">
      <c r="A399" s="1295"/>
      <c r="B399" s="831" t="s">
        <v>0</v>
      </c>
      <c r="C399" s="2178" t="s">
        <v>1</v>
      </c>
      <c r="D399" s="2178" t="s">
        <v>5</v>
      </c>
      <c r="E399" s="2178" t="s">
        <v>152</v>
      </c>
      <c r="F399" s="2178" t="s">
        <v>2</v>
      </c>
      <c r="G399" s="2178" t="s">
        <v>300</v>
      </c>
      <c r="H399" s="2178" t="s">
        <v>116</v>
      </c>
      <c r="I399" s="2179" t="s">
        <v>117</v>
      </c>
    </row>
    <row r="400" spans="1:9" customFormat="1" ht="15.75" outlineLevel="1" x14ac:dyDescent="0.45">
      <c r="A400" s="1295"/>
      <c r="B400" s="1848" t="s">
        <v>5028</v>
      </c>
      <c r="C400" s="1849" t="s">
        <v>5029</v>
      </c>
      <c r="D400" s="1600" t="s">
        <v>5103</v>
      </c>
      <c r="E400" s="1850">
        <f>(-1)*(2/(K_CO2_AOB_AS*L_ograngeCO2_AOB_AS))*LN((1/19)*(1+(1/2)*(K_CO2_AOB_AS*L_ograngeCO2_AOB_AS/K_CO2_AOB_AS)))</f>
        <v>0.1876076498838746</v>
      </c>
      <c r="F400" s="1824" t="s">
        <v>5030</v>
      </c>
      <c r="G400" s="1849">
        <v>1</v>
      </c>
      <c r="H400" s="749" t="s">
        <v>5084</v>
      </c>
      <c r="I400" s="1825" t="s">
        <v>5092</v>
      </c>
    </row>
    <row r="401" spans="1:9" customFormat="1" ht="15.75" outlineLevel="1" x14ac:dyDescent="0.55000000000000004">
      <c r="A401" s="1295"/>
      <c r="B401" s="1851" t="s">
        <v>5028</v>
      </c>
      <c r="C401" s="1849" t="s">
        <v>5031</v>
      </c>
      <c r="D401" s="1600" t="s">
        <v>5104</v>
      </c>
      <c r="E401" s="1850">
        <f>(-1)*(2/(K_CO2_AOB_sidestream*L_ograngeCO2_AOB_sidestream))*LN((1/19)*(1+(1/2)*(K_CO2_AOB_sidestream*L_ograngeCO2_AOB_sidestream/K_CO2_AOB_sidestream)))</f>
        <v>0.10579057796076149</v>
      </c>
      <c r="F401" s="1824" t="s">
        <v>5030</v>
      </c>
      <c r="G401" s="1849">
        <v>1</v>
      </c>
      <c r="H401" s="749" t="s">
        <v>3501</v>
      </c>
      <c r="I401" s="1825" t="s">
        <v>5092</v>
      </c>
    </row>
    <row r="402" spans="1:9" customFormat="1" ht="16.5" outlineLevel="1" x14ac:dyDescent="0.45">
      <c r="A402" s="1295"/>
      <c r="B402" s="1848" t="s">
        <v>5032</v>
      </c>
      <c r="C402" s="1849" t="s">
        <v>5033</v>
      </c>
      <c r="D402" s="1600" t="s">
        <v>5105</v>
      </c>
      <c r="E402" s="1850">
        <f>((-1)*(2/((K_CO2_AOB_pH_AS)*(L_ograngeCO2_AOB_pH_AS)))*LN((1/19)*(1+(1/2)*((K_CO2_AOB_pH_AS)*(L_ograngeCO2_AOB_pH_AS)/(K_CO2_AOB_pH_AS)))))</f>
        <v>5077.947742116552</v>
      </c>
      <c r="F402" s="1824" t="s">
        <v>5034</v>
      </c>
      <c r="G402" s="1849">
        <v>1</v>
      </c>
      <c r="H402" s="749" t="s">
        <v>5085</v>
      </c>
      <c r="I402" s="1825" t="s">
        <v>5092</v>
      </c>
    </row>
    <row r="403" spans="1:9" customFormat="1" ht="16.5" outlineLevel="1" x14ac:dyDescent="0.55000000000000004">
      <c r="A403" s="1295"/>
      <c r="B403" s="1851" t="s">
        <v>5032</v>
      </c>
      <c r="C403" s="1849" t="s">
        <v>5035</v>
      </c>
      <c r="D403" s="1600" t="s">
        <v>5106</v>
      </c>
      <c r="E403" s="1850">
        <f>(-1)*(2/(K_CO2_AOB_pH_sidestream*L_ograngeCO2_AOB_pH_sidestream))*LN((1/19)*(1+(1/2)*(K_CO2_AOB_pH_sidestream*L_ograngeCO2_AOB_pH_sidestream/K_CO2_AOB_pH_sidestream)))</f>
        <v>4674.4617279854701</v>
      </c>
      <c r="F403" s="1824" t="s">
        <v>5034</v>
      </c>
      <c r="G403" s="1849">
        <v>1</v>
      </c>
      <c r="H403" s="749" t="s">
        <v>3502</v>
      </c>
      <c r="I403" s="1825" t="s">
        <v>5092</v>
      </c>
    </row>
    <row r="404" spans="1:9" s="1852" customFormat="1" ht="15.75" outlineLevel="1" x14ac:dyDescent="0.45">
      <c r="A404" s="1295"/>
      <c r="B404" s="2197" t="s">
        <v>5036</v>
      </c>
      <c r="C404" s="2198" t="s">
        <v>5037</v>
      </c>
      <c r="D404" s="2198" t="s">
        <v>5107</v>
      </c>
      <c r="E404" s="2199">
        <f>(-1)*(2/(K_CO2_NOB_AS*L_ograngeCO2_NOB_AS))*LN((1/19)*(1+(1/2)*(K_CO2_NOB_AS*L_ograngeCO2_NOB_AS/K_CO2_NOB_AS)))</f>
        <v>2.2512917986064953</v>
      </c>
      <c r="F404" s="2200" t="s">
        <v>5038</v>
      </c>
      <c r="G404" s="2201">
        <v>1</v>
      </c>
      <c r="H404" s="2198" t="s">
        <v>1153</v>
      </c>
      <c r="I404" s="2202" t="s">
        <v>5092</v>
      </c>
    </row>
    <row r="405" spans="1:9" s="1852" customFormat="1" ht="15.75" outlineLevel="1" x14ac:dyDescent="0.45">
      <c r="A405" s="1295"/>
      <c r="B405" s="2197" t="s">
        <v>5039</v>
      </c>
      <c r="C405" s="2198" t="s">
        <v>5040</v>
      </c>
      <c r="D405" s="2198" t="s">
        <v>5108</v>
      </c>
      <c r="E405" s="2199">
        <f>((-1)*(2/((K_CO2_NOB_pH_AS)*(L_ograngeCO2_NOB_pH_AS)))*LN((1/19)*(1+(1/2)*((K_CO2_NOB_pH_AS)*(L_ograngeCO2_NOB_pH_AS)/(K_CO2_NOB_pH_AS)))))</f>
        <v>22512917986.064953</v>
      </c>
      <c r="F405" s="2200" t="s">
        <v>5034</v>
      </c>
      <c r="G405" s="2201">
        <v>1</v>
      </c>
      <c r="H405" s="2198" t="s">
        <v>11</v>
      </c>
      <c r="I405" s="2202" t="s">
        <v>5092</v>
      </c>
    </row>
    <row r="406" spans="1:9" s="1852" customFormat="1" ht="16.5" outlineLevel="1" x14ac:dyDescent="0.45">
      <c r="A406" s="1295"/>
      <c r="B406" s="1836" t="s">
        <v>5041</v>
      </c>
      <c r="C406" s="798" t="s">
        <v>5042</v>
      </c>
      <c r="D406" s="802" t="s">
        <v>5102</v>
      </c>
      <c r="E406" s="1839">
        <f>(-1)*(2/(K_CO2_AMX_AS*L_ograngeCO2_AMX_AS))*LN((1/19)*(1+(1/2)*(K_CO2_AMX_AS*L_ograngeCO2_AMX_AS/K_CO2_AMX_AS)))</f>
        <v>0.22512917986064954</v>
      </c>
      <c r="F406" s="1853" t="s">
        <v>5038</v>
      </c>
      <c r="G406" s="798">
        <v>1</v>
      </c>
      <c r="H406" s="799" t="s">
        <v>1153</v>
      </c>
      <c r="I406" s="2203" t="s">
        <v>5092</v>
      </c>
    </row>
    <row r="407" spans="1:9" s="1852" customFormat="1" ht="16.5" outlineLevel="1" x14ac:dyDescent="0.45">
      <c r="A407" s="1295"/>
      <c r="B407" s="1836" t="s">
        <v>5043</v>
      </c>
      <c r="C407" s="798" t="s">
        <v>5044</v>
      </c>
      <c r="D407" s="802" t="s">
        <v>5101</v>
      </c>
      <c r="E407" s="1839">
        <f>((-1)*(2/((K_CO2_AMX_pH_AS)*(L_ograngeCO2_AMX_pH_AS)))*LN((1/19)*(1+(1/2)*((K_CO2_AMX_pH_AS)*(L_ograngeCO2_AMX_pH_AS)/(K_CO2_AMX_pH_AS)))))</f>
        <v>22512.917986064953</v>
      </c>
      <c r="F407" s="1853" t="s">
        <v>5034</v>
      </c>
      <c r="G407" s="798">
        <v>1</v>
      </c>
      <c r="H407" s="799" t="s">
        <v>11</v>
      </c>
      <c r="I407" s="2203" t="s">
        <v>5092</v>
      </c>
    </row>
    <row r="408" spans="1:9" customFormat="1" ht="15.75" outlineLevel="1" x14ac:dyDescent="0.45">
      <c r="A408" s="1295"/>
      <c r="B408" s="1854" t="s">
        <v>5045</v>
      </c>
      <c r="C408" s="1855" t="s">
        <v>5046</v>
      </c>
      <c r="D408" s="1855" t="s">
        <v>5100</v>
      </c>
      <c r="E408" s="1856">
        <f>((-1)*(2/((K_VFA_FERM)*(L_ograngeVFA_FERM_AS)))*LN((1/19)*(1+(1/2)*((K_VFA_FERM)*(L_ograngeVFA_FERM_AS)/(K_VFA_FERM)))))</f>
        <v>9.7948563582963093</v>
      </c>
      <c r="F408" s="1803" t="s">
        <v>5047</v>
      </c>
      <c r="G408" s="1857">
        <v>1</v>
      </c>
      <c r="H408" s="1858" t="s">
        <v>1251</v>
      </c>
      <c r="I408" s="1804" t="s">
        <v>5092</v>
      </c>
    </row>
    <row r="409" spans="1:9" customFormat="1" ht="15.75" outlineLevel="1" x14ac:dyDescent="0.45">
      <c r="A409" s="1295"/>
      <c r="B409" s="1854" t="s">
        <v>5045</v>
      </c>
      <c r="C409" s="1855" t="s">
        <v>5048</v>
      </c>
      <c r="D409" s="1855" t="s">
        <v>5091</v>
      </c>
      <c r="E409" s="1856" t="e">
        <f ca="1">(-1)*(2/(_xlfn.SINGLE(K_VFA_FERM)*L_ograngeVFA_FERM_AS))*LN((1/19)*(1+(1/2)*(_xlfn.SINGLE(K_VFA_FERM)*L_ograngeVFA_FERM_AS/_xlfn.SINGLE(K_VFA_FERM)))) / f_KS</f>
        <v>#NAME?</v>
      </c>
      <c r="F409" s="1803" t="s">
        <v>5047</v>
      </c>
      <c r="G409" s="1857">
        <v>1</v>
      </c>
      <c r="H409" s="1858" t="s">
        <v>1177</v>
      </c>
      <c r="I409" s="2204" t="s">
        <v>3573</v>
      </c>
    </row>
    <row r="410" spans="1:9" customFormat="1" ht="15.75" outlineLevel="1" x14ac:dyDescent="0.45">
      <c r="A410" s="1295"/>
      <c r="B410" s="1859" t="s">
        <v>5049</v>
      </c>
      <c r="C410" s="1806" t="s">
        <v>5050</v>
      </c>
      <c r="D410" s="1806" t="s">
        <v>5099</v>
      </c>
      <c r="E410" s="1860">
        <f>((-1)*(2/((K_PO4_PAO)*(L_ograngePO4_PAO_AS_sat)))*LN((1/19)*(1+(1/2)*((K_PO4_PAO)*(L_ograngePO4_PAO_AS_sat)/(K_PO4_PAO)))))</f>
        <v>21.733056187876901</v>
      </c>
      <c r="F410" s="1808" t="s">
        <v>5051</v>
      </c>
      <c r="G410" s="1806">
        <v>1</v>
      </c>
      <c r="H410" s="1806" t="s">
        <v>1251</v>
      </c>
      <c r="I410" s="1810" t="s">
        <v>5092</v>
      </c>
    </row>
    <row r="411" spans="1:9" customFormat="1" ht="15.75" outlineLevel="1" x14ac:dyDescent="0.45">
      <c r="A411" s="1295"/>
      <c r="B411" s="1859" t="s">
        <v>5049</v>
      </c>
      <c r="C411" s="1806" t="s">
        <v>5052</v>
      </c>
      <c r="D411" s="1806" t="s">
        <v>5090</v>
      </c>
      <c r="E411" s="1860" t="e">
        <f ca="1">(-1)*(2/(_xlfn.SINGLE(K_PO4_PAO)*L_ograngePO4_PAO_AS_sat))*LN((1/19)*(1+(1/2)*(_xlfn.SINGLE(K_PO4_PAO)*L_ograngePO4_PAO_AS_sat/_xlfn.SINGLE(K_PO4_PAO)))) / f_KS</f>
        <v>#NAME?</v>
      </c>
      <c r="F411" s="1808" t="s">
        <v>5051</v>
      </c>
      <c r="G411" s="1806">
        <v>1</v>
      </c>
      <c r="H411" s="1806" t="s">
        <v>1177</v>
      </c>
      <c r="I411" s="1810" t="s">
        <v>3573</v>
      </c>
    </row>
    <row r="412" spans="1:9" customFormat="1" ht="15.75" outlineLevel="1" x14ac:dyDescent="0.45">
      <c r="A412" s="1295"/>
      <c r="B412" s="1859" t="s">
        <v>5053</v>
      </c>
      <c r="C412" s="1806" t="s">
        <v>5054</v>
      </c>
      <c r="D412" s="1806" t="s">
        <v>5098</v>
      </c>
      <c r="E412" s="1860">
        <f>((-1)*(2/((K_PO4_PAO)*(L_ograngePP_PAO_AS_sat)))*LN((1/19)*(1+(1/2)*((K_PO4_PAO)*(L_ograngePP_PAO_AS_sat)/(K_PO4_PAO)))))</f>
        <v>46.035290372874769</v>
      </c>
      <c r="F412" s="1808" t="s">
        <v>5051</v>
      </c>
      <c r="G412" s="1806">
        <v>1</v>
      </c>
      <c r="H412" s="1806" t="s">
        <v>1251</v>
      </c>
      <c r="I412" s="1810" t="s">
        <v>5092</v>
      </c>
    </row>
    <row r="413" spans="1:9" customFormat="1" ht="15.75" outlineLevel="1" x14ac:dyDescent="0.45">
      <c r="A413" s="1295"/>
      <c r="B413" s="1859" t="s">
        <v>5053</v>
      </c>
      <c r="C413" s="1806" t="s">
        <v>5055</v>
      </c>
      <c r="D413" s="1806" t="s">
        <v>5089</v>
      </c>
      <c r="E413" s="1860" t="e">
        <f ca="1">(-1)*(2/(_xlfn.SINGLE(K_PO4_PAO)*L_ograngePP_PAO_AS_sat))*LN((1/19)*(1+(1/2)*(_xlfn.SINGLE(K_PO4_PAO)*L_ograngePP_PAO_AS_sat/_xlfn.SINGLE(K_PO4_PAO)))) / f_KS</f>
        <v>#NAME?</v>
      </c>
      <c r="F413" s="1808" t="s">
        <v>5051</v>
      </c>
      <c r="G413" s="1806">
        <v>1</v>
      </c>
      <c r="H413" s="1806" t="s">
        <v>1177</v>
      </c>
      <c r="I413" s="1810" t="s">
        <v>3573</v>
      </c>
    </row>
    <row r="414" spans="1:9" customFormat="1" ht="15.75" outlineLevel="1" x14ac:dyDescent="0.45">
      <c r="A414" s="1295"/>
      <c r="B414" s="1859" t="s">
        <v>5056</v>
      </c>
      <c r="C414" s="1806" t="s">
        <v>5057</v>
      </c>
      <c r="D414" s="1806" t="s">
        <v>5097</v>
      </c>
      <c r="E414" s="1860">
        <f>((-1)*(2/((K_iPHA_PAO_max)*(L_ograngePHA_PAO_inh)))*LN((1/19)*(1+(1/2)*((K_iPHA_PAO_max)*(L_ograngePHA_PAO_inh)/(K_iPHA_PAO_max)))))</f>
        <v>96.521627166566958</v>
      </c>
      <c r="F414" s="1809" t="s">
        <v>2176</v>
      </c>
      <c r="G414" s="1806">
        <v>1</v>
      </c>
      <c r="H414" s="1806"/>
      <c r="I414" s="1810" t="s">
        <v>5092</v>
      </c>
    </row>
    <row r="415" spans="1:9" customFormat="1" ht="15.75" outlineLevel="1" x14ac:dyDescent="0.45">
      <c r="A415" s="1295"/>
      <c r="B415" s="1859" t="s">
        <v>5058</v>
      </c>
      <c r="C415" s="1806" t="s">
        <v>5059</v>
      </c>
      <c r="D415" s="1806" t="s">
        <v>5096</v>
      </c>
      <c r="E415" s="1860">
        <f>((-1)*(2/((K_iPP_PAO_max)*(L_ograngePP_PAO_inh)))*LN((1/19)*(1+(1/2)*((K_iPP_PAO_max)*(L_ograngePP_PAO_inh)/(K_iPP_PAO_max)))))</f>
        <v>96.230554358790513</v>
      </c>
      <c r="F415" s="1809" t="s">
        <v>4206</v>
      </c>
      <c r="G415" s="1806">
        <v>1</v>
      </c>
      <c r="H415" s="1806"/>
      <c r="I415" s="1810" t="s">
        <v>5092</v>
      </c>
    </row>
    <row r="416" spans="1:9" customFormat="1" ht="15.75" outlineLevel="1" x14ac:dyDescent="0.45">
      <c r="A416" s="1295"/>
      <c r="B416" s="1814" t="s">
        <v>5060</v>
      </c>
      <c r="C416" s="1861" t="s">
        <v>5061</v>
      </c>
      <c r="D416" s="1862" t="s">
        <v>5095</v>
      </c>
      <c r="E416" s="1863">
        <f>((-1)*(2/((K_iGLY_GAO_max)*(L_ograngeGLY_GAO_inh)))*LN((1/19)*(1+(1/2)*((K_iGLY_GAO_max)*(L_ograngeGLY_GAO_inh)/(K_iGLY_GAO_max)))))</f>
        <v>96.205669034748837</v>
      </c>
      <c r="F416" s="1864" t="s">
        <v>2176</v>
      </c>
      <c r="G416" s="1861">
        <v>1</v>
      </c>
      <c r="H416" s="1865"/>
      <c r="I416" s="1866" t="s">
        <v>5092</v>
      </c>
    </row>
    <row r="417" spans="1:9" s="2241" customFormat="1" ht="15.75" outlineLevel="1" x14ac:dyDescent="0.45">
      <c r="A417" s="2237"/>
      <c r="B417" s="2238" t="s">
        <v>5162</v>
      </c>
      <c r="C417" s="2235" t="s">
        <v>5163</v>
      </c>
      <c r="D417" s="2235" t="s">
        <v>5164</v>
      </c>
      <c r="E417" s="2286" t="e">
        <f ca="1">((-1)*(2/((_xlfn.SINGLE(K_iNHx_AMETO))*(L_ograngeNH3_AMETO)))*LN((1/19)*(1+(1/2)*((_xlfn.SINGLE(K_iNHx_AMETO))*(L_ograngeNH3_AMETO)/(_xlfn.SINGLE(K_iNHx_AMETO))))))</f>
        <v>#NAME?</v>
      </c>
      <c r="F417" s="2236" t="s">
        <v>5165</v>
      </c>
      <c r="G417" s="2240">
        <v>1</v>
      </c>
      <c r="H417" s="2233" t="s">
        <v>1153</v>
      </c>
      <c r="I417" s="2234" t="s">
        <v>5092</v>
      </c>
    </row>
    <row r="418" spans="1:9" s="2241" customFormat="1" ht="16.5" outlineLevel="1" x14ac:dyDescent="0.45">
      <c r="A418" s="2237"/>
      <c r="B418" s="2238" t="s">
        <v>5166</v>
      </c>
      <c r="C418" s="2235" t="s">
        <v>5167</v>
      </c>
      <c r="D418" s="2235" t="s">
        <v>5168</v>
      </c>
      <c r="E418" s="2286">
        <f>((-1)*(2/((K_iNH3_AMETO_pH)*(L_ograngeNH3_AMETO)))*LN((1/19)*(1+(1/2)*((K_iNH3_AMETO_pH)*(L_ograngeNH3_AMETO)/(K_iNH3_AMETO_pH)))))</f>
        <v>57.970947247187361</v>
      </c>
      <c r="F418" s="2236" t="s">
        <v>5169</v>
      </c>
      <c r="G418" s="2240">
        <v>1</v>
      </c>
      <c r="H418" s="2233" t="s">
        <v>11</v>
      </c>
      <c r="I418" s="2234" t="s">
        <v>5092</v>
      </c>
    </row>
    <row r="419" spans="1:9" customFormat="1" ht="15.75" outlineLevel="1" x14ac:dyDescent="0.45">
      <c r="A419" s="1295"/>
      <c r="B419" s="1867" t="s">
        <v>5062</v>
      </c>
      <c r="C419" s="1868" t="s">
        <v>5063</v>
      </c>
      <c r="D419" s="1868" t="s">
        <v>5094</v>
      </c>
      <c r="E419" s="1869">
        <f>((-1)*(2/((K_iP_HFO_DISS)*(L_ograngeP_HFO_DISS)))*LN((1/19)*(1+(1/2)*((K_iP_HFO_DISS)*(L_ograngeP_HFO_DISS)/(K_iP_HFO_DISS)))))</f>
        <v>507.79477421165524</v>
      </c>
      <c r="F419" s="1795" t="s">
        <v>5051</v>
      </c>
      <c r="G419" s="1870">
        <v>1</v>
      </c>
      <c r="H419" s="1868"/>
      <c r="I419" s="1871" t="s">
        <v>5092</v>
      </c>
    </row>
    <row r="420" spans="1:9" customFormat="1" ht="16.149999999999999" outlineLevel="1" thickBot="1" x14ac:dyDescent="0.5">
      <c r="A420" s="1295"/>
      <c r="B420" s="1872" t="s">
        <v>5064</v>
      </c>
      <c r="C420" s="1873" t="s">
        <v>5065</v>
      </c>
      <c r="D420" s="1873" t="s">
        <v>5093</v>
      </c>
      <c r="E420" s="1874">
        <f>((-1)*(2/((K_iP_HAO_DISS)*(L_ograngeP_HAO_DISS)))*LN((1/19)*(1+(1/2)*((K_iP_HAO_DISS)*(L_ograngeP_HAO_DISS)/(K_iP_HAO_DISS)))))</f>
        <v>2251.2917986064954</v>
      </c>
      <c r="F420" s="1875" t="s">
        <v>5051</v>
      </c>
      <c r="G420" s="1876">
        <v>1</v>
      </c>
      <c r="H420" s="1873"/>
      <c r="I420" s="1877" t="s">
        <v>5092</v>
      </c>
    </row>
    <row r="421" spans="1:9" customFormat="1" ht="18" customHeight="1" thickBot="1" x14ac:dyDescent="0.5">
      <c r="B421" s="4"/>
      <c r="C421" s="4"/>
      <c r="D421" s="4"/>
      <c r="E421" s="2116"/>
      <c r="F421" s="3"/>
      <c r="G421" s="3"/>
      <c r="H421" s="3"/>
    </row>
    <row r="422" spans="1:9" ht="14.65" thickBot="1" x14ac:dyDescent="0.5">
      <c r="C422" s="276" t="s">
        <v>1967</v>
      </c>
      <c r="D422" s="2087" t="s">
        <v>301</v>
      </c>
      <c r="E422" s="2087"/>
    </row>
    <row r="423" spans="1:9" ht="14.65" thickBot="1" x14ac:dyDescent="0.5">
      <c r="B423" s="1398" t="s">
        <v>0</v>
      </c>
      <c r="C423" s="1298" t="s">
        <v>1</v>
      </c>
      <c r="D423" s="1298" t="s">
        <v>5</v>
      </c>
      <c r="E423" s="1298" t="s">
        <v>152</v>
      </c>
      <c r="F423" s="1298" t="s">
        <v>2</v>
      </c>
      <c r="G423" s="1298" t="s">
        <v>300</v>
      </c>
      <c r="H423" s="1628" t="s">
        <v>116</v>
      </c>
      <c r="I423" s="1399" t="s">
        <v>117</v>
      </c>
    </row>
    <row r="424" spans="1:9" ht="15.75" outlineLevel="1" x14ac:dyDescent="0.45">
      <c r="B424" s="2044" t="s">
        <v>1835</v>
      </c>
      <c r="C424" s="2071" t="s">
        <v>2781</v>
      </c>
      <c r="D424" s="2084" t="s">
        <v>1836</v>
      </c>
      <c r="E424" s="2117">
        <f>((1+2*10^(0.5*((p_Hlow)-(p_Hhigh))))/(1+10^((p_H)-(p_Hhigh))+10^((p_Hlow)-(p_H))))</f>
        <v>0.99997841972817147</v>
      </c>
      <c r="F424" s="2084" t="s">
        <v>283</v>
      </c>
      <c r="G424" s="2084">
        <v>2</v>
      </c>
      <c r="H424" s="2151" t="s">
        <v>11</v>
      </c>
      <c r="I424" s="2174"/>
    </row>
    <row r="425" spans="1:9" ht="15.75" outlineLevel="1" x14ac:dyDescent="0.45">
      <c r="B425" s="2045" t="s">
        <v>1835</v>
      </c>
      <c r="C425" s="2072" t="s">
        <v>2781</v>
      </c>
      <c r="D425" s="2085">
        <v>1</v>
      </c>
      <c r="E425" s="2118">
        <f>1</f>
        <v>1</v>
      </c>
      <c r="F425" s="2085" t="s">
        <v>283</v>
      </c>
      <c r="G425" s="2085">
        <v>0</v>
      </c>
      <c r="H425" s="2144" t="s">
        <v>1153</v>
      </c>
      <c r="I425" s="2175"/>
    </row>
    <row r="426" spans="1:9" ht="15.75" outlineLevel="1" x14ac:dyDescent="0.45">
      <c r="B426" s="2045" t="s">
        <v>2002</v>
      </c>
      <c r="C426" s="2072" t="s">
        <v>2782</v>
      </c>
      <c r="D426" s="2085" t="s">
        <v>2004</v>
      </c>
      <c r="E426" s="2118">
        <f>((1+2*10^(0.5*((p_Hlow_AMETO)-(p_Hhigh_AMETO))))/(1+10^((p_H)-(p_Hhigh_AMETO))+10^((p_Hlow_AMETO)-(p_H))))</f>
        <v>0.99932217031298287</v>
      </c>
      <c r="F426" s="2085" t="s">
        <v>283</v>
      </c>
      <c r="G426" s="2085">
        <v>2</v>
      </c>
      <c r="H426" s="2144" t="s">
        <v>11</v>
      </c>
      <c r="I426" s="2175"/>
    </row>
    <row r="427" spans="1:9" ht="15.75" outlineLevel="1" x14ac:dyDescent="0.45">
      <c r="B427" s="2045" t="s">
        <v>2002</v>
      </c>
      <c r="C427" s="2072" t="s">
        <v>2782</v>
      </c>
      <c r="D427" s="2085">
        <v>1</v>
      </c>
      <c r="E427" s="2118">
        <f>1</f>
        <v>1</v>
      </c>
      <c r="F427" s="2085" t="s">
        <v>283</v>
      </c>
      <c r="G427" s="2085">
        <v>0</v>
      </c>
      <c r="H427" s="2144" t="s">
        <v>1153</v>
      </c>
      <c r="I427" s="2175"/>
    </row>
    <row r="428" spans="1:9" ht="15.75" outlineLevel="1" x14ac:dyDescent="0.45">
      <c r="B428" s="2045" t="s">
        <v>2003</v>
      </c>
      <c r="C428" s="2072" t="s">
        <v>2783</v>
      </c>
      <c r="D428" s="2085" t="s">
        <v>2005</v>
      </c>
      <c r="E428" s="2118">
        <f>((1+2*10^(0.5*((p_Hlow_HMETO)-(p_Hhigh_HMETO))))/(1+10^((p_H)-(p_Hhigh_HMETO))+10^((p_Hlow_HMETO)-(p_H))))</f>
        <v>0.99932217031298287</v>
      </c>
      <c r="F428" s="2085" t="s">
        <v>283</v>
      </c>
      <c r="G428" s="2085">
        <v>2</v>
      </c>
      <c r="H428" s="2144" t="s">
        <v>11</v>
      </c>
      <c r="I428" s="2175"/>
    </row>
    <row r="429" spans="1:9" ht="15.75" outlineLevel="1" x14ac:dyDescent="0.45">
      <c r="B429" s="2045" t="s">
        <v>2003</v>
      </c>
      <c r="C429" s="2072" t="s">
        <v>2783</v>
      </c>
      <c r="D429" s="2085">
        <v>1</v>
      </c>
      <c r="E429" s="2118">
        <f>1</f>
        <v>1</v>
      </c>
      <c r="F429" s="2085" t="s">
        <v>283</v>
      </c>
      <c r="G429" s="2085">
        <v>0</v>
      </c>
      <c r="H429" s="2144" t="s">
        <v>1153</v>
      </c>
      <c r="I429" s="2175"/>
    </row>
    <row r="430" spans="1:9" s="124" customFormat="1" ht="15.75" outlineLevel="1" x14ac:dyDescent="0.45">
      <c r="B430" s="2703" t="s">
        <v>5604</v>
      </c>
      <c r="C430" s="2704" t="s">
        <v>5605</v>
      </c>
      <c r="D430" s="2704" t="s">
        <v>5606</v>
      </c>
      <c r="E430" s="2705">
        <f>((K_iHNO2_AOB_pH)/((K_iHNO2_AOB_pH)+(conc_HNO2_I)))</f>
        <v>0.99999999999991396</v>
      </c>
      <c r="F430" s="2705" t="s">
        <v>283</v>
      </c>
      <c r="G430" s="2705">
        <v>2</v>
      </c>
      <c r="H430" s="2705" t="s">
        <v>11</v>
      </c>
      <c r="I430" s="2706"/>
    </row>
    <row r="431" spans="1:9" s="124" customFormat="1" ht="15.75" outlineLevel="1" x14ac:dyDescent="0.45">
      <c r="B431" s="2703" t="s">
        <v>5604</v>
      </c>
      <c r="C431" s="2704" t="s">
        <v>5605</v>
      </c>
      <c r="D431" s="2704">
        <v>1</v>
      </c>
      <c r="E431" s="2705">
        <f>1</f>
        <v>1</v>
      </c>
      <c r="F431" s="2705" t="s">
        <v>283</v>
      </c>
      <c r="G431" s="2705">
        <v>2</v>
      </c>
      <c r="H431" s="2705" t="s">
        <v>1153</v>
      </c>
      <c r="I431" s="2706"/>
    </row>
    <row r="432" spans="1:9" s="116" customFormat="1" ht="15.75" outlineLevel="1" x14ac:dyDescent="0.45">
      <c r="A432" s="115"/>
      <c r="B432" s="1598" t="s">
        <v>2377</v>
      </c>
      <c r="C432" s="1599" t="s">
        <v>2784</v>
      </c>
      <c r="D432" s="1849" t="s">
        <v>5066</v>
      </c>
      <c r="E432" s="1878">
        <f>((conc_HCO3m_I)/((conc_HCO3m_I)+(K_CO2_AOB_pH)*EXP(((K_CO2_AOB_pH)-(conc_HCO3m_I))*(L_ogslopeCO2_AOB_pH))))</f>
        <v>0.99999999997903732</v>
      </c>
      <c r="F432" s="1600" t="s">
        <v>283</v>
      </c>
      <c r="G432" s="1600">
        <v>2</v>
      </c>
      <c r="H432" s="1599" t="s">
        <v>11</v>
      </c>
      <c r="I432" s="1708"/>
    </row>
    <row r="433" spans="1:9" s="1294" customFormat="1" ht="15.75" outlineLevel="1" x14ac:dyDescent="0.45">
      <c r="A433" s="115"/>
      <c r="B433" s="1598" t="s">
        <v>2377</v>
      </c>
      <c r="C433" s="1599" t="s">
        <v>2785</v>
      </c>
      <c r="D433" s="1849" t="s">
        <v>5067</v>
      </c>
      <c r="E433" s="1878" t="e" cm="1">
        <f t="array" ref="E433">((S_CO2)/((S_CO2)+(K_CO2_AOB)*EXP(((K_CO2_AOB)-(S_CO2))*(L_ogslopeCO2_AOB))))</f>
        <v>#NAME?</v>
      </c>
      <c r="F433" s="1600" t="s">
        <v>283</v>
      </c>
      <c r="G433" s="1600">
        <v>2</v>
      </c>
      <c r="H433" s="1599" t="s">
        <v>1153</v>
      </c>
      <c r="I433" s="1708"/>
    </row>
    <row r="434" spans="1:9" s="116" customFormat="1" ht="15.75" outlineLevel="1" x14ac:dyDescent="0.45">
      <c r="A434" s="115"/>
      <c r="B434" s="1601" t="s">
        <v>2378</v>
      </c>
      <c r="C434" s="1602" t="s">
        <v>2786</v>
      </c>
      <c r="D434" s="1603" t="s">
        <v>2793</v>
      </c>
      <c r="E434" s="1604">
        <f>((K_iNH3_NOB_pH)/((K_iNH3_NOB_pH)+(conc_NH3_I)))</f>
        <v>0.99999999995542743</v>
      </c>
      <c r="F434" s="1603" t="s">
        <v>283</v>
      </c>
      <c r="G434" s="1603">
        <v>2</v>
      </c>
      <c r="H434" s="1602" t="s">
        <v>11</v>
      </c>
      <c r="I434" s="1605"/>
    </row>
    <row r="435" spans="1:9" s="116" customFormat="1" ht="15.75" outlineLevel="1" x14ac:dyDescent="0.45">
      <c r="A435" s="115"/>
      <c r="B435" s="1601" t="s">
        <v>2378</v>
      </c>
      <c r="C435" s="1602" t="s">
        <v>2786</v>
      </c>
      <c r="D435" s="1606">
        <v>1</v>
      </c>
      <c r="E435" s="1604">
        <f>1</f>
        <v>1</v>
      </c>
      <c r="F435" s="1603" t="s">
        <v>283</v>
      </c>
      <c r="G435" s="1603">
        <v>2</v>
      </c>
      <c r="H435" s="1602" t="s">
        <v>1153</v>
      </c>
      <c r="I435" s="1605"/>
    </row>
    <row r="436" spans="1:9" s="116" customFormat="1" ht="15.75" outlineLevel="1" x14ac:dyDescent="0.45">
      <c r="A436" s="115"/>
      <c r="B436" s="1601" t="s">
        <v>2379</v>
      </c>
      <c r="C436" s="1602" t="s">
        <v>2787</v>
      </c>
      <c r="D436" s="1879" t="s">
        <v>5068</v>
      </c>
      <c r="E436" s="1880">
        <f>((conc_HCO3m_I)/((conc_HCO3m_I)+(K_CO2_NOB_pH)*EXP(((K_CO2_NOB_pH)-(conc_HCO3m_I))*(L_ogslopeCO2_NOB_pH))))</f>
        <v>1</v>
      </c>
      <c r="F436" s="1603" t="s">
        <v>283</v>
      </c>
      <c r="G436" s="1603">
        <v>2</v>
      </c>
      <c r="H436" s="1602" t="s">
        <v>11</v>
      </c>
      <c r="I436" s="1709"/>
    </row>
    <row r="437" spans="1:9" s="1294" customFormat="1" ht="15.75" outlineLevel="1" x14ac:dyDescent="0.45">
      <c r="A437" s="115"/>
      <c r="B437" s="1601" t="s">
        <v>2379</v>
      </c>
      <c r="C437" s="1602" t="s">
        <v>2788</v>
      </c>
      <c r="D437" s="1879" t="s">
        <v>5069</v>
      </c>
      <c r="E437" s="1880" t="e">
        <f>((S_CO2)/((S_CO2)+(K_CO2_NOB)*EXP(((K_CO2_NOB)-(S_CO2))*(L_ogslopeCO2_NOB))))</f>
        <v>#NAME?</v>
      </c>
      <c r="F437" s="1603" t="s">
        <v>283</v>
      </c>
      <c r="G437" s="1603">
        <v>2</v>
      </c>
      <c r="H437" s="1602" t="s">
        <v>1153</v>
      </c>
      <c r="I437" s="1709"/>
    </row>
    <row r="438" spans="1:9" s="116" customFormat="1" ht="15.75" outlineLevel="1" x14ac:dyDescent="0.45">
      <c r="A438" s="115"/>
      <c r="B438" s="1607" t="s">
        <v>2380</v>
      </c>
      <c r="C438" s="1608" t="s">
        <v>2789</v>
      </c>
      <c r="D438" s="1769" t="s">
        <v>5070</v>
      </c>
      <c r="E438" s="1792">
        <f>((conc_HCO3m_I)/((conc_HCO3m_I)+(K_CO2_AMX_pH)*EXP(((K_CO2_AMX_pH)-(conc_HCO3m_I))*(L_ogslopeCO2_AMX_pH))))</f>
        <v>1</v>
      </c>
      <c r="F438" s="1609" t="s">
        <v>283</v>
      </c>
      <c r="G438" s="1609">
        <v>2</v>
      </c>
      <c r="H438" s="1608" t="s">
        <v>11</v>
      </c>
      <c r="I438" s="1710"/>
    </row>
    <row r="439" spans="1:9" s="1294" customFormat="1" ht="15.75" outlineLevel="1" x14ac:dyDescent="0.45">
      <c r="A439" s="115"/>
      <c r="B439" s="1607" t="s">
        <v>2380</v>
      </c>
      <c r="C439" s="1608" t="s">
        <v>2790</v>
      </c>
      <c r="D439" s="1769" t="s">
        <v>5071</v>
      </c>
      <c r="E439" s="1792" t="e" cm="1">
        <f t="array" ref="E439">((S_CO2)/((S_CO2)+(K_CO2_AMX)*EXP(((K_CO2_AMX)-(S_CO2))*(L_ogslopeCO2_AMX))))</f>
        <v>#NAME?</v>
      </c>
      <c r="F439" s="1609" t="s">
        <v>283</v>
      </c>
      <c r="G439" s="1609">
        <v>2</v>
      </c>
      <c r="H439" s="1608" t="s">
        <v>1153</v>
      </c>
      <c r="I439" s="1710"/>
    </row>
    <row r="440" spans="1:9" ht="15.75" outlineLevel="1" x14ac:dyDescent="0.45">
      <c r="B440" s="1607" t="s">
        <v>2381</v>
      </c>
      <c r="C440" s="1608" t="s">
        <v>2791</v>
      </c>
      <c r="D440" s="1610" t="s">
        <v>2792</v>
      </c>
      <c r="E440" s="1611">
        <f>((K_iHNO2_AMX_pH)/((K_iHNO2_AMX_pH)+(conc_HNO2_I)))</f>
        <v>0.99999999913998838</v>
      </c>
      <c r="F440" s="1611" t="s">
        <v>283</v>
      </c>
      <c r="G440" s="1611">
        <v>2</v>
      </c>
      <c r="H440" s="1608" t="s">
        <v>11</v>
      </c>
      <c r="I440" s="1710"/>
    </row>
    <row r="441" spans="1:9" ht="15.75" outlineLevel="1" x14ac:dyDescent="0.45">
      <c r="B441" s="1607" t="s">
        <v>2381</v>
      </c>
      <c r="C441" s="1608" t="s">
        <v>2791</v>
      </c>
      <c r="D441" s="1610">
        <v>1</v>
      </c>
      <c r="E441" s="1611">
        <f>1</f>
        <v>1</v>
      </c>
      <c r="F441" s="1611" t="s">
        <v>283</v>
      </c>
      <c r="G441" s="1611">
        <v>2</v>
      </c>
      <c r="H441" s="1608" t="s">
        <v>1153</v>
      </c>
      <c r="I441" s="1710"/>
    </row>
    <row r="442" spans="1:9" s="2241" customFormat="1" ht="15.75" outlineLevel="1" x14ac:dyDescent="0.45">
      <c r="A442" s="2237"/>
      <c r="B442" s="2238" t="s">
        <v>5170</v>
      </c>
      <c r="C442" s="2235" t="s">
        <v>5171</v>
      </c>
      <c r="D442" s="2235" t="s">
        <v>5172</v>
      </c>
      <c r="E442" s="2242">
        <f>(1-(conc_NH3_I)/((conc_NH3_I)+(K_iNH3_AMETO_pH)*EXP(((K_iNH3_AMETO_pH)-(conc_NH3_I))*(L_ogslopeNH3_AMETO_pH))))</f>
        <v>1</v>
      </c>
      <c r="F442" s="2236" t="s">
        <v>283</v>
      </c>
      <c r="G442" s="2240">
        <v>2</v>
      </c>
      <c r="H442" s="2233" t="s">
        <v>11</v>
      </c>
      <c r="I442" s="2234"/>
    </row>
    <row r="443" spans="1:9" s="2241" customFormat="1" ht="16.149999999999999" outlineLevel="1" thickBot="1" x14ac:dyDescent="0.5">
      <c r="A443" s="2237"/>
      <c r="B443" s="2243" t="s">
        <v>5170</v>
      </c>
      <c r="C443" s="2244" t="s">
        <v>5171</v>
      </c>
      <c r="D443" s="2244" t="s">
        <v>5173</v>
      </c>
      <c r="E443" s="2245" t="e" cm="1">
        <f t="array" ref="E443">(1-(S_NHx)/((S_NHx)+(K_iNHx_AMETO)*EXP(((K_iNHx_AMETO)-(S_NHx))*(L_ogslopeNHx_AMETO))))</f>
        <v>#NAME?</v>
      </c>
      <c r="F443" s="2246" t="s">
        <v>283</v>
      </c>
      <c r="G443" s="2247">
        <v>2</v>
      </c>
      <c r="H443" s="2248" t="s">
        <v>1153</v>
      </c>
      <c r="I443" s="2249"/>
    </row>
    <row r="444" spans="1:9" ht="14.65" thickBot="1" x14ac:dyDescent="0.5">
      <c r="B444" s="153"/>
      <c r="C444" s="153"/>
      <c r="D444" s="153"/>
      <c r="E444" s="153"/>
      <c r="F444" s="153"/>
      <c r="G444" s="153"/>
      <c r="H444" s="1044"/>
      <c r="I444" s="153"/>
    </row>
    <row r="445" spans="1:9" ht="14.65" thickBot="1" x14ac:dyDescent="0.5">
      <c r="C445" s="1501" t="s">
        <v>893</v>
      </c>
      <c r="D445" s="2076" t="s">
        <v>301</v>
      </c>
      <c r="E445" s="115"/>
    </row>
    <row r="446" spans="1:9" ht="14.65" thickBot="1" x14ac:dyDescent="0.5">
      <c r="B446" s="1502" t="s">
        <v>0</v>
      </c>
      <c r="C446" s="1314" t="s">
        <v>1</v>
      </c>
      <c r="D446" s="1314" t="s">
        <v>5</v>
      </c>
      <c r="E446" s="1314" t="s">
        <v>152</v>
      </c>
      <c r="F446" s="1314" t="s">
        <v>2</v>
      </c>
      <c r="G446" s="1314" t="s">
        <v>300</v>
      </c>
      <c r="H446" s="1644" t="s">
        <v>116</v>
      </c>
      <c r="I446" s="1503" t="s">
        <v>117</v>
      </c>
    </row>
    <row r="447" spans="1:9" ht="15.75" outlineLevel="1" x14ac:dyDescent="0.45">
      <c r="B447" s="1898" t="s">
        <v>1810</v>
      </c>
      <c r="C447" s="2073" t="s">
        <v>2797</v>
      </c>
      <c r="D447" s="2073" t="s">
        <v>1811</v>
      </c>
      <c r="E447" s="2073">
        <f>((S_AN)/((K_AN)+(S_AN)))</f>
        <v>0.99933377748167895</v>
      </c>
      <c r="F447" s="2073" t="s">
        <v>283</v>
      </c>
      <c r="G447" s="2073">
        <v>2</v>
      </c>
      <c r="H447" s="1917"/>
      <c r="I447" s="2176"/>
    </row>
    <row r="448" spans="1:9" ht="15.75" outlineLevel="1" x14ac:dyDescent="0.45">
      <c r="B448" s="2046" t="s">
        <v>1808</v>
      </c>
      <c r="C448" s="2074" t="s">
        <v>2798</v>
      </c>
      <c r="D448" s="2088" t="s">
        <v>1809</v>
      </c>
      <c r="E448" s="2088">
        <f>((S_CAT)/((K_CAT)+(S_CAT)))</f>
        <v>0.99715099715099709</v>
      </c>
      <c r="F448" s="2088" t="s">
        <v>283</v>
      </c>
      <c r="G448" s="2088">
        <v>2</v>
      </c>
      <c r="H448" s="2152"/>
      <c r="I448" s="1986"/>
    </row>
    <row r="449" spans="2:9" ht="15.75" outlineLevel="1" x14ac:dyDescent="0.45">
      <c r="B449" s="2024" t="s">
        <v>3703</v>
      </c>
      <c r="C449" s="2075" t="s">
        <v>3704</v>
      </c>
      <c r="D449" s="2075" t="s">
        <v>3705</v>
      </c>
      <c r="E449" s="2075">
        <f>((S_Ca)/((K_Ca_BIO)+(S_Ca)))</f>
        <v>0.99999933333377777</v>
      </c>
      <c r="F449" s="2075" t="s">
        <v>283</v>
      </c>
      <c r="G449" s="2075">
        <v>2</v>
      </c>
      <c r="H449" s="1926"/>
      <c r="I449" s="1997"/>
    </row>
    <row r="450" spans="2:9" ht="15.75" outlineLevel="1" x14ac:dyDescent="0.45">
      <c r="B450" s="2024" t="s">
        <v>3706</v>
      </c>
      <c r="C450" s="2075" t="s">
        <v>3707</v>
      </c>
      <c r="D450" s="2075" t="s">
        <v>3708</v>
      </c>
      <c r="E450" s="2075">
        <f>((S_Mg)/((K_Mg_BIO)+(S_Mg)))</f>
        <v>0.99999333337777752</v>
      </c>
      <c r="F450" s="2075" t="s">
        <v>283</v>
      </c>
      <c r="G450" s="2075">
        <v>2</v>
      </c>
      <c r="H450" s="1926"/>
      <c r="I450" s="1997"/>
    </row>
    <row r="451" spans="2:9" ht="15.75" outlineLevel="1" x14ac:dyDescent="0.45">
      <c r="B451" s="2046" t="s">
        <v>1824</v>
      </c>
      <c r="C451" s="2074" t="s">
        <v>2799</v>
      </c>
      <c r="D451" s="2088" t="s">
        <v>1825</v>
      </c>
      <c r="E451" s="2088">
        <f>((S_CO2)/((K_CO2_BIO)+(S_CO2)))</f>
        <v>0.98404255319148937</v>
      </c>
      <c r="F451" s="2088" t="s">
        <v>283</v>
      </c>
      <c r="G451" s="2088">
        <v>2</v>
      </c>
      <c r="H451" s="2152"/>
      <c r="I451" s="1986"/>
    </row>
    <row r="452" spans="2:9" ht="15.75" outlineLevel="1" x14ac:dyDescent="0.45">
      <c r="B452" s="2046" t="s">
        <v>1804</v>
      </c>
      <c r="C452" s="2074" t="s">
        <v>2800</v>
      </c>
      <c r="D452" s="2088" t="s">
        <v>1805</v>
      </c>
      <c r="E452" s="2088">
        <f>((S_NHx)/((K_NHx_BIO)+(S_NHx)))</f>
        <v>0.99502487562189068</v>
      </c>
      <c r="F452" s="2088" t="s">
        <v>283</v>
      </c>
      <c r="G452" s="2088">
        <v>2</v>
      </c>
      <c r="H452" s="2152"/>
      <c r="I452" s="1986"/>
    </row>
    <row r="453" spans="2:9" ht="15.75" outlineLevel="1" x14ac:dyDescent="0.45">
      <c r="B453" s="2046" t="s">
        <v>1806</v>
      </c>
      <c r="C453" s="2074" t="s">
        <v>2801</v>
      </c>
      <c r="D453" s="2088" t="s">
        <v>1807</v>
      </c>
      <c r="E453" s="2088">
        <f>((S_PO4)/((K_PO4_BIO)+(S_PO4)))</f>
        <v>0.99601593625498008</v>
      </c>
      <c r="F453" s="2088" t="s">
        <v>283</v>
      </c>
      <c r="G453" s="2088">
        <v>2</v>
      </c>
      <c r="H453" s="2152"/>
      <c r="I453" s="1986"/>
    </row>
    <row r="454" spans="2:9" s="124" customFormat="1" ht="15.75" outlineLevel="1" x14ac:dyDescent="0.45">
      <c r="B454" s="2410" t="s">
        <v>5607</v>
      </c>
      <c r="C454" s="2697" t="s">
        <v>5608</v>
      </c>
      <c r="D454" s="2697" t="s">
        <v>5609</v>
      </c>
      <c r="E454" s="2707">
        <f>((S_SO4)/((K_SO4_BIO)+(S_SO4)))</f>
        <v>0.9998823667803789</v>
      </c>
      <c r="F454" s="2700" t="s">
        <v>283</v>
      </c>
      <c r="G454" s="2700">
        <v>2</v>
      </c>
      <c r="H454" s="2699"/>
      <c r="I454" s="2515"/>
    </row>
    <row r="455" spans="2:9" ht="15.75" outlineLevel="1" x14ac:dyDescent="0.45">
      <c r="B455" s="1372" t="s">
        <v>2382</v>
      </c>
      <c r="C455" s="1362" t="s">
        <v>2947</v>
      </c>
      <c r="D455" s="1363" t="s">
        <v>2383</v>
      </c>
      <c r="E455" s="1365">
        <f>((K_NO2_OHO)/((K_NO2_OHO)+(S_NO2)))</f>
        <v>0.66666666666666663</v>
      </c>
      <c r="F455" s="1363" t="s">
        <v>283</v>
      </c>
      <c r="G455" s="1363">
        <v>2</v>
      </c>
      <c r="H455" s="1154"/>
      <c r="I455" s="1158"/>
    </row>
    <row r="456" spans="2:9" ht="15.75" outlineLevel="1" x14ac:dyDescent="0.45">
      <c r="B456" s="1372" t="s">
        <v>2384</v>
      </c>
      <c r="C456" s="1362" t="s">
        <v>2948</v>
      </c>
      <c r="D456" s="1363" t="s">
        <v>2385</v>
      </c>
      <c r="E456" s="1365">
        <f>((K_NO3_OHO)/((K_NO3_OHO)+(S_NO3)))</f>
        <v>3.8461538461538464E-2</v>
      </c>
      <c r="F456" s="1363" t="s">
        <v>283</v>
      </c>
      <c r="G456" s="1363">
        <v>2</v>
      </c>
      <c r="H456" s="1154"/>
      <c r="I456" s="1158"/>
    </row>
    <row r="457" spans="2:9" ht="15.75" outlineLevel="1" x14ac:dyDescent="0.45">
      <c r="B457" s="1419" t="s">
        <v>1832</v>
      </c>
      <c r="C457" s="1362" t="s">
        <v>2802</v>
      </c>
      <c r="D457" s="1362" t="s">
        <v>1966</v>
      </c>
      <c r="E457" s="1362">
        <f>((K_O2_OHO)/((K_O2_OHO)+(S_O2)))</f>
        <v>6.9767441860465115E-2</v>
      </c>
      <c r="F457" s="1362" t="s">
        <v>283</v>
      </c>
      <c r="G457" s="1362">
        <v>2</v>
      </c>
      <c r="H457" s="1048"/>
      <c r="I457" s="1420"/>
    </row>
    <row r="458" spans="2:9" ht="15.75" outlineLevel="1" x14ac:dyDescent="0.45">
      <c r="B458" s="1372" t="s">
        <v>3960</v>
      </c>
      <c r="C458" s="1362" t="s">
        <v>3964</v>
      </c>
      <c r="D458" s="1363" t="s">
        <v>3968</v>
      </c>
      <c r="E458" s="1363">
        <f>((K_O2_OHO_NO3)/((K_O2_OHO_NO3)+(S_O2)))</f>
        <v>6.9767441860465115E-2</v>
      </c>
      <c r="F458" s="1363" t="s">
        <v>283</v>
      </c>
      <c r="G458" s="1363">
        <v>2</v>
      </c>
      <c r="H458" s="1154"/>
      <c r="I458" s="1158"/>
    </row>
    <row r="459" spans="2:9" ht="15.75" outlineLevel="1" x14ac:dyDescent="0.45">
      <c r="B459" s="1372" t="s">
        <v>3961</v>
      </c>
      <c r="C459" s="1362" t="s">
        <v>3965</v>
      </c>
      <c r="D459" s="1363" t="s">
        <v>3969</v>
      </c>
      <c r="E459" s="1363">
        <f>((K_O2_OHO_NO2)/((K_O2_OHO_NO2)+(S_O2)))</f>
        <v>6.9767441860465115E-2</v>
      </c>
      <c r="F459" s="1363" t="s">
        <v>283</v>
      </c>
      <c r="G459" s="1363">
        <v>2</v>
      </c>
      <c r="H459" s="1154"/>
      <c r="I459" s="1158"/>
    </row>
    <row r="460" spans="2:9" ht="15.75" outlineLevel="1" x14ac:dyDescent="0.45">
      <c r="B460" s="1372" t="s">
        <v>3962</v>
      </c>
      <c r="C460" s="1362" t="s">
        <v>3966</v>
      </c>
      <c r="D460" s="1363" t="s">
        <v>3970</v>
      </c>
      <c r="E460" s="1363">
        <f>((K_O2_OHO_NO)/((K_O2_OHO_NO)+(S_O2)))</f>
        <v>6.9767441860465115E-2</v>
      </c>
      <c r="F460" s="1363" t="s">
        <v>283</v>
      </c>
      <c r="G460" s="1363">
        <v>2</v>
      </c>
      <c r="H460" s="1154"/>
      <c r="I460" s="1158"/>
    </row>
    <row r="461" spans="2:9" ht="15.75" outlineLevel="1" x14ac:dyDescent="0.45">
      <c r="B461" s="1372" t="s">
        <v>3963</v>
      </c>
      <c r="C461" s="1362" t="s">
        <v>3967</v>
      </c>
      <c r="D461" s="1363" t="s">
        <v>3971</v>
      </c>
      <c r="E461" s="1363">
        <f>((K_O2_OHO_N2O)/((K_O2_OHO_N2O)+(S_O2)))</f>
        <v>6.9767441860465115E-2</v>
      </c>
      <c r="F461" s="1363" t="s">
        <v>283</v>
      </c>
      <c r="G461" s="1363">
        <v>2</v>
      </c>
      <c r="H461" s="1154"/>
      <c r="I461" s="1158"/>
    </row>
    <row r="462" spans="2:9" ht="15.75" outlineLevel="1" x14ac:dyDescent="0.45">
      <c r="B462" s="1421" t="s">
        <v>1830</v>
      </c>
      <c r="C462" s="1422" t="s">
        <v>2803</v>
      </c>
      <c r="D462" s="1369" t="s">
        <v>1831</v>
      </c>
      <c r="E462" s="1369">
        <f>((K_VFA)/((K_VFA)+(S_VFA)))</f>
        <v>0.98039215686274506</v>
      </c>
      <c r="F462" s="1369" t="s">
        <v>283</v>
      </c>
      <c r="G462" s="1369">
        <v>2</v>
      </c>
      <c r="H462" s="1634"/>
      <c r="I462" s="1423"/>
    </row>
    <row r="463" spans="2:9" ht="15.75" outlineLevel="1" x14ac:dyDescent="0.45">
      <c r="B463" s="1372" t="s">
        <v>3955</v>
      </c>
      <c r="C463" s="1362" t="s">
        <v>3956</v>
      </c>
      <c r="D463" s="1363" t="s">
        <v>5125</v>
      </c>
      <c r="E463" s="1365">
        <f>((K_iNO_OHO_NO2)/((K_iNO_OHO_NO2)+(S_NO_OHO)))</f>
        <v>0.96153846153846145</v>
      </c>
      <c r="F463" s="1363" t="s">
        <v>283</v>
      </c>
      <c r="G463" s="1363">
        <v>2</v>
      </c>
      <c r="H463" s="1154"/>
      <c r="I463" s="1158"/>
    </row>
    <row r="464" spans="2:9" ht="15.75" outlineLevel="1" x14ac:dyDescent="0.45">
      <c r="B464" s="1372" t="s">
        <v>3957</v>
      </c>
      <c r="C464" s="1362" t="s">
        <v>3958</v>
      </c>
      <c r="D464" s="1363" t="s">
        <v>5126</v>
      </c>
      <c r="E464" s="1365">
        <f>((K_iNO_OHO_N2O)/((K_iNO_OHO_N2O)+(S_NO_OHO)))</f>
        <v>0.78947368421052633</v>
      </c>
      <c r="F464" s="1363" t="s">
        <v>283</v>
      </c>
      <c r="G464" s="1363">
        <v>2</v>
      </c>
      <c r="H464" s="1154"/>
      <c r="I464" s="1158"/>
    </row>
    <row r="465" spans="1:9" ht="15.75" outlineLevel="1" x14ac:dyDescent="0.45">
      <c r="B465" s="1372" t="s">
        <v>1812</v>
      </c>
      <c r="C465" s="1362" t="s">
        <v>2804</v>
      </c>
      <c r="D465" s="1363" t="s">
        <v>1813</v>
      </c>
      <c r="E465" s="1363">
        <f>((S_B)/((K_SB)+(S_B)))</f>
        <v>0.16666666666666666</v>
      </c>
      <c r="F465" s="1363" t="s">
        <v>283</v>
      </c>
      <c r="G465" s="1363">
        <v>2</v>
      </c>
      <c r="H465" s="1154"/>
      <c r="I465" s="1158"/>
    </row>
    <row r="466" spans="1:9" ht="15.75" outlineLevel="1" x14ac:dyDescent="0.45">
      <c r="B466" s="1372" t="s">
        <v>3939</v>
      </c>
      <c r="C466" s="1362" t="s">
        <v>3940</v>
      </c>
      <c r="D466" s="1363" t="s">
        <v>3941</v>
      </c>
      <c r="E466" s="1363">
        <f>((S_B)/((K_SB_NO3)+(S_B)))</f>
        <v>0.16666666666666666</v>
      </c>
      <c r="F466" s="1363" t="s">
        <v>283</v>
      </c>
      <c r="G466" s="1363">
        <v>2</v>
      </c>
      <c r="H466" s="1154"/>
      <c r="I466" s="1158"/>
    </row>
    <row r="467" spans="1:9" ht="15.75" outlineLevel="1" x14ac:dyDescent="0.45">
      <c r="B467" s="1372" t="s">
        <v>3942</v>
      </c>
      <c r="C467" s="1362" t="s">
        <v>3943</v>
      </c>
      <c r="D467" s="1363" t="s">
        <v>3944</v>
      </c>
      <c r="E467" s="1363">
        <f>((S_B)/((K_SB_NO2)+(S_B)))</f>
        <v>0.16666666666666666</v>
      </c>
      <c r="F467" s="1363" t="s">
        <v>283</v>
      </c>
      <c r="G467" s="1363">
        <v>2</v>
      </c>
      <c r="H467" s="1154"/>
      <c r="I467" s="1158"/>
    </row>
    <row r="468" spans="1:9" ht="15.75" outlineLevel="1" x14ac:dyDescent="0.45">
      <c r="B468" s="1372" t="s">
        <v>3945</v>
      </c>
      <c r="C468" s="1362" t="s">
        <v>3946</v>
      </c>
      <c r="D468" s="1363" t="s">
        <v>3947</v>
      </c>
      <c r="E468" s="1363">
        <f>((S_B)/((K_SB_NO)+(S_B)))</f>
        <v>0.16666666666666666</v>
      </c>
      <c r="F468" s="1363" t="s">
        <v>283</v>
      </c>
      <c r="G468" s="1363">
        <v>2</v>
      </c>
      <c r="H468" s="1154"/>
      <c r="I468" s="1158"/>
    </row>
    <row r="469" spans="1:9" ht="15.75" outlineLevel="1" x14ac:dyDescent="0.45">
      <c r="B469" s="1372" t="s">
        <v>3948</v>
      </c>
      <c r="C469" s="1362" t="s">
        <v>3949</v>
      </c>
      <c r="D469" s="1363" t="s">
        <v>3950</v>
      </c>
      <c r="E469" s="1363">
        <f>((S_B)/((K_SB_N2O)+(S_B)))</f>
        <v>0.16666666666666666</v>
      </c>
      <c r="F469" s="1363" t="s">
        <v>283</v>
      </c>
      <c r="G469" s="1363">
        <v>2</v>
      </c>
      <c r="H469" s="1154"/>
      <c r="I469" s="1158"/>
    </row>
    <row r="470" spans="1:9" ht="15.75" outlineLevel="1" x14ac:dyDescent="0.45">
      <c r="B470" s="1372" t="s">
        <v>1874</v>
      </c>
      <c r="C470" s="1362" t="s">
        <v>2805</v>
      </c>
      <c r="D470" s="1363" t="s">
        <v>1873</v>
      </c>
      <c r="E470" s="1363">
        <f>((S_B)/((K_SB_ana)+(S_B)))</f>
        <v>0.16666666666666666</v>
      </c>
      <c r="F470" s="1363" t="s">
        <v>283</v>
      </c>
      <c r="G470" s="1363">
        <v>2</v>
      </c>
      <c r="H470" s="1154"/>
      <c r="I470" s="1158"/>
    </row>
    <row r="471" spans="1:9" ht="15.75" outlineLevel="1" x14ac:dyDescent="0.45">
      <c r="B471" s="1372" t="s">
        <v>1798</v>
      </c>
      <c r="C471" s="1362" t="s">
        <v>2806</v>
      </c>
      <c r="D471" s="1363" t="s">
        <v>1799</v>
      </c>
      <c r="E471" s="1363">
        <f>((S_MEOL)/((K_MEOL_OHO)+(S_MEOL)))</f>
        <v>9.9999999999999994E-50</v>
      </c>
      <c r="F471" s="1363" t="s">
        <v>283</v>
      </c>
      <c r="G471" s="1363">
        <v>2</v>
      </c>
      <c r="H471" s="1154"/>
      <c r="I471" s="1158"/>
    </row>
    <row r="472" spans="1:9" s="1046" customFormat="1" ht="15.75" outlineLevel="1" x14ac:dyDescent="0.45">
      <c r="A472" s="115"/>
      <c r="B472" s="1711" t="s">
        <v>2480</v>
      </c>
      <c r="C472" s="1362" t="s">
        <v>2812</v>
      </c>
      <c r="D472" s="1424" t="s">
        <v>2481</v>
      </c>
      <c r="E472" s="1424">
        <f>((S_NO3)/((K_NO3_OHO)+(S_NO3)))</f>
        <v>0.96153846153846145</v>
      </c>
      <c r="F472" s="1424" t="s">
        <v>283</v>
      </c>
      <c r="G472" s="1424">
        <v>2</v>
      </c>
      <c r="H472" s="1299"/>
      <c r="I472" s="1712"/>
    </row>
    <row r="473" spans="1:9" s="1616" customFormat="1" ht="15.75" outlineLevel="1" x14ac:dyDescent="0.45">
      <c r="A473" s="115"/>
      <c r="B473" s="1711" t="s">
        <v>2478</v>
      </c>
      <c r="C473" s="1362" t="s">
        <v>2813</v>
      </c>
      <c r="D473" s="1424" t="s">
        <v>2479</v>
      </c>
      <c r="E473" s="1424">
        <f>((S_NO2)/((K_NO2_OHO)+(S_NO2)))</f>
        <v>0.33333333333333331</v>
      </c>
      <c r="F473" s="1424" t="s">
        <v>283</v>
      </c>
      <c r="G473" s="1424">
        <v>2</v>
      </c>
      <c r="H473" s="1299"/>
      <c r="I473" s="1712"/>
    </row>
    <row r="474" spans="1:9" s="1616" customFormat="1" ht="15.75" outlineLevel="1" x14ac:dyDescent="0.45">
      <c r="A474" s="115"/>
      <c r="B474" s="1711" t="s">
        <v>3953</v>
      </c>
      <c r="C474" s="1362" t="s">
        <v>3954</v>
      </c>
      <c r="D474" s="1424" t="s">
        <v>5124</v>
      </c>
      <c r="E474" s="1424">
        <f>((S_NO_OHO)/((K_NO_OHO)+(S_NO_OHO)+((S_NO_OHO)^2/(K_iNO_OHO_NO_AS))))</f>
        <v>0.28037383177570091</v>
      </c>
      <c r="F474" s="1424" t="s">
        <v>283</v>
      </c>
      <c r="G474" s="1424">
        <v>2</v>
      </c>
      <c r="H474" s="1299"/>
      <c r="I474" s="1712"/>
    </row>
    <row r="475" spans="1:9" s="1616" customFormat="1" ht="15.75" outlineLevel="1" x14ac:dyDescent="0.45">
      <c r="A475" s="115"/>
      <c r="B475" s="1711" t="s">
        <v>4016</v>
      </c>
      <c r="C475" s="1362" t="s">
        <v>3951</v>
      </c>
      <c r="D475" s="1424" t="s">
        <v>3952</v>
      </c>
      <c r="E475" s="1424">
        <f>((S_N2O)/((K_N2O_OHO)+(S_N2O)))</f>
        <v>0.16666666666666666</v>
      </c>
      <c r="F475" s="1424" t="s">
        <v>283</v>
      </c>
      <c r="G475" s="1424">
        <v>2</v>
      </c>
      <c r="H475" s="1299"/>
      <c r="I475" s="1712"/>
    </row>
    <row r="476" spans="1:9" ht="15.75" outlineLevel="1" x14ac:dyDescent="0.45">
      <c r="B476" s="1372" t="s">
        <v>1796</v>
      </c>
      <c r="C476" s="1362" t="s">
        <v>2807</v>
      </c>
      <c r="D476" s="1363" t="s">
        <v>1797</v>
      </c>
      <c r="E476" s="1363">
        <f>((S_O2)/((K_O2_OHO)+(S_O2)))</f>
        <v>0.93023255813953487</v>
      </c>
      <c r="F476" s="1363" t="s">
        <v>283</v>
      </c>
      <c r="G476" s="1363">
        <v>2</v>
      </c>
      <c r="H476" s="1154"/>
      <c r="I476" s="1158"/>
    </row>
    <row r="477" spans="1:9" ht="15.75" outlineLevel="1" x14ac:dyDescent="0.45">
      <c r="B477" s="1372" t="s">
        <v>894</v>
      </c>
      <c r="C477" s="1362" t="s">
        <v>2808</v>
      </c>
      <c r="D477" s="1363" t="s">
        <v>895</v>
      </c>
      <c r="E477" s="1363">
        <f>((S_VFA)/((K_VFA)+(S_VFA)))</f>
        <v>1.9607843137254902E-2</v>
      </c>
      <c r="F477" s="1363" t="s">
        <v>283</v>
      </c>
      <c r="G477" s="1363">
        <v>2</v>
      </c>
      <c r="H477" s="1154"/>
      <c r="I477" s="1158"/>
    </row>
    <row r="478" spans="1:9" ht="15.75" outlineLevel="1" x14ac:dyDescent="0.45">
      <c r="B478" s="1372" t="s">
        <v>4000</v>
      </c>
      <c r="C478" s="1362" t="s">
        <v>4004</v>
      </c>
      <c r="D478" s="1363" t="s">
        <v>4008</v>
      </c>
      <c r="E478" s="1363">
        <f>((S_VFA)/((K_VFA_NO3)+(S_VFA)))</f>
        <v>1.9607843137254902E-2</v>
      </c>
      <c r="F478" s="1363" t="s">
        <v>283</v>
      </c>
      <c r="G478" s="1363">
        <v>2</v>
      </c>
      <c r="H478" s="1154"/>
      <c r="I478" s="1158"/>
    </row>
    <row r="479" spans="1:9" ht="15.75" outlineLevel="1" x14ac:dyDescent="0.45">
      <c r="B479" s="1372" t="s">
        <v>4001</v>
      </c>
      <c r="C479" s="1362" t="s">
        <v>4005</v>
      </c>
      <c r="D479" s="1363" t="s">
        <v>4009</v>
      </c>
      <c r="E479" s="1363">
        <f>((S_VFA)/((K_VFA_NO2)+(S_VFA)))</f>
        <v>1.9607843137254902E-2</v>
      </c>
      <c r="F479" s="1363" t="s">
        <v>283</v>
      </c>
      <c r="G479" s="1363">
        <v>2</v>
      </c>
      <c r="H479" s="1154"/>
      <c r="I479" s="1158"/>
    </row>
    <row r="480" spans="1:9" ht="15.75" outlineLevel="1" x14ac:dyDescent="0.45">
      <c r="B480" s="1372" t="s">
        <v>4002</v>
      </c>
      <c r="C480" s="1362" t="s">
        <v>4006</v>
      </c>
      <c r="D480" s="1363" t="s">
        <v>4010</v>
      </c>
      <c r="E480" s="1363">
        <f>((S_VFA)/((K_VFA_NO)+(S_VFA)))</f>
        <v>1.9607843137254902E-2</v>
      </c>
      <c r="F480" s="1363" t="s">
        <v>283</v>
      </c>
      <c r="G480" s="1363">
        <v>2</v>
      </c>
      <c r="H480" s="1154"/>
      <c r="I480" s="1158"/>
    </row>
    <row r="481" spans="1:9" ht="15.75" outlineLevel="1" x14ac:dyDescent="0.45">
      <c r="B481" s="1372" t="s">
        <v>4003</v>
      </c>
      <c r="C481" s="1362" t="s">
        <v>4007</v>
      </c>
      <c r="D481" s="1363" t="s">
        <v>4011</v>
      </c>
      <c r="E481" s="1363">
        <f>((S_VFA)/((K_VFA_N2O)+(S_VFA)))</f>
        <v>1.9607843137254902E-2</v>
      </c>
      <c r="F481" s="1363" t="s">
        <v>283</v>
      </c>
      <c r="G481" s="1363">
        <v>2</v>
      </c>
      <c r="H481" s="1154"/>
      <c r="I481" s="1158"/>
    </row>
    <row r="482" spans="1:9" ht="15.75" outlineLevel="1" x14ac:dyDescent="0.45">
      <c r="B482" s="1372" t="s">
        <v>2223</v>
      </c>
      <c r="C482" s="1362" t="s">
        <v>2221</v>
      </c>
      <c r="D482" s="1857" t="s">
        <v>5072</v>
      </c>
      <c r="E482" s="1857">
        <f>((S_VFA)/((S_VFA)+(K_VFA_FERM)*EXP(((K_VFA_FERM)-(S_VFA))*(L_ogslopeVFA_FERM))))</f>
        <v>4.4767737282903354E-217</v>
      </c>
      <c r="F482" s="1363" t="s">
        <v>283</v>
      </c>
      <c r="G482" s="1363">
        <v>2</v>
      </c>
      <c r="H482" s="1154"/>
      <c r="I482" s="1158"/>
    </row>
    <row r="483" spans="1:9" ht="15.75" outlineLevel="1" x14ac:dyDescent="0.45">
      <c r="B483" s="1372" t="s">
        <v>2224</v>
      </c>
      <c r="C483" s="1362" t="s">
        <v>2222</v>
      </c>
      <c r="D483" s="1857" t="s">
        <v>5073</v>
      </c>
      <c r="E483" s="1857">
        <f>(1-(S_VFA)/((S_VFA)+(K_VFA_FERM)*EXP(((K_VFA_FERM)-(S_VFA))*(L_ogslopeVFA_FERM))))</f>
        <v>1</v>
      </c>
      <c r="F483" s="1363" t="s">
        <v>283</v>
      </c>
      <c r="G483" s="1363">
        <v>2</v>
      </c>
      <c r="H483" s="1154"/>
      <c r="I483" s="1158"/>
    </row>
    <row r="484" spans="1:9" ht="15.75" outlineLevel="1" x14ac:dyDescent="0.45">
      <c r="B484" s="1425" t="s">
        <v>3597</v>
      </c>
      <c r="C484" s="1426" t="s">
        <v>2809</v>
      </c>
      <c r="D484" s="1427" t="s">
        <v>3598</v>
      </c>
      <c r="E484" s="1427">
        <f>((K_iO2_MEOLO)/((K_iO2_MEOLO)+(S_O2)))</f>
        <v>2.4390243902439029E-2</v>
      </c>
      <c r="F484" s="1427" t="s">
        <v>283</v>
      </c>
      <c r="G484" s="1427">
        <v>2</v>
      </c>
      <c r="H484" s="1301"/>
      <c r="I484" s="1428"/>
    </row>
    <row r="485" spans="1:9" s="1616" customFormat="1" ht="15.75" outlineLevel="1" x14ac:dyDescent="0.45">
      <c r="A485" s="115"/>
      <c r="B485" s="1429" t="s">
        <v>2386</v>
      </c>
      <c r="C485" s="1426" t="s">
        <v>2814</v>
      </c>
      <c r="D485" s="1427" t="s">
        <v>2387</v>
      </c>
      <c r="E485" s="1430">
        <f>((K_NO2_MEOLO)/((K_NO2_MEOLO)+(S_NO2)))</f>
        <v>0.16666666666666666</v>
      </c>
      <c r="F485" s="1427" t="s">
        <v>283</v>
      </c>
      <c r="G485" s="1427">
        <v>2</v>
      </c>
      <c r="H485" s="1301"/>
      <c r="I485" s="1431"/>
    </row>
    <row r="486" spans="1:9" s="1616" customFormat="1" ht="15.75" outlineLevel="1" x14ac:dyDescent="0.45">
      <c r="A486" s="115"/>
      <c r="B486" s="1429" t="s">
        <v>2388</v>
      </c>
      <c r="C486" s="1426" t="s">
        <v>2815</v>
      </c>
      <c r="D486" s="1427" t="s">
        <v>2389</v>
      </c>
      <c r="E486" s="1430">
        <f>((K_NO3_MEOLO)/((K_NO3_MEOLO)+(S_NO3)))</f>
        <v>9.9009900990099011E-3</v>
      </c>
      <c r="F486" s="1427" t="s">
        <v>283</v>
      </c>
      <c r="G486" s="1427">
        <v>2</v>
      </c>
      <c r="H486" s="1301"/>
      <c r="I486" s="1431"/>
    </row>
    <row r="487" spans="1:9" s="1616" customFormat="1" ht="15.75" outlineLevel="1" x14ac:dyDescent="0.45">
      <c r="A487" s="115"/>
      <c r="B487" s="1429" t="s">
        <v>1802</v>
      </c>
      <c r="C487" s="1426" t="s">
        <v>2810</v>
      </c>
      <c r="D487" s="1427" t="s">
        <v>1803</v>
      </c>
      <c r="E487" s="1430">
        <f>((S_MEOL)/((K_MEOL)+(S_MEOL)))</f>
        <v>2E-50</v>
      </c>
      <c r="F487" s="1427" t="s">
        <v>283</v>
      </c>
      <c r="G487" s="1427">
        <v>2</v>
      </c>
      <c r="H487" s="1301"/>
      <c r="I487" s="1431"/>
    </row>
    <row r="488" spans="1:9" s="1616" customFormat="1" ht="15.75" outlineLevel="1" x14ac:dyDescent="0.45">
      <c r="A488" s="115"/>
      <c r="B488" s="1713" t="s">
        <v>2390</v>
      </c>
      <c r="C488" s="1426" t="s">
        <v>2816</v>
      </c>
      <c r="D488" s="1432" t="s">
        <v>2391</v>
      </c>
      <c r="E488" s="1433">
        <f>((S_NO2)/((K_NO2_MEOLO)+(S_NO2)))</f>
        <v>0.83333333333333326</v>
      </c>
      <c r="F488" s="1300" t="s">
        <v>283</v>
      </c>
      <c r="G488" s="1300">
        <v>2</v>
      </c>
      <c r="H488" s="1302"/>
      <c r="I488" s="1714"/>
    </row>
    <row r="489" spans="1:9" s="1616" customFormat="1" ht="15.75" outlineLevel="1" x14ac:dyDescent="0.45">
      <c r="A489" s="115"/>
      <c r="B489" s="1713" t="s">
        <v>2392</v>
      </c>
      <c r="C489" s="1426" t="s">
        <v>2817</v>
      </c>
      <c r="D489" s="1432" t="s">
        <v>2393</v>
      </c>
      <c r="E489" s="1433">
        <f>((S_NO3)/((K_NO3_MEOLO)+(S_NO3)))</f>
        <v>0.99009900990099009</v>
      </c>
      <c r="F489" s="1300" t="s">
        <v>283</v>
      </c>
      <c r="G489" s="1300">
        <v>2</v>
      </c>
      <c r="H489" s="1302"/>
      <c r="I489" s="1714"/>
    </row>
    <row r="490" spans="1:9" ht="15.75" outlineLevel="1" x14ac:dyDescent="0.45">
      <c r="B490" s="1425" t="s">
        <v>3599</v>
      </c>
      <c r="C490" s="1426" t="s">
        <v>2811</v>
      </c>
      <c r="D490" s="1427" t="s">
        <v>3600</v>
      </c>
      <c r="E490" s="1427">
        <f>((S_O2)/((K_iO2_MEOLO)+(S_O2)))</f>
        <v>0.97560975609756106</v>
      </c>
      <c r="F490" s="1427" t="s">
        <v>283</v>
      </c>
      <c r="G490" s="1427">
        <v>2</v>
      </c>
      <c r="H490" s="1301"/>
      <c r="I490" s="1428"/>
    </row>
    <row r="491" spans="1:9" s="1616" customFormat="1" ht="15.75" outlineLevel="1" x14ac:dyDescent="0.45">
      <c r="A491" s="115"/>
      <c r="B491" s="1434" t="s">
        <v>4844</v>
      </c>
      <c r="C491" s="1435" t="s">
        <v>2818</v>
      </c>
      <c r="D491" s="1344" t="s">
        <v>4845</v>
      </c>
      <c r="E491" s="1436">
        <f>((K_NOx_AOB)/((K_NOx_AOB)+(S_NOx)))</f>
        <v>5.8479532163742687E-3</v>
      </c>
      <c r="F491" s="1344" t="s">
        <v>283</v>
      </c>
      <c r="G491" s="1344">
        <v>2</v>
      </c>
      <c r="H491" s="1303"/>
      <c r="I491" s="1715"/>
    </row>
    <row r="492" spans="1:9" s="1046" customFormat="1" ht="15.75" outlineLevel="1" x14ac:dyDescent="0.45">
      <c r="A492" s="115"/>
      <c r="B492" s="1716" t="s">
        <v>2394</v>
      </c>
      <c r="C492" s="1296" t="s">
        <v>2819</v>
      </c>
      <c r="D492" s="1338" t="s">
        <v>2395</v>
      </c>
      <c r="E492" s="1437">
        <f>((K_O2_AOB)/((K_O2_AOB)+(S_O2)))</f>
        <v>0.1111111111111111</v>
      </c>
      <c r="F492" s="749" t="s">
        <v>283</v>
      </c>
      <c r="G492" s="749">
        <v>2</v>
      </c>
      <c r="H492" s="1304"/>
      <c r="I492" s="1717"/>
    </row>
    <row r="493" spans="1:9" s="1616" customFormat="1" ht="15.75" outlineLevel="1" x14ac:dyDescent="0.45">
      <c r="A493" s="115"/>
      <c r="B493" s="1716" t="s">
        <v>2398</v>
      </c>
      <c r="C493" s="1296" t="s">
        <v>2822</v>
      </c>
      <c r="D493" s="1338" t="s">
        <v>2399</v>
      </c>
      <c r="E493" s="1437">
        <f>((S_O2)/((K_O2_AOB)+(S_O2)))</f>
        <v>0.88888888888888884</v>
      </c>
      <c r="F493" s="1338" t="s">
        <v>283</v>
      </c>
      <c r="G493" s="1338">
        <v>2</v>
      </c>
      <c r="H493" s="1304"/>
      <c r="I493" s="1717"/>
    </row>
    <row r="494" spans="1:9" s="1046" customFormat="1" ht="15.75" outlineLevel="1" x14ac:dyDescent="0.45">
      <c r="A494" s="115"/>
      <c r="B494" s="1434" t="s">
        <v>4082</v>
      </c>
      <c r="C494" s="1435" t="s">
        <v>2819</v>
      </c>
      <c r="D494" s="1344" t="s">
        <v>4083</v>
      </c>
      <c r="E494" s="1436">
        <f>((K_iO2_AOB)/((K_iO2_AOB)+(S_O2)))</f>
        <v>0.28571428571428575</v>
      </c>
      <c r="F494" s="435" t="s">
        <v>283</v>
      </c>
      <c r="G494" s="435">
        <v>2</v>
      </c>
      <c r="H494" s="1303"/>
      <c r="I494" s="1715"/>
    </row>
    <row r="495" spans="1:9" s="1046" customFormat="1" ht="15.75" outlineLevel="1" x14ac:dyDescent="0.45">
      <c r="A495" s="115"/>
      <c r="B495" s="1434" t="s">
        <v>2396</v>
      </c>
      <c r="C495" s="1435" t="s">
        <v>2820</v>
      </c>
      <c r="D495" s="1344" t="s">
        <v>2397</v>
      </c>
      <c r="E495" s="1436">
        <f>((S_NHx)/((K_NHx_AOB)+(S_NHx)))</f>
        <v>0.99009900990099009</v>
      </c>
      <c r="F495" s="1344" t="s">
        <v>283</v>
      </c>
      <c r="G495" s="1344">
        <v>2</v>
      </c>
      <c r="H495" s="1303"/>
      <c r="I495" s="1715"/>
    </row>
    <row r="496" spans="1:9" s="1046" customFormat="1" ht="15.75" outlineLevel="1" x14ac:dyDescent="0.45">
      <c r="A496" s="115"/>
      <c r="B496" s="1434" t="s">
        <v>4147</v>
      </c>
      <c r="C496" s="1435" t="s">
        <v>4148</v>
      </c>
      <c r="D496" s="1344" t="s">
        <v>4149</v>
      </c>
      <c r="E496" s="1436">
        <f>((S_NHx)/((K_NHx_NH2OH_AOB)+(S_NHx)))</f>
        <v>0.58823529411764708</v>
      </c>
      <c r="F496" s="1344" t="s">
        <v>283</v>
      </c>
      <c r="G496" s="1344">
        <v>2</v>
      </c>
      <c r="H496" s="1303"/>
      <c r="I496" s="1715"/>
    </row>
    <row r="497" spans="1:9" s="1046" customFormat="1" ht="15.75" outlineLevel="1" x14ac:dyDescent="0.45">
      <c r="A497" s="115"/>
      <c r="B497" s="1434" t="s">
        <v>4084</v>
      </c>
      <c r="C497" s="1435" t="s">
        <v>4085</v>
      </c>
      <c r="D497" s="1344" t="s">
        <v>4086</v>
      </c>
      <c r="E497" s="1436">
        <f>((S_NH2OH)/((K_NH2OH_AOB)+(S_NH2OH)))</f>
        <v>1.0989010989010988E-2</v>
      </c>
      <c r="F497" s="1344" t="s">
        <v>283</v>
      </c>
      <c r="G497" s="1344">
        <v>2</v>
      </c>
      <c r="H497" s="1303"/>
      <c r="I497" s="1715"/>
    </row>
    <row r="498" spans="1:9" s="1046" customFormat="1" ht="15.75" outlineLevel="1" x14ac:dyDescent="0.45">
      <c r="A498" s="115"/>
      <c r="B498" s="1434" t="s">
        <v>4854</v>
      </c>
      <c r="C498" s="1435" t="s">
        <v>2821</v>
      </c>
      <c r="D498" s="1344" t="s">
        <v>4855</v>
      </c>
      <c r="E498" s="1436">
        <f>((S_NOx)/((K_NOx_AOB)+(S_NOx)))</f>
        <v>0.99415204678362568</v>
      </c>
      <c r="F498" s="435" t="s">
        <v>283</v>
      </c>
      <c r="G498" s="435">
        <v>2</v>
      </c>
      <c r="H498" s="1303"/>
      <c r="I498" s="1715"/>
    </row>
    <row r="499" spans="1:9" s="1616" customFormat="1" ht="15.75" outlineLevel="1" x14ac:dyDescent="0.45">
      <c r="A499" s="115"/>
      <c r="B499" s="1434" t="s">
        <v>4066</v>
      </c>
      <c r="C499" s="1435" t="s">
        <v>4067</v>
      </c>
      <c r="D499" s="1344" t="s">
        <v>4068</v>
      </c>
      <c r="E499" s="1436">
        <f>((S_O2)/((K_O2_NHx_AOB)+(S_O2)))</f>
        <v>0.88888888888888884</v>
      </c>
      <c r="F499" s="1344" t="s">
        <v>283</v>
      </c>
      <c r="G499" s="1344">
        <v>2</v>
      </c>
      <c r="H499" s="1303"/>
      <c r="I499" s="1715"/>
    </row>
    <row r="500" spans="1:9" s="1616" customFormat="1" ht="15.75" outlineLevel="1" x14ac:dyDescent="0.45">
      <c r="A500" s="115"/>
      <c r="B500" s="1434" t="s">
        <v>4069</v>
      </c>
      <c r="C500" s="1435" t="s">
        <v>4070</v>
      </c>
      <c r="D500" s="1344" t="s">
        <v>4071</v>
      </c>
      <c r="E500" s="1436">
        <f>((S_O2)/((K_O2_NH2OH_AOB)+(S_O2)))</f>
        <v>0.93023255813953487</v>
      </c>
      <c r="F500" s="1344" t="s">
        <v>283</v>
      </c>
      <c r="G500" s="1344">
        <v>2</v>
      </c>
      <c r="H500" s="1303"/>
      <c r="I500" s="1715"/>
    </row>
    <row r="501" spans="1:9" s="1294" customFormat="1" ht="15.75" outlineLevel="1" x14ac:dyDescent="0.45">
      <c r="A501" s="115"/>
      <c r="B501" s="1416" t="s">
        <v>4146</v>
      </c>
      <c r="C501" s="1125" t="s">
        <v>4115</v>
      </c>
      <c r="D501" s="1417" t="s">
        <v>4116</v>
      </c>
      <c r="E501" s="1418">
        <f>((S_HNO2)/((K_HNO2_AOB)+(S_HNO2)))</f>
        <v>3.0024396495117994E-3</v>
      </c>
      <c r="F501" s="1417" t="s">
        <v>283</v>
      </c>
      <c r="G501" s="1417">
        <v>2</v>
      </c>
      <c r="H501" s="1125"/>
      <c r="I501" s="1718"/>
    </row>
    <row r="502" spans="1:9" s="1294" customFormat="1" ht="15.75" outlineLevel="1" x14ac:dyDescent="0.45">
      <c r="A502" s="115"/>
      <c r="B502" s="1416" t="s">
        <v>4080</v>
      </c>
      <c r="C502" s="747" t="s">
        <v>4058</v>
      </c>
      <c r="D502" s="1417" t="s">
        <v>5127</v>
      </c>
      <c r="E502" s="1418">
        <f>((S_NO_AOB)/((K_NO_NO2_AOB)+(S_NO_AOB)))</f>
        <v>0.970873786407767</v>
      </c>
      <c r="F502" s="1417" t="s">
        <v>283</v>
      </c>
      <c r="G502" s="1417">
        <v>2</v>
      </c>
      <c r="H502" s="1125"/>
      <c r="I502" s="1718"/>
    </row>
    <row r="503" spans="1:9" s="1294" customFormat="1" ht="15.75" outlineLevel="1" x14ac:dyDescent="0.45">
      <c r="A503" s="115"/>
      <c r="B503" s="1416" t="s">
        <v>4081</v>
      </c>
      <c r="C503" s="747" t="s">
        <v>4059</v>
      </c>
      <c r="D503" s="1417" t="s">
        <v>5128</v>
      </c>
      <c r="E503" s="1418">
        <f>((S_NO_AOB)/((K_NO_N2O_AOB)+(S_NO_AOB)))</f>
        <v>0.55555555555555547</v>
      </c>
      <c r="F503" s="1417" t="s">
        <v>283</v>
      </c>
      <c r="G503" s="1417">
        <v>2</v>
      </c>
      <c r="H503" s="1125"/>
      <c r="I503" s="1718"/>
    </row>
    <row r="504" spans="1:9" s="1616" customFormat="1" ht="15.75" outlineLevel="1" x14ac:dyDescent="0.45">
      <c r="A504" s="115"/>
      <c r="B504" s="1438" t="s">
        <v>4848</v>
      </c>
      <c r="C504" s="1439" t="s">
        <v>2823</v>
      </c>
      <c r="D504" s="1440" t="s">
        <v>4846</v>
      </c>
      <c r="E504" s="1441">
        <f>((K_NOx_NOB)/((K_NOx_NOB)+(S_NOx)))</f>
        <v>5.8479532163742687E-3</v>
      </c>
      <c r="F504" s="1440" t="s">
        <v>283</v>
      </c>
      <c r="G504" s="1440">
        <v>2</v>
      </c>
      <c r="H504" s="1305"/>
      <c r="I504" s="1719"/>
    </row>
    <row r="505" spans="1:9" s="1046" customFormat="1" ht="15.75" outlineLevel="1" x14ac:dyDescent="0.45">
      <c r="A505" s="115"/>
      <c r="B505" s="1438" t="s">
        <v>2400</v>
      </c>
      <c r="C505" s="1439" t="s">
        <v>2824</v>
      </c>
      <c r="D505" s="1440" t="s">
        <v>2401</v>
      </c>
      <c r="E505" s="1441">
        <f>((K_O2_NOB)/((K_O2_NOB)+(S_O2)))</f>
        <v>0.1111111111111111</v>
      </c>
      <c r="F505" s="1440" t="s">
        <v>283</v>
      </c>
      <c r="G505" s="1440">
        <v>2</v>
      </c>
      <c r="H505" s="1305"/>
      <c r="I505" s="1719"/>
    </row>
    <row r="506" spans="1:9" s="1616" customFormat="1" ht="15.75" outlineLevel="1" x14ac:dyDescent="0.45">
      <c r="A506" s="115"/>
      <c r="B506" s="1438" t="s">
        <v>2402</v>
      </c>
      <c r="C506" s="1439" t="s">
        <v>2825</v>
      </c>
      <c r="D506" s="1440" t="s">
        <v>2403</v>
      </c>
      <c r="E506" s="1441">
        <f>((S_NO2)/((K_NO2_NOB)+(S_NO2)))</f>
        <v>0.5</v>
      </c>
      <c r="F506" s="1440" t="s">
        <v>283</v>
      </c>
      <c r="G506" s="1440">
        <v>2</v>
      </c>
      <c r="H506" s="1305"/>
      <c r="I506" s="1719"/>
    </row>
    <row r="507" spans="1:9" s="1616" customFormat="1" ht="15.75" outlineLevel="1" x14ac:dyDescent="0.45">
      <c r="A507" s="115"/>
      <c r="B507" s="1438" t="s">
        <v>4849</v>
      </c>
      <c r="C507" s="1439" t="s">
        <v>2826</v>
      </c>
      <c r="D507" s="1440" t="s">
        <v>4847</v>
      </c>
      <c r="E507" s="1441">
        <f>((S_NOx)/((K_NOx_NOB)+(S_NOx)))</f>
        <v>0.99415204678362568</v>
      </c>
      <c r="F507" s="1442" t="s">
        <v>283</v>
      </c>
      <c r="G507" s="1442">
        <v>2</v>
      </c>
      <c r="H507" s="1305"/>
      <c r="I507" s="1719"/>
    </row>
    <row r="508" spans="1:9" s="1046" customFormat="1" ht="15.75" outlineLevel="1" x14ac:dyDescent="0.45">
      <c r="A508" s="115"/>
      <c r="B508" s="1438" t="s">
        <v>2404</v>
      </c>
      <c r="C508" s="1439" t="s">
        <v>2827</v>
      </c>
      <c r="D508" s="1440" t="s">
        <v>2405</v>
      </c>
      <c r="E508" s="1441">
        <f>((S_O2)/((K_O2_NOB)+(S_O2)))</f>
        <v>0.88888888888888884</v>
      </c>
      <c r="F508" s="1442" t="s">
        <v>283</v>
      </c>
      <c r="G508" s="1442">
        <v>2</v>
      </c>
      <c r="H508" s="1305"/>
      <c r="I508" s="1719"/>
    </row>
    <row r="509" spans="1:9" s="1616" customFormat="1" ht="15.75" outlineLevel="1" x14ac:dyDescent="0.45">
      <c r="A509" s="115"/>
      <c r="B509" s="1443" t="s">
        <v>4853</v>
      </c>
      <c r="C509" s="1444" t="s">
        <v>2828</v>
      </c>
      <c r="D509" s="1445" t="s">
        <v>4852</v>
      </c>
      <c r="E509" s="1446">
        <f>((K_NOx_AMX)/((K_NOx_AMX)+(S_NOx)))</f>
        <v>1.9230769230769235E-2</v>
      </c>
      <c r="F509" s="1317" t="s">
        <v>283</v>
      </c>
      <c r="G509" s="1317">
        <v>2</v>
      </c>
      <c r="H509" s="1306"/>
      <c r="I509" s="1720"/>
    </row>
    <row r="510" spans="1:9" s="1046" customFormat="1" ht="15.75" outlineLevel="1" x14ac:dyDescent="0.45">
      <c r="A510" s="115"/>
      <c r="B510" s="1443" t="s">
        <v>3619</v>
      </c>
      <c r="C510" s="1444" t="s">
        <v>2829</v>
      </c>
      <c r="D510" s="1445" t="s">
        <v>3620</v>
      </c>
      <c r="E510" s="1446">
        <f>((K_iO2_AMX)/((K_iO2_AMX)+(S_O2)))</f>
        <v>0.16666666666666669</v>
      </c>
      <c r="F510" s="1317" t="s">
        <v>283</v>
      </c>
      <c r="G510" s="1317">
        <v>2</v>
      </c>
      <c r="H510" s="1306"/>
      <c r="I510" s="1720"/>
    </row>
    <row r="511" spans="1:9" s="1046" customFormat="1" ht="15.75" outlineLevel="1" x14ac:dyDescent="0.45">
      <c r="A511" s="115"/>
      <c r="B511" s="1443" t="s">
        <v>2406</v>
      </c>
      <c r="C511" s="1444" t="s">
        <v>2830</v>
      </c>
      <c r="D511" s="1445" t="s">
        <v>2407</v>
      </c>
      <c r="E511" s="1446">
        <f>((S_NHx)/((K_NHx_AMX)+(S_NHx)))</f>
        <v>0.33333333333333331</v>
      </c>
      <c r="F511" s="1317" t="s">
        <v>283</v>
      </c>
      <c r="G511" s="1317">
        <v>2</v>
      </c>
      <c r="H511" s="1306"/>
      <c r="I511" s="1720"/>
    </row>
    <row r="512" spans="1:9" s="1616" customFormat="1" ht="15.75" outlineLevel="1" x14ac:dyDescent="0.45">
      <c r="A512" s="115"/>
      <c r="B512" s="1443" t="s">
        <v>2408</v>
      </c>
      <c r="C512" s="1444" t="s">
        <v>2831</v>
      </c>
      <c r="D512" s="1445" t="s">
        <v>2409</v>
      </c>
      <c r="E512" s="1446">
        <f>((S_NO2)/((K_NO2_AMX)+(S_NO2)))</f>
        <v>9.0909090909090912E-2</v>
      </c>
      <c r="F512" s="1445" t="s">
        <v>283</v>
      </c>
      <c r="G512" s="1445">
        <v>2</v>
      </c>
      <c r="H512" s="1306"/>
      <c r="I512" s="1720"/>
    </row>
    <row r="513" spans="1:9" s="1046" customFormat="1" ht="15.75" outlineLevel="1" x14ac:dyDescent="0.45">
      <c r="A513" s="115"/>
      <c r="B513" s="1443" t="s">
        <v>4850</v>
      </c>
      <c r="C513" s="1444" t="s">
        <v>2832</v>
      </c>
      <c r="D513" s="1445" t="s">
        <v>4851</v>
      </c>
      <c r="E513" s="1446">
        <f>((S_NOx)/((K_NOx_AMX)+(S_NOx)))</f>
        <v>0.98076923076923084</v>
      </c>
      <c r="F513" s="1445" t="s">
        <v>283</v>
      </c>
      <c r="G513" s="1445">
        <v>2</v>
      </c>
      <c r="H513" s="1306"/>
      <c r="I513" s="1720"/>
    </row>
    <row r="514" spans="1:9" s="1616" customFormat="1" ht="15.75" outlineLevel="1" x14ac:dyDescent="0.45">
      <c r="A514" s="115"/>
      <c r="B514" s="1443" t="s">
        <v>3621</v>
      </c>
      <c r="C514" s="1444" t="s">
        <v>2833</v>
      </c>
      <c r="D514" s="1445" t="s">
        <v>3622</v>
      </c>
      <c r="E514" s="1446">
        <f>((S_O2)/((K_iO2_AMX)+(S_O2)))</f>
        <v>0.83333333333333337</v>
      </c>
      <c r="F514" s="1317" t="s">
        <v>283</v>
      </c>
      <c r="G514" s="1317">
        <v>2</v>
      </c>
      <c r="H514" s="1306"/>
      <c r="I514" s="1720"/>
    </row>
    <row r="515" spans="1:9" ht="15.75" outlineLevel="1" x14ac:dyDescent="0.45">
      <c r="B515" s="1394" t="s">
        <v>4640</v>
      </c>
      <c r="C515" s="1392" t="s">
        <v>4641</v>
      </c>
      <c r="D515" s="1392" t="s">
        <v>4642</v>
      </c>
      <c r="E515" s="580">
        <f>((K_NO2_CASTO)/((K_NO2_CASTO)+(S_NO2)))</f>
        <v>0.33333333333333331</v>
      </c>
      <c r="F515" s="1392" t="s">
        <v>283</v>
      </c>
      <c r="G515" s="1392">
        <v>2</v>
      </c>
      <c r="H515" s="1058"/>
      <c r="I515" s="1173"/>
    </row>
    <row r="516" spans="1:9" ht="15.75" outlineLevel="1" x14ac:dyDescent="0.45">
      <c r="B516" s="1394" t="s">
        <v>4643</v>
      </c>
      <c r="C516" s="1392" t="s">
        <v>4644</v>
      </c>
      <c r="D516" s="1392" t="s">
        <v>4645</v>
      </c>
      <c r="E516" s="580">
        <f>((K_NO3_CASTO)/((K_NO3_CASTO)+(S_NO3)))</f>
        <v>1.9607843137254905E-2</v>
      </c>
      <c r="F516" s="1392" t="s">
        <v>283</v>
      </c>
      <c r="G516" s="1392">
        <v>2</v>
      </c>
      <c r="H516" s="1058"/>
      <c r="I516" s="1173"/>
    </row>
    <row r="517" spans="1:9" ht="15.75" outlineLevel="1" x14ac:dyDescent="0.45">
      <c r="B517" s="1394" t="s">
        <v>4646</v>
      </c>
      <c r="C517" s="1392" t="s">
        <v>4647</v>
      </c>
      <c r="D517" s="1392" t="s">
        <v>4648</v>
      </c>
      <c r="E517" s="1392">
        <f>((K_O2_CASTO)/((K_O2_CASTO)+(S_O2)))</f>
        <v>2.4390243902439029E-2</v>
      </c>
      <c r="F517" s="1392" t="s">
        <v>283</v>
      </c>
      <c r="G517" s="1392">
        <v>2</v>
      </c>
      <c r="H517" s="1058"/>
      <c r="I517" s="1173"/>
    </row>
    <row r="518" spans="1:9" ht="15.75" outlineLevel="1" x14ac:dyDescent="0.45">
      <c r="B518" s="1394" t="s">
        <v>2834</v>
      </c>
      <c r="C518" s="1392" t="s">
        <v>2835</v>
      </c>
      <c r="D518" s="1392" t="s">
        <v>2836</v>
      </c>
      <c r="E518" s="1392">
        <f>((K_iPO4_lim)/((K_iPO4_lim)+(S_PO4)))</f>
        <v>9.9009900990099011E-3</v>
      </c>
      <c r="F518" s="1392" t="s">
        <v>283</v>
      </c>
      <c r="G518" s="1392">
        <v>2</v>
      </c>
      <c r="H518" s="1058"/>
      <c r="I518" s="1173"/>
    </row>
    <row r="519" spans="1:9" ht="15.75" outlineLevel="1" x14ac:dyDescent="0.45">
      <c r="B519" s="1394" t="s">
        <v>4649</v>
      </c>
      <c r="C519" s="1392" t="s">
        <v>4650</v>
      </c>
      <c r="D519" s="1392" t="s">
        <v>4651</v>
      </c>
      <c r="E519" s="1392">
        <f>(((X_STC)/(X_CASTO))/((X_STC)/(X_CASTO)+(K_STC)))</f>
        <v>0.31506849315068486</v>
      </c>
      <c r="F519" s="1392" t="s">
        <v>283</v>
      </c>
      <c r="G519" s="1392">
        <v>2</v>
      </c>
      <c r="H519" s="1058"/>
      <c r="I519" s="1173"/>
    </row>
    <row r="520" spans="1:9" ht="15.75" outlineLevel="1" x14ac:dyDescent="0.45">
      <c r="B520" s="1394" t="s">
        <v>1828</v>
      </c>
      <c r="C520" s="1392" t="s">
        <v>4652</v>
      </c>
      <c r="D520" s="1392" t="s">
        <v>1829</v>
      </c>
      <c r="E520" s="1392">
        <f>(((X_PHA)/(X_PAO))/((X_PHA)/(X_PAO)+(K_PHA)))</f>
        <v>0.8214285714285714</v>
      </c>
      <c r="F520" s="1392" t="s">
        <v>283</v>
      </c>
      <c r="G520" s="1392">
        <v>2</v>
      </c>
      <c r="H520" s="1058"/>
      <c r="I520" s="1173"/>
    </row>
    <row r="521" spans="1:9" ht="15.75" outlineLevel="1" x14ac:dyDescent="0.45">
      <c r="B521" s="1394" t="s">
        <v>4653</v>
      </c>
      <c r="C521" s="1392" t="s">
        <v>4654</v>
      </c>
      <c r="D521" s="1392" t="s">
        <v>4655</v>
      </c>
      <c r="E521" s="1392">
        <f>(((K_PHA_cle))/((X_PHA)/(X_PAO)+(K_PHA_cle)))</f>
        <v>0.68493150684931503</v>
      </c>
      <c r="F521" s="1392" t="s">
        <v>283</v>
      </c>
      <c r="G521" s="1392">
        <v>2</v>
      </c>
      <c r="H521" s="1058"/>
      <c r="I521" s="1173"/>
    </row>
    <row r="522" spans="1:9" ht="15.75" outlineLevel="1" x14ac:dyDescent="0.45">
      <c r="B522" s="1394" t="s">
        <v>4656</v>
      </c>
      <c r="C522" s="1392" t="s">
        <v>4657</v>
      </c>
      <c r="D522" s="1392" t="s">
        <v>4658</v>
      </c>
      <c r="E522" s="1392">
        <f>(((K_STC))/((X_STC)/(X_CASTO)+(K_STC)))</f>
        <v>0.68493150684931503</v>
      </c>
      <c r="F522" s="1392" t="s">
        <v>283</v>
      </c>
      <c r="G522" s="1392">
        <v>2</v>
      </c>
      <c r="H522" s="1058"/>
      <c r="I522" s="1173"/>
    </row>
    <row r="523" spans="1:9" ht="15.75" outlineLevel="1" x14ac:dyDescent="0.45">
      <c r="B523" s="1394" t="s">
        <v>2248</v>
      </c>
      <c r="C523" s="1392" t="s">
        <v>4659</v>
      </c>
      <c r="D523" s="1392" t="s">
        <v>2249</v>
      </c>
      <c r="E523" s="1392">
        <f>(((K_PP))/((X_PP)/(X_PAO)+(K_PP)))</f>
        <v>6.7567567567567571E-2</v>
      </c>
      <c r="F523" s="1392" t="s">
        <v>283</v>
      </c>
      <c r="G523" s="1392">
        <v>2</v>
      </c>
      <c r="H523" s="1058"/>
      <c r="I523" s="1173"/>
    </row>
    <row r="524" spans="1:9" ht="15.75" outlineLevel="1" x14ac:dyDescent="0.45">
      <c r="B524" s="1394" t="s">
        <v>2158</v>
      </c>
      <c r="C524" s="1392" t="s">
        <v>4660</v>
      </c>
      <c r="D524" s="1392" t="s">
        <v>2145</v>
      </c>
      <c r="E524" s="1392">
        <f>(((X_PP)/(X_PAO))/((X_PP)/(X_PAO)+(K_PP)))</f>
        <v>0.93243243243243235</v>
      </c>
      <c r="F524" s="1392" t="s">
        <v>283</v>
      </c>
      <c r="G524" s="1392">
        <v>2</v>
      </c>
      <c r="H524" s="1058"/>
      <c r="I524" s="1173"/>
    </row>
    <row r="525" spans="1:9" ht="15.75" outlineLevel="1" x14ac:dyDescent="0.45">
      <c r="B525" s="1394" t="s">
        <v>1816</v>
      </c>
      <c r="C525" s="1392" t="s">
        <v>2837</v>
      </c>
      <c r="D525" s="1392" t="s">
        <v>1817</v>
      </c>
      <c r="E525" s="1392">
        <f>((S_Ca)/((K_Ca_PAO)+(S_Ca)))</f>
        <v>0.9999933333777774</v>
      </c>
      <c r="F525" s="1392" t="s">
        <v>283</v>
      </c>
      <c r="G525" s="1392">
        <v>2</v>
      </c>
      <c r="H525" s="1058"/>
      <c r="I525" s="1173"/>
    </row>
    <row r="526" spans="1:9" ht="15.75" outlineLevel="1" x14ac:dyDescent="0.45">
      <c r="B526" s="1394" t="s">
        <v>1820</v>
      </c>
      <c r="C526" s="1392" t="s">
        <v>2838</v>
      </c>
      <c r="D526" s="1392" t="s">
        <v>1821</v>
      </c>
      <c r="E526" s="1392">
        <f>((S_K)/((K_K_PAO)+(S_K)))</f>
        <v>0.9999333377774815</v>
      </c>
      <c r="F526" s="1392" t="s">
        <v>283</v>
      </c>
      <c r="G526" s="1392">
        <v>2</v>
      </c>
      <c r="H526" s="1058"/>
      <c r="I526" s="1173"/>
    </row>
    <row r="527" spans="1:9" ht="15.75" outlineLevel="1" x14ac:dyDescent="0.45">
      <c r="B527" s="1394" t="s">
        <v>1818</v>
      </c>
      <c r="C527" s="1392" t="s">
        <v>2839</v>
      </c>
      <c r="D527" s="1392" t="s">
        <v>1819</v>
      </c>
      <c r="E527" s="1392">
        <f>((S_Mg)/((K_Mg_PAO)+(S_Mg)))</f>
        <v>0.9999333377774815</v>
      </c>
      <c r="F527" s="1392" t="s">
        <v>283</v>
      </c>
      <c r="G527" s="1392">
        <v>2</v>
      </c>
      <c r="H527" s="1058"/>
      <c r="I527" s="1173"/>
    </row>
    <row r="528" spans="1:9" s="1616" customFormat="1" ht="15.75" outlineLevel="1" x14ac:dyDescent="0.45">
      <c r="A528" s="115"/>
      <c r="B528" s="1447" t="s">
        <v>4661</v>
      </c>
      <c r="C528" s="1392" t="s">
        <v>4662</v>
      </c>
      <c r="D528" s="1448" t="s">
        <v>4663</v>
      </c>
      <c r="E528" s="1449">
        <f>((S_NO2)/((K_NO2_CASTO)+(S_NO2)))</f>
        <v>0.66666666666666663</v>
      </c>
      <c r="F528" s="1448" t="s">
        <v>283</v>
      </c>
      <c r="G528" s="1448">
        <v>2</v>
      </c>
      <c r="H528" s="1307"/>
      <c r="I528" s="1721"/>
    </row>
    <row r="529" spans="1:9" s="1046" customFormat="1" ht="15.75" outlineLevel="1" x14ac:dyDescent="0.45">
      <c r="A529" s="115"/>
      <c r="B529" s="1447" t="s">
        <v>4664</v>
      </c>
      <c r="C529" s="1392" t="s">
        <v>4665</v>
      </c>
      <c r="D529" s="1448" t="s">
        <v>4666</v>
      </c>
      <c r="E529" s="1449">
        <f>((S_NO3)/((K_NO3_CASTO)+(S_NO3)))</f>
        <v>0.98039215686274517</v>
      </c>
      <c r="F529" s="1448" t="s">
        <v>283</v>
      </c>
      <c r="G529" s="1448">
        <v>2</v>
      </c>
      <c r="H529" s="1307"/>
      <c r="I529" s="1721"/>
    </row>
    <row r="530" spans="1:9" ht="15.75" outlineLevel="1" x14ac:dyDescent="0.45">
      <c r="B530" s="1394" t="s">
        <v>4667</v>
      </c>
      <c r="C530" s="1392" t="s">
        <v>4668</v>
      </c>
      <c r="D530" s="1392" t="s">
        <v>4669</v>
      </c>
      <c r="E530" s="1392">
        <f>((S_O2)/((K_O2_CASTO)+(S_O2)))</f>
        <v>0.97560975609756106</v>
      </c>
      <c r="F530" s="1392" t="s">
        <v>283</v>
      </c>
      <c r="G530" s="1392">
        <v>2</v>
      </c>
      <c r="H530" s="1058"/>
      <c r="I530" s="1173"/>
    </row>
    <row r="531" spans="1:9" ht="15.75" outlineLevel="1" x14ac:dyDescent="0.45">
      <c r="B531" s="1394" t="s">
        <v>4670</v>
      </c>
      <c r="C531" s="1392" t="s">
        <v>4671</v>
      </c>
      <c r="D531" s="1881" t="s">
        <v>5074</v>
      </c>
      <c r="E531" s="1881">
        <f>((S_PO4)/((S_PO4)+(K_PO4_PAO)*EXP(((K_PO4_PAO)-(S_PO4))*(L_ogslopePO4_PAO_sat))))</f>
        <v>0.99228953824191124</v>
      </c>
      <c r="F531" s="1392" t="s">
        <v>283</v>
      </c>
      <c r="G531" s="1392">
        <v>2</v>
      </c>
      <c r="H531" s="1058"/>
      <c r="I531" s="1173"/>
    </row>
    <row r="532" spans="1:9" ht="15.75" outlineLevel="1" x14ac:dyDescent="0.45">
      <c r="B532" s="1394" t="s">
        <v>1814</v>
      </c>
      <c r="C532" s="1392" t="s">
        <v>2840</v>
      </c>
      <c r="D532" s="1392" t="s">
        <v>1815</v>
      </c>
      <c r="E532" s="1392">
        <f>((S_PO4)/((K_PO4_PAO)+(S_PO4)))</f>
        <v>0.625</v>
      </c>
      <c r="F532" s="1392" t="s">
        <v>283</v>
      </c>
      <c r="G532" s="1392">
        <v>2</v>
      </c>
      <c r="H532" s="1058"/>
      <c r="I532" s="1173"/>
    </row>
    <row r="533" spans="1:9" ht="15.75" outlineLevel="1" x14ac:dyDescent="0.45">
      <c r="B533" s="1394" t="s">
        <v>4672</v>
      </c>
      <c r="C533" s="1392" t="s">
        <v>4673</v>
      </c>
      <c r="D533" s="1392" t="s">
        <v>4674</v>
      </c>
      <c r="E533" s="1392">
        <f>((S_VFA)/((K_VFA_CASTO)+(S_VFA)))</f>
        <v>1.9960079840319364E-3</v>
      </c>
      <c r="F533" s="1392" t="s">
        <v>283</v>
      </c>
      <c r="G533" s="1392">
        <v>2</v>
      </c>
      <c r="H533" s="1058"/>
      <c r="I533" s="1173"/>
    </row>
    <row r="534" spans="1:9" ht="15.75" outlineLevel="1" x14ac:dyDescent="0.45">
      <c r="B534" s="1394" t="s">
        <v>4675</v>
      </c>
      <c r="C534" s="1392" t="s">
        <v>4676</v>
      </c>
      <c r="D534" s="1881" t="s">
        <v>5075</v>
      </c>
      <c r="E534" s="1881">
        <f>((X_PP)/((X_PP)+(K_PO4_PAO)*EXP(((K_PO4_PAO)-(X_PP))*(L_ogslopePP_PAO_sat))))</f>
        <v>1</v>
      </c>
      <c r="F534" s="1392" t="s">
        <v>283</v>
      </c>
      <c r="G534" s="1392">
        <v>2</v>
      </c>
      <c r="H534" s="1058"/>
      <c r="I534" s="1173"/>
    </row>
    <row r="535" spans="1:9" ht="15.75" outlineLevel="1" x14ac:dyDescent="0.45">
      <c r="B535" s="1394" t="s">
        <v>2146</v>
      </c>
      <c r="C535" s="1392" t="s">
        <v>2841</v>
      </c>
      <c r="D535" s="1392" t="s">
        <v>2147</v>
      </c>
      <c r="E535" s="1392">
        <f>((X_PP)/((K_PP_lim)+(X_PP)))</f>
        <v>0.99996666777774068</v>
      </c>
      <c r="F535" s="1392" t="s">
        <v>283</v>
      </c>
      <c r="G535" s="1392">
        <v>2</v>
      </c>
      <c r="H535" s="1058"/>
      <c r="I535" s="1173"/>
    </row>
    <row r="536" spans="1:9" ht="15.75" outlineLevel="1" x14ac:dyDescent="0.45">
      <c r="B536" s="1394" t="s">
        <v>2177</v>
      </c>
      <c r="C536" s="1392" t="s">
        <v>4677</v>
      </c>
      <c r="D536" s="1881" t="s">
        <v>5076</v>
      </c>
      <c r="E536" s="1882">
        <f>(1-(X_PHA/X_PAO)/((X_PHA/X_PAO)+(K_iPHA_PAO_max)*EXP(((K_iPHA_PAO_max)-(X_PHA/X_PAO))*(L_ogslopePHA_PAO_inh))))</f>
        <v>1</v>
      </c>
      <c r="F536" s="1392" t="s">
        <v>283</v>
      </c>
      <c r="G536" s="1392">
        <v>2</v>
      </c>
      <c r="H536" s="1058"/>
      <c r="I536" s="1173"/>
    </row>
    <row r="537" spans="1:9" ht="15.75" outlineLevel="1" x14ac:dyDescent="0.45">
      <c r="B537" s="1394" t="s">
        <v>2178</v>
      </c>
      <c r="C537" s="1392" t="s">
        <v>4678</v>
      </c>
      <c r="D537" s="1881" t="s">
        <v>5077</v>
      </c>
      <c r="E537" s="1882">
        <f>(1-(X_PP/X_PAO)/((X_PP/X_PAO)+(K_iPP_PAO_max)*EXP(((K_iPP_PAO_max)-(X_PP/X_PAO))*(L_ogslopePP_PAO_inh))))</f>
        <v>0.99999999945571982</v>
      </c>
      <c r="F537" s="1392" t="s">
        <v>283</v>
      </c>
      <c r="G537" s="1392">
        <v>2</v>
      </c>
      <c r="H537" s="1058"/>
      <c r="I537" s="1173"/>
    </row>
    <row r="538" spans="1:9" ht="15.75" outlineLevel="1" x14ac:dyDescent="0.45">
      <c r="B538" s="1030" t="s">
        <v>2179</v>
      </c>
      <c r="C538" s="1450" t="s">
        <v>4679</v>
      </c>
      <c r="D538" s="1861" t="s">
        <v>5078</v>
      </c>
      <c r="E538" s="1883">
        <f>(1-(X_GLY/X_GAO)/((X_GLY/X_GAO)+(K_iGLY_GAO_max)*EXP(((K_iGLY_GAO_max)-(X_GLY/X_GAO))*(L_ogslopeGLY_GAO_inh))))</f>
        <v>1</v>
      </c>
      <c r="F538" s="1450" t="s">
        <v>283</v>
      </c>
      <c r="G538" s="1450">
        <v>2</v>
      </c>
      <c r="H538" s="1124"/>
      <c r="I538" s="1175"/>
    </row>
    <row r="539" spans="1:9" ht="15.75" outlineLevel="1" x14ac:dyDescent="0.45">
      <c r="B539" s="1030" t="s">
        <v>2172</v>
      </c>
      <c r="C539" s="1450" t="s">
        <v>2843</v>
      </c>
      <c r="D539" s="1450" t="s">
        <v>2173</v>
      </c>
      <c r="E539" s="1450">
        <f>(((K_GLY))/((X_GLY)/(X_GAO)+(K_GLY)))</f>
        <v>0.52083333333333337</v>
      </c>
      <c r="F539" s="1450" t="s">
        <v>283</v>
      </c>
      <c r="G539" s="1450">
        <v>2</v>
      </c>
      <c r="H539" s="1124"/>
      <c r="I539" s="1175"/>
    </row>
    <row r="540" spans="1:9" ht="15.75" outlineLevel="1" x14ac:dyDescent="0.45">
      <c r="B540" s="1030" t="s">
        <v>2149</v>
      </c>
      <c r="C540" s="1450" t="s">
        <v>2842</v>
      </c>
      <c r="D540" s="1450" t="s">
        <v>2150</v>
      </c>
      <c r="E540" s="1450">
        <f>(((X_GLY)/(X_GAO))/((X_GLY)/(X_GAO)+(K_GLY)))</f>
        <v>0.47916666666666663</v>
      </c>
      <c r="F540" s="1450" t="s">
        <v>283</v>
      </c>
      <c r="G540" s="1450">
        <v>2</v>
      </c>
      <c r="H540" s="1124"/>
      <c r="I540" s="1175"/>
    </row>
    <row r="541" spans="1:9" ht="15.75" outlineLevel="1" x14ac:dyDescent="0.45">
      <c r="B541" s="1451" t="s">
        <v>1833</v>
      </c>
      <c r="C541" s="1411" t="s">
        <v>2844</v>
      </c>
      <c r="D541" s="1409" t="s">
        <v>4856</v>
      </c>
      <c r="E541" s="1409">
        <f>((K_NOx_AMETO)/((K_NOx_AMETO)+(S_NOx)))</f>
        <v>9.7087378640776708E-3</v>
      </c>
      <c r="F541" s="1409" t="s">
        <v>283</v>
      </c>
      <c r="G541" s="1409">
        <v>2</v>
      </c>
      <c r="H541" s="1157"/>
      <c r="I541" s="1246"/>
    </row>
    <row r="542" spans="1:9" ht="15.75" outlineLevel="1" x14ac:dyDescent="0.45">
      <c r="B542" s="1451" t="s">
        <v>3601</v>
      </c>
      <c r="C542" s="1411" t="s">
        <v>2845</v>
      </c>
      <c r="D542" s="1409" t="s">
        <v>3602</v>
      </c>
      <c r="E542" s="1409">
        <f>((K_iO2_AMETO)/((K_iO2_AMETO)+(S_O2)))</f>
        <v>2.4390243902439029E-2</v>
      </c>
      <c r="F542" s="1409" t="s">
        <v>283</v>
      </c>
      <c r="G542" s="1409">
        <v>2</v>
      </c>
      <c r="H542" s="1157"/>
      <c r="I542" s="1246"/>
    </row>
    <row r="543" spans="1:9" ht="15.75" outlineLevel="1" x14ac:dyDescent="0.45">
      <c r="B543" s="1451" t="s">
        <v>1822</v>
      </c>
      <c r="C543" s="1411" t="s">
        <v>2846</v>
      </c>
      <c r="D543" s="1452" t="s">
        <v>4857</v>
      </c>
      <c r="E543" s="1409">
        <f>((S_NOx)/((K_NOx_AMETO)+(S_NOx)))</f>
        <v>0.99029126213592233</v>
      </c>
      <c r="F543" s="1409" t="s">
        <v>283</v>
      </c>
      <c r="G543" s="1409">
        <v>2</v>
      </c>
      <c r="H543" s="1157"/>
      <c r="I543" s="1246"/>
    </row>
    <row r="544" spans="1:9" ht="15.75" outlineLevel="1" x14ac:dyDescent="0.45">
      <c r="B544" s="1451" t="s">
        <v>3603</v>
      </c>
      <c r="C544" s="1411" t="s">
        <v>2847</v>
      </c>
      <c r="D544" s="1409" t="s">
        <v>3604</v>
      </c>
      <c r="E544" s="1409">
        <f>((S_O2)/((K_iO2_AMETO)+(S_O2)))</f>
        <v>0.97560975609756106</v>
      </c>
      <c r="F544" s="1409" t="s">
        <v>283</v>
      </c>
      <c r="G544" s="1409">
        <v>2</v>
      </c>
      <c r="H544" s="1157"/>
      <c r="I544" s="1246"/>
    </row>
    <row r="545" spans="1:9" ht="15.75" outlineLevel="1" x14ac:dyDescent="0.45">
      <c r="B545" s="1451" t="s">
        <v>2008</v>
      </c>
      <c r="C545" s="1411" t="s">
        <v>2848</v>
      </c>
      <c r="D545" s="1411" t="s">
        <v>2854</v>
      </c>
      <c r="E545" s="1409">
        <f>((S_VFA)/((K_VFA_AMETO)+(S_VFA)+((S_VFA)^2/(K_iVFA_AMETO))))</f>
        <v>2.4999375015562114E-5</v>
      </c>
      <c r="F545" s="1409" t="s">
        <v>283</v>
      </c>
      <c r="G545" s="1409">
        <v>2</v>
      </c>
      <c r="H545" s="1157"/>
      <c r="I545" s="1246"/>
    </row>
    <row r="546" spans="1:9" ht="15.75" outlineLevel="1" x14ac:dyDescent="0.45">
      <c r="B546" s="1453" t="s">
        <v>1834</v>
      </c>
      <c r="C546" s="1454" t="s">
        <v>2849</v>
      </c>
      <c r="D546" s="1455" t="s">
        <v>4858</v>
      </c>
      <c r="E546" s="1455">
        <f>((K_NOx_HMETO)/((K_NOx_HMETO)+(S_NOx)))</f>
        <v>9.7087378640776708E-3</v>
      </c>
      <c r="F546" s="1455" t="s">
        <v>283</v>
      </c>
      <c r="G546" s="1455">
        <v>2</v>
      </c>
      <c r="H546" s="1635"/>
      <c r="I546" s="1456"/>
    </row>
    <row r="547" spans="1:9" ht="15.75" outlineLevel="1" x14ac:dyDescent="0.45">
      <c r="B547" s="1453" t="s">
        <v>3605</v>
      </c>
      <c r="C547" s="1454" t="s">
        <v>2850</v>
      </c>
      <c r="D547" s="1455" t="s">
        <v>3606</v>
      </c>
      <c r="E547" s="1455">
        <f>((K_iO2_HMETO)/((K_iO2_HMETO)+(S_O2)))</f>
        <v>2.4390243902439029E-2</v>
      </c>
      <c r="F547" s="1455" t="s">
        <v>283</v>
      </c>
      <c r="G547" s="1455">
        <v>2</v>
      </c>
      <c r="H547" s="1635"/>
      <c r="I547" s="1456"/>
    </row>
    <row r="548" spans="1:9" ht="15.75" outlineLevel="1" x14ac:dyDescent="0.45">
      <c r="B548" s="1453" t="s">
        <v>1826</v>
      </c>
      <c r="C548" s="1454" t="s">
        <v>2851</v>
      </c>
      <c r="D548" s="1455" t="s">
        <v>1827</v>
      </c>
      <c r="E548" s="1455">
        <f>((S_H2)/((K_H2_HMETO)+(S_H2)))</f>
        <v>9.0909090909090912E-2</v>
      </c>
      <c r="F548" s="1455" t="s">
        <v>283</v>
      </c>
      <c r="G548" s="1455">
        <v>2</v>
      </c>
      <c r="H548" s="1635"/>
      <c r="I548" s="1456"/>
    </row>
    <row r="549" spans="1:9" ht="15.75" outlineLevel="1" x14ac:dyDescent="0.45">
      <c r="B549" s="1453" t="s">
        <v>1823</v>
      </c>
      <c r="C549" s="1454" t="s">
        <v>2852</v>
      </c>
      <c r="D549" s="1457" t="s">
        <v>4859</v>
      </c>
      <c r="E549" s="1455">
        <f>((S_NOx)/((K_NOx_HMETO)+(S_NOx)))</f>
        <v>0.99029126213592233</v>
      </c>
      <c r="F549" s="1455" t="s">
        <v>283</v>
      </c>
      <c r="G549" s="1455">
        <v>2</v>
      </c>
      <c r="H549" s="1635"/>
      <c r="I549" s="1456"/>
    </row>
    <row r="550" spans="1:9" ht="15.75" outlineLevel="1" x14ac:dyDescent="0.45">
      <c r="B550" s="1453" t="s">
        <v>3608</v>
      </c>
      <c r="C550" s="1454" t="s">
        <v>2853</v>
      </c>
      <c r="D550" s="1455" t="s">
        <v>3607</v>
      </c>
      <c r="E550" s="1455">
        <f>((S_O2)/((K_iO2_HMETO)+(S_O2)))</f>
        <v>0.97560975609756106</v>
      </c>
      <c r="F550" s="1455" t="s">
        <v>283</v>
      </c>
      <c r="G550" s="1455">
        <v>2</v>
      </c>
      <c r="H550" s="1635"/>
      <c r="I550" s="1456"/>
    </row>
    <row r="551" spans="1:9" s="4" customFormat="1" ht="15.75" outlineLevel="1" x14ac:dyDescent="0.45">
      <c r="A551" s="124"/>
      <c r="B551" s="2647" t="s">
        <v>5610</v>
      </c>
      <c r="C551" s="2642" t="s">
        <v>5611</v>
      </c>
      <c r="D551" s="2643" t="s">
        <v>5612</v>
      </c>
      <c r="E551" s="2644">
        <f>((K_iH2S_ASRO)/((K_iH2S_ASRO)+(S_H2S)))</f>
        <v>0.99999500002499986</v>
      </c>
      <c r="F551" s="2646" t="s">
        <v>283</v>
      </c>
      <c r="G551" s="2646">
        <v>2</v>
      </c>
      <c r="H551" s="2645"/>
      <c r="I551" s="2314"/>
    </row>
    <row r="552" spans="1:9" s="124" customFormat="1" ht="15.75" outlineLevel="1" x14ac:dyDescent="0.45">
      <c r="B552" s="2647" t="s">
        <v>5613</v>
      </c>
      <c r="C552" s="2642" t="s">
        <v>5614</v>
      </c>
      <c r="D552" s="2643" t="s">
        <v>5615</v>
      </c>
      <c r="E552" s="2644">
        <f>((S_NOx)/((K_NOx_ASRO)+(S_NOx)))</f>
        <v>0.99029126213592233</v>
      </c>
      <c r="F552" s="2646" t="s">
        <v>283</v>
      </c>
      <c r="G552" s="2646">
        <v>2</v>
      </c>
      <c r="H552" s="2645"/>
      <c r="I552" s="2314"/>
    </row>
    <row r="553" spans="1:9" s="124" customFormat="1" ht="15.75" outlineLevel="1" x14ac:dyDescent="0.45">
      <c r="B553" s="2647" t="s">
        <v>5616</v>
      </c>
      <c r="C553" s="2642" t="s">
        <v>5617</v>
      </c>
      <c r="D553" s="2643" t="s">
        <v>5618</v>
      </c>
      <c r="E553" s="2644">
        <f>((K_NOx_ASRO)/((K_NOx_ASRO)+(S_NOx)))</f>
        <v>9.7087378640776708E-3</v>
      </c>
      <c r="F553" s="2646" t="s">
        <v>283</v>
      </c>
      <c r="G553" s="2646">
        <v>2</v>
      </c>
      <c r="H553" s="2645"/>
      <c r="I553" s="2314"/>
    </row>
    <row r="554" spans="1:9" s="4" customFormat="1" ht="15.75" outlineLevel="1" x14ac:dyDescent="0.45">
      <c r="A554" s="124"/>
      <c r="B554" s="2647" t="s">
        <v>5619</v>
      </c>
      <c r="C554" s="2642" t="s">
        <v>5620</v>
      </c>
      <c r="D554" s="2643" t="s">
        <v>5621</v>
      </c>
      <c r="E554" s="2644">
        <f>((S_O2)/((K_iO2_ASRO)+(S_O2)))</f>
        <v>0.97560975609756106</v>
      </c>
      <c r="F554" s="2646" t="s">
        <v>283</v>
      </c>
      <c r="G554" s="2646">
        <v>2</v>
      </c>
      <c r="H554" s="2645"/>
      <c r="I554" s="2314"/>
    </row>
    <row r="555" spans="1:9" s="4" customFormat="1" ht="15.75" outlineLevel="1" x14ac:dyDescent="0.45">
      <c r="A555" s="124"/>
      <c r="B555" s="2647" t="s">
        <v>5622</v>
      </c>
      <c r="C555" s="2642" t="s">
        <v>5623</v>
      </c>
      <c r="D555" s="2643" t="s">
        <v>5624</v>
      </c>
      <c r="E555" s="2644">
        <f>((K_iO2_ASRO)/((K_iO2_ASRO)+(S_O2)))</f>
        <v>2.4390243902439029E-2</v>
      </c>
      <c r="F555" s="2646" t="s">
        <v>283</v>
      </c>
      <c r="G555" s="2646">
        <v>2</v>
      </c>
      <c r="H555" s="2645"/>
      <c r="I555" s="2314"/>
    </row>
    <row r="556" spans="1:9" s="124" customFormat="1" ht="15.75" outlineLevel="1" x14ac:dyDescent="0.45">
      <c r="B556" s="2647" t="s">
        <v>5625</v>
      </c>
      <c r="C556" s="2642" t="s">
        <v>5626</v>
      </c>
      <c r="D556" s="2643" t="s">
        <v>5627</v>
      </c>
      <c r="E556" s="2644">
        <f>((S_SO4)/((K_SO4_ASRO)+(S_SO4)))</f>
        <v>0.47222222222222221</v>
      </c>
      <c r="F556" s="2646" t="s">
        <v>283</v>
      </c>
      <c r="G556" s="2646">
        <v>2</v>
      </c>
      <c r="H556" s="2645"/>
      <c r="I556" s="2314"/>
    </row>
    <row r="557" spans="1:9" s="2524" customFormat="1" ht="15.75" outlineLevel="1" x14ac:dyDescent="0.45">
      <c r="A557" s="124"/>
      <c r="B557" s="2647" t="s">
        <v>5628</v>
      </c>
      <c r="C557" s="2643" t="s">
        <v>5629</v>
      </c>
      <c r="D557" s="2643" t="s">
        <v>5630</v>
      </c>
      <c r="E557" s="2644">
        <f>((S_VFA)/((K_VFA_ASRO)+(S_VFA)))</f>
        <v>9.9990000999900002E-5</v>
      </c>
      <c r="F557" s="2646" t="s">
        <v>283</v>
      </c>
      <c r="G557" s="2646">
        <v>2</v>
      </c>
      <c r="H557" s="2645"/>
      <c r="I557" s="2314"/>
    </row>
    <row r="558" spans="1:9" s="4" customFormat="1" ht="15.75" outlineLevel="1" x14ac:dyDescent="0.45">
      <c r="A558" s="124"/>
      <c r="B558" s="2667" t="s">
        <v>5631</v>
      </c>
      <c r="C558" s="2668" t="s">
        <v>5632</v>
      </c>
      <c r="D558" s="2708" t="s">
        <v>5633</v>
      </c>
      <c r="E558" s="2709">
        <f>((K_iH2S_HSRO)/((K_iH2S_HSRO)+(S_H2S)))</f>
        <v>0.99999500002499986</v>
      </c>
      <c r="F558" s="2670" t="s">
        <v>283</v>
      </c>
      <c r="G558" s="2670">
        <v>2</v>
      </c>
      <c r="H558" s="2669"/>
      <c r="I558" s="2329"/>
    </row>
    <row r="559" spans="1:9" s="124" customFormat="1" ht="15.75" outlineLevel="1" x14ac:dyDescent="0.45">
      <c r="B559" s="2667" t="s">
        <v>5634</v>
      </c>
      <c r="C559" s="2668" t="s">
        <v>5635</v>
      </c>
      <c r="D559" s="2708" t="s">
        <v>5636</v>
      </c>
      <c r="E559" s="2709">
        <f>((S_NOx)/((K_NOx_HSRO)+(S_NOx)))</f>
        <v>0.99029126213592233</v>
      </c>
      <c r="F559" s="2670" t="s">
        <v>283</v>
      </c>
      <c r="G559" s="2670">
        <v>2</v>
      </c>
      <c r="H559" s="2669"/>
      <c r="I559" s="2329"/>
    </row>
    <row r="560" spans="1:9" s="124" customFormat="1" ht="15.75" outlineLevel="1" x14ac:dyDescent="0.45">
      <c r="B560" s="2667" t="s">
        <v>5637</v>
      </c>
      <c r="C560" s="2668" t="s">
        <v>5638</v>
      </c>
      <c r="D560" s="2708" t="s">
        <v>5639</v>
      </c>
      <c r="E560" s="2709">
        <f>((K_NOx_HSRO)/((K_NOx_HSRO)+(S_NOx)))</f>
        <v>9.7087378640776708E-3</v>
      </c>
      <c r="F560" s="2670" t="s">
        <v>283</v>
      </c>
      <c r="G560" s="2670">
        <v>2</v>
      </c>
      <c r="H560" s="2669"/>
      <c r="I560" s="2329"/>
    </row>
    <row r="561" spans="1:9" s="124" customFormat="1" ht="15.75" outlineLevel="1" x14ac:dyDescent="0.45">
      <c r="B561" s="2667" t="s">
        <v>5640</v>
      </c>
      <c r="C561" s="2668" t="s">
        <v>5641</v>
      </c>
      <c r="D561" s="2708" t="s">
        <v>5642</v>
      </c>
      <c r="E561" s="2709">
        <f>((S_O2)/((K_iO2_HSRO)+(S_O2)))</f>
        <v>0.97560975609756106</v>
      </c>
      <c r="F561" s="2670" t="s">
        <v>283</v>
      </c>
      <c r="G561" s="2670">
        <v>2</v>
      </c>
      <c r="H561" s="2669"/>
      <c r="I561" s="2329"/>
    </row>
    <row r="562" spans="1:9" s="124" customFormat="1" ht="15.75" outlineLevel="1" x14ac:dyDescent="0.45">
      <c r="B562" s="2667" t="s">
        <v>5643</v>
      </c>
      <c r="C562" s="2668" t="s">
        <v>5644</v>
      </c>
      <c r="D562" s="2708" t="s">
        <v>5645</v>
      </c>
      <c r="E562" s="2709">
        <f>((K_iO2_HSRO)/((K_iO2_HSRO)+(S_O2)))</f>
        <v>2.4390243902439029E-2</v>
      </c>
      <c r="F562" s="2670" t="s">
        <v>283</v>
      </c>
      <c r="G562" s="2670">
        <v>2</v>
      </c>
      <c r="H562" s="2669"/>
      <c r="I562" s="2329"/>
    </row>
    <row r="563" spans="1:9" s="124" customFormat="1" ht="15.75" outlineLevel="1" x14ac:dyDescent="0.45">
      <c r="B563" s="2667" t="s">
        <v>5646</v>
      </c>
      <c r="C563" s="2668" t="s">
        <v>5647</v>
      </c>
      <c r="D563" s="2708" t="s">
        <v>5648</v>
      </c>
      <c r="E563" s="2709">
        <f>((S_H2)/((K_H2_HSRO)+(S_H2)))</f>
        <v>0.625</v>
      </c>
      <c r="F563" s="2670" t="s">
        <v>283</v>
      </c>
      <c r="G563" s="2670">
        <v>2</v>
      </c>
      <c r="H563" s="2669"/>
      <c r="I563" s="2329"/>
    </row>
    <row r="564" spans="1:9" s="124" customFormat="1" ht="15.75" outlineLevel="1" x14ac:dyDescent="0.45">
      <c r="B564" s="2667" t="s">
        <v>5649</v>
      </c>
      <c r="C564" s="2668" t="s">
        <v>5650</v>
      </c>
      <c r="D564" s="2708" t="s">
        <v>5651</v>
      </c>
      <c r="E564" s="2709">
        <f>((S_SO4)/((K_SO4_HSRO)+(S_SO4)))</f>
        <v>0.47222222222222221</v>
      </c>
      <c r="F564" s="2670" t="s">
        <v>283</v>
      </c>
      <c r="G564" s="2670">
        <v>2</v>
      </c>
      <c r="H564" s="2669"/>
      <c r="I564" s="2329"/>
    </row>
    <row r="565" spans="1:9" s="4" customFormat="1" ht="15.75" outlineLevel="1" x14ac:dyDescent="0.45">
      <c r="A565" s="124"/>
      <c r="B565" s="2681" t="s">
        <v>5652</v>
      </c>
      <c r="C565" s="2682" t="s">
        <v>5653</v>
      </c>
      <c r="D565" s="2710" t="s">
        <v>5654</v>
      </c>
      <c r="E565" s="2693">
        <f>((S_H2S)/((K_H2S_SOO)+(S_H2S)+((S_H2S)^2/(K_iH2S_SOO))))</f>
        <v>9.9009778453244494E-3</v>
      </c>
      <c r="F565" s="2685" t="s">
        <v>283</v>
      </c>
      <c r="G565" s="2685">
        <v>2</v>
      </c>
      <c r="H565" s="2684"/>
      <c r="I565" s="2348"/>
    </row>
    <row r="566" spans="1:9" s="4" customFormat="1" ht="15.75" outlineLevel="1" x14ac:dyDescent="0.45">
      <c r="A566" s="124"/>
      <c r="B566" s="2681" t="s">
        <v>5655</v>
      </c>
      <c r="C566" s="2682" t="s">
        <v>5656</v>
      </c>
      <c r="D566" s="2710" t="s">
        <v>5657</v>
      </c>
      <c r="E566" s="2693">
        <f>((K_iH2S_SOO)/((K_iH2S_SOO)+(S_H2S)))</f>
        <v>0.99987501562304704</v>
      </c>
      <c r="F566" s="2685" t="s">
        <v>283</v>
      </c>
      <c r="G566" s="2685">
        <v>2</v>
      </c>
      <c r="H566" s="2684"/>
      <c r="I566" s="2348"/>
    </row>
    <row r="567" spans="1:9" s="2524" customFormat="1" ht="15.75" outlineLevel="1" x14ac:dyDescent="0.45">
      <c r="A567" s="124"/>
      <c r="B567" s="2681" t="s">
        <v>5658</v>
      </c>
      <c r="C567" s="2682" t="s">
        <v>5659</v>
      </c>
      <c r="D567" s="2710" t="s">
        <v>5660</v>
      </c>
      <c r="E567" s="2693">
        <f>((K_NO3_H2S_SOO)/((K_NO3_H2S_SOO)+(S_NO3)))</f>
        <v>1.9607843137254905E-2</v>
      </c>
      <c r="F567" s="2685" t="s">
        <v>283</v>
      </c>
      <c r="G567" s="2685">
        <v>2</v>
      </c>
      <c r="H567" s="2684"/>
      <c r="I567" s="2348"/>
    </row>
    <row r="568" spans="1:9" s="2524" customFormat="1" ht="15.75" outlineLevel="1" x14ac:dyDescent="0.45">
      <c r="A568" s="124"/>
      <c r="B568" s="2681" t="s">
        <v>5661</v>
      </c>
      <c r="C568" s="2682" t="s">
        <v>5662</v>
      </c>
      <c r="D568" s="2710" t="s">
        <v>5663</v>
      </c>
      <c r="E568" s="2693">
        <f>((K_NO2_H2S_SOO)/((K_NO2_H2S_SOO)+(S_NO2)))</f>
        <v>0.5</v>
      </c>
      <c r="F568" s="2685" t="s">
        <v>283</v>
      </c>
      <c r="G568" s="2685">
        <v>2</v>
      </c>
      <c r="H568" s="2684"/>
      <c r="I568" s="2348"/>
    </row>
    <row r="569" spans="1:9" s="124" customFormat="1" ht="15.75" outlineLevel="1" x14ac:dyDescent="0.45">
      <c r="B569" s="2681" t="s">
        <v>5664</v>
      </c>
      <c r="C569" s="2682" t="s">
        <v>5665</v>
      </c>
      <c r="D569" s="2710" t="s">
        <v>5666</v>
      </c>
      <c r="E569" s="2693">
        <f>((K_NO2_S_SOO)/((K_NO2_S_SOO)+(S_NO2)))</f>
        <v>0.66666666666666663</v>
      </c>
      <c r="F569" s="2685" t="s">
        <v>283</v>
      </c>
      <c r="G569" s="2685">
        <v>2</v>
      </c>
      <c r="H569" s="2684"/>
      <c r="I569" s="2348"/>
    </row>
    <row r="570" spans="1:9" s="124" customFormat="1" ht="15.75" outlineLevel="1" x14ac:dyDescent="0.45">
      <c r="B570" s="2681" t="s">
        <v>5667</v>
      </c>
      <c r="C570" s="2682" t="s">
        <v>5668</v>
      </c>
      <c r="D570" s="2710" t="s">
        <v>5669</v>
      </c>
      <c r="E570" s="2693">
        <f>((K_O2_H2S_SOO)/((K_O2_H2S_SOO)+(S_O2)))</f>
        <v>0.33333333333333331</v>
      </c>
      <c r="F570" s="2685" t="s">
        <v>283</v>
      </c>
      <c r="G570" s="2685">
        <v>2</v>
      </c>
      <c r="H570" s="2684"/>
      <c r="I570" s="2348"/>
    </row>
    <row r="571" spans="1:9" s="124" customFormat="1" ht="15.75" outlineLevel="1" x14ac:dyDescent="0.45">
      <c r="B571" s="2681" t="s">
        <v>5670</v>
      </c>
      <c r="C571" s="2682" t="s">
        <v>5671</v>
      </c>
      <c r="D571" s="2710" t="s">
        <v>5672</v>
      </c>
      <c r="E571" s="2693">
        <f>((K_O2_S_SOO)/((K_O2_S_SOO)+(S_O2)))</f>
        <v>0.5</v>
      </c>
      <c r="F571" s="2685" t="s">
        <v>283</v>
      </c>
      <c r="G571" s="2685">
        <v>2</v>
      </c>
      <c r="H571" s="2684"/>
      <c r="I571" s="2348"/>
    </row>
    <row r="572" spans="1:9" s="2524" customFormat="1" ht="15.75" outlineLevel="1" x14ac:dyDescent="0.45">
      <c r="A572" s="124"/>
      <c r="B572" s="2681" t="s">
        <v>5673</v>
      </c>
      <c r="C572" s="2682" t="s">
        <v>5674</v>
      </c>
      <c r="D572" s="2710" t="s">
        <v>5675</v>
      </c>
      <c r="E572" s="2693">
        <f>((S_NO2)/((K_NO2_H2S_SOO)+(S_NO2)))</f>
        <v>0.5</v>
      </c>
      <c r="F572" s="2685" t="s">
        <v>283</v>
      </c>
      <c r="G572" s="2685">
        <v>2</v>
      </c>
      <c r="H572" s="2684"/>
      <c r="I572" s="2348"/>
    </row>
    <row r="573" spans="1:9" s="2524" customFormat="1" ht="15.75" outlineLevel="1" x14ac:dyDescent="0.45">
      <c r="A573" s="124"/>
      <c r="B573" s="2681" t="s">
        <v>5676</v>
      </c>
      <c r="C573" s="2682" t="s">
        <v>5677</v>
      </c>
      <c r="D573" s="2710" t="s">
        <v>5678</v>
      </c>
      <c r="E573" s="2693">
        <f>((S_NO2)/((K_NO2_S_SOO)+(S_NO2)))</f>
        <v>0.33333333333333331</v>
      </c>
      <c r="F573" s="2685" t="s">
        <v>283</v>
      </c>
      <c r="G573" s="2685">
        <v>2</v>
      </c>
      <c r="H573" s="2684"/>
      <c r="I573" s="2348"/>
    </row>
    <row r="574" spans="1:9" s="2524" customFormat="1" ht="15.75" outlineLevel="1" x14ac:dyDescent="0.45">
      <c r="A574" s="124"/>
      <c r="B574" s="2681" t="s">
        <v>5679</v>
      </c>
      <c r="C574" s="2682" t="s">
        <v>5680</v>
      </c>
      <c r="D574" s="2710" t="s">
        <v>5681</v>
      </c>
      <c r="E574" s="2693">
        <f>((S_NO3)/((K_NO3_H2S_SOO)+(S_NO3)))</f>
        <v>0.98039215686274517</v>
      </c>
      <c r="F574" s="2685" t="s">
        <v>283</v>
      </c>
      <c r="G574" s="2685">
        <v>2</v>
      </c>
      <c r="H574" s="2684"/>
      <c r="I574" s="2348"/>
    </row>
    <row r="575" spans="1:9" s="124" customFormat="1" ht="15.75" outlineLevel="1" x14ac:dyDescent="0.45">
      <c r="B575" s="2681" t="s">
        <v>5682</v>
      </c>
      <c r="C575" s="2682" t="s">
        <v>5683</v>
      </c>
      <c r="D575" s="2710" t="s">
        <v>5684</v>
      </c>
      <c r="E575" s="2693">
        <f>((S_NO3)/((K_NO3_S_SOO)+(S_NO3)))</f>
        <v>0.96153846153846145</v>
      </c>
      <c r="F575" s="2685" t="s">
        <v>283</v>
      </c>
      <c r="G575" s="2685">
        <v>2</v>
      </c>
      <c r="H575" s="2684"/>
      <c r="I575" s="2348"/>
    </row>
    <row r="576" spans="1:9" s="124" customFormat="1" ht="15.75" outlineLevel="1" x14ac:dyDescent="0.45">
      <c r="B576" s="2681" t="s">
        <v>5685</v>
      </c>
      <c r="C576" s="2682" t="s">
        <v>5686</v>
      </c>
      <c r="D576" s="2710" t="s">
        <v>5687</v>
      </c>
      <c r="E576" s="2693">
        <f>((S_O2)/((K_O2_H2S_SOO)+(S_O2)))</f>
        <v>0.66666666666666663</v>
      </c>
      <c r="F576" s="2685" t="s">
        <v>283</v>
      </c>
      <c r="G576" s="2685">
        <v>2</v>
      </c>
      <c r="H576" s="2684"/>
      <c r="I576" s="2348"/>
    </row>
    <row r="577" spans="1:9" s="124" customFormat="1" ht="15.75" outlineLevel="1" x14ac:dyDescent="0.45">
      <c r="B577" s="2681" t="s">
        <v>5688</v>
      </c>
      <c r="C577" s="2682" t="s">
        <v>5686</v>
      </c>
      <c r="D577" s="2710" t="s">
        <v>5689</v>
      </c>
      <c r="E577" s="2693">
        <f>((S_O2)/((K_O2_S_SOO)+(S_O2)))</f>
        <v>0.5</v>
      </c>
      <c r="F577" s="2685" t="s">
        <v>283</v>
      </c>
      <c r="G577" s="2685">
        <v>2</v>
      </c>
      <c r="H577" s="2684"/>
      <c r="I577" s="2348"/>
    </row>
    <row r="578" spans="1:9" s="124" customFormat="1" ht="15.75" outlineLevel="1" x14ac:dyDescent="0.45">
      <c r="B578" s="2681" t="s">
        <v>5690</v>
      </c>
      <c r="C578" s="2682" t="s">
        <v>5691</v>
      </c>
      <c r="D578" s="2710" t="s">
        <v>5692</v>
      </c>
      <c r="E578" s="2693">
        <f>((X_S)/((K_S_SOO)+(X_S)))</f>
        <v>1.9607843137254902E-2</v>
      </c>
      <c r="F578" s="2685" t="s">
        <v>283</v>
      </c>
      <c r="G578" s="2685">
        <v>2</v>
      </c>
      <c r="H578" s="2684"/>
      <c r="I578" s="2348"/>
    </row>
    <row r="579" spans="1:9" ht="15.75" outlineLevel="1" x14ac:dyDescent="0.45">
      <c r="B579" s="1458" t="s">
        <v>2855</v>
      </c>
      <c r="C579" s="1459" t="s">
        <v>2996</v>
      </c>
      <c r="D579" s="1459" t="s">
        <v>2856</v>
      </c>
      <c r="E579" s="1460">
        <f>((K_iNHx_ASSIM)/((K_iNHx_ASSIM)+(S_NHx)))</f>
        <v>4.9975012493753133E-4</v>
      </c>
      <c r="F579" s="1460" t="s">
        <v>283</v>
      </c>
      <c r="G579" s="1460">
        <v>2</v>
      </c>
      <c r="H579" s="1636"/>
      <c r="I579" s="1461"/>
    </row>
    <row r="580" spans="1:9" ht="15.75" outlineLevel="1" x14ac:dyDescent="0.45">
      <c r="B580" s="1353" t="s">
        <v>1884</v>
      </c>
      <c r="C580" s="1459" t="s">
        <v>2857</v>
      </c>
      <c r="D580" s="1460" t="s">
        <v>4860</v>
      </c>
      <c r="E580" s="1460">
        <f>(((C_B)/(X_BIO))/((C_B)/(X_BIO)+(K_FLOC)))</f>
        <v>7.9891347767036824E-3</v>
      </c>
      <c r="F580" s="1460" t="s">
        <v>283</v>
      </c>
      <c r="G580" s="1460">
        <v>2</v>
      </c>
      <c r="H580" s="1636"/>
      <c r="I580" s="1461"/>
    </row>
    <row r="581" spans="1:9" ht="15.75" outlineLevel="1" x14ac:dyDescent="0.45">
      <c r="B581" s="1353" t="s">
        <v>1885</v>
      </c>
      <c r="C581" s="1459" t="s">
        <v>3659</v>
      </c>
      <c r="D581" s="1460" t="s">
        <v>4861</v>
      </c>
      <c r="E581" s="1460">
        <f>(((C_U)/(X_BIO))/((C_U)/(X_BIO)+(K_FLOC)))</f>
        <v>7.9891347767036824E-3</v>
      </c>
      <c r="F581" s="1460" t="s">
        <v>283</v>
      </c>
      <c r="G581" s="1460">
        <v>2</v>
      </c>
      <c r="H581" s="1636"/>
      <c r="I581" s="1461"/>
    </row>
    <row r="582" spans="1:9" ht="15.75" outlineLevel="1" x14ac:dyDescent="0.45">
      <c r="B582" s="1353" t="s">
        <v>1886</v>
      </c>
      <c r="C582" s="1459" t="s">
        <v>2858</v>
      </c>
      <c r="D582" s="1460" t="s">
        <v>4862</v>
      </c>
      <c r="E582" s="1460">
        <f>(((X_B)/(X_BIO))/((X_B)/(X_BIO)+(K_HYD)))</f>
        <v>0.18400473155023986</v>
      </c>
      <c r="F582" s="1460" t="s">
        <v>283</v>
      </c>
      <c r="G582" s="1460">
        <v>2</v>
      </c>
      <c r="H582" s="1636"/>
      <c r="I582" s="1461"/>
    </row>
    <row r="583" spans="1:9" ht="15.75" outlineLevel="1" x14ac:dyDescent="0.45">
      <c r="B583" s="1462" t="s">
        <v>1887</v>
      </c>
      <c r="C583" s="1459" t="s">
        <v>2859</v>
      </c>
      <c r="D583" s="1460" t="s">
        <v>4863</v>
      </c>
      <c r="E583" s="1460">
        <f>(((X_E_ana)/(X_BIO))/((X_E_ana)/(X_BIO)+(K_HYD)))</f>
        <v>1.608104848436118E-3</v>
      </c>
      <c r="F583" s="1460" t="s">
        <v>283</v>
      </c>
      <c r="G583" s="1460">
        <v>2</v>
      </c>
      <c r="H583" s="1636"/>
      <c r="I583" s="1461"/>
    </row>
    <row r="584" spans="1:9" ht="15.75" outlineLevel="1" x14ac:dyDescent="0.45">
      <c r="B584" s="1722" t="s">
        <v>2426</v>
      </c>
      <c r="C584" s="1463" t="s">
        <v>2860</v>
      </c>
      <c r="D584" s="1464" t="s">
        <v>2427</v>
      </c>
      <c r="E584" s="1465">
        <f>((S_NO2)/((K_NO2_ASSIM)+(S_NO2)))</f>
        <v>0.99009900990099009</v>
      </c>
      <c r="F584" s="1308" t="s">
        <v>283</v>
      </c>
      <c r="G584" s="1308">
        <v>2</v>
      </c>
      <c r="H584" s="1637"/>
      <c r="I584" s="1723"/>
    </row>
    <row r="585" spans="1:9" ht="15.75" outlineLevel="1" x14ac:dyDescent="0.45">
      <c r="B585" s="1724" t="s">
        <v>2428</v>
      </c>
      <c r="C585" s="1463" t="s">
        <v>2861</v>
      </c>
      <c r="D585" s="1464" t="s">
        <v>2429</v>
      </c>
      <c r="E585" s="1465">
        <f>((S_NO3)/((K_NO3_ASSIM)+(S_NO3)))</f>
        <v>0.99980003999200151</v>
      </c>
      <c r="F585" s="1308" t="s">
        <v>283</v>
      </c>
      <c r="G585" s="1308">
        <v>2</v>
      </c>
      <c r="H585" s="1637"/>
      <c r="I585" s="1723"/>
    </row>
    <row r="586" spans="1:9" ht="15.75" outlineLevel="1" x14ac:dyDescent="0.45">
      <c r="B586" s="1466" t="s">
        <v>2424</v>
      </c>
      <c r="C586" s="1249" t="s">
        <v>2862</v>
      </c>
      <c r="D586" s="1467" t="s">
        <v>2425</v>
      </c>
      <c r="E586" s="1468">
        <f>((K_NO2_ASSIM)/((K_NO2_ASSIM)+(S_NO2)))</f>
        <v>9.9009900990099011E-3</v>
      </c>
      <c r="F586" s="1467" t="s">
        <v>283</v>
      </c>
      <c r="G586" s="1467">
        <v>2</v>
      </c>
      <c r="H586" s="1638"/>
      <c r="I586" s="1469"/>
    </row>
    <row r="587" spans="1:9" s="4" customFormat="1" ht="15.75" outlineLevel="1" x14ac:dyDescent="0.45">
      <c r="A587" s="124"/>
      <c r="B587" s="2713" t="s">
        <v>5693</v>
      </c>
      <c r="C587" s="2712" t="s">
        <v>5694</v>
      </c>
      <c r="D587" s="2712" t="s">
        <v>5695</v>
      </c>
      <c r="E587" s="2714">
        <f>((K_iSO4_ASSIM)/((K_iSO4_ASSIM)+(S_SO4)))</f>
        <v>2.9410899679421197E-5</v>
      </c>
      <c r="F587" s="2715" t="s">
        <v>283</v>
      </c>
      <c r="G587" s="2715">
        <v>2</v>
      </c>
      <c r="H587" s="2716"/>
      <c r="I587" s="2717"/>
    </row>
    <row r="588" spans="1:9" s="124" customFormat="1" ht="15.75" outlineLevel="1" x14ac:dyDescent="0.45">
      <c r="B588" s="2713" t="s">
        <v>5696</v>
      </c>
      <c r="C588" s="2712" t="s">
        <v>5697</v>
      </c>
      <c r="D588" s="2712" t="s">
        <v>5698</v>
      </c>
      <c r="E588" s="2714">
        <f>((S_H2S)/((K_H2S_ASSIM)+(S_H2S)))</f>
        <v>0.90909090909090917</v>
      </c>
      <c r="F588" s="2715" t="s">
        <v>283</v>
      </c>
      <c r="G588" s="2715">
        <v>2</v>
      </c>
      <c r="H588" s="2716"/>
      <c r="I588" s="2717"/>
    </row>
    <row r="589" spans="1:9" ht="15.75" outlineLevel="1" x14ac:dyDescent="0.45">
      <c r="B589" s="878" t="s">
        <v>5025</v>
      </c>
      <c r="C589" s="1309" t="s">
        <v>2863</v>
      </c>
      <c r="D589" s="1846" t="s">
        <v>5079</v>
      </c>
      <c r="E589" s="1884">
        <f>(1-(S_PO4)/((S_PO4)+(K_iP_HFO_DISS)*EXP(((K_iP_HFO_DISS)-(S_PO4))*(L_ogslopeP_HFO_DISS))))</f>
        <v>0</v>
      </c>
      <c r="F589" s="1470" t="s">
        <v>283</v>
      </c>
      <c r="G589" s="1470">
        <v>2</v>
      </c>
      <c r="H589" s="1639"/>
      <c r="I589" s="1471"/>
    </row>
    <row r="590" spans="1:9" ht="15.75" outlineLevel="1" x14ac:dyDescent="0.45">
      <c r="B590" s="878" t="s">
        <v>3451</v>
      </c>
      <c r="C590" s="1309" t="s">
        <v>3452</v>
      </c>
      <c r="D590" s="1309" t="s">
        <v>3453</v>
      </c>
      <c r="E590" s="1470">
        <f>((K_iP_DESORP)/((K_iP_DESORP)+(S_PO4)))</f>
        <v>0.16666666666666669</v>
      </c>
      <c r="F590" s="1470" t="s">
        <v>283</v>
      </c>
      <c r="G590" s="1470">
        <v>2</v>
      </c>
      <c r="H590" s="1639"/>
      <c r="I590" s="1471"/>
    </row>
    <row r="591" spans="1:9" ht="15.75" outlineLevel="1" x14ac:dyDescent="0.45">
      <c r="B591" s="1036" t="s">
        <v>1800</v>
      </c>
      <c r="C591" s="1472" t="s">
        <v>2864</v>
      </c>
      <c r="D591" s="1472" t="s">
        <v>1801</v>
      </c>
      <c r="E591" s="1467">
        <f>((S_PO4)/((K_P_BIND)+(S_PO4)))</f>
        <v>0.83333333333333337</v>
      </c>
      <c r="F591" s="1467" t="s">
        <v>283</v>
      </c>
      <c r="G591" s="1467">
        <v>2</v>
      </c>
      <c r="H591" s="1638"/>
      <c r="I591" s="1469"/>
    </row>
    <row r="592" spans="1:9" ht="15.75" outlineLevel="1" x14ac:dyDescent="0.45">
      <c r="B592" s="878" t="s">
        <v>4680</v>
      </c>
      <c r="C592" s="963" t="s">
        <v>4681</v>
      </c>
      <c r="D592" s="1846" t="s">
        <v>5080</v>
      </c>
      <c r="E592" s="1884">
        <f>(1-(S_PO4)/((S_PO4)+(K_iP_HAO_DISS)*EXP(((K_iP_HAO_DISS)-(S_PO4))*(L_ogslopeP_HAO_DISS))))</f>
        <v>0</v>
      </c>
      <c r="F592" s="1473" t="s">
        <v>283</v>
      </c>
      <c r="G592" s="1473">
        <v>2</v>
      </c>
      <c r="H592" s="1099"/>
      <c r="I592" s="1471"/>
    </row>
    <row r="593" spans="2:9" ht="15.75" outlineLevel="1" x14ac:dyDescent="0.45">
      <c r="B593" s="878" t="s">
        <v>4682</v>
      </c>
      <c r="C593" s="963" t="s">
        <v>4683</v>
      </c>
      <c r="D593" s="963" t="s">
        <v>4684</v>
      </c>
      <c r="E593" s="1473">
        <f>((K_iP_HAO_DESORP)/((K_iP_HAO_DESORP)+(S_PO4)))</f>
        <v>0.16666666666666669</v>
      </c>
      <c r="F593" s="1473" t="s">
        <v>283</v>
      </c>
      <c r="G593" s="1473">
        <v>2</v>
      </c>
      <c r="H593" s="1099"/>
      <c r="I593" s="1471"/>
    </row>
    <row r="594" spans="2:9" ht="15.75" outlineLevel="1" x14ac:dyDescent="0.45">
      <c r="B594" s="878" t="s">
        <v>4685</v>
      </c>
      <c r="C594" s="1473" t="s">
        <v>4686</v>
      </c>
      <c r="D594" s="1473" t="s">
        <v>4687</v>
      </c>
      <c r="E594" s="1473">
        <f>((S_PO4)/((K_P_HAO_BIND)+(S_PO4)))</f>
        <v>0.83333333333333337</v>
      </c>
      <c r="F594" s="1473" t="s">
        <v>283</v>
      </c>
      <c r="G594" s="1473">
        <v>2</v>
      </c>
      <c r="H594" s="1099"/>
      <c r="I594" s="1266"/>
    </row>
    <row r="595" spans="2:9" s="124" customFormat="1" ht="15.75" outlineLevel="1" x14ac:dyDescent="0.45">
      <c r="B595" s="2718" t="s">
        <v>5699</v>
      </c>
      <c r="C595" s="2711" t="s">
        <v>5700</v>
      </c>
      <c r="D595" s="2711" t="s">
        <v>5701</v>
      </c>
      <c r="E595" s="2715">
        <f>((K_iSO4_RED)/((K_iSO4_RED)+(S_SO4)))</f>
        <v>1.1627906976744188E-2</v>
      </c>
      <c r="F595" s="2715" t="s">
        <v>283</v>
      </c>
      <c r="G595" s="2715">
        <v>2</v>
      </c>
      <c r="H595" s="2716"/>
      <c r="I595" s="2717"/>
    </row>
    <row r="596" spans="2:9" ht="15.75" outlineLevel="1" x14ac:dyDescent="0.45">
      <c r="B596" s="1036" t="s">
        <v>2865</v>
      </c>
      <c r="C596" s="1249" t="s">
        <v>2866</v>
      </c>
      <c r="D596" s="1249" t="s">
        <v>2867</v>
      </c>
      <c r="E596" s="1467">
        <f>((X_ACP)/((K_ACP_DISS)+(X_ACP)))</f>
        <v>9.9999999999999997E-49</v>
      </c>
      <c r="F596" s="1467" t="s">
        <v>283</v>
      </c>
      <c r="G596" s="1467">
        <v>2</v>
      </c>
      <c r="H596" s="1638"/>
      <c r="I596" s="1474"/>
    </row>
    <row r="597" spans="2:9" ht="15.75" outlineLevel="1" x14ac:dyDescent="0.45">
      <c r="B597" s="878" t="s">
        <v>4688</v>
      </c>
      <c r="C597" s="963" t="s">
        <v>4689</v>
      </c>
      <c r="D597" s="963" t="s">
        <v>4690</v>
      </c>
      <c r="E597" s="879">
        <f>((X_BSH)/((K_BSH_DISS)+(X_BSH)))</f>
        <v>9.9999999999999997E-49</v>
      </c>
      <c r="F597" s="1473" t="s">
        <v>283</v>
      </c>
      <c r="G597" s="1473">
        <v>2</v>
      </c>
      <c r="H597" s="1099"/>
      <c r="I597" s="1471"/>
    </row>
    <row r="598" spans="2:9" ht="15.75" outlineLevel="1" x14ac:dyDescent="0.45">
      <c r="B598" s="1036" t="s">
        <v>2868</v>
      </c>
      <c r="C598" s="1249" t="s">
        <v>2869</v>
      </c>
      <c r="D598" s="1249" t="s">
        <v>2870</v>
      </c>
      <c r="E598" s="1467">
        <f>((X_CaCO3)/((K_CaCO3_DISS)+(X_CaCO3)))</f>
        <v>9.9999999999999997E-49</v>
      </c>
      <c r="F598" s="1467" t="s">
        <v>283</v>
      </c>
      <c r="G598" s="1467">
        <v>2</v>
      </c>
      <c r="H598" s="1638"/>
      <c r="I598" s="1474"/>
    </row>
    <row r="599" spans="2:9" s="124" customFormat="1" ht="15.75" outlineLevel="1" x14ac:dyDescent="0.45">
      <c r="B599" s="2719" t="s">
        <v>5702</v>
      </c>
      <c r="C599" s="2720" t="s">
        <v>5703</v>
      </c>
      <c r="D599" s="2720" t="s">
        <v>5704</v>
      </c>
      <c r="E599" s="2721">
        <f>((X_FeS)/((K_FeS_DISS)+(X_FeS)))</f>
        <v>9.9999999999999997E-49</v>
      </c>
      <c r="F599" s="2722" t="s">
        <v>283</v>
      </c>
      <c r="G599" s="2722">
        <v>2</v>
      </c>
      <c r="H599" s="2723"/>
      <c r="I599" s="2724"/>
    </row>
    <row r="600" spans="2:9" ht="15.75" outlineLevel="1" x14ac:dyDescent="0.45">
      <c r="B600" s="1036" t="s">
        <v>2871</v>
      </c>
      <c r="C600" s="1249" t="s">
        <v>2872</v>
      </c>
      <c r="D600" s="1249" t="s">
        <v>2873</v>
      </c>
      <c r="E600" s="1467">
        <f>((X_STR)/((K_STR_DISS)+(X_STR)))</f>
        <v>9.9999999999999997E-49</v>
      </c>
      <c r="F600" s="1467" t="s">
        <v>283</v>
      </c>
      <c r="G600" s="1467">
        <v>2</v>
      </c>
      <c r="H600" s="1638"/>
      <c r="I600" s="1474"/>
    </row>
    <row r="601" spans="2:9" ht="16.149999999999999" outlineLevel="1" thickBot="1" x14ac:dyDescent="0.5">
      <c r="B601" s="1475" t="s">
        <v>2874</v>
      </c>
      <c r="C601" s="1310" t="s">
        <v>2875</v>
      </c>
      <c r="D601" s="1310" t="s">
        <v>2876</v>
      </c>
      <c r="E601" s="1476">
        <f>((X_Vivi)/((K_Vivi_DISS)+(X_Vivi)))</f>
        <v>9.9999999999999997E-49</v>
      </c>
      <c r="F601" s="1476" t="s">
        <v>283</v>
      </c>
      <c r="G601" s="1476">
        <v>2</v>
      </c>
      <c r="H601" s="1640"/>
      <c r="I601" s="1477"/>
    </row>
    <row r="602" spans="2:9" s="124" customFormat="1" ht="16.149999999999999" outlineLevel="1" thickBot="1" x14ac:dyDescent="0.5">
      <c r="B602" s="2725" t="s">
        <v>5705</v>
      </c>
      <c r="C602" s="2726" t="s">
        <v>5706</v>
      </c>
      <c r="D602" s="2726" t="s">
        <v>5707</v>
      </c>
      <c r="E602" s="2727">
        <f>((T_KN_B)/((K_TKN_B)+(T_KN_B)))</f>
        <v>0.46926824297536718</v>
      </c>
      <c r="F602" s="2728"/>
      <c r="G602" s="2728">
        <v>2</v>
      </c>
      <c r="H602" s="2729"/>
      <c r="I602" s="2730"/>
    </row>
    <row r="603" spans="2:9" ht="15.75" x14ac:dyDescent="0.45">
      <c r="B603" s="1542" t="s">
        <v>5879</v>
      </c>
      <c r="C603" s="1542" t="s">
        <v>5858</v>
      </c>
      <c r="D603" s="2849" t="s">
        <v>5883</v>
      </c>
      <c r="E603" s="1542">
        <f>((S_O2)/((K_O2_MOB)+(S_O2)))</f>
        <v>0.90497737556561086</v>
      </c>
      <c r="F603" s="2888" t="s">
        <v>283</v>
      </c>
      <c r="G603" s="1542">
        <v>2</v>
      </c>
      <c r="H603" s="1542"/>
      <c r="I603" s="1542"/>
    </row>
    <row r="604" spans="2:9" ht="15.75" x14ac:dyDescent="0.45">
      <c r="B604" s="1542" t="s">
        <v>5880</v>
      </c>
      <c r="C604" s="1542" t="s">
        <v>5859</v>
      </c>
      <c r="D604" s="2849" t="s">
        <v>5884</v>
      </c>
      <c r="E604" s="1542">
        <f>((S_CH4)/((K_CH4_MOB)+(S_CH4)))</f>
        <v>5.5555555555555558E-3</v>
      </c>
      <c r="F604" s="2888" t="s">
        <v>283</v>
      </c>
      <c r="G604" s="1542">
        <v>2</v>
      </c>
      <c r="H604" s="1542"/>
      <c r="I604" s="1542"/>
    </row>
    <row r="605" spans="2:9" ht="14.65" thickBot="1" x14ac:dyDescent="0.5">
      <c r="B605" s="153"/>
      <c r="C605" s="153"/>
      <c r="D605" s="153"/>
      <c r="E605" s="153"/>
      <c r="F605" s="153"/>
      <c r="G605" s="153"/>
      <c r="H605" s="1044"/>
      <c r="I605" s="153"/>
    </row>
    <row r="606" spans="2:9" ht="14.65" thickBot="1" x14ac:dyDescent="0.5">
      <c r="C606" s="1501" t="s">
        <v>2194</v>
      </c>
      <c r="D606" s="2076" t="s">
        <v>301</v>
      </c>
      <c r="E606" s="115"/>
    </row>
    <row r="607" spans="2:9" ht="14.65" thickBot="1" x14ac:dyDescent="0.5">
      <c r="B607" s="1502" t="s">
        <v>0</v>
      </c>
      <c r="C607" s="1314" t="s">
        <v>1</v>
      </c>
      <c r="D607" s="1314" t="s">
        <v>5</v>
      </c>
      <c r="E607" s="1314" t="s">
        <v>152</v>
      </c>
      <c r="F607" s="1314" t="s">
        <v>2</v>
      </c>
      <c r="G607" s="1314" t="s">
        <v>300</v>
      </c>
      <c r="H607" s="1644" t="s">
        <v>116</v>
      </c>
      <c r="I607" s="1503" t="s">
        <v>117</v>
      </c>
    </row>
    <row r="608" spans="2:9" ht="15.75" outlineLevel="1" x14ac:dyDescent="0.45">
      <c r="B608" s="1478" t="s">
        <v>1837</v>
      </c>
      <c r="C608" s="1479" t="s">
        <v>2880</v>
      </c>
      <c r="D608" s="1311" t="s">
        <v>1838</v>
      </c>
      <c r="E608" s="1480">
        <f>µ_OHO*((θ_µ_OHO)^((T__)-(T_base)))</f>
        <v>4</v>
      </c>
      <c r="F608" s="1480" t="s">
        <v>444</v>
      </c>
      <c r="G608" s="1311">
        <v>2</v>
      </c>
      <c r="H608" s="1641"/>
      <c r="I608" s="1481"/>
    </row>
    <row r="609" spans="2:9" ht="15.75" outlineLevel="1" x14ac:dyDescent="0.45">
      <c r="B609" s="1482" t="s">
        <v>1839</v>
      </c>
      <c r="C609" s="1483" t="s">
        <v>2881</v>
      </c>
      <c r="D609" s="213" t="s">
        <v>1840</v>
      </c>
      <c r="E609" s="824">
        <f>µ_FERM_OHO*((θ_FERM_OHO)^((T__)-(T_base)))</f>
        <v>0.3</v>
      </c>
      <c r="F609" s="824" t="s">
        <v>444</v>
      </c>
      <c r="G609" s="213">
        <v>2</v>
      </c>
      <c r="H609" s="1112"/>
      <c r="I609" s="1484"/>
    </row>
    <row r="610" spans="2:9" ht="15.75" outlineLevel="1" x14ac:dyDescent="0.45">
      <c r="B610" s="1482" t="s">
        <v>1841</v>
      </c>
      <c r="C610" s="1483" t="s">
        <v>2882</v>
      </c>
      <c r="D610" s="213" t="s">
        <v>1842</v>
      </c>
      <c r="E610" s="824">
        <f>b_OHO*((θ_b_OHO)^((T__)-(T_base)))</f>
        <v>0.62</v>
      </c>
      <c r="F610" s="824" t="s">
        <v>444</v>
      </c>
      <c r="G610" s="213">
        <v>2</v>
      </c>
      <c r="H610" s="1112"/>
      <c r="I610" s="1484"/>
    </row>
    <row r="611" spans="2:9" ht="15.75" outlineLevel="1" x14ac:dyDescent="0.45">
      <c r="B611" s="1482" t="s">
        <v>1843</v>
      </c>
      <c r="C611" s="1483" t="s">
        <v>2883</v>
      </c>
      <c r="D611" s="213" t="s">
        <v>1844</v>
      </c>
      <c r="E611" s="824">
        <f>µ_MEOLO*((θ_µ_MEOLO)^((T__)-(T_base)))</f>
        <v>1.3</v>
      </c>
      <c r="F611" s="824" t="s">
        <v>444</v>
      </c>
      <c r="G611" s="213">
        <v>2</v>
      </c>
      <c r="H611" s="1112"/>
      <c r="I611" s="1484"/>
    </row>
    <row r="612" spans="2:9" ht="15.75" outlineLevel="1" x14ac:dyDescent="0.45">
      <c r="B612" s="1482" t="s">
        <v>1845</v>
      </c>
      <c r="C612" s="1483" t="s">
        <v>2884</v>
      </c>
      <c r="D612" s="213" t="s">
        <v>1846</v>
      </c>
      <c r="E612" s="824">
        <f>b_MEOLO*((θ_b_MEOLO)^((T__)-(T_base)))</f>
        <v>0.05</v>
      </c>
      <c r="F612" s="824" t="s">
        <v>444</v>
      </c>
      <c r="G612" s="213">
        <v>2</v>
      </c>
      <c r="H612" s="1112"/>
      <c r="I612" s="1484"/>
    </row>
    <row r="613" spans="2:9" ht="15.75" outlineLevel="1" x14ac:dyDescent="0.45">
      <c r="B613" s="1485" t="s">
        <v>4691</v>
      </c>
      <c r="C613" s="585" t="s">
        <v>4692</v>
      </c>
      <c r="D613" s="585" t="s">
        <v>4693</v>
      </c>
      <c r="E613" s="575">
        <f>µ_CASTO*((θ_µ_CASTO)^((T__)-(T_base)))</f>
        <v>1</v>
      </c>
      <c r="F613" s="575" t="s">
        <v>444</v>
      </c>
      <c r="G613" s="585">
        <v>2</v>
      </c>
      <c r="H613" s="1063"/>
      <c r="I613" s="1486"/>
    </row>
    <row r="614" spans="2:9" ht="15.75" outlineLevel="1" x14ac:dyDescent="0.45">
      <c r="B614" s="1485" t="s">
        <v>1875</v>
      </c>
      <c r="C614" s="585" t="s">
        <v>2885</v>
      </c>
      <c r="D614" s="585" t="s">
        <v>1878</v>
      </c>
      <c r="E614" s="575">
        <f>µ_PAO_lim*((θ_µ_PAO_lim)^((T__)-(T_base)))</f>
        <v>0.49</v>
      </c>
      <c r="F614" s="575" t="s">
        <v>444</v>
      </c>
      <c r="G614" s="585">
        <v>2</v>
      </c>
      <c r="H614" s="1063"/>
      <c r="I614" s="1486"/>
    </row>
    <row r="615" spans="2:9" ht="15.75" outlineLevel="1" x14ac:dyDescent="0.45">
      <c r="B615" s="1485" t="s">
        <v>2877</v>
      </c>
      <c r="C615" s="585" t="s">
        <v>2878</v>
      </c>
      <c r="D615" s="585" t="s">
        <v>2879</v>
      </c>
      <c r="E615" s="575">
        <f>µ_FERM_PAO*((θ_FERM_PAO)^((T__)-(T_base)))</f>
        <v>0.45</v>
      </c>
      <c r="F615" s="575" t="s">
        <v>444</v>
      </c>
      <c r="G615" s="585">
        <v>2</v>
      </c>
      <c r="H615" s="1063"/>
      <c r="I615" s="1486"/>
    </row>
    <row r="616" spans="2:9" ht="15.75" outlineLevel="1" x14ac:dyDescent="0.45">
      <c r="B616" s="1485" t="s">
        <v>4694</v>
      </c>
      <c r="C616" s="585" t="s">
        <v>4695</v>
      </c>
      <c r="D616" s="585" t="s">
        <v>4696</v>
      </c>
      <c r="E616" s="575">
        <f>q_PAO_PP*((θ_q_PAO_PP)^((T__)-(T_base)))</f>
        <v>0.1</v>
      </c>
      <c r="F616" s="575" t="s">
        <v>444</v>
      </c>
      <c r="G616" s="585">
        <v>2</v>
      </c>
      <c r="H616" s="1063"/>
      <c r="I616" s="1486"/>
    </row>
    <row r="617" spans="2:9" ht="15.75" outlineLevel="1" x14ac:dyDescent="0.45">
      <c r="B617" s="1485" t="s">
        <v>1847</v>
      </c>
      <c r="C617" s="585" t="s">
        <v>2886</v>
      </c>
      <c r="D617" s="585" t="s">
        <v>1848</v>
      </c>
      <c r="E617" s="575">
        <f>q_PAO_PHA*((θ_q_PAO_PHA)^((T__)-(T_base)))</f>
        <v>7</v>
      </c>
      <c r="F617" s="575" t="s">
        <v>444</v>
      </c>
      <c r="G617" s="585">
        <v>2</v>
      </c>
      <c r="H617" s="1063"/>
      <c r="I617" s="1486"/>
    </row>
    <row r="618" spans="2:9" ht="15.75" outlineLevel="1" x14ac:dyDescent="0.45">
      <c r="B618" s="1487" t="s">
        <v>2160</v>
      </c>
      <c r="C618" s="1312" t="s">
        <v>2888</v>
      </c>
      <c r="D618" s="1312" t="s">
        <v>2161</v>
      </c>
      <c r="E618" s="568">
        <f>q_GAO_GLY*((θ_q_GAO_GLY)^((T__)-(T_base)))</f>
        <v>4</v>
      </c>
      <c r="F618" s="568" t="s">
        <v>444</v>
      </c>
      <c r="G618" s="1312">
        <v>2</v>
      </c>
      <c r="H618" s="1642"/>
      <c r="I618" s="1488"/>
    </row>
    <row r="619" spans="2:9" ht="15.75" outlineLevel="1" x14ac:dyDescent="0.45">
      <c r="B619" s="1485" t="s">
        <v>4697</v>
      </c>
      <c r="C619" s="585" t="s">
        <v>4698</v>
      </c>
      <c r="D619" s="585" t="s">
        <v>4699</v>
      </c>
      <c r="E619" s="575">
        <f>b_STC*((θ_b_STC)^((T__)-(T_base)))</f>
        <v>7.0000000000000007E-2</v>
      </c>
      <c r="F619" s="575" t="s">
        <v>444</v>
      </c>
      <c r="G619" s="585">
        <v>2</v>
      </c>
      <c r="H619" s="1063"/>
      <c r="I619" s="1486"/>
    </row>
    <row r="620" spans="2:9" ht="28.5" outlineLevel="1" x14ac:dyDescent="0.45">
      <c r="B620" s="1485" t="s">
        <v>2154</v>
      </c>
      <c r="C620" s="585" t="s">
        <v>2887</v>
      </c>
      <c r="D620" s="585" t="s">
        <v>2155</v>
      </c>
      <c r="E620" s="575">
        <f>b_PP_ana*((θ_b_PP_ana)^((T__)-(T_base)))</f>
        <v>5.0000000000000001E-3</v>
      </c>
      <c r="F620" s="575" t="s">
        <v>444</v>
      </c>
      <c r="G620" s="585">
        <v>2</v>
      </c>
      <c r="H620" s="1063"/>
      <c r="I620" s="1486"/>
    </row>
    <row r="621" spans="2:9" ht="15.75" outlineLevel="1" x14ac:dyDescent="0.45">
      <c r="B621" s="1485" t="s">
        <v>4700</v>
      </c>
      <c r="C621" s="585" t="s">
        <v>4701</v>
      </c>
      <c r="D621" s="585" t="s">
        <v>4702</v>
      </c>
      <c r="E621" s="575">
        <f>b_CASTO*((θ_b_CASTO)^((T__)-(T_base)))</f>
        <v>0.08</v>
      </c>
      <c r="F621" s="575" t="s">
        <v>444</v>
      </c>
      <c r="G621" s="585">
        <v>2</v>
      </c>
      <c r="H621" s="1063"/>
      <c r="I621" s="1486"/>
    </row>
    <row r="622" spans="2:9" s="1616" customFormat="1" ht="15.75" outlineLevel="1" x14ac:dyDescent="0.45">
      <c r="B622" s="1725" t="s">
        <v>2410</v>
      </c>
      <c r="C622" s="1489" t="s">
        <v>2889</v>
      </c>
      <c r="D622" s="1726" t="s">
        <v>2411</v>
      </c>
      <c r="E622" s="1726">
        <f>µ_AOB*((θ_µ_AOB)^((T__)-(T_base)))</f>
        <v>0.9</v>
      </c>
      <c r="F622" s="1726" t="s">
        <v>444</v>
      </c>
      <c r="G622" s="1726">
        <v>2</v>
      </c>
      <c r="H622" s="1727"/>
      <c r="I622" s="1727"/>
    </row>
    <row r="623" spans="2:9" s="1616" customFormat="1" ht="15.75" outlineLevel="1" x14ac:dyDescent="0.45">
      <c r="B623" s="1725" t="s">
        <v>2412</v>
      </c>
      <c r="C623" s="1489" t="s">
        <v>2890</v>
      </c>
      <c r="D623" s="1726" t="s">
        <v>2413</v>
      </c>
      <c r="E623" s="1726">
        <f>b_AOB*((θ_b_AOB)^((T__)-(T_base)))</f>
        <v>0.17</v>
      </c>
      <c r="F623" s="1726" t="s">
        <v>444</v>
      </c>
      <c r="G623" s="1726">
        <v>2</v>
      </c>
      <c r="H623" s="1727"/>
      <c r="I623" s="1727"/>
    </row>
    <row r="624" spans="2:9" s="1616" customFormat="1" ht="15.75" outlineLevel="1" x14ac:dyDescent="0.45">
      <c r="B624" s="1725" t="s">
        <v>2414</v>
      </c>
      <c r="C624" s="1489" t="s">
        <v>2891</v>
      </c>
      <c r="D624" s="1726" t="s">
        <v>2415</v>
      </c>
      <c r="E624" s="1726">
        <f>µ_NOB*((θ_µ_NOB)^((T__)-(T_base)))</f>
        <v>0.65</v>
      </c>
      <c r="F624" s="1726" t="s">
        <v>444</v>
      </c>
      <c r="G624" s="1726">
        <v>2</v>
      </c>
      <c r="H624" s="1727"/>
      <c r="I624" s="1727"/>
    </row>
    <row r="625" spans="2:9" s="1616" customFormat="1" ht="15.75" outlineLevel="1" x14ac:dyDescent="0.45">
      <c r="B625" s="1725" t="s">
        <v>2416</v>
      </c>
      <c r="C625" s="1489" t="s">
        <v>2892</v>
      </c>
      <c r="D625" s="1726" t="s">
        <v>2417</v>
      </c>
      <c r="E625" s="1726">
        <f>b_NOB*((θ_b_NOB)^((T__)-(T_base)))</f>
        <v>0.15</v>
      </c>
      <c r="F625" s="1726" t="s">
        <v>444</v>
      </c>
      <c r="G625" s="1726">
        <v>2</v>
      </c>
      <c r="H625" s="1727"/>
      <c r="I625" s="1727"/>
    </row>
    <row r="626" spans="2:9" s="1616" customFormat="1" ht="15.75" outlineLevel="1" x14ac:dyDescent="0.45">
      <c r="B626" s="1728" t="s">
        <v>2418</v>
      </c>
      <c r="C626" s="404" t="s">
        <v>2893</v>
      </c>
      <c r="D626" s="1729" t="s">
        <v>2419</v>
      </c>
      <c r="E626" s="1729">
        <f>µ_AMX*((θ_µ_AMX)^((T__)-(T_base)))</f>
        <v>0.1</v>
      </c>
      <c r="F626" s="1729" t="s">
        <v>444</v>
      </c>
      <c r="G626" s="1729">
        <v>2</v>
      </c>
      <c r="H626" s="1730"/>
      <c r="I626" s="1730"/>
    </row>
    <row r="627" spans="2:9" s="1616" customFormat="1" ht="15.75" outlineLevel="1" x14ac:dyDescent="0.45">
      <c r="B627" s="1728" t="s">
        <v>2420</v>
      </c>
      <c r="C627" s="404" t="s">
        <v>2894</v>
      </c>
      <c r="D627" s="1729" t="s">
        <v>2421</v>
      </c>
      <c r="E627" s="1729">
        <f>b_AMX*((θ_b_AMX)^((T__)-(T_base)))</f>
        <v>1.9E-2</v>
      </c>
      <c r="F627" s="1729" t="s">
        <v>444</v>
      </c>
      <c r="G627" s="1729">
        <v>2</v>
      </c>
      <c r="H627" s="1730"/>
      <c r="I627" s="1730"/>
    </row>
    <row r="628" spans="2:9" ht="15.75" outlineLevel="1" x14ac:dyDescent="0.45">
      <c r="B628" s="1490" t="s">
        <v>1849</v>
      </c>
      <c r="C628" s="1491" t="s">
        <v>2895</v>
      </c>
      <c r="D628" s="309" t="s">
        <v>1850</v>
      </c>
      <c r="E628" s="312">
        <f>µ_AMETO*((θ_µ_AMETO)^((T__)-(T_base)))</f>
        <v>0.3</v>
      </c>
      <c r="F628" s="312" t="s">
        <v>444</v>
      </c>
      <c r="G628" s="309">
        <v>2</v>
      </c>
      <c r="H628" s="1118"/>
      <c r="I628" s="1492"/>
    </row>
    <row r="629" spans="2:9" ht="15.75" outlineLevel="1" x14ac:dyDescent="0.45">
      <c r="B629" s="1490" t="s">
        <v>1851</v>
      </c>
      <c r="C629" s="1491" t="s">
        <v>2896</v>
      </c>
      <c r="D629" s="309" t="s">
        <v>1852</v>
      </c>
      <c r="E629" s="312">
        <f>b_AMETO*((θ_b_AMETO)^((T__)-(T_base)))</f>
        <v>0.03</v>
      </c>
      <c r="F629" s="312" t="s">
        <v>444</v>
      </c>
      <c r="G629" s="309">
        <v>2</v>
      </c>
      <c r="H629" s="1118"/>
      <c r="I629" s="1492"/>
    </row>
    <row r="630" spans="2:9" ht="15.75" outlineLevel="1" x14ac:dyDescent="0.45">
      <c r="B630" s="1490" t="s">
        <v>1853</v>
      </c>
      <c r="C630" s="1491" t="s">
        <v>2897</v>
      </c>
      <c r="D630" s="309" t="s">
        <v>1854</v>
      </c>
      <c r="E630" s="312">
        <f>µ_HMETO*((θ_µ_HMETO)^((T__)-(T_base)))</f>
        <v>1.3</v>
      </c>
      <c r="F630" s="312" t="s">
        <v>444</v>
      </c>
      <c r="G630" s="309">
        <v>2</v>
      </c>
      <c r="H630" s="1118"/>
      <c r="I630" s="1492"/>
    </row>
    <row r="631" spans="2:9" ht="15.75" outlineLevel="1" x14ac:dyDescent="0.45">
      <c r="B631" s="1490" t="s">
        <v>1855</v>
      </c>
      <c r="C631" s="1491" t="s">
        <v>2898</v>
      </c>
      <c r="D631" s="309" t="s">
        <v>1856</v>
      </c>
      <c r="E631" s="312">
        <f>b_HMETO*((θ_b_HMETO)^((T__)-(T_base)))</f>
        <v>0.13</v>
      </c>
      <c r="F631" s="312" t="s">
        <v>444</v>
      </c>
      <c r="G631" s="309">
        <v>2</v>
      </c>
      <c r="H631" s="1118"/>
      <c r="I631" s="1492"/>
    </row>
    <row r="632" spans="2:9" s="124" customFormat="1" ht="15.75" outlineLevel="1" x14ac:dyDescent="0.45">
      <c r="B632" s="2667" t="s">
        <v>5708</v>
      </c>
      <c r="C632" s="2668" t="s">
        <v>5709</v>
      </c>
      <c r="D632" s="2668" t="s">
        <v>5710</v>
      </c>
      <c r="E632" s="2731">
        <f>µ_ASRO*((θ_µ_ASRO)^((T__)-(T_base)))</f>
        <v>0.6</v>
      </c>
      <c r="F632" s="2669" t="s">
        <v>444</v>
      </c>
      <c r="G632" s="2732">
        <v>2</v>
      </c>
      <c r="H632" s="2732"/>
      <c r="I632" s="2733"/>
    </row>
    <row r="633" spans="2:9" s="124" customFormat="1" ht="15.75" outlineLevel="1" x14ac:dyDescent="0.45">
      <c r="B633" s="2667" t="s">
        <v>5711</v>
      </c>
      <c r="C633" s="2668" t="s">
        <v>5712</v>
      </c>
      <c r="D633" s="2668" t="s">
        <v>5713</v>
      </c>
      <c r="E633" s="2731">
        <f>µ_HSRO*((θ_µ_HSRO)^((T__)-(T_base)))</f>
        <v>2.8</v>
      </c>
      <c r="F633" s="2669" t="s">
        <v>444</v>
      </c>
      <c r="G633" s="2732">
        <v>2</v>
      </c>
      <c r="H633" s="2732"/>
      <c r="I633" s="2733"/>
    </row>
    <row r="634" spans="2:9" s="124" customFormat="1" ht="15.75" outlineLevel="1" x14ac:dyDescent="0.45">
      <c r="B634" s="2667" t="s">
        <v>5714</v>
      </c>
      <c r="C634" s="2668" t="s">
        <v>5715</v>
      </c>
      <c r="D634" s="2668" t="s">
        <v>5716</v>
      </c>
      <c r="E634" s="2731">
        <f>b_ASRO*((θ_b_ASRO)^((T__)-(T_base)))</f>
        <v>0.06</v>
      </c>
      <c r="F634" s="2669" t="s">
        <v>444</v>
      </c>
      <c r="G634" s="2732">
        <v>2</v>
      </c>
      <c r="H634" s="2732"/>
      <c r="I634" s="2733"/>
    </row>
    <row r="635" spans="2:9" s="124" customFormat="1" ht="15.75" outlineLevel="1" x14ac:dyDescent="0.45">
      <c r="B635" s="2667" t="s">
        <v>5717</v>
      </c>
      <c r="C635" s="2668" t="s">
        <v>5718</v>
      </c>
      <c r="D635" s="2668" t="s">
        <v>5719</v>
      </c>
      <c r="E635" s="2731">
        <f>b_HSRO*((θ_b_HSRO)^((T__)-(T_base)))</f>
        <v>0.28000000000000003</v>
      </c>
      <c r="F635" s="2669" t="s">
        <v>444</v>
      </c>
      <c r="G635" s="2732">
        <v>2</v>
      </c>
      <c r="H635" s="2732"/>
      <c r="I635" s="2733"/>
    </row>
    <row r="636" spans="2:9" s="124" customFormat="1" ht="15.75" outlineLevel="1" x14ac:dyDescent="0.45">
      <c r="B636" s="2681" t="s">
        <v>5720</v>
      </c>
      <c r="C636" s="2682" t="s">
        <v>5721</v>
      </c>
      <c r="D636" s="2682" t="s">
        <v>5722</v>
      </c>
      <c r="E636" s="2734">
        <f>µ_SOO_H2S*((θ_µ_SOO_H2S)^((T__)-(T_base)))</f>
        <v>4</v>
      </c>
      <c r="F636" s="2684" t="s">
        <v>444</v>
      </c>
      <c r="G636" s="2735">
        <v>2</v>
      </c>
      <c r="H636" s="2735"/>
      <c r="I636" s="2736"/>
    </row>
    <row r="637" spans="2:9" s="124" customFormat="1" ht="15.75" outlineLevel="1" x14ac:dyDescent="0.45">
      <c r="B637" s="2681" t="s">
        <v>5723</v>
      </c>
      <c r="C637" s="2682" t="s">
        <v>5724</v>
      </c>
      <c r="D637" s="2682" t="s">
        <v>5725</v>
      </c>
      <c r="E637" s="2734">
        <f>µ_SOO_S*((θ_µ_SOO_S)^((T__)-(T_base)))</f>
        <v>3</v>
      </c>
      <c r="F637" s="2684" t="s">
        <v>444</v>
      </c>
      <c r="G637" s="2735">
        <v>2</v>
      </c>
      <c r="H637" s="2735"/>
      <c r="I637" s="2736"/>
    </row>
    <row r="638" spans="2:9" s="124" customFormat="1" ht="15.75" outlineLevel="1" x14ac:dyDescent="0.45">
      <c r="B638" s="2681" t="s">
        <v>5726</v>
      </c>
      <c r="C638" s="2682" t="s">
        <v>5727</v>
      </c>
      <c r="D638" s="2682" t="s">
        <v>5728</v>
      </c>
      <c r="E638" s="2734">
        <f>b_SOO*((θ_b_SOO)^((T__)-(T_base)))</f>
        <v>0.35</v>
      </c>
      <c r="F638" s="2684" t="s">
        <v>444</v>
      </c>
      <c r="G638" s="2735">
        <v>2</v>
      </c>
      <c r="H638" s="2735"/>
      <c r="I638" s="2736"/>
    </row>
    <row r="639" spans="2:9" ht="15.75" outlineLevel="1" x14ac:dyDescent="0.45">
      <c r="B639" s="1021" t="s">
        <v>1857</v>
      </c>
      <c r="C639" s="1493" t="s">
        <v>2899</v>
      </c>
      <c r="D639" s="118" t="s">
        <v>1858</v>
      </c>
      <c r="E639" s="1308">
        <f>q_FLOC*((θ_q_FLOC)^((T__)-(T_base)))</f>
        <v>50</v>
      </c>
      <c r="F639" s="1308" t="s">
        <v>444</v>
      </c>
      <c r="G639" s="118">
        <v>2</v>
      </c>
      <c r="H639" s="1120"/>
      <c r="I639" s="1221"/>
    </row>
    <row r="640" spans="2:9" ht="15.75" outlineLevel="1" x14ac:dyDescent="0.45">
      <c r="B640" s="1021" t="s">
        <v>1859</v>
      </c>
      <c r="C640" s="1493" t="s">
        <v>2900</v>
      </c>
      <c r="D640" s="118" t="s">
        <v>1860</v>
      </c>
      <c r="E640" s="1308">
        <f>q_HYD*((θ_q_HYD)^((T__)-(T_base)))</f>
        <v>2</v>
      </c>
      <c r="F640" s="1308" t="s">
        <v>444</v>
      </c>
      <c r="G640" s="118">
        <v>2</v>
      </c>
      <c r="H640" s="1120"/>
      <c r="I640" s="1221"/>
    </row>
    <row r="641" spans="2:9" ht="15.75" outlineLevel="1" x14ac:dyDescent="0.45">
      <c r="B641" s="1021" t="s">
        <v>1861</v>
      </c>
      <c r="C641" s="1493" t="s">
        <v>2901</v>
      </c>
      <c r="D641" s="118" t="s">
        <v>1862</v>
      </c>
      <c r="E641" s="1308">
        <f>q_AMMON*((θ_q_AMMON)^((T__)-(T_base)))</f>
        <v>0.05</v>
      </c>
      <c r="F641" s="1308" t="s">
        <v>444</v>
      </c>
      <c r="G641" s="118">
        <v>2</v>
      </c>
      <c r="H641" s="1120"/>
      <c r="I641" s="1221"/>
    </row>
    <row r="642" spans="2:9" ht="15.75" outlineLevel="1" x14ac:dyDescent="0.45">
      <c r="B642" s="1021" t="s">
        <v>1876</v>
      </c>
      <c r="C642" s="1493" t="s">
        <v>2902</v>
      </c>
      <c r="D642" s="118" t="s">
        <v>1877</v>
      </c>
      <c r="E642" s="1308">
        <f>q_SPB*((θ_q_SPB)^((T__)-(T_base)))</f>
        <v>0.5</v>
      </c>
      <c r="F642" s="1308" t="s">
        <v>444</v>
      </c>
      <c r="G642" s="118">
        <v>2</v>
      </c>
      <c r="H642" s="1120"/>
      <c r="I642" s="1221"/>
    </row>
    <row r="643" spans="2:9" ht="15.75" outlineLevel="1" x14ac:dyDescent="0.45">
      <c r="B643" s="1021" t="s">
        <v>1879</v>
      </c>
      <c r="C643" s="1493" t="s">
        <v>2903</v>
      </c>
      <c r="D643" s="118" t="s">
        <v>1880</v>
      </c>
      <c r="E643" s="1308">
        <f>q_XE*((θ_q_XE)^((T__)-(T_base)))</f>
        <v>7.0000000000000001E-3</v>
      </c>
      <c r="F643" s="1308" t="s">
        <v>444</v>
      </c>
      <c r="G643" s="118">
        <v>2</v>
      </c>
      <c r="H643" s="1120"/>
      <c r="I643" s="1221"/>
    </row>
    <row r="644" spans="2:9" ht="15.75" outlineLevel="1" x14ac:dyDescent="0.45">
      <c r="B644" s="1021" t="s">
        <v>1863</v>
      </c>
      <c r="C644" s="1493" t="s">
        <v>2904</v>
      </c>
      <c r="D644" s="118" t="s">
        <v>1864</v>
      </c>
      <c r="E644" s="1308">
        <f>q_ASSIM*((θ_q_ASSIM)^((T__)-(T_base)))</f>
        <v>1</v>
      </c>
      <c r="F644" s="1308" t="s">
        <v>444</v>
      </c>
      <c r="G644" s="118">
        <v>2</v>
      </c>
      <c r="H644" s="1120"/>
      <c r="I644" s="1221"/>
    </row>
    <row r="645" spans="2:9" ht="15.75" outlineLevel="1" x14ac:dyDescent="0.45">
      <c r="B645" s="1494" t="s">
        <v>2907</v>
      </c>
      <c r="C645" s="1495" t="s">
        <v>2905</v>
      </c>
      <c r="D645" s="208" t="s">
        <v>2908</v>
      </c>
      <c r="E645" s="1496">
        <f>q_Fe2_OX*((θ_q_Fe2_OX)^((T__)-(T_base)))</f>
        <v>1</v>
      </c>
      <c r="F645" s="1496" t="s">
        <v>444</v>
      </c>
      <c r="G645" s="208">
        <v>2</v>
      </c>
      <c r="H645" s="1121"/>
      <c r="I645" s="1497"/>
    </row>
    <row r="646" spans="2:9" s="124" customFormat="1" ht="15.75" outlineLevel="1" x14ac:dyDescent="0.45">
      <c r="B646" s="2737" t="s">
        <v>5729</v>
      </c>
      <c r="C646" s="2738" t="s">
        <v>5730</v>
      </c>
      <c r="D646" s="2738" t="s">
        <v>5731</v>
      </c>
      <c r="E646" s="2739">
        <f>q_FeS_OX*((θ_q_FeS_OX)^((T__)-(T_base)))</f>
        <v>1</v>
      </c>
      <c r="F646" s="2740" t="s">
        <v>444</v>
      </c>
      <c r="G646" s="2741">
        <v>2</v>
      </c>
      <c r="H646" s="2741"/>
      <c r="I646" s="2742"/>
    </row>
    <row r="647" spans="2:9" ht="16.149999999999999" outlineLevel="1" thickBot="1" x14ac:dyDescent="0.5">
      <c r="B647" s="1498" t="s">
        <v>1881</v>
      </c>
      <c r="C647" s="1313" t="s">
        <v>2906</v>
      </c>
      <c r="D647" s="1313" t="s">
        <v>1882</v>
      </c>
      <c r="E647" s="1499">
        <f>q_HFO_RED*((θ_q_HFO_RED)^((T__)-(T_base)))</f>
        <v>2</v>
      </c>
      <c r="F647" s="1499" t="s">
        <v>444</v>
      </c>
      <c r="G647" s="1313">
        <v>2</v>
      </c>
      <c r="H647" s="1643"/>
      <c r="I647" s="1500"/>
    </row>
    <row r="648" spans="2:9" s="124" customFormat="1" ht="16.149999999999999" outlineLevel="1" thickBot="1" x14ac:dyDescent="0.5">
      <c r="B648" s="2743" t="s">
        <v>5732</v>
      </c>
      <c r="C648" s="2744" t="s">
        <v>5733</v>
      </c>
      <c r="D648" s="2744" t="s">
        <v>5734</v>
      </c>
      <c r="E648" s="2745">
        <f>q_HFO_H2S_RED*((θ_q_HFO_H2S_RED)^((T__)-(T_base)))</f>
        <v>2</v>
      </c>
      <c r="F648" s="2746" t="s">
        <v>444</v>
      </c>
      <c r="G648" s="2747">
        <v>2</v>
      </c>
      <c r="H648" s="2747"/>
      <c r="I648" s="2748"/>
    </row>
    <row r="649" spans="2:9" s="124" customFormat="1" ht="16.149999999999999" outlineLevel="1" thickBot="1" x14ac:dyDescent="0.5">
      <c r="B649" s="2844" t="s">
        <v>5877</v>
      </c>
      <c r="C649" s="2845" t="s">
        <v>5860</v>
      </c>
      <c r="D649" s="2845" t="s">
        <v>5867</v>
      </c>
      <c r="E649" s="2846">
        <f>µ_MOB*((θ_µ_MOB)^((T__)-(T_base)))</f>
        <v>3.66</v>
      </c>
      <c r="F649" s="2846" t="s">
        <v>444</v>
      </c>
      <c r="G649" s="2847">
        <v>2</v>
      </c>
      <c r="H649" s="2847"/>
      <c r="I649" s="2848"/>
    </row>
    <row r="650" spans="2:9" ht="15.75" x14ac:dyDescent="0.45">
      <c r="B650" s="2844" t="s">
        <v>5878</v>
      </c>
      <c r="C650" s="2845" t="s">
        <v>5861</v>
      </c>
      <c r="D650" s="2845" t="s">
        <v>5882</v>
      </c>
      <c r="E650" s="2846">
        <f>b_MOB*((θ_b_MOB)^((T__)-(T_base)))</f>
        <v>0.54900000000000004</v>
      </c>
      <c r="F650" s="2846" t="s">
        <v>444</v>
      </c>
      <c r="G650" s="2847">
        <v>2</v>
      </c>
      <c r="H650" s="2847"/>
      <c r="I650" s="2848"/>
    </row>
    <row r="651" spans="2:9" ht="14.65" thickBot="1" x14ac:dyDescent="0.5">
      <c r="B651" s="153"/>
      <c r="C651" s="153"/>
      <c r="D651" s="153"/>
      <c r="E651" s="153"/>
      <c r="F651" s="153"/>
      <c r="G651" s="153"/>
      <c r="H651" s="1044"/>
      <c r="I651" s="153"/>
    </row>
    <row r="652" spans="2:9" ht="14.65" thickBot="1" x14ac:dyDescent="0.5">
      <c r="C652" s="1501" t="s">
        <v>338</v>
      </c>
      <c r="D652" s="2076" t="s">
        <v>319</v>
      </c>
      <c r="E652" s="115"/>
    </row>
    <row r="653" spans="2:9" ht="14.65" thickBot="1" x14ac:dyDescent="0.5">
      <c r="B653" s="1502" t="s">
        <v>0</v>
      </c>
      <c r="C653" s="1314" t="s">
        <v>1</v>
      </c>
      <c r="D653" s="1314" t="s">
        <v>5</v>
      </c>
      <c r="E653" s="1314" t="s">
        <v>152</v>
      </c>
      <c r="F653" s="1314" t="s">
        <v>2</v>
      </c>
      <c r="G653" s="1314" t="s">
        <v>300</v>
      </c>
      <c r="H653" s="1644" t="s">
        <v>116</v>
      </c>
      <c r="I653" s="1503" t="s">
        <v>117</v>
      </c>
    </row>
    <row r="654" spans="2:9" ht="15.75" outlineLevel="1" x14ac:dyDescent="0.45">
      <c r="B654" s="938" t="s">
        <v>909</v>
      </c>
      <c r="C654" s="1315" t="s">
        <v>906</v>
      </c>
      <c r="D654" s="1315" t="s">
        <v>1865</v>
      </c>
      <c r="E654" s="1504">
        <f>1.82483*10^6*ρ__^(0.5)*(ε__*T_K)^(-1.5)</f>
        <v>0.50517320931567189</v>
      </c>
      <c r="F654" s="1315" t="s">
        <v>1907</v>
      </c>
      <c r="G654" s="1315">
        <v>3</v>
      </c>
      <c r="H654" s="1645" t="s">
        <v>11</v>
      </c>
      <c r="I654" s="1505"/>
    </row>
    <row r="655" spans="2:9" ht="15.75" outlineLevel="1" x14ac:dyDescent="0.45">
      <c r="B655" s="938" t="s">
        <v>908</v>
      </c>
      <c r="C655" s="1315" t="s">
        <v>2997</v>
      </c>
      <c r="D655" s="1315" t="s">
        <v>943</v>
      </c>
      <c r="E655" s="1504">
        <f>2727.586+0.6224107*T_K-466.9151*LN(T_K)-(52000.87/T_K)</f>
        <v>80.261801298291488</v>
      </c>
      <c r="F655" s="1315" t="s">
        <v>1907</v>
      </c>
      <c r="G655" s="1315">
        <v>3</v>
      </c>
      <c r="H655" s="1645" t="s">
        <v>11</v>
      </c>
      <c r="I655" s="1505"/>
    </row>
    <row r="656" spans="2:9" outlineLevel="1" x14ac:dyDescent="0.45">
      <c r="B656" s="938" t="s">
        <v>910</v>
      </c>
      <c r="C656" s="1315" t="s">
        <v>2998</v>
      </c>
      <c r="D656" s="1315" t="s">
        <v>907</v>
      </c>
      <c r="E656" s="1504">
        <f>1-(T__-3.9863)^2*(T__+288.9414)/(508929.2*(T__+68.12963))+0.011445*EXP(-374.3/T__)</f>
        <v>0.99823363622515204</v>
      </c>
      <c r="F656" s="1315" t="s">
        <v>1907</v>
      </c>
      <c r="G656" s="1315">
        <v>3</v>
      </c>
      <c r="H656" s="1645" t="s">
        <v>11</v>
      </c>
      <c r="I656" s="1505"/>
    </row>
    <row r="657" spans="2:9" ht="15.75" outlineLevel="1" x14ac:dyDescent="0.45">
      <c r="B657" s="938" t="s">
        <v>3403</v>
      </c>
      <c r="C657" s="1315" t="s">
        <v>3404</v>
      </c>
      <c r="D657" s="589" t="s">
        <v>3405</v>
      </c>
      <c r="E657" s="1504">
        <f>f_mono_ISlim-I_Slim*S_lopeIS_corr</f>
        <v>0.78560775368648972</v>
      </c>
      <c r="F657" s="1315" t="s">
        <v>1907</v>
      </c>
      <c r="G657" s="1315">
        <v>3</v>
      </c>
      <c r="H657" s="1645" t="s">
        <v>11</v>
      </c>
      <c r="I657" s="1505"/>
    </row>
    <row r="658" spans="2:9" ht="15.75" outlineLevel="1" x14ac:dyDescent="0.45">
      <c r="B658" s="938" t="s">
        <v>3406</v>
      </c>
      <c r="C658" s="1315" t="s">
        <v>3407</v>
      </c>
      <c r="D658" s="589" t="s">
        <v>3408</v>
      </c>
      <c r="E658" s="1504">
        <f>f_di_ISlim-I_Slim*S_lopeIS_corr</f>
        <v>0.38072284713919508</v>
      </c>
      <c r="F658" s="1315" t="s">
        <v>1907</v>
      </c>
      <c r="G658" s="1315">
        <v>3</v>
      </c>
      <c r="H658" s="1645" t="s">
        <v>11</v>
      </c>
      <c r="I658" s="1505"/>
    </row>
    <row r="659" spans="2:9" ht="15.75" outlineLevel="1" x14ac:dyDescent="0.45">
      <c r="B659" s="938" t="s">
        <v>3409</v>
      </c>
      <c r="C659" s="1315" t="s">
        <v>3410</v>
      </c>
      <c r="D659" s="589" t="s">
        <v>3411</v>
      </c>
      <c r="E659" s="1504">
        <f>f_tri_ISlim-I_Slim*S_lopeIS_corr</f>
        <v>0.11392518696837291</v>
      </c>
      <c r="F659" s="1315" t="s">
        <v>1907</v>
      </c>
      <c r="G659" s="1315">
        <v>3</v>
      </c>
      <c r="H659" s="1645" t="s">
        <v>11</v>
      </c>
      <c r="I659" s="1505"/>
    </row>
    <row r="660" spans="2:9" ht="15.75" outlineLevel="1" x14ac:dyDescent="0.45">
      <c r="B660" s="938" t="s">
        <v>3412</v>
      </c>
      <c r="C660" s="1315" t="s">
        <v>3413</v>
      </c>
      <c r="D660" s="589" t="s">
        <v>2019</v>
      </c>
      <c r="E660" s="1504">
        <f>10^(-A_Davies*1^(2)*(I_Slim^(0.5)/(1+1.5*I_Slim^(0.5))-0.3*I_Slim))</f>
        <v>0.78540775368648974</v>
      </c>
      <c r="F660" s="1315" t="s">
        <v>1907</v>
      </c>
      <c r="G660" s="1315">
        <v>3</v>
      </c>
      <c r="H660" s="1645" t="s">
        <v>11</v>
      </c>
      <c r="I660" s="1505"/>
    </row>
    <row r="661" spans="2:9" ht="15.75" outlineLevel="1" x14ac:dyDescent="0.45">
      <c r="B661" s="495" t="s">
        <v>3414</v>
      </c>
      <c r="C661" s="589" t="s">
        <v>3415</v>
      </c>
      <c r="D661" s="589" t="s">
        <v>2020</v>
      </c>
      <c r="E661" s="1506">
        <f>10^(-A_Davies*2^(2)*(I_Slim^(0.5)/(1+1.5*I_Slim^(0.5))-0.3*I_Slim))</f>
        <v>0.3805228471391951</v>
      </c>
      <c r="F661" s="1507" t="s">
        <v>1907</v>
      </c>
      <c r="G661" s="1508">
        <v>3</v>
      </c>
      <c r="H661" s="1646" t="s">
        <v>11</v>
      </c>
      <c r="I661" s="1509"/>
    </row>
    <row r="662" spans="2:9" ht="15.75" outlineLevel="1" x14ac:dyDescent="0.45">
      <c r="B662" s="495" t="s">
        <v>3416</v>
      </c>
      <c r="C662" s="589" t="s">
        <v>3417</v>
      </c>
      <c r="D662" s="589" t="s">
        <v>2021</v>
      </c>
      <c r="E662" s="1506">
        <f>10^(-A_Davies*3^(2)*(I_Slim^(0.5)/(1+1.5*I_Slim^(0.5))-0.3*I_Slim))</f>
        <v>0.1137251869683729</v>
      </c>
      <c r="F662" s="1506" t="s">
        <v>1907</v>
      </c>
      <c r="G662" s="1508">
        <v>3</v>
      </c>
      <c r="H662" s="1646" t="s">
        <v>11</v>
      </c>
      <c r="I662" s="1509"/>
    </row>
    <row r="663" spans="2:9" ht="15.75" outlineLevel="1" x14ac:dyDescent="0.45">
      <c r="B663" s="495" t="s">
        <v>339</v>
      </c>
      <c r="C663" s="589" t="s">
        <v>340</v>
      </c>
      <c r="D663" s="589" t="s">
        <v>3418</v>
      </c>
      <c r="E663" s="1506">
        <f>IF(I_S&lt;I_Slim,10^(-A_Davies*1^(2)*(I_S^(0.5)/(1+1.5*I_S^(0.5))-0.3*I_S)),S_lopeIS_corr*I_S+y_fmono)</f>
        <v>0.87920810737341937</v>
      </c>
      <c r="F663" s="589" t="s">
        <v>1907</v>
      </c>
      <c r="G663" s="1508">
        <v>3</v>
      </c>
      <c r="H663" s="1646" t="s">
        <v>11</v>
      </c>
      <c r="I663" s="1509"/>
    </row>
    <row r="664" spans="2:9" ht="15.75" outlineLevel="1" x14ac:dyDescent="0.45">
      <c r="B664" s="495" t="s">
        <v>341</v>
      </c>
      <c r="C664" s="589" t="s">
        <v>342</v>
      </c>
      <c r="D664" s="589" t="s">
        <v>3419</v>
      </c>
      <c r="E664" s="1506">
        <f>IF(I_S&lt;I_Slim,10^(-A_Davies*2^(2)*(I_S^(0.5)/(1+1.5*I_S^(0.5))-0.3*I_S)),S_lopeIS_corr*I_S+y_fdi)</f>
        <v>0.59753966137355408</v>
      </c>
      <c r="F664" s="1507" t="s">
        <v>1907</v>
      </c>
      <c r="G664" s="1508">
        <v>3</v>
      </c>
      <c r="H664" s="1646" t="s">
        <v>11</v>
      </c>
      <c r="I664" s="1509"/>
    </row>
    <row r="665" spans="2:9" ht="16.149999999999999" outlineLevel="1" thickBot="1" x14ac:dyDescent="0.5">
      <c r="B665" s="496" t="s">
        <v>343</v>
      </c>
      <c r="C665" s="591" t="s">
        <v>344</v>
      </c>
      <c r="D665" s="591" t="s">
        <v>3420</v>
      </c>
      <c r="E665" s="1510">
        <f>IF(I_S&lt;I_Slim,10^(-A_Davies*3^(2)*(I_S^(0.5)/(1+1.5*I_S^(0.5))-0.3*I_S)),S_lopeIS_corr*I_S+y_ftri)</f>
        <v>0.31392446113440575</v>
      </c>
      <c r="F665" s="1510" t="s">
        <v>1907</v>
      </c>
      <c r="G665" s="1511">
        <v>3</v>
      </c>
      <c r="H665" s="1647" t="s">
        <v>11</v>
      </c>
      <c r="I665" s="1512"/>
    </row>
    <row r="666" spans="2:9" ht="14.65" thickBot="1" x14ac:dyDescent="0.5"/>
    <row r="667" spans="2:9" ht="14.65" thickBot="1" x14ac:dyDescent="0.5">
      <c r="C667" s="1513" t="s">
        <v>945</v>
      </c>
      <c r="D667" s="2076" t="s">
        <v>319</v>
      </c>
      <c r="E667" s="115"/>
    </row>
    <row r="668" spans="2:9" ht="14.65" thickBot="1" x14ac:dyDescent="0.5">
      <c r="B668" s="325" t="s">
        <v>0</v>
      </c>
      <c r="C668" s="264" t="s">
        <v>1</v>
      </c>
      <c r="D668" s="264" t="s">
        <v>5</v>
      </c>
      <c r="E668" s="264" t="s">
        <v>152</v>
      </c>
      <c r="F668" s="264" t="s">
        <v>2</v>
      </c>
      <c r="G668" s="264" t="s">
        <v>300</v>
      </c>
      <c r="H668" s="1614" t="s">
        <v>116</v>
      </c>
      <c r="I668" s="1331" t="s">
        <v>117</v>
      </c>
    </row>
    <row r="669" spans="2:9" ht="15.75" outlineLevel="1" x14ac:dyDescent="0.45">
      <c r="B669" s="253" t="s">
        <v>946</v>
      </c>
      <c r="C669" s="1514" t="s">
        <v>2910</v>
      </c>
      <c r="D669" s="1316" t="s">
        <v>3227</v>
      </c>
      <c r="E669" s="1515">
        <f>K_W_param*EXP(d_Hdiss_H2O/R__*(1/T_st_K-1/T_K))</f>
        <v>6.7545152316627035E-15</v>
      </c>
      <c r="F669" s="1319" t="s">
        <v>1907</v>
      </c>
      <c r="G669" s="1516">
        <v>3</v>
      </c>
      <c r="H669" s="1648" t="s">
        <v>11</v>
      </c>
      <c r="I669" s="1517"/>
    </row>
    <row r="670" spans="2:9" ht="15.75" outlineLevel="1" x14ac:dyDescent="0.45">
      <c r="B670" s="1032" t="s">
        <v>947</v>
      </c>
      <c r="C670" s="408" t="s">
        <v>2911</v>
      </c>
      <c r="D670" s="1317" t="s">
        <v>1866</v>
      </c>
      <c r="E670" s="1518">
        <f>10^(-(3404.7/T_K-14.8435+T_K*0.03279))</f>
        <v>4.1392419480646479E-7</v>
      </c>
      <c r="F670" s="1319" t="s">
        <v>1907</v>
      </c>
      <c r="G670" s="1519">
        <v>3</v>
      </c>
      <c r="H670" s="1156" t="s">
        <v>11</v>
      </c>
      <c r="I670" s="1520"/>
    </row>
    <row r="671" spans="2:9" ht="15.75" outlineLevel="1" x14ac:dyDescent="0.45">
      <c r="B671" s="1032" t="s">
        <v>948</v>
      </c>
      <c r="C671" s="408" t="s">
        <v>2912</v>
      </c>
      <c r="D671" s="1317" t="s">
        <v>1867</v>
      </c>
      <c r="E671" s="1518">
        <f>10^(-(2902.4/T_K-6.498+T_K*0.02379))</f>
        <v>4.1997949506593592E-11</v>
      </c>
      <c r="F671" s="1319" t="s">
        <v>1907</v>
      </c>
      <c r="G671" s="1519">
        <v>3</v>
      </c>
      <c r="H671" s="1156" t="s">
        <v>11</v>
      </c>
      <c r="I671" s="1520"/>
    </row>
    <row r="672" spans="2:9" ht="15.75" outlineLevel="1" x14ac:dyDescent="0.45">
      <c r="B672" s="1032" t="s">
        <v>949</v>
      </c>
      <c r="C672" s="408" t="s">
        <v>2913</v>
      </c>
      <c r="D672" s="1317" t="s">
        <v>1868</v>
      </c>
      <c r="E672" s="1518">
        <f>10^(-(799.3/T_K-4.5535+T_K*0.01349))</f>
        <v>7.4527408036475567E-3</v>
      </c>
      <c r="F672" s="1319" t="s">
        <v>1907</v>
      </c>
      <c r="G672" s="1519">
        <v>3</v>
      </c>
      <c r="H672" s="1156" t="s">
        <v>11</v>
      </c>
      <c r="I672" s="1520"/>
    </row>
    <row r="673" spans="2:9" ht="15.75" outlineLevel="1" x14ac:dyDescent="0.45">
      <c r="B673" s="1032" t="s">
        <v>950</v>
      </c>
      <c r="C673" s="408" t="s">
        <v>2914</v>
      </c>
      <c r="D673" s="1317" t="s">
        <v>1869</v>
      </c>
      <c r="E673" s="1518">
        <f>10^(-(1979.5/T_K-5.3541+T_K*0.01984))</f>
        <v>6.1022250881622208E-8</v>
      </c>
      <c r="F673" s="1319" t="s">
        <v>1907</v>
      </c>
      <c r="G673" s="1519">
        <v>3</v>
      </c>
      <c r="H673" s="1156" t="s">
        <v>11</v>
      </c>
      <c r="I673" s="1520"/>
    </row>
    <row r="674" spans="2:9" ht="15.75" outlineLevel="1" x14ac:dyDescent="0.45">
      <c r="B674" s="1032" t="s">
        <v>951</v>
      </c>
      <c r="C674" s="408" t="s">
        <v>2915</v>
      </c>
      <c r="D674" s="1317" t="s">
        <v>3228</v>
      </c>
      <c r="E674" s="1518">
        <f>K_P3_param*EXP(d_Hdiss_PO4_3/R__*(1/T_st_K-1/T_K))</f>
        <v>3.7853629756273106E-13</v>
      </c>
      <c r="F674" s="1518" t="s">
        <v>1907</v>
      </c>
      <c r="G674" s="1519">
        <v>3</v>
      </c>
      <c r="H674" s="1156" t="s">
        <v>11</v>
      </c>
      <c r="I674" s="1520"/>
    </row>
    <row r="675" spans="2:9" s="124" customFormat="1" ht="15.75" outlineLevel="1" x14ac:dyDescent="0.45">
      <c r="B675" s="2751" t="s">
        <v>5735</v>
      </c>
      <c r="C675" s="2749" t="s">
        <v>5736</v>
      </c>
      <c r="D675" s="2749" t="s">
        <v>5737</v>
      </c>
      <c r="E675" s="2752">
        <f>K_S1_param*EXP(d_Hdiss_S_1/R__*(1/T_st_K-1/T_K))</f>
        <v>8.1469603101505123E-8</v>
      </c>
      <c r="F675" s="371" t="s">
        <v>1907</v>
      </c>
      <c r="G675" s="2753">
        <v>3</v>
      </c>
      <c r="H675" s="2754" t="s">
        <v>11</v>
      </c>
      <c r="I675" s="2755"/>
    </row>
    <row r="676" spans="2:9" s="124" customFormat="1" ht="15.75" outlineLevel="1" x14ac:dyDescent="0.45">
      <c r="B676" s="2751" t="s">
        <v>5738</v>
      </c>
      <c r="C676" s="2749" t="s">
        <v>5739</v>
      </c>
      <c r="D676" s="2749" t="s">
        <v>5740</v>
      </c>
      <c r="E676" s="2752">
        <f>K_S2_param*EXP(d_Hdiss_S_2/R__*(1/T_st_K-1/T_K))</f>
        <v>3.5263778134011928E-18</v>
      </c>
      <c r="F676" s="371" t="s">
        <v>1907</v>
      </c>
      <c r="G676" s="2753">
        <v>3</v>
      </c>
      <c r="H676" s="2754" t="s">
        <v>11</v>
      </c>
      <c r="I676" s="2755"/>
    </row>
    <row r="677" spans="2:9" s="124" customFormat="1" ht="15.75" outlineLevel="1" x14ac:dyDescent="0.45">
      <c r="B677" s="2751" t="s">
        <v>5741</v>
      </c>
      <c r="C677" s="2749" t="s">
        <v>5742</v>
      </c>
      <c r="D677" s="2749" t="s">
        <v>5743</v>
      </c>
      <c r="E677" s="2752">
        <f>K_SO41_param*EXP(d_Hdiss_SO4_1/R__*(1/T_st_K-1/T_K))</f>
        <v>853.0914720596212</v>
      </c>
      <c r="F677" s="371" t="s">
        <v>1907</v>
      </c>
      <c r="G677" s="2753">
        <v>3</v>
      </c>
      <c r="H677" s="2754" t="s">
        <v>11</v>
      </c>
      <c r="I677" s="2755"/>
    </row>
    <row r="678" spans="2:9" s="124" customFormat="1" ht="15.75" outlineLevel="1" x14ac:dyDescent="0.45">
      <c r="B678" s="2751" t="s">
        <v>5744</v>
      </c>
      <c r="C678" s="2749" t="s">
        <v>5745</v>
      </c>
      <c r="D678" s="2749" t="s">
        <v>5746</v>
      </c>
      <c r="E678" s="2752">
        <f>K_SO42_param*EXP(d_Hdiss_SO4_2/R__*(1/T_st_K-1/T_K))</f>
        <v>1.1816039602180261E-2</v>
      </c>
      <c r="F678" s="371" t="s">
        <v>1907</v>
      </c>
      <c r="G678" s="2753">
        <v>3</v>
      </c>
      <c r="H678" s="2754" t="s">
        <v>11</v>
      </c>
      <c r="I678" s="2755"/>
    </row>
    <row r="679" spans="2:9" ht="15.75" outlineLevel="1" x14ac:dyDescent="0.45">
      <c r="B679" s="1032" t="s">
        <v>2941</v>
      </c>
      <c r="C679" s="408" t="s">
        <v>2916</v>
      </c>
      <c r="D679" s="1317" t="s">
        <v>1870</v>
      </c>
      <c r="E679" s="1518">
        <f>10^(-(1170.5/T_K-3.165+T_K*0.0134))</f>
        <v>1.7536929986944336E-5</v>
      </c>
      <c r="F679" s="1518" t="s">
        <v>1907</v>
      </c>
      <c r="G679" s="1519">
        <v>3</v>
      </c>
      <c r="H679" s="1156" t="s">
        <v>11</v>
      </c>
      <c r="I679" s="1520"/>
    </row>
    <row r="680" spans="2:9" ht="15.75" outlineLevel="1" x14ac:dyDescent="0.45">
      <c r="B680" s="1032" t="s">
        <v>2942</v>
      </c>
      <c r="C680" s="408" t="s">
        <v>2926</v>
      </c>
      <c r="D680" s="1317" t="s">
        <v>3229</v>
      </c>
      <c r="E680" s="1518">
        <f>K_NO2_param*EXP(d_Hdiss_NO2/R__*(1/T_st_K-1/T_K))</f>
        <v>4.0484694649180739E-4</v>
      </c>
      <c r="F680" s="1315" t="s">
        <v>1907</v>
      </c>
      <c r="G680" s="1519">
        <v>3</v>
      </c>
      <c r="H680" s="1156" t="s">
        <v>11</v>
      </c>
      <c r="I680" s="1520"/>
    </row>
    <row r="681" spans="2:9" ht="16.149999999999999" outlineLevel="1" thickBot="1" x14ac:dyDescent="0.5">
      <c r="B681" s="252" t="s">
        <v>2932</v>
      </c>
      <c r="C681" s="339" t="s">
        <v>2917</v>
      </c>
      <c r="D681" s="339" t="s">
        <v>1057</v>
      </c>
      <c r="E681" s="1521">
        <f>10^(-(2835.8/T_K-0.6322+0.00123*T_K))</f>
        <v>3.9635061259550542E-10</v>
      </c>
      <c r="F681" s="1521" t="s">
        <v>1907</v>
      </c>
      <c r="G681" s="1522">
        <v>3</v>
      </c>
      <c r="H681" s="1649" t="s">
        <v>11</v>
      </c>
      <c r="I681" s="1523"/>
    </row>
    <row r="682" spans="2:9" ht="14.65" thickBot="1" x14ac:dyDescent="0.5"/>
    <row r="683" spans="2:9" ht="14.65" thickBot="1" x14ac:dyDescent="0.5">
      <c r="C683" s="1501" t="s">
        <v>983</v>
      </c>
      <c r="D683" s="2076" t="s">
        <v>319</v>
      </c>
      <c r="E683" s="115"/>
    </row>
    <row r="684" spans="2:9" ht="14.65" thickBot="1" x14ac:dyDescent="0.5">
      <c r="B684" s="1524" t="s">
        <v>0</v>
      </c>
      <c r="C684" s="266" t="s">
        <v>1</v>
      </c>
      <c r="D684" s="266" t="s">
        <v>5</v>
      </c>
      <c r="E684" s="266" t="s">
        <v>152</v>
      </c>
      <c r="F684" s="266" t="s">
        <v>2</v>
      </c>
      <c r="G684" s="266" t="s">
        <v>300</v>
      </c>
      <c r="H684" s="1082" t="s">
        <v>116</v>
      </c>
      <c r="I684" s="1203" t="s">
        <v>117</v>
      </c>
    </row>
    <row r="685" spans="2:9" ht="15.75" outlineLevel="1" x14ac:dyDescent="0.45">
      <c r="B685" s="284" t="s">
        <v>345</v>
      </c>
      <c r="C685" s="1514" t="s">
        <v>2918</v>
      </c>
      <c r="D685" s="1318" t="s">
        <v>952</v>
      </c>
      <c r="E685" s="1525">
        <f>K_W_T/f_mono^2</f>
        <v>8.7379753867564399E-15</v>
      </c>
      <c r="F685" s="1318" t="s">
        <v>1907</v>
      </c>
      <c r="G685" s="1526">
        <v>3</v>
      </c>
      <c r="H685" s="1650" t="s">
        <v>11</v>
      </c>
      <c r="I685" s="1527"/>
    </row>
    <row r="686" spans="2:9" ht="15.75" outlineLevel="1" x14ac:dyDescent="0.45">
      <c r="B686" s="1032" t="s">
        <v>346</v>
      </c>
      <c r="C686" s="408" t="s">
        <v>2919</v>
      </c>
      <c r="D686" s="1317" t="s">
        <v>953</v>
      </c>
      <c r="E686" s="1518">
        <f>K_C1_T/f_mono^2</f>
        <v>5.3547283589610541E-7</v>
      </c>
      <c r="F686" s="1317" t="s">
        <v>1907</v>
      </c>
      <c r="G686" s="1519">
        <v>3</v>
      </c>
      <c r="H686" s="1156" t="s">
        <v>11</v>
      </c>
      <c r="I686" s="1520"/>
    </row>
    <row r="687" spans="2:9" ht="15.75" outlineLevel="1" x14ac:dyDescent="0.45">
      <c r="B687" s="1032" t="s">
        <v>347</v>
      </c>
      <c r="C687" s="408" t="s">
        <v>2920</v>
      </c>
      <c r="D687" s="1317" t="s">
        <v>954</v>
      </c>
      <c r="E687" s="1518">
        <f>K_C2_T/f_di</f>
        <v>7.0284789816384129E-11</v>
      </c>
      <c r="F687" s="1317" t="s">
        <v>1907</v>
      </c>
      <c r="G687" s="1519">
        <v>3</v>
      </c>
      <c r="H687" s="1156" t="s">
        <v>11</v>
      </c>
      <c r="I687" s="1520"/>
    </row>
    <row r="688" spans="2:9" ht="15.75" outlineLevel="1" x14ac:dyDescent="0.45">
      <c r="B688" s="1032" t="s">
        <v>356</v>
      </c>
      <c r="C688" s="408" t="s">
        <v>2921</v>
      </c>
      <c r="D688" s="1317" t="s">
        <v>955</v>
      </c>
      <c r="E688" s="1518">
        <f>K_P1_T/f_mono^2</f>
        <v>9.6412345627529591E-3</v>
      </c>
      <c r="F688" s="1317" t="s">
        <v>1907</v>
      </c>
      <c r="G688" s="1519">
        <v>3</v>
      </c>
      <c r="H688" s="1156" t="s">
        <v>11</v>
      </c>
      <c r="I688" s="1520"/>
    </row>
    <row r="689" spans="2:9" ht="15.75" outlineLevel="1" x14ac:dyDescent="0.45">
      <c r="B689" s="1032" t="s">
        <v>357</v>
      </c>
      <c r="C689" s="408" t="s">
        <v>2922</v>
      </c>
      <c r="D689" s="1317" t="s">
        <v>956</v>
      </c>
      <c r="E689" s="1518">
        <f>K_P2_T/f_di</f>
        <v>1.0212251140175602E-7</v>
      </c>
      <c r="F689" s="1317" t="s">
        <v>1907</v>
      </c>
      <c r="G689" s="1519">
        <v>3</v>
      </c>
      <c r="H689" s="1156" t="s">
        <v>11</v>
      </c>
      <c r="I689" s="1520"/>
    </row>
    <row r="690" spans="2:9" ht="15.75" outlineLevel="1" x14ac:dyDescent="0.45">
      <c r="B690" s="1032" t="s">
        <v>358</v>
      </c>
      <c r="C690" s="408" t="s">
        <v>2923</v>
      </c>
      <c r="D690" s="1317" t="s">
        <v>957</v>
      </c>
      <c r="E690" s="1518">
        <f>K_P3_T/(f_mono*f_tri)*f_di</f>
        <v>8.1951597738298681E-13</v>
      </c>
      <c r="F690" s="1518" t="s">
        <v>1907</v>
      </c>
      <c r="G690" s="1519">
        <v>3</v>
      </c>
      <c r="H690" s="1156" t="s">
        <v>11</v>
      </c>
      <c r="I690" s="1520"/>
    </row>
    <row r="691" spans="2:9" s="124" customFormat="1" ht="15.75" outlineLevel="1" x14ac:dyDescent="0.45">
      <c r="B691" s="2751" t="s">
        <v>5747</v>
      </c>
      <c r="C691" s="2749" t="s">
        <v>5748</v>
      </c>
      <c r="D691" s="2749" t="s">
        <v>5749</v>
      </c>
      <c r="E691" s="2752">
        <f>K_S1_T/f_mono^2</f>
        <v>1.0539311294062038E-7</v>
      </c>
      <c r="F691" s="371" t="s">
        <v>1907</v>
      </c>
      <c r="G691" s="2753">
        <v>3</v>
      </c>
      <c r="H691" s="2754" t="s">
        <v>11</v>
      </c>
      <c r="I691" s="2755"/>
    </row>
    <row r="692" spans="2:9" s="124" customFormat="1" ht="15.75" outlineLevel="1" x14ac:dyDescent="0.45">
      <c r="B692" s="2751" t="s">
        <v>5750</v>
      </c>
      <c r="C692" s="2749" t="s">
        <v>5751</v>
      </c>
      <c r="D692" s="2749" t="s">
        <v>5752</v>
      </c>
      <c r="E692" s="2752">
        <f>K_S2_T/f_di</f>
        <v>5.9014958191982923E-18</v>
      </c>
      <c r="F692" s="371" t="s">
        <v>1907</v>
      </c>
      <c r="G692" s="2753">
        <v>3</v>
      </c>
      <c r="H692" s="2754" t="s">
        <v>11</v>
      </c>
      <c r="I692" s="2755"/>
    </row>
    <row r="693" spans="2:9" s="124" customFormat="1" ht="15.75" outlineLevel="1" x14ac:dyDescent="0.45">
      <c r="B693" s="2751" t="s">
        <v>5753</v>
      </c>
      <c r="C693" s="2749" t="s">
        <v>5754</v>
      </c>
      <c r="D693" s="2749" t="s">
        <v>5755</v>
      </c>
      <c r="E693" s="2752">
        <f>K_SO41_T/f_mono^2</f>
        <v>1103.6013732807628</v>
      </c>
      <c r="F693" s="371" t="s">
        <v>1907</v>
      </c>
      <c r="G693" s="2753">
        <v>3</v>
      </c>
      <c r="H693" s="2754" t="s">
        <v>11</v>
      </c>
      <c r="I693" s="2755"/>
    </row>
    <row r="694" spans="2:9" s="124" customFormat="1" ht="15.75" outlineLevel="1" x14ac:dyDescent="0.45">
      <c r="B694" s="2751" t="s">
        <v>5756</v>
      </c>
      <c r="C694" s="2749" t="s">
        <v>5757</v>
      </c>
      <c r="D694" s="2749" t="s">
        <v>5758</v>
      </c>
      <c r="E694" s="2752">
        <f>K_SO42_T/f_di</f>
        <v>1.9774485889386715E-2</v>
      </c>
      <c r="F694" s="371" t="s">
        <v>1907</v>
      </c>
      <c r="G694" s="2753">
        <v>3</v>
      </c>
      <c r="H694" s="2754" t="s">
        <v>11</v>
      </c>
      <c r="I694" s="2755"/>
    </row>
    <row r="695" spans="2:9" ht="15.75" outlineLevel="1" x14ac:dyDescent="0.45">
      <c r="B695" s="1528" t="s">
        <v>2927</v>
      </c>
      <c r="C695" s="408" t="s">
        <v>2924</v>
      </c>
      <c r="D695" s="408" t="s">
        <v>2928</v>
      </c>
      <c r="E695" s="1518">
        <f>K_Ac_T/f_mono^2</f>
        <v>2.268664105854261E-5</v>
      </c>
      <c r="F695" s="1518" t="s">
        <v>1907</v>
      </c>
      <c r="G695" s="1519">
        <v>3</v>
      </c>
      <c r="H695" s="1156" t="s">
        <v>11</v>
      </c>
      <c r="I695" s="1520"/>
    </row>
    <row r="696" spans="2:9" s="116" customFormat="1" ht="15.75" outlineLevel="1" x14ac:dyDescent="0.45">
      <c r="B696" s="1528" t="s">
        <v>2929</v>
      </c>
      <c r="C696" s="408" t="s">
        <v>2999</v>
      </c>
      <c r="D696" s="408" t="s">
        <v>2930</v>
      </c>
      <c r="E696" s="1518">
        <f>K_NO2_T/f_mono^2</f>
        <v>5.2373005797162243E-4</v>
      </c>
      <c r="F696" s="1315" t="s">
        <v>1907</v>
      </c>
      <c r="G696" s="1519">
        <v>3</v>
      </c>
      <c r="H696" s="1156" t="s">
        <v>11</v>
      </c>
      <c r="I696" s="1529"/>
    </row>
    <row r="697" spans="2:9" ht="16.149999999999999" outlineLevel="1" thickBot="1" x14ac:dyDescent="0.5">
      <c r="B697" s="1530" t="s">
        <v>2931</v>
      </c>
      <c r="C697" s="339" t="s">
        <v>2925</v>
      </c>
      <c r="D697" s="1531" t="s">
        <v>2932</v>
      </c>
      <c r="E697" s="1521">
        <f>K_NH3_T</f>
        <v>3.9635061259550542E-10</v>
      </c>
      <c r="F697" s="1521" t="s">
        <v>1907</v>
      </c>
      <c r="G697" s="1522">
        <v>3</v>
      </c>
      <c r="H697" s="1649" t="s">
        <v>11</v>
      </c>
      <c r="I697" s="1523"/>
    </row>
    <row r="698" spans="2:9" ht="14.65" thickBot="1" x14ac:dyDescent="0.5"/>
    <row r="699" spans="2:9" ht="14.65" thickBot="1" x14ac:dyDescent="0.5">
      <c r="C699" s="1501" t="s">
        <v>1319</v>
      </c>
      <c r="D699" s="2076" t="s">
        <v>319</v>
      </c>
      <c r="E699" s="115"/>
    </row>
    <row r="700" spans="2:9" ht="14.65" thickBot="1" x14ac:dyDescent="0.5">
      <c r="B700" s="1532" t="s">
        <v>0</v>
      </c>
      <c r="C700" s="155" t="s">
        <v>1</v>
      </c>
      <c r="D700" s="155" t="s">
        <v>5</v>
      </c>
      <c r="E700" s="155" t="s">
        <v>152</v>
      </c>
      <c r="F700" s="155" t="s">
        <v>2</v>
      </c>
      <c r="G700" s="155" t="s">
        <v>300</v>
      </c>
      <c r="H700" s="1102" t="s">
        <v>116</v>
      </c>
      <c r="I700" s="1216" t="s">
        <v>117</v>
      </c>
    </row>
    <row r="701" spans="2:9" ht="15.75" outlineLevel="1" x14ac:dyDescent="0.45">
      <c r="B701" s="1533" t="s">
        <v>1329</v>
      </c>
      <c r="C701" s="1534" t="s">
        <v>3000</v>
      </c>
      <c r="D701" s="1534" t="s">
        <v>1332</v>
      </c>
      <c r="E701" s="1535">
        <f>K_sp_CaCO3_param*f_di</f>
        <v>2.6691116239500935E-7</v>
      </c>
      <c r="F701" s="1535" t="s">
        <v>1907</v>
      </c>
      <c r="G701" s="1536">
        <v>3</v>
      </c>
      <c r="H701" s="1651" t="s">
        <v>11</v>
      </c>
      <c r="I701" s="1537"/>
    </row>
    <row r="702" spans="2:9" ht="16.5" outlineLevel="1" x14ac:dyDescent="0.45">
      <c r="B702" s="1538" t="s">
        <v>1326</v>
      </c>
      <c r="C702" s="1539" t="s">
        <v>3001</v>
      </c>
      <c r="D702" s="1539" t="s">
        <v>1333</v>
      </c>
      <c r="E702" s="1518">
        <f>K_sp_STR_param*(f_di^(1/3)*f_mono^(1/3)*f_tri^(1/3))</f>
        <v>3.7938056917449736E-14</v>
      </c>
      <c r="F702" s="1518" t="s">
        <v>1907</v>
      </c>
      <c r="G702" s="1519">
        <v>3</v>
      </c>
      <c r="H702" s="1156" t="s">
        <v>11</v>
      </c>
      <c r="I702" s="1520"/>
    </row>
    <row r="703" spans="2:9" s="124" customFormat="1" ht="15.75" outlineLevel="1" x14ac:dyDescent="0.45">
      <c r="B703" s="2756" t="s">
        <v>5759</v>
      </c>
      <c r="C703" s="2757" t="s">
        <v>5760</v>
      </c>
      <c r="D703" s="2750" t="s">
        <v>5761</v>
      </c>
      <c r="E703" s="2752">
        <f>K_sp_FeS_param/f_di</f>
        <v>6.1920575974737376E-19</v>
      </c>
      <c r="F703" s="2752" t="s">
        <v>1907</v>
      </c>
      <c r="G703" s="2753">
        <v>3</v>
      </c>
      <c r="H703" s="2754" t="s">
        <v>11</v>
      </c>
      <c r="I703" s="2755"/>
    </row>
    <row r="704" spans="2:9" ht="16.5" outlineLevel="1" x14ac:dyDescent="0.45">
      <c r="B704" s="1538" t="s">
        <v>1327</v>
      </c>
      <c r="C704" s="1539" t="s">
        <v>3002</v>
      </c>
      <c r="D704" s="1539" t="s">
        <v>1330</v>
      </c>
      <c r="E704" s="1518">
        <f>K_sp_Vivi_param*(f_di^(3/5)*f_tri^(2/5))</f>
        <v>4.6190227891777712E-37</v>
      </c>
      <c r="F704" s="1518" t="s">
        <v>1907</v>
      </c>
      <c r="G704" s="1519">
        <v>3</v>
      </c>
      <c r="H704" s="1156" t="s">
        <v>11</v>
      </c>
      <c r="I704" s="1520"/>
    </row>
    <row r="705" spans="2:9" ht="16.5" outlineLevel="1" x14ac:dyDescent="0.45">
      <c r="B705" s="1538" t="s">
        <v>1328</v>
      </c>
      <c r="C705" s="1539" t="s">
        <v>3003</v>
      </c>
      <c r="D705" s="1539" t="s">
        <v>1331</v>
      </c>
      <c r="E705" s="1518">
        <f>K_sp_ACP_param*(f_di^(3/5)*f_tri^(2/5))</f>
        <v>1.6015854140879596E-26</v>
      </c>
      <c r="F705" s="1518" t="s">
        <v>1907</v>
      </c>
      <c r="G705" s="1519">
        <v>3</v>
      </c>
      <c r="H705" s="1156" t="s">
        <v>11</v>
      </c>
      <c r="I705" s="1520"/>
    </row>
    <row r="706" spans="2:9" ht="16.899999999999999" outlineLevel="1" thickBot="1" x14ac:dyDescent="0.5">
      <c r="B706" s="1540" t="s">
        <v>4703</v>
      </c>
      <c r="C706" s="1541" t="s">
        <v>4704</v>
      </c>
      <c r="D706" s="1539" t="s">
        <v>4705</v>
      </c>
      <c r="E706" s="1521">
        <f>K_sp_BSH_param/(f_di^(1/2)*f_di^(1/2))</f>
        <v>4.2037149897892104E-7</v>
      </c>
      <c r="F706" s="1521" t="s">
        <v>1907</v>
      </c>
      <c r="G706" s="1522">
        <v>3</v>
      </c>
      <c r="H706" s="1649" t="s">
        <v>11</v>
      </c>
      <c r="I706" s="1523"/>
    </row>
    <row r="707" spans="2:9" ht="14.65" thickBot="1" x14ac:dyDescent="0.5">
      <c r="D707" s="2089"/>
    </row>
    <row r="708" spans="2:9" ht="14.65" thickBot="1" x14ac:dyDescent="0.5">
      <c r="C708" s="1501" t="s">
        <v>394</v>
      </c>
      <c r="D708" s="2076" t="s">
        <v>319</v>
      </c>
      <c r="E708" s="115"/>
    </row>
    <row r="709" spans="2:9" ht="14.65" thickBot="1" x14ac:dyDescent="0.5">
      <c r="B709" s="1333" t="s">
        <v>0</v>
      </c>
      <c r="C709" s="1293" t="s">
        <v>1</v>
      </c>
      <c r="D709" s="1293" t="s">
        <v>5</v>
      </c>
      <c r="E709" s="1293" t="s">
        <v>152</v>
      </c>
      <c r="F709" s="1293" t="s">
        <v>2</v>
      </c>
      <c r="G709" s="1293" t="s">
        <v>300</v>
      </c>
      <c r="H709" s="1615" t="s">
        <v>116</v>
      </c>
      <c r="I709" s="1334" t="s">
        <v>117</v>
      </c>
    </row>
    <row r="710" spans="2:9" ht="16.5" outlineLevel="1" x14ac:dyDescent="0.45">
      <c r="B710" s="1542" t="s">
        <v>896</v>
      </c>
      <c r="C710" s="1319" t="s">
        <v>897</v>
      </c>
      <c r="D710" s="1319" t="s">
        <v>1903</v>
      </c>
      <c r="E710" s="1543">
        <f>conc_Hp_Ieq*K_P2/(conc_Hp_Ieq^3+conc_Hp_Ieq^2*K_P1+K_P2*conc_Hp_Ieq*K_P1+K_P2*K_P1*K_P3)*K_P1*S_PO4/(A_MP*1000)</f>
        <v>2.5493518636920041E-8</v>
      </c>
      <c r="F710" s="1319" t="s">
        <v>384</v>
      </c>
      <c r="G710" s="1319">
        <v>3</v>
      </c>
      <c r="H710" s="1652" t="s">
        <v>11</v>
      </c>
      <c r="I710" s="1544"/>
    </row>
    <row r="711" spans="2:9" ht="16.5" outlineLevel="1" x14ac:dyDescent="0.45">
      <c r="B711" s="1032" t="s">
        <v>898</v>
      </c>
      <c r="C711" s="1317" t="s">
        <v>899</v>
      </c>
      <c r="D711" s="1317" t="s">
        <v>1904</v>
      </c>
      <c r="E711" s="1518">
        <f>conc_Hp_Ieq^2*K_P1*S_PO4/(A_MP*1000)/(conc_Hp_Ieq^3+conc_Hp_Ieq^2*K_P1+K_P2*conc_Hp_Ieq*K_P1+K_P2*K_P1*K_P3)</f>
        <v>1.6010694300937341E-5</v>
      </c>
      <c r="F711" s="1319" t="s">
        <v>384</v>
      </c>
      <c r="G711" s="1317">
        <v>3</v>
      </c>
      <c r="H711" s="1156" t="s">
        <v>11</v>
      </c>
      <c r="I711" s="1520"/>
    </row>
    <row r="712" spans="2:9" ht="16.5" outlineLevel="1" x14ac:dyDescent="0.45">
      <c r="B712" s="1032" t="s">
        <v>900</v>
      </c>
      <c r="C712" s="1317" t="s">
        <v>901</v>
      </c>
      <c r="D712" s="1317" t="s">
        <v>2943</v>
      </c>
      <c r="E712" s="1518">
        <f>S_VFA/(4*A_MO*1000)*K_Ac/(conc_Hp_Ieq+K_Ac)</f>
        <v>4.0829449054993815E-8</v>
      </c>
      <c r="F712" s="1319" t="s">
        <v>384</v>
      </c>
      <c r="G712" s="1317">
        <v>3</v>
      </c>
      <c r="H712" s="1156" t="s">
        <v>11</v>
      </c>
      <c r="I712" s="1520"/>
    </row>
    <row r="713" spans="2:9" ht="16.5" outlineLevel="1" x14ac:dyDescent="0.45">
      <c r="B713" s="1032" t="s">
        <v>2435</v>
      </c>
      <c r="C713" s="1317" t="s">
        <v>2436</v>
      </c>
      <c r="D713" s="1317" t="s">
        <v>2944</v>
      </c>
      <c r="E713" s="1518">
        <f>K_NO2*S_NO2/(A_MN*1000)/(conc_Hp_Ieq+K_NO2)</f>
        <v>6.3605297319967442E-6</v>
      </c>
      <c r="F713" s="1315" t="s">
        <v>384</v>
      </c>
      <c r="G713" s="1317">
        <v>3</v>
      </c>
      <c r="H713" s="1156" t="s">
        <v>11</v>
      </c>
      <c r="I713" s="1520"/>
    </row>
    <row r="714" spans="2:9" s="124" customFormat="1" ht="16.5" outlineLevel="1" x14ac:dyDescent="0.45">
      <c r="B714" s="2751" t="s">
        <v>5762</v>
      </c>
      <c r="C714" s="2758" t="s">
        <v>5763</v>
      </c>
      <c r="D714" s="2749" t="s">
        <v>5764</v>
      </c>
      <c r="E714" s="2759">
        <f>(conc_Hp_Ieq*K_S1*S_H2S/(A_MS*1000))/(conc_Hp_Ieq^2+conc_Hp_Ieq*K_S1+K_S1*K_S2)</f>
        <v>5.1164182299031669E-10</v>
      </c>
      <c r="F714" s="371" t="s">
        <v>384</v>
      </c>
      <c r="G714" s="2760">
        <v>3</v>
      </c>
      <c r="H714" s="2754" t="s">
        <v>11</v>
      </c>
      <c r="I714" s="2761"/>
    </row>
    <row r="715" spans="2:9" ht="33.4" outlineLevel="1" thickBot="1" x14ac:dyDescent="0.5">
      <c r="B715" s="252" t="s">
        <v>1283</v>
      </c>
      <c r="C715" s="339" t="s">
        <v>394</v>
      </c>
      <c r="D715" s="339" t="s">
        <v>2437</v>
      </c>
      <c r="E715" s="1545">
        <f>(3*conc_PO43m_I+2*conc_HPO42m_I)-2*conc_HPO42m_Ieq+conc_H2PO4m_I-conc_H2PO4m_Ieq+conc_OHm_I+conc_NO2m_I-conc_NO2m_Ieq+conc_NH3_I+2*conc_CO32m_I+conc_HCO3m_I+conc_Acm_I-conc_Acm_Ieq-conc_Hp_I</f>
        <v>5.5299706224952441E-3</v>
      </c>
      <c r="F715" s="1545" t="s">
        <v>1905</v>
      </c>
      <c r="G715" s="339">
        <v>4</v>
      </c>
      <c r="H715" s="1649" t="s">
        <v>11</v>
      </c>
      <c r="I715" s="1523"/>
    </row>
    <row r="716" spans="2:9" s="124" customFormat="1" ht="14.65" thickBot="1" x14ac:dyDescent="0.5"/>
    <row r="717" spans="2:9" s="124" customFormat="1" ht="14.65" thickBot="1" x14ac:dyDescent="0.5">
      <c r="C717" s="1747" t="s">
        <v>4948</v>
      </c>
      <c r="D717" s="1889" t="s">
        <v>319</v>
      </c>
    </row>
    <row r="718" spans="2:9" s="124" customFormat="1" ht="14.65" thickBot="1" x14ac:dyDescent="0.5">
      <c r="B718" s="981" t="s">
        <v>0</v>
      </c>
      <c r="C718" s="1748" t="s">
        <v>1</v>
      </c>
      <c r="D718" s="1748" t="s">
        <v>5</v>
      </c>
      <c r="E718" s="1748" t="s">
        <v>152</v>
      </c>
      <c r="F718" s="1748" t="s">
        <v>2</v>
      </c>
      <c r="G718" s="1748" t="s">
        <v>300</v>
      </c>
      <c r="H718" s="1748" t="s">
        <v>116</v>
      </c>
      <c r="I718" s="1749" t="s">
        <v>117</v>
      </c>
    </row>
    <row r="719" spans="2:9" s="124" customFormat="1" ht="15.75" outlineLevel="1" x14ac:dyDescent="0.45">
      <c r="B719" s="553" t="s">
        <v>15</v>
      </c>
      <c r="C719" s="371" t="s">
        <v>379</v>
      </c>
      <c r="D719" s="371" t="s">
        <v>4952</v>
      </c>
      <c r="E719" s="1752">
        <f>I_Sinput_AS</f>
        <v>0.02</v>
      </c>
      <c r="F719" s="1753" t="s">
        <v>381</v>
      </c>
      <c r="G719" s="1753">
        <v>3</v>
      </c>
      <c r="H719" s="371" t="s">
        <v>4963</v>
      </c>
      <c r="I719" s="494"/>
    </row>
    <row r="720" spans="2:9" s="124" customFormat="1" ht="15.75" outlineLevel="1" x14ac:dyDescent="0.45">
      <c r="B720" s="1766" t="s">
        <v>15</v>
      </c>
      <c r="C720" s="1767" t="s">
        <v>379</v>
      </c>
      <c r="D720" s="1767" t="s">
        <v>4953</v>
      </c>
      <c r="E720" s="1792">
        <f>I_Sinput_DIG</f>
        <v>0.1</v>
      </c>
      <c r="F720" s="1767" t="s">
        <v>381</v>
      </c>
      <c r="G720" s="1767">
        <v>3</v>
      </c>
      <c r="H720" s="1767" t="s">
        <v>4956</v>
      </c>
      <c r="I720" s="1771"/>
    </row>
    <row r="721" spans="2:11" s="124" customFormat="1" ht="16.149999999999999" outlineLevel="1" thickBot="1" x14ac:dyDescent="0.5">
      <c r="B721" s="1754" t="s">
        <v>15</v>
      </c>
      <c r="C721" s="1757" t="s">
        <v>379</v>
      </c>
      <c r="D721" s="1757" t="s">
        <v>4961</v>
      </c>
      <c r="E721" s="1758">
        <f>I_Sinput_sidestream</f>
        <v>0.1</v>
      </c>
      <c r="F721" s="1757" t="s">
        <v>381</v>
      </c>
      <c r="G721" s="1757">
        <v>3</v>
      </c>
      <c r="H721" s="1757" t="s">
        <v>4962</v>
      </c>
      <c r="I721" s="1760"/>
      <c r="J721"/>
    </row>
    <row r="722" spans="2:11" customFormat="1" ht="18" customHeight="1" thickBot="1" x14ac:dyDescent="0.5">
      <c r="B722" s="4"/>
      <c r="C722" s="4"/>
      <c r="D722" s="4"/>
      <c r="E722" s="2116"/>
      <c r="F722" s="3"/>
      <c r="G722" s="3"/>
      <c r="H722" s="3"/>
    </row>
    <row r="723" spans="2:11" customFormat="1" ht="18" customHeight="1" thickBot="1" x14ac:dyDescent="0.5">
      <c r="B723" s="124"/>
      <c r="C723" s="1793" t="s">
        <v>4948</v>
      </c>
      <c r="D723" s="14" t="s">
        <v>319</v>
      </c>
      <c r="E723" s="2115"/>
      <c r="F723" s="114"/>
      <c r="G723" s="114"/>
      <c r="H723" s="124"/>
      <c r="I723" s="124"/>
    </row>
    <row r="724" spans="2:11" customFormat="1" ht="18" customHeight="1" thickBot="1" x14ac:dyDescent="0.5">
      <c r="B724" s="981" t="s">
        <v>0</v>
      </c>
      <c r="C724" s="1748" t="s">
        <v>1</v>
      </c>
      <c r="D724" s="1748" t="s">
        <v>5</v>
      </c>
      <c r="E724" s="1748" t="s">
        <v>152</v>
      </c>
      <c r="F724" s="1748" t="s">
        <v>2</v>
      </c>
      <c r="G724" s="1748" t="s">
        <v>300</v>
      </c>
      <c r="H724" s="1748" t="s">
        <v>116</v>
      </c>
      <c r="I724" s="1749" t="s">
        <v>117</v>
      </c>
    </row>
    <row r="725" spans="2:11" s="124" customFormat="1" ht="15.75" outlineLevel="1" x14ac:dyDescent="0.45">
      <c r="B725" s="1794" t="s">
        <v>15</v>
      </c>
      <c r="C725" s="371" t="s">
        <v>379</v>
      </c>
      <c r="D725" s="371" t="s">
        <v>4952</v>
      </c>
      <c r="E725" s="1752">
        <f>I_Sinput_AS</f>
        <v>0.02</v>
      </c>
      <c r="F725" s="1753" t="s">
        <v>381</v>
      </c>
      <c r="G725" s="1753">
        <v>3</v>
      </c>
      <c r="H725" s="371" t="s">
        <v>4964</v>
      </c>
      <c r="I725" s="494"/>
      <c r="J725"/>
    </row>
    <row r="726" spans="2:11" s="124" customFormat="1" ht="15.75" outlineLevel="1" x14ac:dyDescent="0.45">
      <c r="B726" s="1766" t="s">
        <v>15</v>
      </c>
      <c r="C726" s="1767" t="s">
        <v>379</v>
      </c>
      <c r="D726" s="1767" t="s">
        <v>4953</v>
      </c>
      <c r="E726" s="1792">
        <f>I_Sinput_DIG</f>
        <v>0.1</v>
      </c>
      <c r="F726" s="1767" t="s">
        <v>381</v>
      </c>
      <c r="G726" s="1767">
        <v>3</v>
      </c>
      <c r="H726" s="1767" t="s">
        <v>4965</v>
      </c>
      <c r="I726" s="1771"/>
      <c r="J726"/>
    </row>
    <row r="727" spans="2:11" s="124" customFormat="1" ht="16.149999999999999" outlineLevel="1" thickBot="1" x14ac:dyDescent="0.5">
      <c r="B727" s="1754" t="s">
        <v>15</v>
      </c>
      <c r="C727" s="1757" t="s">
        <v>379</v>
      </c>
      <c r="D727" s="1757" t="s">
        <v>4961</v>
      </c>
      <c r="E727" s="1758">
        <f>I_Sinput_sidestream</f>
        <v>0.1</v>
      </c>
      <c r="F727" s="1757" t="s">
        <v>381</v>
      </c>
      <c r="G727" s="1757">
        <v>3</v>
      </c>
      <c r="H727" s="1757" t="s">
        <v>4966</v>
      </c>
      <c r="I727" s="1760"/>
      <c r="J727"/>
    </row>
    <row r="728" spans="2:11" s="124" customFormat="1" ht="14.65" thickBot="1" x14ac:dyDescent="0.5">
      <c r="E728" s="2119"/>
    </row>
    <row r="729" spans="2:11" s="124" customFormat="1" ht="14.65" thickBot="1" x14ac:dyDescent="0.5">
      <c r="B729" s="124" t="s">
        <v>373</v>
      </c>
      <c r="C729" s="1750" t="s">
        <v>2193</v>
      </c>
      <c r="D729" s="14" t="s">
        <v>319</v>
      </c>
    </row>
    <row r="730" spans="2:11" s="124" customFormat="1" ht="14.65" thickBot="1" x14ac:dyDescent="0.5">
      <c r="B730" s="1751" t="s">
        <v>0</v>
      </c>
      <c r="C730" s="1748" t="s">
        <v>1</v>
      </c>
      <c r="D730" s="1748" t="s">
        <v>374</v>
      </c>
      <c r="E730" s="1748" t="s">
        <v>152</v>
      </c>
      <c r="F730" s="982" t="s">
        <v>375</v>
      </c>
      <c r="G730" s="1748" t="s">
        <v>376</v>
      </c>
      <c r="H730" s="982" t="s">
        <v>2</v>
      </c>
      <c r="I730" s="982" t="s">
        <v>300</v>
      </c>
      <c r="J730" s="982" t="s">
        <v>116</v>
      </c>
      <c r="K730" s="1749" t="s">
        <v>117</v>
      </c>
    </row>
    <row r="731" spans="2:11" s="124" customFormat="1" outlineLevel="1" x14ac:dyDescent="0.45">
      <c r="B731" s="553" t="s">
        <v>11</v>
      </c>
      <c r="C731" s="371" t="s">
        <v>11</v>
      </c>
      <c r="D731" s="371" t="s">
        <v>377</v>
      </c>
      <c r="E731" s="1752">
        <v>7.2</v>
      </c>
      <c r="F731" s="1753">
        <v>2</v>
      </c>
      <c r="G731" s="1753">
        <v>12</v>
      </c>
      <c r="H731" s="371" t="s">
        <v>378</v>
      </c>
      <c r="I731" s="371">
        <v>2</v>
      </c>
      <c r="J731" s="554" t="s">
        <v>1252</v>
      </c>
      <c r="K731" s="494"/>
    </row>
    <row r="732" spans="2:11" s="124" customFormat="1" ht="14.65" outlineLevel="1" thickBot="1" x14ac:dyDescent="0.5">
      <c r="B732" s="1754" t="s">
        <v>15</v>
      </c>
      <c r="C732" s="1757" t="s">
        <v>379</v>
      </c>
      <c r="D732" s="1757" t="s">
        <v>380</v>
      </c>
      <c r="E732" s="1758">
        <v>0.01</v>
      </c>
      <c r="F732" s="1757">
        <v>0</v>
      </c>
      <c r="G732" s="1757">
        <v>0.5</v>
      </c>
      <c r="H732" s="1757" t="s">
        <v>381</v>
      </c>
      <c r="I732" s="1757">
        <v>2</v>
      </c>
      <c r="J732" s="1759" t="s">
        <v>4950</v>
      </c>
      <c r="K732" s="1760"/>
    </row>
    <row r="733" spans="2:11" s="124" customFormat="1" ht="14.65" thickBot="1" x14ac:dyDescent="0.5"/>
    <row r="734" spans="2:11" s="124" customFormat="1" ht="14.65" thickBot="1" x14ac:dyDescent="0.5">
      <c r="B734" s="124" t="s">
        <v>373</v>
      </c>
      <c r="C734" s="1750" t="s">
        <v>3486</v>
      </c>
      <c r="D734" s="14" t="s">
        <v>319</v>
      </c>
    </row>
    <row r="735" spans="2:11" s="124" customFormat="1" ht="14.65" thickBot="1" x14ac:dyDescent="0.5">
      <c r="B735" s="1751" t="s">
        <v>0</v>
      </c>
      <c r="C735" s="982" t="s">
        <v>1</v>
      </c>
      <c r="D735" s="1748" t="s">
        <v>374</v>
      </c>
      <c r="E735" s="982" t="s">
        <v>152</v>
      </c>
      <c r="F735" s="982" t="s">
        <v>375</v>
      </c>
      <c r="G735" s="1748" t="s">
        <v>376</v>
      </c>
      <c r="H735" s="982" t="s">
        <v>2</v>
      </c>
      <c r="I735" s="982" t="s">
        <v>300</v>
      </c>
      <c r="J735" s="1748" t="s">
        <v>116</v>
      </c>
      <c r="K735" s="1749" t="s">
        <v>117</v>
      </c>
    </row>
    <row r="736" spans="2:11" s="114" customFormat="1" ht="15.75" outlineLevel="1" x14ac:dyDescent="0.45">
      <c r="B736" s="1761" t="s">
        <v>3035</v>
      </c>
      <c r="C736" s="1762" t="s">
        <v>3036</v>
      </c>
      <c r="D736" s="1762" t="s">
        <v>377</v>
      </c>
      <c r="E736" s="1763">
        <v>8.6899999999999998E-3</v>
      </c>
      <c r="F736" s="1753">
        <v>-10000</v>
      </c>
      <c r="G736" s="1753">
        <v>10000</v>
      </c>
      <c r="H736" s="1762" t="s">
        <v>384</v>
      </c>
      <c r="I736" s="1762">
        <v>2</v>
      </c>
      <c r="J736" s="1764" t="s">
        <v>3485</v>
      </c>
      <c r="K736" s="1765" t="s">
        <v>382</v>
      </c>
    </row>
    <row r="737" spans="2:11" s="124" customFormat="1" outlineLevel="1" x14ac:dyDescent="0.45">
      <c r="B737" s="1766" t="s">
        <v>15</v>
      </c>
      <c r="C737" s="1767" t="s">
        <v>379</v>
      </c>
      <c r="D737" s="1767" t="s">
        <v>380</v>
      </c>
      <c r="E737" s="1768">
        <v>0.01</v>
      </c>
      <c r="F737" s="1769" t="s">
        <v>383</v>
      </c>
      <c r="G737" s="1767">
        <v>0.5</v>
      </c>
      <c r="H737" s="1767" t="s">
        <v>381</v>
      </c>
      <c r="I737" s="1767">
        <v>2</v>
      </c>
      <c r="J737" s="1770" t="s">
        <v>3485</v>
      </c>
      <c r="K737" s="1771" t="s">
        <v>385</v>
      </c>
    </row>
    <row r="738" spans="2:11" s="124" customFormat="1" ht="16.149999999999999" outlineLevel="1" thickBot="1" x14ac:dyDescent="0.5">
      <c r="B738" s="1754" t="s">
        <v>386</v>
      </c>
      <c r="C738" s="1757" t="s">
        <v>299</v>
      </c>
      <c r="D738" s="1757" t="s">
        <v>388</v>
      </c>
      <c r="E738" s="1758">
        <v>100</v>
      </c>
      <c r="F738" s="1757">
        <v>0</v>
      </c>
      <c r="G738" s="1757">
        <v>10000</v>
      </c>
      <c r="H738" s="1757" t="s">
        <v>1214</v>
      </c>
      <c r="I738" s="1757">
        <v>2</v>
      </c>
      <c r="J738" s="1759" t="s">
        <v>3485</v>
      </c>
      <c r="K738" s="1760" t="s">
        <v>387</v>
      </c>
    </row>
    <row r="739" spans="2:11" s="124" customFormat="1" ht="14.65" thickBot="1" x14ac:dyDescent="0.5"/>
    <row r="740" spans="2:11" s="124" customFormat="1" ht="14.65" thickBot="1" x14ac:dyDescent="0.5">
      <c r="B740" s="124" t="s">
        <v>373</v>
      </c>
      <c r="C740" s="1750" t="s">
        <v>3482</v>
      </c>
      <c r="D740" s="14" t="s">
        <v>319</v>
      </c>
    </row>
    <row r="741" spans="2:11" s="124" customFormat="1" ht="14.65" thickBot="1" x14ac:dyDescent="0.5">
      <c r="B741" s="1751" t="s">
        <v>0</v>
      </c>
      <c r="C741" s="982" t="s">
        <v>1</v>
      </c>
      <c r="D741" s="1748" t="s">
        <v>374</v>
      </c>
      <c r="E741" s="982" t="s">
        <v>152</v>
      </c>
      <c r="F741" s="982" t="s">
        <v>375</v>
      </c>
      <c r="G741" s="1748" t="s">
        <v>376</v>
      </c>
      <c r="H741" s="982" t="s">
        <v>2</v>
      </c>
      <c r="I741" s="982" t="s">
        <v>300</v>
      </c>
      <c r="J741" s="1748" t="s">
        <v>116</v>
      </c>
      <c r="K741" s="1749" t="s">
        <v>117</v>
      </c>
    </row>
    <row r="742" spans="2:11" s="114" customFormat="1" ht="15.75" outlineLevel="1" x14ac:dyDescent="0.45">
      <c r="B742" s="1761" t="s">
        <v>3035</v>
      </c>
      <c r="C742" s="1762" t="s">
        <v>3036</v>
      </c>
      <c r="D742" s="1762" t="s">
        <v>377</v>
      </c>
      <c r="E742" s="1763">
        <v>8.6899999999999998E-3</v>
      </c>
      <c r="F742" s="1753">
        <v>-10000</v>
      </c>
      <c r="G742" s="1753">
        <v>10000</v>
      </c>
      <c r="H742" s="1762" t="s">
        <v>384</v>
      </c>
      <c r="I742" s="1762">
        <v>2</v>
      </c>
      <c r="J742" s="1764" t="s">
        <v>3483</v>
      </c>
      <c r="K742" s="1765" t="s">
        <v>382</v>
      </c>
    </row>
    <row r="743" spans="2:11" s="124" customFormat="1" ht="14.65" outlineLevel="1" thickBot="1" x14ac:dyDescent="0.5">
      <c r="B743" s="1754" t="s">
        <v>15</v>
      </c>
      <c r="C743" s="1757" t="s">
        <v>379</v>
      </c>
      <c r="D743" s="1757" t="s">
        <v>380</v>
      </c>
      <c r="E743" s="1772">
        <v>0.01</v>
      </c>
      <c r="F743" s="1773">
        <v>0</v>
      </c>
      <c r="G743" s="1757">
        <v>0.5</v>
      </c>
      <c r="H743" s="1757" t="s">
        <v>381</v>
      </c>
      <c r="I743" s="1757">
        <v>2</v>
      </c>
      <c r="J743" s="1759" t="s">
        <v>3483</v>
      </c>
      <c r="K743" s="1760" t="s">
        <v>385</v>
      </c>
    </row>
    <row r="744" spans="2:11" ht="14.65" thickBot="1" x14ac:dyDescent="0.5">
      <c r="E744" s="115"/>
    </row>
    <row r="745" spans="2:11" ht="14.65" thickBot="1" x14ac:dyDescent="0.5">
      <c r="C745" s="1552" t="s">
        <v>3499</v>
      </c>
      <c r="D745" s="2087" t="s">
        <v>319</v>
      </c>
      <c r="E745" s="2076"/>
    </row>
    <row r="746" spans="2:11" ht="14.65" thickBot="1" x14ac:dyDescent="0.5">
      <c r="B746" s="1335" t="s">
        <v>0</v>
      </c>
      <c r="C746" s="548" t="s">
        <v>1</v>
      </c>
      <c r="D746" s="548" t="s">
        <v>5</v>
      </c>
      <c r="E746" s="548" t="s">
        <v>152</v>
      </c>
      <c r="F746" s="548" t="s">
        <v>2</v>
      </c>
      <c r="G746" s="548" t="s">
        <v>300</v>
      </c>
      <c r="H746" s="1653" t="s">
        <v>116</v>
      </c>
      <c r="I746" s="1546" t="s">
        <v>117</v>
      </c>
    </row>
    <row r="747" spans="2:11" ht="15.75" outlineLevel="1" x14ac:dyDescent="0.45">
      <c r="B747" s="938" t="s">
        <v>3037</v>
      </c>
      <c r="C747" s="1315" t="s">
        <v>3038</v>
      </c>
      <c r="D747" s="1731" t="s">
        <v>3039</v>
      </c>
      <c r="E747" s="2282" t="e" cm="1">
        <f t="array" ref="E747">S_CAT_ini+S_IC*(A_MNa*1000)</f>
        <v>#NAME?</v>
      </c>
      <c r="F747" s="1553" t="s">
        <v>1047</v>
      </c>
      <c r="G747" s="1553">
        <v>2</v>
      </c>
      <c r="H747" s="1645" t="s">
        <v>3500</v>
      </c>
      <c r="I747" s="1505" t="s">
        <v>2496</v>
      </c>
      <c r="J747" s="116"/>
      <c r="K747" s="116"/>
    </row>
    <row r="748" spans="2:11" ht="15.75" outlineLevel="1" x14ac:dyDescent="0.45">
      <c r="B748" s="495" t="s">
        <v>3040</v>
      </c>
      <c r="C748" s="589" t="s">
        <v>3041</v>
      </c>
      <c r="D748" s="1732" t="s">
        <v>3042</v>
      </c>
      <c r="E748" s="2283" t="e" cm="1">
        <f t="array" ref="E748">S_AN_ini-S_IC*(A_MCl*1000)</f>
        <v>#NAME?</v>
      </c>
      <c r="F748" s="589" t="s">
        <v>1049</v>
      </c>
      <c r="G748" s="589">
        <v>2</v>
      </c>
      <c r="H748" s="1646" t="s">
        <v>3500</v>
      </c>
      <c r="I748" s="1509" t="s">
        <v>2496</v>
      </c>
      <c r="J748" s="116"/>
      <c r="K748" s="116"/>
    </row>
    <row r="749" spans="2:11" ht="15.75" outlineLevel="1" x14ac:dyDescent="0.45">
      <c r="B749" s="495" t="s">
        <v>1162</v>
      </c>
      <c r="C749" s="1315" t="s">
        <v>2982</v>
      </c>
      <c r="D749" s="1732" t="s">
        <v>3044</v>
      </c>
      <c r="E749" s="2283" t="e" cm="1">
        <f t="array" ref="E749">IF(S_CAT_ini_corr&gt;0,S_CAT_ini_corr,S_CAT_ini)</f>
        <v>#NAME?</v>
      </c>
      <c r="F749" s="1508" t="s">
        <v>1047</v>
      </c>
      <c r="G749" s="1508">
        <v>2</v>
      </c>
      <c r="H749" s="1646" t="s">
        <v>3500</v>
      </c>
      <c r="I749" s="1509" t="s">
        <v>2496</v>
      </c>
      <c r="J749" s="116"/>
      <c r="K749" s="116"/>
    </row>
    <row r="750" spans="2:11" ht="16.149999999999999" outlineLevel="1" thickBot="1" x14ac:dyDescent="0.5">
      <c r="B750" s="496" t="s">
        <v>2497</v>
      </c>
      <c r="C750" s="591" t="s">
        <v>2983</v>
      </c>
      <c r="D750" s="1733" t="s">
        <v>3046</v>
      </c>
      <c r="E750" s="2284" t="e" cm="1">
        <f t="array" ref="E750">IF(S_CAT_ini_corr&gt;0,S_AN_ini,S_AN_ini_corr)</f>
        <v>#NAME?</v>
      </c>
      <c r="F750" s="591" t="s">
        <v>1049</v>
      </c>
      <c r="G750" s="591">
        <v>2</v>
      </c>
      <c r="H750" s="1647" t="s">
        <v>3500</v>
      </c>
      <c r="I750" s="1512" t="s">
        <v>2496</v>
      </c>
      <c r="J750" s="116"/>
      <c r="K750" s="116"/>
    </row>
    <row r="751" spans="2:11" ht="14.65" thickBot="1" x14ac:dyDescent="0.5">
      <c r="E751" s="115"/>
    </row>
    <row r="752" spans="2:11" ht="14.65" thickBot="1" x14ac:dyDescent="0.5">
      <c r="C752" s="1552" t="s">
        <v>3491</v>
      </c>
      <c r="D752" s="2087" t="s">
        <v>319</v>
      </c>
      <c r="E752" s="2076"/>
    </row>
    <row r="753" spans="2:11" ht="14.65" thickBot="1" x14ac:dyDescent="0.5">
      <c r="B753" s="1335" t="s">
        <v>0</v>
      </c>
      <c r="C753" s="548" t="s">
        <v>1</v>
      </c>
      <c r="D753" s="548" t="s">
        <v>5</v>
      </c>
      <c r="E753" s="548" t="s">
        <v>152</v>
      </c>
      <c r="F753" s="548" t="s">
        <v>2</v>
      </c>
      <c r="G753" s="548" t="s">
        <v>300</v>
      </c>
      <c r="H753" s="1653" t="s">
        <v>116</v>
      </c>
      <c r="I753" s="1546" t="s">
        <v>117</v>
      </c>
    </row>
    <row r="754" spans="2:11" ht="15.75" outlineLevel="1" x14ac:dyDescent="0.45">
      <c r="B754" s="938" t="s">
        <v>3492</v>
      </c>
      <c r="C754" s="1315" t="s">
        <v>3038</v>
      </c>
      <c r="D754" s="1731" t="s">
        <v>3493</v>
      </c>
      <c r="E754" s="2282" t="e">
        <f>S_CAT_ini+S_IC*(A_MNa*1000)</f>
        <v>#NAME?</v>
      </c>
      <c r="F754" s="1553" t="s">
        <v>1047</v>
      </c>
      <c r="G754" s="1553">
        <v>2</v>
      </c>
      <c r="H754" s="1645" t="s">
        <v>3494</v>
      </c>
      <c r="I754" s="1505" t="s">
        <v>2496</v>
      </c>
      <c r="J754" s="116"/>
      <c r="K754" s="116"/>
    </row>
    <row r="755" spans="2:11" ht="15.75" outlineLevel="1" x14ac:dyDescent="0.45">
      <c r="B755" s="1528" t="s">
        <v>3495</v>
      </c>
      <c r="C755" s="1321" t="s">
        <v>3041</v>
      </c>
      <c r="D755" s="1734" t="s">
        <v>3496</v>
      </c>
      <c r="E755" s="2285" t="e">
        <f>S_AN_ini-S_IC*(A_MCl*1000)</f>
        <v>#NAME?</v>
      </c>
      <c r="F755" s="1321" t="s">
        <v>1049</v>
      </c>
      <c r="G755" s="1321">
        <v>2</v>
      </c>
      <c r="H755" s="1655" t="s">
        <v>3494</v>
      </c>
      <c r="I755" s="1550" t="s">
        <v>2496</v>
      </c>
      <c r="J755" s="116"/>
      <c r="K755" s="116"/>
    </row>
    <row r="756" spans="2:11" ht="15.75" outlineLevel="1" x14ac:dyDescent="0.45">
      <c r="B756" s="1528" t="s">
        <v>1162</v>
      </c>
      <c r="C756" s="1315" t="s">
        <v>3043</v>
      </c>
      <c r="D756" s="1735" t="s">
        <v>3497</v>
      </c>
      <c r="E756" s="2285" t="e">
        <f>IF(S_CAT_ini_corr&gt;0,S_CAT_ini_corr,S_CAT_ini)</f>
        <v>#NAME?</v>
      </c>
      <c r="F756" s="1549" t="s">
        <v>1047</v>
      </c>
      <c r="G756" s="1549">
        <v>2</v>
      </c>
      <c r="H756" s="1655" t="s">
        <v>3494</v>
      </c>
      <c r="I756" s="1550" t="s">
        <v>2496</v>
      </c>
      <c r="J756" s="116"/>
      <c r="K756" s="116"/>
    </row>
    <row r="757" spans="2:11" ht="16.149999999999999" outlineLevel="1" thickBot="1" x14ac:dyDescent="0.5">
      <c r="B757" s="496" t="s">
        <v>2497</v>
      </c>
      <c r="C757" s="591" t="s">
        <v>3045</v>
      </c>
      <c r="D757" s="1733" t="s">
        <v>3498</v>
      </c>
      <c r="E757" s="2284" t="e">
        <f>IF(S_CAT_ini_corr&gt;0,S_AN_ini,S_AN_ini_corr)</f>
        <v>#NAME?</v>
      </c>
      <c r="F757" s="591" t="s">
        <v>1049</v>
      </c>
      <c r="G757" s="591">
        <v>2</v>
      </c>
      <c r="H757" s="1647" t="s">
        <v>3494</v>
      </c>
      <c r="I757" s="1512" t="s">
        <v>2496</v>
      </c>
      <c r="J757" s="116"/>
      <c r="K757" s="116"/>
    </row>
    <row r="758" spans="2:11" ht="14.65" thickBot="1" x14ac:dyDescent="0.5">
      <c r="E758" s="115"/>
    </row>
    <row r="759" spans="2:11" ht="14.65" thickBot="1" x14ac:dyDescent="0.5">
      <c r="C759" s="1552" t="s">
        <v>3484</v>
      </c>
      <c r="D759" s="2076" t="s">
        <v>319</v>
      </c>
      <c r="E759" s="2076"/>
    </row>
    <row r="760" spans="2:11" ht="14.65" thickBot="1" x14ac:dyDescent="0.5">
      <c r="B760" s="547" t="s">
        <v>0</v>
      </c>
      <c r="C760" s="548" t="s">
        <v>1</v>
      </c>
      <c r="D760" s="548" t="s">
        <v>5</v>
      </c>
      <c r="E760" s="548" t="s">
        <v>152</v>
      </c>
      <c r="F760" s="548" t="s">
        <v>2</v>
      </c>
      <c r="G760" s="548" t="s">
        <v>300</v>
      </c>
      <c r="H760" s="1653" t="s">
        <v>116</v>
      </c>
      <c r="I760" s="1546" t="s">
        <v>117</v>
      </c>
    </row>
    <row r="761" spans="2:11" ht="15.75" outlineLevel="1" x14ac:dyDescent="0.45">
      <c r="B761" s="1039" t="s">
        <v>377</v>
      </c>
      <c r="C761" s="1320" t="s">
        <v>1165</v>
      </c>
      <c r="D761" s="1554" t="s">
        <v>4910</v>
      </c>
      <c r="E761" s="1555">
        <f>-(IF((c_hargebalance)&lt;0,-LOG10(-(c_hargebalance)+1),LOG10((c_hargebalance)+1)))</f>
        <v>-2.4175533204406379E-4</v>
      </c>
      <c r="F761" s="1547" t="s">
        <v>1906</v>
      </c>
      <c r="G761" s="1547">
        <v>2</v>
      </c>
      <c r="H761" s="1654" t="s">
        <v>11</v>
      </c>
      <c r="I761" s="1548"/>
    </row>
    <row r="762" spans="2:11" ht="15.75" outlineLevel="1" x14ac:dyDescent="0.45">
      <c r="B762" s="1528" t="s">
        <v>380</v>
      </c>
      <c r="C762" s="1321" t="s">
        <v>390</v>
      </c>
      <c r="D762" s="1321" t="s">
        <v>1871</v>
      </c>
      <c r="E762" s="1556">
        <f>I_S-I_Scalc</f>
        <v>5.2056441588948007E-3</v>
      </c>
      <c r="F762" s="1556" t="s">
        <v>381</v>
      </c>
      <c r="G762" s="1549">
        <v>2</v>
      </c>
      <c r="H762" s="1655" t="s">
        <v>11</v>
      </c>
      <c r="I762" s="1550"/>
    </row>
    <row r="763" spans="2:11" ht="16.149999999999999" outlineLevel="1" thickBot="1" x14ac:dyDescent="0.5">
      <c r="B763" s="1557" t="s">
        <v>388</v>
      </c>
      <c r="C763" s="1558" t="s">
        <v>391</v>
      </c>
      <c r="D763" s="1558" t="s">
        <v>392</v>
      </c>
      <c r="E763" s="1559" t="e">
        <f ca="1">_xlfn.SINGLE(S_ALK)-S_ALK_input</f>
        <v>#NAME?</v>
      </c>
      <c r="F763" s="1559" t="s">
        <v>1905</v>
      </c>
      <c r="G763" s="1560">
        <v>2</v>
      </c>
      <c r="H763" s="1647" t="s">
        <v>3485</v>
      </c>
      <c r="I763" s="1561"/>
    </row>
    <row r="764" spans="2:11" x14ac:dyDescent="0.45">
      <c r="B764" s="153"/>
      <c r="C764" s="153"/>
      <c r="D764" s="153"/>
      <c r="E764" s="153"/>
      <c r="F764" s="153"/>
      <c r="G764" s="153"/>
      <c r="H764" s="1044"/>
      <c r="I764" s="153"/>
    </row>
    <row r="765" spans="2:11" ht="15.75" x14ac:dyDescent="0.45">
      <c r="B765" s="124" t="s">
        <v>3461</v>
      </c>
      <c r="E765" s="115"/>
    </row>
    <row r="766" spans="2:11" x14ac:dyDescent="0.45">
      <c r="B766" s="124" t="s">
        <v>3462</v>
      </c>
      <c r="E766" s="115"/>
    </row>
    <row r="767" spans="2:11" ht="14.65" thickBot="1" x14ac:dyDescent="0.5">
      <c r="E767" s="115"/>
    </row>
    <row r="768" spans="2:11" ht="14.65" thickBot="1" x14ac:dyDescent="0.5">
      <c r="C768" s="474" t="s">
        <v>3463</v>
      </c>
      <c r="D768" s="2087" t="s">
        <v>301</v>
      </c>
      <c r="E768" s="2087"/>
    </row>
    <row r="769" spans="2:9" ht="14.65" thickBot="1" x14ac:dyDescent="0.5">
      <c r="B769" s="1335" t="s">
        <v>0</v>
      </c>
      <c r="C769" s="548" t="s">
        <v>1</v>
      </c>
      <c r="D769" s="548" t="s">
        <v>5</v>
      </c>
      <c r="E769" s="548" t="s">
        <v>152</v>
      </c>
      <c r="F769" s="548" t="s">
        <v>2</v>
      </c>
      <c r="G769" s="548" t="s">
        <v>300</v>
      </c>
      <c r="H769" s="1653" t="s">
        <v>116</v>
      </c>
      <c r="I769" s="1546" t="s">
        <v>117</v>
      </c>
    </row>
    <row r="770" spans="2:9" ht="15.75" outlineLevel="1" x14ac:dyDescent="0.45">
      <c r="B770" s="1562" t="s">
        <v>4905</v>
      </c>
      <c r="C770" s="1322" t="s">
        <v>4906</v>
      </c>
      <c r="D770" s="1322">
        <v>7</v>
      </c>
      <c r="E770" s="1563">
        <f>7</f>
        <v>7</v>
      </c>
      <c r="F770" s="1322" t="s">
        <v>378</v>
      </c>
      <c r="G770" s="1322">
        <v>1</v>
      </c>
      <c r="H770" s="1656" t="s">
        <v>1153</v>
      </c>
      <c r="I770" s="1564"/>
    </row>
    <row r="771" spans="2:9" ht="15.75" outlineLevel="1" x14ac:dyDescent="0.45">
      <c r="B771" s="1562" t="s">
        <v>3470</v>
      </c>
      <c r="C771" s="1322" t="s">
        <v>3471</v>
      </c>
      <c r="D771" s="1322">
        <v>0.1</v>
      </c>
      <c r="E771" s="1563">
        <f>0.15</f>
        <v>0.15</v>
      </c>
      <c r="F771" s="1322" t="s">
        <v>381</v>
      </c>
      <c r="G771" s="1322">
        <v>3</v>
      </c>
      <c r="H771" s="1657" t="s">
        <v>3472</v>
      </c>
      <c r="I771" s="1565"/>
    </row>
    <row r="772" spans="2:9" ht="15.75" outlineLevel="1" x14ac:dyDescent="0.45">
      <c r="B772" s="1562" t="s">
        <v>3470</v>
      </c>
      <c r="C772" s="1322" t="s">
        <v>3471</v>
      </c>
      <c r="D772" s="1322">
        <v>0.02</v>
      </c>
      <c r="E772" s="1563">
        <f>0.15</f>
        <v>0.15</v>
      </c>
      <c r="F772" s="1322" t="s">
        <v>381</v>
      </c>
      <c r="G772" s="1322">
        <v>3</v>
      </c>
      <c r="H772" s="1657" t="s">
        <v>3473</v>
      </c>
      <c r="I772" s="1565"/>
    </row>
    <row r="773" spans="2:9" ht="15.75" outlineLevel="1" x14ac:dyDescent="0.45">
      <c r="B773" s="1562" t="s">
        <v>909</v>
      </c>
      <c r="C773" s="1322" t="s">
        <v>906</v>
      </c>
      <c r="D773" s="1322" t="s">
        <v>1865</v>
      </c>
      <c r="E773" s="1563" t="e">
        <f ca="1">1.82483*10^6*_xlfn.SINGLE(ρ__)^(0.5)*(_xlfn.SINGLE(ε__)*_xlfn.SINGLE(T_K))^(-1.5)</f>
        <v>#NAME?</v>
      </c>
      <c r="F773" s="1322" t="s">
        <v>1907</v>
      </c>
      <c r="G773" s="1322">
        <v>3</v>
      </c>
      <c r="H773" s="1657" t="s">
        <v>1153</v>
      </c>
      <c r="I773" s="1565"/>
    </row>
    <row r="774" spans="2:9" ht="15.75" outlineLevel="1" x14ac:dyDescent="0.45">
      <c r="B774" s="1562" t="s">
        <v>908</v>
      </c>
      <c r="C774" s="1322" t="s">
        <v>2997</v>
      </c>
      <c r="D774" s="1322" t="s">
        <v>943</v>
      </c>
      <c r="E774" s="1563" t="e">
        <f ca="1">2727.586+0.6224107*_xlfn.SINGLE(T_K)-466.9151*LN(_xlfn.SINGLE(T_K))-(52000.87/_xlfn.SINGLE(T_K))</f>
        <v>#NAME?</v>
      </c>
      <c r="F774" s="1322" t="s">
        <v>1907</v>
      </c>
      <c r="G774" s="1322">
        <v>3</v>
      </c>
      <c r="H774" s="1657" t="s">
        <v>1153</v>
      </c>
      <c r="I774" s="1565"/>
    </row>
    <row r="775" spans="2:9" outlineLevel="1" x14ac:dyDescent="0.45">
      <c r="B775" s="1562" t="s">
        <v>910</v>
      </c>
      <c r="C775" s="1322" t="s">
        <v>2998</v>
      </c>
      <c r="D775" s="1322" t="s">
        <v>907</v>
      </c>
      <c r="E775" s="1563" t="e">
        <f ca="1">1-(_xlfn.SINGLE(T__)-3.9863)^2*(_xlfn.SINGLE(T__)+288.9414)/(508929.2*(_xlfn.SINGLE(T__)+68.12963))+0.011445*EXP(-374.3/_xlfn.SINGLE(T__))</f>
        <v>#NAME?</v>
      </c>
      <c r="F775" s="1322" t="s">
        <v>1907</v>
      </c>
      <c r="G775" s="1322">
        <v>3</v>
      </c>
      <c r="H775" s="1657" t="s">
        <v>1153</v>
      </c>
      <c r="I775" s="1565"/>
    </row>
    <row r="776" spans="2:9" ht="15.75" outlineLevel="1" x14ac:dyDescent="0.45">
      <c r="B776" s="1562" t="s">
        <v>3474</v>
      </c>
      <c r="C776" s="1322" t="s">
        <v>3413</v>
      </c>
      <c r="D776" s="1322" t="s">
        <v>3475</v>
      </c>
      <c r="E776" s="1563">
        <v>0.78540775368648974</v>
      </c>
      <c r="F776" s="1322" t="s">
        <v>1907</v>
      </c>
      <c r="G776" s="1322">
        <v>3</v>
      </c>
      <c r="H776" s="1657" t="s">
        <v>1153</v>
      </c>
      <c r="I776" s="1565"/>
    </row>
    <row r="777" spans="2:9" ht="15.75" outlineLevel="1" x14ac:dyDescent="0.45">
      <c r="B777" s="1562" t="s">
        <v>3476</v>
      </c>
      <c r="C777" s="1322" t="s">
        <v>3415</v>
      </c>
      <c r="D777" s="1322" t="s">
        <v>3477</v>
      </c>
      <c r="E777" s="1563">
        <v>0.3805228471391951</v>
      </c>
      <c r="F777" s="1322" t="s">
        <v>1907</v>
      </c>
      <c r="G777" s="1322">
        <v>3</v>
      </c>
      <c r="H777" s="1657" t="s">
        <v>1153</v>
      </c>
      <c r="I777" s="1565"/>
    </row>
    <row r="778" spans="2:9" ht="15.75" outlineLevel="1" x14ac:dyDescent="0.45">
      <c r="B778" s="1562" t="s">
        <v>2942</v>
      </c>
      <c r="C778" s="1322" t="s">
        <v>2926</v>
      </c>
      <c r="D778" s="1322" t="s">
        <v>3229</v>
      </c>
      <c r="E778" s="1563">
        <v>4.0484694649180739E-4</v>
      </c>
      <c r="F778" s="1322" t="s">
        <v>1907</v>
      </c>
      <c r="G778" s="1322">
        <v>3</v>
      </c>
      <c r="H778" s="1657" t="s">
        <v>1153</v>
      </c>
      <c r="I778" s="1565"/>
    </row>
    <row r="779" spans="2:9" ht="15.75" outlineLevel="1" x14ac:dyDescent="0.45">
      <c r="B779" s="1562" t="s">
        <v>2929</v>
      </c>
      <c r="C779" s="1322" t="s">
        <v>2999</v>
      </c>
      <c r="D779" s="1322" t="s">
        <v>4129</v>
      </c>
      <c r="E779" s="1563">
        <v>4.9217102120980042E-4</v>
      </c>
      <c r="F779" s="1322" t="s">
        <v>1907</v>
      </c>
      <c r="G779" s="1322">
        <v>3</v>
      </c>
      <c r="H779" s="1657" t="s">
        <v>1153</v>
      </c>
      <c r="I779" s="1565"/>
    </row>
    <row r="780" spans="2:9" ht="15.75" outlineLevel="1" x14ac:dyDescent="0.45">
      <c r="B780" s="1562" t="s">
        <v>947</v>
      </c>
      <c r="C780" s="1322" t="s">
        <v>2911</v>
      </c>
      <c r="D780" s="1322" t="s">
        <v>1866</v>
      </c>
      <c r="E780" s="1563" t="e">
        <f ca="1">10^(-(3404.7/_xlfn.SINGLE(T_K)-14.8435+_xlfn.SINGLE(T_K)*0.03279))</f>
        <v>#NAME?</v>
      </c>
      <c r="F780" s="1322" t="s">
        <v>1907</v>
      </c>
      <c r="G780" s="1322">
        <v>3</v>
      </c>
      <c r="H780" s="1657" t="s">
        <v>1153</v>
      </c>
      <c r="I780" s="1565"/>
    </row>
    <row r="781" spans="2:9" ht="15.75" outlineLevel="1" x14ac:dyDescent="0.45">
      <c r="B781" s="1562" t="s">
        <v>948</v>
      </c>
      <c r="C781" s="1322" t="s">
        <v>2912</v>
      </c>
      <c r="D781" s="1322" t="s">
        <v>1867</v>
      </c>
      <c r="E781" s="1563" t="e">
        <f ca="1">10^(-(2902.4/_xlfn.SINGLE(T_K)-6.498+_xlfn.SINGLE(T_K)*0.02379))</f>
        <v>#NAME?</v>
      </c>
      <c r="F781" s="1322" t="s">
        <v>1907</v>
      </c>
      <c r="G781" s="1322">
        <v>3</v>
      </c>
      <c r="H781" s="1657" t="s">
        <v>1153</v>
      </c>
      <c r="I781" s="1565"/>
    </row>
    <row r="782" spans="2:9" s="124" customFormat="1" ht="15.75" outlineLevel="1" x14ac:dyDescent="0.45">
      <c r="B782" s="2762" t="s">
        <v>5735</v>
      </c>
      <c r="C782" s="1322" t="s">
        <v>5736</v>
      </c>
      <c r="D782" s="1322" t="s">
        <v>5737</v>
      </c>
      <c r="E782" s="2763" t="e">
        <f ca="1">K_S1_param*EXP(d_Hdiss_S_1/R__*(1/T_st_K-1/_xlfn.SINGLE(T_K)))</f>
        <v>#NAME?</v>
      </c>
      <c r="F782" s="2764" t="s">
        <v>1907</v>
      </c>
      <c r="G782" s="2764">
        <v>3</v>
      </c>
      <c r="H782" s="2765" t="s">
        <v>1153</v>
      </c>
      <c r="I782" s="2766"/>
    </row>
    <row r="783" spans="2:9" s="124" customFormat="1" ht="15.75" outlineLevel="1" x14ac:dyDescent="0.45">
      <c r="B783" s="2762" t="s">
        <v>5738</v>
      </c>
      <c r="C783" s="1322" t="s">
        <v>5739</v>
      </c>
      <c r="D783" s="1322" t="s">
        <v>5740</v>
      </c>
      <c r="E783" s="2763" t="e">
        <f ca="1">K_S2_param*EXP(d_Hdiss_S_2/R__*(1/T_st_K-1/_xlfn.SINGLE(T_K)))</f>
        <v>#NAME?</v>
      </c>
      <c r="F783" s="2764" t="s">
        <v>1907</v>
      </c>
      <c r="G783" s="2764">
        <v>3</v>
      </c>
      <c r="H783" s="2765" t="s">
        <v>1153</v>
      </c>
      <c r="I783" s="2766"/>
    </row>
    <row r="784" spans="2:9" ht="15.75" outlineLevel="1" x14ac:dyDescent="0.45">
      <c r="B784" s="1562" t="s">
        <v>346</v>
      </c>
      <c r="C784" s="1322" t="s">
        <v>2919</v>
      </c>
      <c r="D784" s="1322" t="s">
        <v>3478</v>
      </c>
      <c r="E784" s="1563" t="e">
        <f ca="1">_xlfn.SINGLE(K_C1_T)/_xlfn.SINGLE(f_mono)^2</f>
        <v>#NAME?</v>
      </c>
      <c r="F784" s="1322" t="s">
        <v>1907</v>
      </c>
      <c r="G784" s="1322">
        <v>3</v>
      </c>
      <c r="H784" s="1657" t="s">
        <v>1153</v>
      </c>
      <c r="I784" s="1565"/>
    </row>
    <row r="785" spans="2:9" ht="15.75" outlineLevel="1" x14ac:dyDescent="0.45">
      <c r="B785" s="1562" t="s">
        <v>347</v>
      </c>
      <c r="C785" s="1322" t="s">
        <v>2920</v>
      </c>
      <c r="D785" s="1322" t="s">
        <v>3479</v>
      </c>
      <c r="E785" s="1563" t="e">
        <f ca="1">_xlfn.SINGLE(K_C2_T)/_xlfn.SINGLE(f_di)</f>
        <v>#NAME?</v>
      </c>
      <c r="F785" s="1322" t="s">
        <v>1907</v>
      </c>
      <c r="G785" s="1322">
        <v>3</v>
      </c>
      <c r="H785" s="1657" t="s">
        <v>1153</v>
      </c>
      <c r="I785" s="1565"/>
    </row>
    <row r="786" spans="2:9" s="124" customFormat="1" ht="15.75" outlineLevel="1" x14ac:dyDescent="0.45">
      <c r="B786" s="2762" t="s">
        <v>5747</v>
      </c>
      <c r="C786" s="1322" t="s">
        <v>5748</v>
      </c>
      <c r="D786" s="1322" t="s">
        <v>5765</v>
      </c>
      <c r="E786" s="2763" t="e">
        <f ca="1">_xlfn.SINGLE(K_S1_T)/_xlfn.SINGLE(f_mono)^2</f>
        <v>#NAME?</v>
      </c>
      <c r="F786" s="2764" t="s">
        <v>1907</v>
      </c>
      <c r="G786" s="2764">
        <v>3</v>
      </c>
      <c r="H786" s="2765" t="s">
        <v>1153</v>
      </c>
      <c r="I786" s="2766"/>
    </row>
    <row r="787" spans="2:9" s="124" customFormat="1" ht="15.75" outlineLevel="1" x14ac:dyDescent="0.45">
      <c r="B787" s="2762" t="s">
        <v>5750</v>
      </c>
      <c r="C787" s="1322" t="s">
        <v>5751</v>
      </c>
      <c r="D787" s="1322" t="s">
        <v>5766</v>
      </c>
      <c r="E787" s="2763" t="e">
        <f ca="1">_xlfn.SINGLE(K_S2_T)/_xlfn.SINGLE(f_di)</f>
        <v>#NAME?</v>
      </c>
      <c r="F787" s="2764" t="s">
        <v>1907</v>
      </c>
      <c r="G787" s="2764">
        <v>3</v>
      </c>
      <c r="H787" s="2765" t="s">
        <v>1153</v>
      </c>
      <c r="I787" s="2766"/>
    </row>
    <row r="788" spans="2:9" ht="15.75" outlineLevel="1" x14ac:dyDescent="0.45">
      <c r="B788" s="1562" t="s">
        <v>2931</v>
      </c>
      <c r="C788" s="1322" t="s">
        <v>2917</v>
      </c>
      <c r="D788" s="1322" t="s">
        <v>1057</v>
      </c>
      <c r="E788" s="1563" t="e">
        <f ca="1">10^(-(2835.8/_xlfn.SINGLE(T_K)-0.6322+0.00123*_xlfn.SINGLE(T_K)))</f>
        <v>#NAME?</v>
      </c>
      <c r="F788" s="1322" t="s">
        <v>1907</v>
      </c>
      <c r="G788" s="1322">
        <v>3</v>
      </c>
      <c r="H788" s="1657" t="s">
        <v>1153</v>
      </c>
      <c r="I788" s="1565"/>
    </row>
    <row r="789" spans="2:9" ht="15.75" outlineLevel="1" x14ac:dyDescent="0.45">
      <c r="B789" s="1562" t="s">
        <v>4108</v>
      </c>
      <c r="C789" s="1322" t="s">
        <v>4106</v>
      </c>
      <c r="D789" s="1322" t="s">
        <v>4130</v>
      </c>
      <c r="E789" s="1563" t="e">
        <f ca="1">S_CO2/(A_MC*1000)*10^(-14)/(10^(-14)+10^(-7)*_xlfn.SINGLE(K_C1_T)+_xlfn.SINGLE(K_C1_T)*_xlfn.SINGLE(K_C2_T))</f>
        <v>#NAME?</v>
      </c>
      <c r="F789" s="1322" t="s">
        <v>843</v>
      </c>
      <c r="G789" s="1322">
        <v>4</v>
      </c>
      <c r="H789" s="1657" t="s">
        <v>1153</v>
      </c>
      <c r="I789" s="1565"/>
    </row>
    <row r="790" spans="2:9" ht="15.75" outlineLevel="1" x14ac:dyDescent="0.45">
      <c r="B790" s="1562" t="s">
        <v>3464</v>
      </c>
      <c r="C790" s="1322" t="s">
        <v>4106</v>
      </c>
      <c r="D790" s="1322" t="s">
        <v>3480</v>
      </c>
      <c r="E790" s="1563" t="e">
        <f ca="1">S_CO2/(A_MC*1000)*10^(-14)/(10^(-14)+10^(-7)*_xlfn.SINGLE(K_C1_T)+_xlfn.SINGLE(K_C1_T)*_xlfn.SINGLE(K_C2_T))</f>
        <v>#NAME?</v>
      </c>
      <c r="F790" s="1322" t="s">
        <v>843</v>
      </c>
      <c r="G790" s="1322">
        <v>4</v>
      </c>
      <c r="H790" s="1657" t="s">
        <v>1153</v>
      </c>
      <c r="I790" s="1565"/>
    </row>
    <row r="791" spans="2:9" s="124" customFormat="1" ht="15.75" outlineLevel="1" x14ac:dyDescent="0.45">
      <c r="B791" s="2762" t="s">
        <v>5767</v>
      </c>
      <c r="C791" s="1322" t="s">
        <v>5768</v>
      </c>
      <c r="D791" s="1322" t="s">
        <v>5769</v>
      </c>
      <c r="E791" s="2763" t="e">
        <f ca="1">S_CO2/(A_MC*1000)*10^(-14)/(10^(-14)+10^(-7)*_xlfn.SINGLE(K_C1_T)+_xlfn.SINGLE(K_C1_T)*_xlfn.SINGLE(K_C2_T))</f>
        <v>#NAME?</v>
      </c>
      <c r="F791" s="2764" t="s">
        <v>843</v>
      </c>
      <c r="G791" s="2764">
        <v>4</v>
      </c>
      <c r="H791" s="2765" t="s">
        <v>1153</v>
      </c>
      <c r="I791" s="2766"/>
    </row>
    <row r="792" spans="2:9" ht="16.149999999999999" outlineLevel="1" thickBot="1" x14ac:dyDescent="0.5">
      <c r="B792" s="1566" t="s">
        <v>3465</v>
      </c>
      <c r="C792" s="1567" t="s">
        <v>4107</v>
      </c>
      <c r="D792" s="1568" t="s">
        <v>3481</v>
      </c>
      <c r="E792" s="1569" t="e">
        <f ca="1">(S_NHx/(A_MN*1000))*_xlfn.SINGLE(K_NH3_T)/(10^(-7)+_xlfn.SINGLE(K_NH3_T))</f>
        <v>#NAME?</v>
      </c>
      <c r="F792" s="1324" t="s">
        <v>843</v>
      </c>
      <c r="G792" s="1567">
        <v>4</v>
      </c>
      <c r="H792" s="1658" t="s">
        <v>1153</v>
      </c>
      <c r="I792" s="1570"/>
    </row>
    <row r="793" spans="2:9" ht="14.65" thickBot="1" x14ac:dyDescent="0.5"/>
    <row r="794" spans="2:9" ht="14.65" thickBot="1" x14ac:dyDescent="0.5">
      <c r="C794" s="1262" t="s">
        <v>4109</v>
      </c>
      <c r="D794" s="2087" t="s">
        <v>301</v>
      </c>
      <c r="E794" s="2087"/>
    </row>
    <row r="795" spans="2:9" ht="14.65" thickBot="1" x14ac:dyDescent="0.5">
      <c r="B795" s="1335" t="s">
        <v>0</v>
      </c>
      <c r="C795" s="548" t="s">
        <v>1</v>
      </c>
      <c r="D795" s="548" t="s">
        <v>5</v>
      </c>
      <c r="E795" s="548" t="s">
        <v>152</v>
      </c>
      <c r="F795" s="548" t="s">
        <v>2</v>
      </c>
      <c r="G795" s="548" t="s">
        <v>300</v>
      </c>
      <c r="H795" s="1653" t="s">
        <v>116</v>
      </c>
      <c r="I795" s="1546" t="s">
        <v>117</v>
      </c>
    </row>
    <row r="796" spans="2:9" ht="15.75" outlineLevel="1" x14ac:dyDescent="0.45">
      <c r="B796" s="1571" t="s">
        <v>4117</v>
      </c>
      <c r="C796" s="1325" t="s">
        <v>2260</v>
      </c>
      <c r="D796" s="1572" t="s">
        <v>4119</v>
      </c>
      <c r="E796" s="1573">
        <f>conc_HNO2_I*A_MN*1000</f>
        <v>1.2045925763173627E-5</v>
      </c>
      <c r="F796" s="1325" t="s">
        <v>886</v>
      </c>
      <c r="G796" s="1325">
        <v>1</v>
      </c>
      <c r="H796" s="1659" t="s">
        <v>4142</v>
      </c>
      <c r="I796" s="1574"/>
    </row>
    <row r="797" spans="2:9" ht="15.75" outlineLevel="1" x14ac:dyDescent="0.45">
      <c r="B797" s="1575" t="s">
        <v>4117</v>
      </c>
      <c r="C797" s="1326" t="s">
        <v>2260</v>
      </c>
      <c r="D797" s="1326" t="s">
        <v>4118</v>
      </c>
      <c r="E797" s="1576">
        <f>0</f>
        <v>0</v>
      </c>
      <c r="F797" s="1326" t="s">
        <v>886</v>
      </c>
      <c r="G797" s="1326">
        <v>1</v>
      </c>
      <c r="H797" s="1660" t="s">
        <v>4143</v>
      </c>
      <c r="I797" s="1577"/>
    </row>
    <row r="798" spans="2:9" ht="15.75" outlineLevel="1" x14ac:dyDescent="0.45">
      <c r="B798" s="1578" t="s">
        <v>4139</v>
      </c>
      <c r="C798" s="1326" t="s">
        <v>401</v>
      </c>
      <c r="D798" s="1579" t="s">
        <v>4140</v>
      </c>
      <c r="E798" s="1576">
        <f>conc_NH3_I*A_MN*1000</f>
        <v>6.2425200277659324E-3</v>
      </c>
      <c r="F798" s="1326" t="s">
        <v>886</v>
      </c>
      <c r="G798" s="1326">
        <v>1</v>
      </c>
      <c r="H798" s="1660" t="s">
        <v>4144</v>
      </c>
      <c r="I798" s="1577"/>
    </row>
    <row r="799" spans="2:9" ht="16.149999999999999" outlineLevel="1" thickBot="1" x14ac:dyDescent="0.5">
      <c r="B799" s="1580" t="s">
        <v>4139</v>
      </c>
      <c r="C799" s="1327" t="s">
        <v>401</v>
      </c>
      <c r="D799" s="1327" t="s">
        <v>4141</v>
      </c>
      <c r="E799" s="1581">
        <f>0</f>
        <v>0</v>
      </c>
      <c r="F799" s="1327" t="s">
        <v>886</v>
      </c>
      <c r="G799" s="1327">
        <v>1</v>
      </c>
      <c r="H799" s="1661" t="s">
        <v>4145</v>
      </c>
      <c r="I799" s="1582"/>
    </row>
    <row r="800" spans="2:9" ht="14.65" thickBot="1" x14ac:dyDescent="0.5"/>
    <row r="801" spans="2:9" ht="14.65" thickBot="1" x14ac:dyDescent="0.5">
      <c r="C801" s="474" t="s">
        <v>3230</v>
      </c>
      <c r="D801" s="2087" t="s">
        <v>301</v>
      </c>
      <c r="E801" s="2087"/>
    </row>
    <row r="802" spans="2:9" ht="14.65" thickBot="1" x14ac:dyDescent="0.5">
      <c r="B802" s="1335" t="s">
        <v>0</v>
      </c>
      <c r="C802" s="548" t="s">
        <v>1</v>
      </c>
      <c r="D802" s="548" t="s">
        <v>5</v>
      </c>
      <c r="E802" s="548" t="s">
        <v>152</v>
      </c>
      <c r="F802" s="548" t="s">
        <v>2</v>
      </c>
      <c r="G802" s="548" t="s">
        <v>300</v>
      </c>
      <c r="H802" s="1653" t="s">
        <v>116</v>
      </c>
      <c r="I802" s="1546" t="s">
        <v>117</v>
      </c>
    </row>
    <row r="803" spans="2:9" ht="15.75" outlineLevel="1" x14ac:dyDescent="0.45">
      <c r="B803" s="1583" t="s">
        <v>3205</v>
      </c>
      <c r="C803" s="1328" t="s">
        <v>3231</v>
      </c>
      <c r="D803" s="1584" t="s">
        <v>3232</v>
      </c>
      <c r="E803" s="1585">
        <f>k_LaGCO2_bub*(S_GCO2_bub_sat-conc_H2CO3_I*M_MEQ_GCO2*c_L_m3)</f>
        <v>2861.6873452767227</v>
      </c>
      <c r="F803" s="1328" t="s">
        <v>1316</v>
      </c>
      <c r="G803" s="1328">
        <v>1</v>
      </c>
      <c r="H803" s="1662" t="s">
        <v>11</v>
      </c>
      <c r="I803" s="1586"/>
    </row>
    <row r="804" spans="2:9" ht="15.75" outlineLevel="1" x14ac:dyDescent="0.45">
      <c r="B804" s="1575" t="s">
        <v>3205</v>
      </c>
      <c r="C804" s="1323" t="s">
        <v>3231</v>
      </c>
      <c r="D804" s="1587" t="s">
        <v>3466</v>
      </c>
      <c r="E804" s="1588">
        <f>0</f>
        <v>0</v>
      </c>
      <c r="F804" s="1323" t="s">
        <v>1316</v>
      </c>
      <c r="G804" s="1323">
        <v>1</v>
      </c>
      <c r="H804" s="1657" t="s">
        <v>1153</v>
      </c>
      <c r="I804" s="1565"/>
    </row>
    <row r="805" spans="2:9" ht="15.75" outlineLevel="1" x14ac:dyDescent="0.45">
      <c r="B805" s="1575" t="s">
        <v>3209</v>
      </c>
      <c r="C805" s="1323" t="s">
        <v>3233</v>
      </c>
      <c r="D805" s="1589" t="s">
        <v>3234</v>
      </c>
      <c r="E805" s="1588">
        <f>k_LaGNH3_bub*(S_GNH3_bub_sat-conc_NH3_I*M_MEQ_GNH3*c_L_m3)</f>
        <v>0</v>
      </c>
      <c r="F805" s="1323" t="s">
        <v>1316</v>
      </c>
      <c r="G805" s="1323">
        <v>1</v>
      </c>
      <c r="H805" s="1657" t="s">
        <v>11</v>
      </c>
      <c r="I805" s="1565"/>
    </row>
    <row r="806" spans="2:9" ht="16.149999999999999" outlineLevel="1" thickBot="1" x14ac:dyDescent="0.5">
      <c r="B806" s="1590" t="s">
        <v>3209</v>
      </c>
      <c r="C806" s="1324" t="s">
        <v>3233</v>
      </c>
      <c r="D806" s="1568" t="s">
        <v>3467</v>
      </c>
      <c r="E806" s="1591">
        <f>0</f>
        <v>0</v>
      </c>
      <c r="F806" s="1324" t="s">
        <v>1316</v>
      </c>
      <c r="G806" s="1324">
        <v>1</v>
      </c>
      <c r="H806" s="1658" t="s">
        <v>1153</v>
      </c>
      <c r="I806" s="1570"/>
    </row>
    <row r="807" spans="2:9" s="124" customFormat="1" ht="15.75" outlineLevel="1" x14ac:dyDescent="0.45">
      <c r="B807" s="2762" t="s">
        <v>5495</v>
      </c>
      <c r="C807" s="1322" t="s">
        <v>5770</v>
      </c>
      <c r="D807" s="1322" t="s">
        <v>5771</v>
      </c>
      <c r="E807" s="2767">
        <f>k_LaGH2S_bub*(S_GH2S_bub_sat-conc_H2S_I*M_MEQ_GH2S*c_L_m3)</f>
        <v>286423.9357096504</v>
      </c>
      <c r="F807" s="2764" t="s">
        <v>1316</v>
      </c>
      <c r="G807" s="2764">
        <v>1</v>
      </c>
      <c r="H807" s="2764" t="s">
        <v>11</v>
      </c>
      <c r="I807" s="2768"/>
    </row>
    <row r="808" spans="2:9" s="124" customFormat="1" ht="16.149999999999999" outlineLevel="1" thickBot="1" x14ac:dyDescent="0.5">
      <c r="B808" s="2769" t="s">
        <v>5495</v>
      </c>
      <c r="C808" s="2770" t="s">
        <v>5770</v>
      </c>
      <c r="D808" s="2770" t="s">
        <v>5772</v>
      </c>
      <c r="E808" s="2771">
        <f>0</f>
        <v>0</v>
      </c>
      <c r="F808" s="2772" t="s">
        <v>1316</v>
      </c>
      <c r="G808" s="2772">
        <v>1</v>
      </c>
      <c r="H808" s="2772" t="s">
        <v>1153</v>
      </c>
      <c r="I808" s="2773"/>
    </row>
    <row r="809" spans="2:9" ht="14.65" thickBot="1" x14ac:dyDescent="0.5"/>
    <row r="810" spans="2:9" ht="14.65" thickBot="1" x14ac:dyDescent="0.5">
      <c r="C810" s="422" t="s">
        <v>3235</v>
      </c>
      <c r="D810" s="2087" t="s">
        <v>301</v>
      </c>
      <c r="E810" s="2087"/>
    </row>
    <row r="811" spans="2:9" ht="14.65" thickBot="1" x14ac:dyDescent="0.5">
      <c r="B811" s="1335" t="s">
        <v>0</v>
      </c>
      <c r="C811" s="548" t="s">
        <v>1</v>
      </c>
      <c r="D811" s="548" t="s">
        <v>5</v>
      </c>
      <c r="E811" s="548" t="s">
        <v>152</v>
      </c>
      <c r="F811" s="548" t="s">
        <v>2</v>
      </c>
      <c r="G811" s="548" t="s">
        <v>300</v>
      </c>
      <c r="H811" s="1653" t="s">
        <v>116</v>
      </c>
      <c r="I811" s="1546" t="s">
        <v>117</v>
      </c>
    </row>
    <row r="812" spans="2:9" ht="15.75" outlineLevel="1" x14ac:dyDescent="0.45">
      <c r="B812" s="1583" t="s">
        <v>3194</v>
      </c>
      <c r="C812" s="1328" t="s">
        <v>3236</v>
      </c>
      <c r="D812" s="1584" t="s">
        <v>3237</v>
      </c>
      <c r="E812" s="1585">
        <f>k_LaGCO2_sur*(S_GCO2_sur_sat-conc_H2CO3_I*M_MEQ_GCO2*c_L_m3)</f>
        <v>85.864791591722664</v>
      </c>
      <c r="F812" s="1328" t="s">
        <v>1316</v>
      </c>
      <c r="G812" s="1328">
        <v>1</v>
      </c>
      <c r="H812" s="1662" t="s">
        <v>11</v>
      </c>
      <c r="I812" s="1586"/>
    </row>
    <row r="813" spans="2:9" ht="15.75" outlineLevel="1" x14ac:dyDescent="0.45">
      <c r="B813" s="1575" t="s">
        <v>3194</v>
      </c>
      <c r="C813" s="1323" t="s">
        <v>3236</v>
      </c>
      <c r="D813" s="1587" t="s">
        <v>3468</v>
      </c>
      <c r="E813" s="1588">
        <f>0</f>
        <v>0</v>
      </c>
      <c r="F813" s="1323" t="s">
        <v>1316</v>
      </c>
      <c r="G813" s="1323">
        <v>1</v>
      </c>
      <c r="H813" s="1657" t="s">
        <v>1153</v>
      </c>
      <c r="I813" s="1565"/>
    </row>
    <row r="814" spans="2:9" ht="15.75" outlineLevel="1" x14ac:dyDescent="0.45">
      <c r="B814" s="1575" t="s">
        <v>3202</v>
      </c>
      <c r="C814" s="1323" t="s">
        <v>3238</v>
      </c>
      <c r="D814" s="1589" t="s">
        <v>3239</v>
      </c>
      <c r="E814" s="1588">
        <f>k_LaGNH3_sur*(S_GNH3_sur_sat-conc_NH3_I*M_MEQ_GNH3*c_L_m3)</f>
        <v>0</v>
      </c>
      <c r="F814" s="1323" t="s">
        <v>1316</v>
      </c>
      <c r="G814" s="1323">
        <v>1</v>
      </c>
      <c r="H814" s="1657" t="s">
        <v>11</v>
      </c>
      <c r="I814" s="1565"/>
    </row>
    <row r="815" spans="2:9" ht="16.149999999999999" outlineLevel="1" thickBot="1" x14ac:dyDescent="0.5">
      <c r="B815" s="1590" t="s">
        <v>3202</v>
      </c>
      <c r="C815" s="1324" t="s">
        <v>3238</v>
      </c>
      <c r="D815" s="1568" t="s">
        <v>3469</v>
      </c>
      <c r="E815" s="1591">
        <f>0</f>
        <v>0</v>
      </c>
      <c r="F815" s="1324" t="s">
        <v>1316</v>
      </c>
      <c r="G815" s="1324">
        <v>1</v>
      </c>
      <c r="H815" s="1658" t="s">
        <v>1153</v>
      </c>
      <c r="I815" s="1570"/>
    </row>
    <row r="816" spans="2:9" s="124" customFormat="1" ht="15.75" outlineLevel="1" x14ac:dyDescent="0.45">
      <c r="B816" s="2762" t="s">
        <v>5498</v>
      </c>
      <c r="C816" s="1322" t="s">
        <v>5773</v>
      </c>
      <c r="D816" s="1322" t="s">
        <v>5774</v>
      </c>
      <c r="E816" s="2767">
        <f>k_LaGH2S_sur*(S_GH2S_sur_sat-conc_H2S_I*M_MEQ_GH2S*c_L_m3)</f>
        <v>8592.4931369141996</v>
      </c>
      <c r="F816" s="2764" t="s">
        <v>1316</v>
      </c>
      <c r="G816" s="2764">
        <v>1</v>
      </c>
      <c r="H816" s="2764" t="s">
        <v>11</v>
      </c>
      <c r="I816" s="2768"/>
    </row>
    <row r="817" spans="2:9" s="124" customFormat="1" ht="16.149999999999999" outlineLevel="1" thickBot="1" x14ac:dyDescent="0.5">
      <c r="B817" s="2769" t="s">
        <v>5498</v>
      </c>
      <c r="C817" s="2770" t="s">
        <v>5773</v>
      </c>
      <c r="D817" s="2770" t="s">
        <v>5775</v>
      </c>
      <c r="E817" s="2771">
        <f>0</f>
        <v>0</v>
      </c>
      <c r="F817" s="2772" t="s">
        <v>1316</v>
      </c>
      <c r="G817" s="2772">
        <v>1</v>
      </c>
      <c r="H817" s="2772" t="s">
        <v>1153</v>
      </c>
      <c r="I817" s="2773"/>
    </row>
    <row r="818" spans="2:9" ht="14.65" thickBot="1" x14ac:dyDescent="0.5"/>
    <row r="819" spans="2:9" ht="14.65" thickBot="1" x14ac:dyDescent="0.5">
      <c r="C819" s="474" t="s">
        <v>443</v>
      </c>
      <c r="D819" s="2087" t="s">
        <v>301</v>
      </c>
      <c r="E819" s="2087"/>
    </row>
    <row r="820" spans="2:9" ht="14.65" thickBot="1" x14ac:dyDescent="0.5">
      <c r="B820" s="547" t="s">
        <v>0</v>
      </c>
      <c r="C820" s="1329" t="s">
        <v>1</v>
      </c>
      <c r="D820" s="1329" t="s">
        <v>5</v>
      </c>
      <c r="E820" s="1329" t="s">
        <v>152</v>
      </c>
      <c r="F820" s="1329" t="s">
        <v>2</v>
      </c>
      <c r="G820" s="1329" t="s">
        <v>300</v>
      </c>
      <c r="H820" s="1613" t="s">
        <v>116</v>
      </c>
      <c r="I820" s="1546" t="s">
        <v>117</v>
      </c>
    </row>
    <row r="821" spans="2:9" s="124" customFormat="1" ht="16.149999999999999" outlineLevel="1" thickBot="1" x14ac:dyDescent="0.5">
      <c r="B821" s="2774" t="s">
        <v>5776</v>
      </c>
      <c r="C821" s="2749" t="s">
        <v>5777</v>
      </c>
      <c r="D821" s="2749" t="s">
        <v>5778</v>
      </c>
      <c r="E821" s="2775">
        <f>f_kL_GH2S*(D_GH2S_25/D_GO2_25)^0.5*k_L_GO2_bub</f>
        <v>9.9323067664742055</v>
      </c>
      <c r="F821" s="2754" t="s">
        <v>3240</v>
      </c>
      <c r="G821" s="2754">
        <v>2</v>
      </c>
      <c r="H821" s="2754"/>
      <c r="I821" s="2755"/>
    </row>
    <row r="822" spans="2:9" ht="15.75" outlineLevel="1" x14ac:dyDescent="0.45">
      <c r="B822" s="672" t="s">
        <v>3629</v>
      </c>
      <c r="C822" s="673" t="s">
        <v>3634</v>
      </c>
      <c r="D822" s="673" t="s">
        <v>3639</v>
      </c>
      <c r="E822" s="1592">
        <f>f_kL_GN2*(D_GN2_25/D_GO2_25)^0.5*k_L_GO2_bub</f>
        <v>11.827508281675817</v>
      </c>
      <c r="F822" s="673" t="s">
        <v>3240</v>
      </c>
      <c r="G822" s="673">
        <v>2</v>
      </c>
      <c r="H822" s="1663"/>
      <c r="I822" s="1593"/>
    </row>
    <row r="823" spans="2:9" ht="15.75" outlineLevel="1" x14ac:dyDescent="0.45">
      <c r="B823" s="588" t="s">
        <v>3630</v>
      </c>
      <c r="C823" s="589" t="s">
        <v>3635</v>
      </c>
      <c r="D823" s="589" t="s">
        <v>3640</v>
      </c>
      <c r="E823" s="1594">
        <f>f_kL_GCO2*(D_GCO2_25/D_GO2_25)^0.5*k_L_GO2_bub</f>
        <v>11.5508031163023</v>
      </c>
      <c r="F823" s="589" t="s">
        <v>3240</v>
      </c>
      <c r="G823" s="589">
        <v>2</v>
      </c>
      <c r="H823" s="1646"/>
      <c r="I823" s="1509"/>
    </row>
    <row r="824" spans="2:9" ht="15.75" outlineLevel="1" x14ac:dyDescent="0.45">
      <c r="B824" s="588" t="s">
        <v>3631</v>
      </c>
      <c r="C824" s="589" t="s">
        <v>3636</v>
      </c>
      <c r="D824" s="589" t="s">
        <v>3641</v>
      </c>
      <c r="E824" s="1594">
        <f>f_kL_GCH4*(D_GCH4_25/D_GO2_25)^0.5*k_L_GO2_bub</f>
        <v>10.976486395405258</v>
      </c>
      <c r="F824" s="589" t="s">
        <v>3240</v>
      </c>
      <c r="G824" s="589">
        <v>2</v>
      </c>
      <c r="H824" s="1646"/>
      <c r="I824" s="1509"/>
    </row>
    <row r="825" spans="2:9" ht="15.75" outlineLevel="1" x14ac:dyDescent="0.45">
      <c r="B825" s="588" t="s">
        <v>3632</v>
      </c>
      <c r="C825" s="589" t="s">
        <v>3637</v>
      </c>
      <c r="D825" s="589" t="s">
        <v>3642</v>
      </c>
      <c r="E825" s="1594">
        <f>f_kL_GH2*(D_GH2_25/D_GO2_25)^0.5*k_L_GO2_bub</f>
        <v>19.07552353373622</v>
      </c>
      <c r="F825" s="589" t="s">
        <v>3240</v>
      </c>
      <c r="G825" s="589">
        <v>2</v>
      </c>
      <c r="H825" s="1646"/>
      <c r="I825" s="1509"/>
    </row>
    <row r="826" spans="2:9" ht="15.75" outlineLevel="1" x14ac:dyDescent="0.45">
      <c r="B826" s="588" t="s">
        <v>3833</v>
      </c>
      <c r="C826" s="589" t="s">
        <v>3794</v>
      </c>
      <c r="D826" s="589" t="s">
        <v>3793</v>
      </c>
      <c r="E826" s="1594">
        <f>f_kL_GN2O*(D_GN2O_25/D_GO2_25)^0.5*k_L_GO2_bub</f>
        <v>14.075157116241719</v>
      </c>
      <c r="F826" s="589" t="s">
        <v>3240</v>
      </c>
      <c r="G826" s="589">
        <v>1</v>
      </c>
      <c r="H826" s="1646"/>
      <c r="I826" s="1509"/>
    </row>
    <row r="827" spans="2:9" ht="15.75" outlineLevel="1" x14ac:dyDescent="0.45">
      <c r="B827" s="588" t="s">
        <v>3834</v>
      </c>
      <c r="C827" s="589" t="s">
        <v>3795</v>
      </c>
      <c r="D827" s="589" t="s">
        <v>3792</v>
      </c>
      <c r="E827" s="1594">
        <f>f_kL_GNO*(D_GNO_25/D_GO2_25)^0.5*k_L_GO2_bub</f>
        <v>0</v>
      </c>
      <c r="F827" s="589" t="s">
        <v>3240</v>
      </c>
      <c r="G827" s="589">
        <v>1</v>
      </c>
      <c r="H827" s="1646"/>
      <c r="I827" s="1509"/>
    </row>
    <row r="828" spans="2:9" ht="15.75" outlineLevel="1" x14ac:dyDescent="0.45">
      <c r="B828" s="588" t="s">
        <v>3633</v>
      </c>
      <c r="C828" s="589" t="s">
        <v>3638</v>
      </c>
      <c r="D828" s="589" t="s">
        <v>3643</v>
      </c>
      <c r="E828" s="1594">
        <f>f_kL_GNH3*(D_GNH3_25/D_GO2_25)^0.5*k_L_GO2_bub</f>
        <v>1.1001798895970079</v>
      </c>
      <c r="F828" s="589" t="s">
        <v>3240</v>
      </c>
      <c r="G828" s="589">
        <v>2</v>
      </c>
      <c r="H828" s="1646"/>
      <c r="I828" s="1509"/>
    </row>
    <row r="829" spans="2:9" s="124" customFormat="1" ht="15.75" outlineLevel="1" x14ac:dyDescent="0.45">
      <c r="B829" s="2774" t="s">
        <v>5779</v>
      </c>
      <c r="C829" s="2749" t="s">
        <v>5780</v>
      </c>
      <c r="D829" s="2749" t="s">
        <v>5781</v>
      </c>
      <c r="E829" s="2775">
        <f>f_kL_GH2S*(D_GH2S_25/D_GO2_25)^0.5*k_L_GO2_sur</f>
        <v>5.8065793404003045</v>
      </c>
      <c r="F829" s="2754" t="s">
        <v>3240</v>
      </c>
      <c r="G829" s="2754">
        <v>2</v>
      </c>
      <c r="H829" s="2754"/>
      <c r="I829" s="2755"/>
    </row>
    <row r="830" spans="2:9" ht="15.75" outlineLevel="1" x14ac:dyDescent="0.45">
      <c r="B830" s="588" t="s">
        <v>3644</v>
      </c>
      <c r="C830" s="589" t="s">
        <v>3649</v>
      </c>
      <c r="D830" s="589" t="s">
        <v>3654</v>
      </c>
      <c r="E830" s="1594">
        <f>f_kL_GN2*(D_GN2_25/D_GO2_25)^0.5*k_L_GO2_sur</f>
        <v>6.9145433031335548</v>
      </c>
      <c r="F830" s="589" t="s">
        <v>3240</v>
      </c>
      <c r="G830" s="589">
        <v>2</v>
      </c>
      <c r="H830" s="1646"/>
      <c r="I830" s="1509"/>
    </row>
    <row r="831" spans="2:9" ht="15.75" outlineLevel="1" x14ac:dyDescent="0.45">
      <c r="B831" s="588" t="s">
        <v>3645</v>
      </c>
      <c r="C831" s="589" t="s">
        <v>3650</v>
      </c>
      <c r="D831" s="589" t="s">
        <v>3655</v>
      </c>
      <c r="E831" s="1594">
        <f>f_kL_GCO2*(D_GCO2_25/D_GO2_25)^0.5*k_L_GO2_sur</f>
        <v>6.7527772064536524</v>
      </c>
      <c r="F831" s="589" t="s">
        <v>3240</v>
      </c>
      <c r="G831" s="589">
        <v>2</v>
      </c>
      <c r="H831" s="1646"/>
      <c r="I831" s="1509"/>
    </row>
    <row r="832" spans="2:9" ht="15.75" outlineLevel="1" x14ac:dyDescent="0.45">
      <c r="B832" s="588" t="s">
        <v>3646</v>
      </c>
      <c r="C832" s="589" t="s">
        <v>3651</v>
      </c>
      <c r="D832" s="589" t="s">
        <v>3656</v>
      </c>
      <c r="E832" s="1594">
        <f>f_kL_GCH4*(D_GCH4_25/D_GO2_25)^0.5*k_L_GO2_sur</f>
        <v>6.4170228157753817</v>
      </c>
      <c r="F832" s="589" t="s">
        <v>3240</v>
      </c>
      <c r="G832" s="589">
        <v>2</v>
      </c>
      <c r="H832" s="1646"/>
      <c r="I832" s="1509"/>
    </row>
    <row r="833" spans="2:9" ht="15.75" outlineLevel="1" x14ac:dyDescent="0.45">
      <c r="B833" s="588" t="s">
        <v>3647</v>
      </c>
      <c r="C833" s="589" t="s">
        <v>3652</v>
      </c>
      <c r="D833" s="589" t="s">
        <v>3657</v>
      </c>
      <c r="E833" s="1594">
        <f>f_kL_GH2*(D_GH2_25/D_GO2_25)^0.5*k_L_GO2_sur</f>
        <v>11.151844527415021</v>
      </c>
      <c r="F833" s="589" t="s">
        <v>3240</v>
      </c>
      <c r="G833" s="589">
        <v>2</v>
      </c>
      <c r="H833" s="1646"/>
      <c r="I833" s="1509"/>
    </row>
    <row r="834" spans="2:9" ht="15.75" outlineLevel="1" x14ac:dyDescent="0.45">
      <c r="B834" s="588" t="s">
        <v>3648</v>
      </c>
      <c r="C834" s="589" t="s">
        <v>3653</v>
      </c>
      <c r="D834" s="589" t="s">
        <v>3658</v>
      </c>
      <c r="E834" s="1594">
        <f>f_kL_GNH3*(D_GNH3_25/D_GO2_25)^0.5*k_L_GO2_sur</f>
        <v>0.64318208930286602</v>
      </c>
      <c r="F834" s="589" t="s">
        <v>3240</v>
      </c>
      <c r="G834" s="589">
        <v>2</v>
      </c>
      <c r="H834" s="1646"/>
      <c r="I834" s="1509"/>
    </row>
    <row r="835" spans="2:9" ht="15.75" outlineLevel="1" x14ac:dyDescent="0.45">
      <c r="B835" s="588" t="s">
        <v>3835</v>
      </c>
      <c r="C835" s="589" t="s">
        <v>3797</v>
      </c>
      <c r="D835" s="589" t="s">
        <v>3798</v>
      </c>
      <c r="E835" s="1594">
        <f>f_kL_GN2O*(D_GN2O_25/D_GO2_25)^0.5*k_L_GO2_sur</f>
        <v>8.2285533910336195</v>
      </c>
      <c r="F835" s="589" t="s">
        <v>3240</v>
      </c>
      <c r="G835" s="589">
        <v>1</v>
      </c>
      <c r="H835" s="1646"/>
      <c r="I835" s="1509"/>
    </row>
    <row r="836" spans="2:9" ht="16.149999999999999" outlineLevel="1" thickBot="1" x14ac:dyDescent="0.5">
      <c r="B836" s="590" t="s">
        <v>3836</v>
      </c>
      <c r="C836" s="591" t="s">
        <v>3796</v>
      </c>
      <c r="D836" s="591" t="s">
        <v>3799</v>
      </c>
      <c r="E836" s="1551">
        <f>f_kL_GNO*(D_GNO_25/D_GO2_25)^0.5*k_L_GO2_sur</f>
        <v>0</v>
      </c>
      <c r="F836" s="589" t="s">
        <v>3240</v>
      </c>
      <c r="G836" s="591">
        <v>1</v>
      </c>
      <c r="H836" s="1647"/>
      <c r="I836" s="1512"/>
    </row>
    <row r="837" spans="2:9" s="1616" customFormat="1" ht="14.65" thickBot="1" x14ac:dyDescent="0.5">
      <c r="B837" s="1295"/>
      <c r="C837" s="1295"/>
      <c r="D837" s="1295"/>
      <c r="E837" s="2120"/>
      <c r="F837" s="7"/>
      <c r="G837" s="7"/>
    </row>
    <row r="838" spans="2:9" s="1616" customFormat="1" ht="14.65" thickBot="1" x14ac:dyDescent="0.5">
      <c r="B838" s="115"/>
      <c r="C838" s="935" t="s">
        <v>4706</v>
      </c>
      <c r="D838" s="2087" t="s">
        <v>301</v>
      </c>
      <c r="E838" s="2121"/>
      <c r="F838" s="116"/>
      <c r="G838" s="116"/>
      <c r="H838" s="1046"/>
      <c r="I838" s="115"/>
    </row>
    <row r="839" spans="2:9" s="1616" customFormat="1" ht="14.65" thickBot="1" x14ac:dyDescent="0.5">
      <c r="B839" s="2177" t="s">
        <v>0</v>
      </c>
      <c r="C839" s="876" t="s">
        <v>1</v>
      </c>
      <c r="D839" s="876" t="s">
        <v>5</v>
      </c>
      <c r="E839" s="876" t="s">
        <v>152</v>
      </c>
      <c r="F839" s="876" t="s">
        <v>2</v>
      </c>
      <c r="G839" s="876" t="s">
        <v>300</v>
      </c>
      <c r="H839" s="1153" t="s">
        <v>116</v>
      </c>
      <c r="I839" s="1265" t="s">
        <v>117</v>
      </c>
    </row>
    <row r="840" spans="2:9" s="1616" customFormat="1" ht="15.75" outlineLevel="1" x14ac:dyDescent="0.45">
      <c r="B840" s="939" t="s">
        <v>4707</v>
      </c>
      <c r="C840" s="1736" t="s">
        <v>4708</v>
      </c>
      <c r="D840" s="1737" t="s">
        <v>4709</v>
      </c>
      <c r="E840" s="1738">
        <f>q_ALPHA*((1-f_SO2_max_ALPHA)*S_O2/(K_SO2_ALPHA+S_O2)+f_SO2_max_ALPHA)</f>
        <v>1.7621951219512191E-3</v>
      </c>
      <c r="F840" s="940" t="s">
        <v>4254</v>
      </c>
      <c r="G840" s="941">
        <v>4</v>
      </c>
      <c r="H840" s="1664"/>
      <c r="I840" s="1595"/>
    </row>
    <row r="841" spans="2:9" s="1616" customFormat="1" ht="15.75" outlineLevel="1" x14ac:dyDescent="0.45">
      <c r="B841" s="939" t="s">
        <v>4710</v>
      </c>
      <c r="C841" s="1739" t="s">
        <v>4711</v>
      </c>
      <c r="D841" s="1737" t="s">
        <v>4712</v>
      </c>
      <c r="E841" s="1740">
        <f>1+c_oeffdamp_ALPHA*(S_ALPHA/S_ALPHA_sat)^p_owdamp_ALPHA</f>
        <v>1.005859375</v>
      </c>
      <c r="F841" s="940" t="s">
        <v>2017</v>
      </c>
      <c r="G841" s="941">
        <v>2</v>
      </c>
      <c r="H841" s="1664"/>
      <c r="I841" s="1595"/>
    </row>
    <row r="842" spans="2:9" s="1616" customFormat="1" ht="15.75" outlineLevel="1" x14ac:dyDescent="0.45">
      <c r="B842" s="939" t="s">
        <v>4713</v>
      </c>
      <c r="C842" s="1739" t="s">
        <v>4714</v>
      </c>
      <c r="D842" s="1737" t="s">
        <v>4715</v>
      </c>
      <c r="E842" s="1740">
        <f>EXP(s_lTSS_α_def*X_TSS/c_g_kg)</f>
        <v>0.83428117612899333</v>
      </c>
      <c r="F842" s="940" t="s">
        <v>2017</v>
      </c>
      <c r="G842" s="941">
        <v>2</v>
      </c>
      <c r="H842" s="1664" t="s">
        <v>4716</v>
      </c>
      <c r="I842" s="1595"/>
    </row>
    <row r="843" spans="2:9" s="1616" customFormat="1" ht="15.75" outlineLevel="1" x14ac:dyDescent="0.45">
      <c r="B843" s="939" t="s">
        <v>4713</v>
      </c>
      <c r="C843" s="1739" t="s">
        <v>4714</v>
      </c>
      <c r="D843" s="1737" t="s">
        <v>4717</v>
      </c>
      <c r="E843" s="1740" t="e">
        <f ca="1">EXP(s_lTSS_α_coarse*_xlfn.SINGLE(X_TSS)/c_g_kg)</f>
        <v>#NAME?</v>
      </c>
      <c r="F843" s="940" t="s">
        <v>2017</v>
      </c>
      <c r="G843" s="941">
        <v>2</v>
      </c>
      <c r="H843" s="1664" t="s">
        <v>4718</v>
      </c>
      <c r="I843" s="1595"/>
    </row>
    <row r="844" spans="2:9" s="1616" customFormat="1" ht="15.75" outlineLevel="1" x14ac:dyDescent="0.45">
      <c r="B844" s="939" t="s">
        <v>4713</v>
      </c>
      <c r="C844" s="1739" t="s">
        <v>4714</v>
      </c>
      <c r="D844" s="1737" t="s">
        <v>4717</v>
      </c>
      <c r="E844" s="1740" t="e">
        <f ca="1">EXP(s_lTSS_α_coarse*_xlfn.SINGLE(X_TSS)/c_g_kg)</f>
        <v>#NAME?</v>
      </c>
      <c r="F844" s="940" t="s">
        <v>2017</v>
      </c>
      <c r="G844" s="941">
        <v>2</v>
      </c>
      <c r="H844" s="1664" t="s">
        <v>4719</v>
      </c>
      <c r="I844" s="1595"/>
    </row>
    <row r="845" spans="2:9" s="1616" customFormat="1" ht="15.75" outlineLevel="1" x14ac:dyDescent="0.45">
      <c r="B845" s="939" t="s">
        <v>4713</v>
      </c>
      <c r="C845" s="1739" t="s">
        <v>4714</v>
      </c>
      <c r="D845" s="1737" t="s">
        <v>4720</v>
      </c>
      <c r="E845" s="1740" t="e">
        <f ca="1">c_oefflead_TSS_α_mech*(_xlfn.SINGLE(X_TSS)/c_g_kg)^2+c_oefflin_TSS_α_mech*_xlfn.SINGLE(X_TSS)/c_g_kg+c_onstTSS_α_mech</f>
        <v>#NAME?</v>
      </c>
      <c r="F845" s="940" t="s">
        <v>2017</v>
      </c>
      <c r="G845" s="941">
        <v>2</v>
      </c>
      <c r="H845" s="1664" t="s">
        <v>4721</v>
      </c>
      <c r="I845" s="1595"/>
    </row>
    <row r="846" spans="2:9" s="1616" customFormat="1" ht="16.149999999999999" outlineLevel="1" thickBot="1" x14ac:dyDescent="0.5">
      <c r="B846" s="942" t="s">
        <v>4722</v>
      </c>
      <c r="C846" s="1741" t="s">
        <v>4723</v>
      </c>
      <c r="D846" s="1742" t="s">
        <v>4724</v>
      </c>
      <c r="E846" s="1743">
        <f>S_ALPHA*c_orrTSS_α</f>
        <v>0.41714058806449666</v>
      </c>
      <c r="F846" s="943" t="s">
        <v>2017</v>
      </c>
      <c r="G846" s="944">
        <v>2</v>
      </c>
      <c r="H846" s="1665"/>
      <c r="I846" s="1596"/>
    </row>
    <row r="847" spans="2:9" ht="14.65" thickBot="1" x14ac:dyDescent="0.5"/>
    <row r="848" spans="2:9" ht="14.65" thickBot="1" x14ac:dyDescent="0.5">
      <c r="C848" s="156" t="s">
        <v>280</v>
      </c>
      <c r="D848" s="2087" t="s">
        <v>1215</v>
      </c>
      <c r="E848" s="2087"/>
    </row>
    <row r="849" spans="2:9" ht="14.65" thickBot="1" x14ac:dyDescent="0.5">
      <c r="B849" s="325" t="s">
        <v>0</v>
      </c>
      <c r="C849" s="264" t="s">
        <v>1</v>
      </c>
      <c r="D849" s="264" t="s">
        <v>5</v>
      </c>
      <c r="E849" s="264" t="s">
        <v>152</v>
      </c>
      <c r="F849" s="264" t="s">
        <v>2</v>
      </c>
      <c r="G849" s="264" t="s">
        <v>300</v>
      </c>
      <c r="H849" s="1614" t="s">
        <v>116</v>
      </c>
      <c r="I849" s="1331" t="s">
        <v>117</v>
      </c>
    </row>
    <row r="850" spans="2:9" ht="15.75" outlineLevel="1" x14ac:dyDescent="0.45">
      <c r="B850" s="1542" t="s">
        <v>1872</v>
      </c>
      <c r="C850" s="1319" t="s">
        <v>1216</v>
      </c>
      <c r="D850" s="1319" t="s">
        <v>3327</v>
      </c>
      <c r="E850" s="1744">
        <f>T__+T_STP_K</f>
        <v>293.14999999999998</v>
      </c>
      <c r="F850" s="1319" t="s">
        <v>475</v>
      </c>
      <c r="G850" s="1319">
        <v>1</v>
      </c>
      <c r="H850" s="1652"/>
      <c r="I850" s="1544"/>
    </row>
    <row r="851" spans="2:9" ht="16.149999999999999" outlineLevel="1" thickBot="1" x14ac:dyDescent="0.5">
      <c r="B851" s="252" t="s">
        <v>285</v>
      </c>
      <c r="C851" s="1597" t="s">
        <v>1217</v>
      </c>
      <c r="D851" s="1597" t="s">
        <v>3328</v>
      </c>
      <c r="E851" s="1745">
        <f>(H__-H_STP)/c_p_water</f>
        <v>20</v>
      </c>
      <c r="F851" s="1597" t="s">
        <v>1218</v>
      </c>
      <c r="G851" s="1597">
        <v>1</v>
      </c>
      <c r="H851" s="1746"/>
      <c r="I851" s="1523"/>
    </row>
  </sheetData>
  <phoneticPr fontId="31" type="noConversion"/>
  <conditionalFormatting sqref="B754:B755 E754:E755">
    <cfRule type="cellIs" dxfId="128" priority="59" stopIfTrue="1" operator="notEqual">
      <formula>INDIRECT("Dummy_for_Comparison5!"&amp;ADDRESS(ROW(),COLUMN()))</formula>
    </cfRule>
  </conditionalFormatting>
  <conditionalFormatting sqref="F754:H754">
    <cfRule type="cellIs" dxfId="127" priority="58" stopIfTrue="1" operator="notEqual">
      <formula>INDIRECT("Dummy_for_Comparison5!"&amp;ADDRESS(ROW(),COLUMN()))</formula>
    </cfRule>
  </conditionalFormatting>
  <conditionalFormatting sqref="D752">
    <cfRule type="cellIs" dxfId="126" priority="63" stopIfTrue="1" operator="notEqual">
      <formula>INDIRECT("Dummy_for_Comparison5!"&amp;ADDRESS(ROW(),COLUMN()))</formula>
    </cfRule>
  </conditionalFormatting>
  <conditionalFormatting sqref="L757">
    <cfRule type="cellIs" dxfId="125" priority="61" stopIfTrue="1" operator="notEqual">
      <formula>INDIRECT("Dummy_for_Comparison5!"&amp;ADDRESS(ROW(),COLUMN()))</formula>
    </cfRule>
  </conditionalFormatting>
  <conditionalFormatting sqref="B756 E756:H756">
    <cfRule type="cellIs" dxfId="124" priority="62" stopIfTrue="1" operator="notEqual">
      <formula>INDIRECT("Dummy_for_Comparison5!"&amp;ADDRESS(ROW(),COLUMN()))</formula>
    </cfRule>
  </conditionalFormatting>
  <conditionalFormatting sqref="H757">
    <cfRule type="cellIs" dxfId="123" priority="60" stopIfTrue="1" operator="notEqual">
      <formula>INDIRECT("Dummy_for_Comparison5!"&amp;ADDRESS(ROW(),COLUMN()))</formula>
    </cfRule>
  </conditionalFormatting>
  <conditionalFormatting sqref="H755">
    <cfRule type="cellIs" dxfId="122" priority="57" stopIfTrue="1" operator="notEqual">
      <formula>INDIRECT("Dummy_for_Comparison5!"&amp;ADDRESS(ROW(),COLUMN()))</formula>
    </cfRule>
  </conditionalFormatting>
  <conditionalFormatting sqref="D762">
    <cfRule type="cellIs" dxfId="121" priority="78" stopIfTrue="1" operator="notEqual">
      <formula>INDIRECT("Dummy_for_Comparison5!"&amp;ADDRESS(ROW(),COLUMN()))</formula>
    </cfRule>
  </conditionalFormatting>
  <conditionalFormatting sqref="H761:H762">
    <cfRule type="cellIs" dxfId="120" priority="77" stopIfTrue="1" operator="notEqual">
      <formula>INDIRECT("Dummy_for_Comparison5!"&amp;ADDRESS(ROW(),COLUMN()))</formula>
    </cfRule>
  </conditionalFormatting>
  <conditionalFormatting sqref="D763">
    <cfRule type="cellIs" dxfId="119" priority="76" stopIfTrue="1" operator="notEqual">
      <formula>INDIRECT("Dummy_for_Comparison5!"&amp;ADDRESS(ROW(),COLUMN()))</formula>
    </cfRule>
  </conditionalFormatting>
  <conditionalFormatting sqref="H763">
    <cfRule type="cellIs" dxfId="118" priority="75" stopIfTrue="1" operator="notEqual">
      <formula>INDIRECT("Dummy_for_Comparison5!"&amp;ADDRESS(ROW(),COLUMN()))</formula>
    </cfRule>
  </conditionalFormatting>
  <conditionalFormatting sqref="B749 E749:H749">
    <cfRule type="cellIs" dxfId="117" priority="49" stopIfTrue="1" operator="notEqual">
      <formula>INDIRECT("Dummy_for_Comparison5!"&amp;ADDRESS(ROW(),COLUMN()))</formula>
    </cfRule>
  </conditionalFormatting>
  <conditionalFormatting sqref="L750">
    <cfRule type="cellIs" dxfId="116" priority="48" stopIfTrue="1" operator="notEqual">
      <formula>INDIRECT("Dummy_for_Comparison5!"&amp;ADDRESS(ROW(),COLUMN()))</formula>
    </cfRule>
  </conditionalFormatting>
  <conditionalFormatting sqref="H750">
    <cfRule type="cellIs" dxfId="115" priority="47" stopIfTrue="1" operator="notEqual">
      <formula>INDIRECT("Dummy_for_Comparison5!"&amp;ADDRESS(ROW(),COLUMN()))</formula>
    </cfRule>
  </conditionalFormatting>
  <conditionalFormatting sqref="B747:B748 E747:E748">
    <cfRule type="cellIs" dxfId="114" priority="46" stopIfTrue="1" operator="notEqual">
      <formula>INDIRECT("Dummy_for_Comparison5!"&amp;ADDRESS(ROW(),COLUMN()))</formula>
    </cfRule>
  </conditionalFormatting>
  <conditionalFormatting sqref="F747:H747">
    <cfRule type="cellIs" dxfId="113" priority="45" stopIfTrue="1" operator="notEqual">
      <formula>INDIRECT("Dummy_for_Comparison5!"&amp;ADDRESS(ROW(),COLUMN()))</formula>
    </cfRule>
  </conditionalFormatting>
  <conditionalFormatting sqref="H748">
    <cfRule type="cellIs" dxfId="112" priority="44" stopIfTrue="1" operator="notEqual">
      <formula>INDIRECT("Dummy_for_Comparison5!"&amp;ADDRESS(ROW(),COLUMN()))</formula>
    </cfRule>
  </conditionalFormatting>
  <conditionalFormatting sqref="D761">
    <cfRule type="cellIs" dxfId="111" priority="43" stopIfTrue="1" operator="notEqual">
      <formula>INDIRECT("Dummy_for_Comparison5!"&amp;ADDRESS(ROW(),COLUMN()))</formula>
    </cfRule>
  </conditionalFormatting>
  <conditionalFormatting sqref="D745">
    <cfRule type="cellIs" dxfId="110" priority="56" stopIfTrue="1" operator="notEqual">
      <formula>INDIRECT("Dummy_for_Comparison5!"&amp;ADDRESS(ROW(),COLUMN()))</formula>
    </cfRule>
  </conditionalFormatting>
  <conditionalFormatting sqref="E742:H742 B742">
    <cfRule type="cellIs" dxfId="109" priority="18" stopIfTrue="1" operator="notEqual">
      <formula>INDIRECT("Dummy_for_Comparison5!"&amp;ADDRESS(ROW(),COLUMN()))</formula>
    </cfRule>
  </conditionalFormatting>
  <conditionalFormatting sqref="C740">
    <cfRule type="cellIs" dxfId="108" priority="19" stopIfTrue="1" operator="notEqual">
      <formula>INDIRECT("Dummy_for_Comparison5!"&amp;ADDRESS(ROW(),COLUMN()))</formula>
    </cfRule>
  </conditionalFormatting>
  <conditionalFormatting sqref="J742">
    <cfRule type="cellIs" dxfId="107" priority="17" stopIfTrue="1" operator="notEqual">
      <formula>INDIRECT("Dummy_for_Comparison5!"&amp;ADDRESS(ROW(),COLUMN()))</formula>
    </cfRule>
  </conditionalFormatting>
  <conditionalFormatting sqref="J737">
    <cfRule type="cellIs" dxfId="106" priority="16" stopIfTrue="1" operator="notEqual">
      <formula>INDIRECT("Dummy_for_Comparison5!"&amp;ADDRESS(ROW(),COLUMN()))</formula>
    </cfRule>
  </conditionalFormatting>
  <conditionalFormatting sqref="J738">
    <cfRule type="cellIs" dxfId="105" priority="15" stopIfTrue="1" operator="notEqual">
      <formula>INDIRECT("Dummy_for_Comparison5!"&amp;ADDRESS(ROW(),COLUMN()))</formula>
    </cfRule>
  </conditionalFormatting>
  <conditionalFormatting sqref="D720 B719:B720 I719:I720">
    <cfRule type="cellIs" dxfId="104" priority="34" stopIfTrue="1" operator="notEqual">
      <formula>INDIRECT("Dummy_for_Comparison5!"&amp;ADDRESS(ROW(),COLUMN()))</formula>
    </cfRule>
  </conditionalFormatting>
  <conditionalFormatting sqref="F719:G719">
    <cfRule type="cellIs" dxfId="103" priority="33" stopIfTrue="1" operator="notEqual">
      <formula>INDIRECT("Dummy_for_Comparison5!"&amp;ADDRESS(ROW(),COLUMN()))</formula>
    </cfRule>
  </conditionalFormatting>
  <conditionalFormatting sqref="C729">
    <cfRule type="cellIs" dxfId="102" priority="11" stopIfTrue="1" operator="notEqual">
      <formula>INDIRECT("Dummy_for_Comparison5!"&amp;ADDRESS(ROW(),COLUMN()))</formula>
    </cfRule>
  </conditionalFormatting>
  <conditionalFormatting sqref="D719 F720:G720">
    <cfRule type="cellIs" dxfId="101" priority="35" stopIfTrue="1" operator="notEqual">
      <formula>INDIRECT("Dummy_for_Comparison5!"&amp;ADDRESS(ROW(),COLUMN()))</formula>
    </cfRule>
  </conditionalFormatting>
  <conditionalFormatting sqref="F731:G731">
    <cfRule type="cellIs" dxfId="100" priority="10" stopIfTrue="1" operator="notEqual">
      <formula>INDIRECT("Dummy_for_Comparison5!"&amp;ADDRESS(ROW(),COLUMN()))</formula>
    </cfRule>
  </conditionalFormatting>
  <conditionalFormatting sqref="L738 E734:K734">
    <cfRule type="cellIs" dxfId="99" priority="32" stopIfTrue="1" operator="notEqual">
      <formula>INDIRECT("Dummy_for_Comparison5!"&amp;ADDRESS(ROW(),COLUMN()))</formula>
    </cfRule>
  </conditionalFormatting>
  <conditionalFormatting sqref="B735 E737:F737 D735:K735 B737 H737">
    <cfRule type="cellIs" dxfId="98" priority="31" stopIfTrue="1" operator="notEqual">
      <formula>INDIRECT("Dummy_for_Comparison5!"&amp;ADDRESS(ROW(),COLUMN()))</formula>
    </cfRule>
  </conditionalFormatting>
  <conditionalFormatting sqref="B734 C735">
    <cfRule type="cellIs" dxfId="97" priority="30" stopIfTrue="1" operator="notEqual">
      <formula>INDIRECT("Dummy_for_Comparison5!"&amp;ADDRESS(ROW(),COLUMN()))</formula>
    </cfRule>
  </conditionalFormatting>
  <conditionalFormatting sqref="D734">
    <cfRule type="cellIs" dxfId="96" priority="29" stopIfTrue="1" operator="notEqual">
      <formula>INDIRECT("Dummy_for_Comparison5!"&amp;ADDRESS(ROW(),COLUMN()))</formula>
    </cfRule>
  </conditionalFormatting>
  <conditionalFormatting sqref="H738">
    <cfRule type="cellIs" dxfId="95" priority="28" stopIfTrue="1" operator="notEqual">
      <formula>INDIRECT("Dummy_for_Comparison5!"&amp;ADDRESS(ROW(),COLUMN()))</formula>
    </cfRule>
  </conditionalFormatting>
  <conditionalFormatting sqref="C734">
    <cfRule type="cellIs" dxfId="94" priority="27" stopIfTrue="1" operator="notEqual">
      <formula>INDIRECT("Dummy_for_Comparison5!"&amp;ADDRESS(ROW(),COLUMN()))</formula>
    </cfRule>
  </conditionalFormatting>
  <conditionalFormatting sqref="E736:H736 B736">
    <cfRule type="cellIs" dxfId="93" priority="26" stopIfTrue="1" operator="notEqual">
      <formula>INDIRECT("Dummy_for_Comparison5!"&amp;ADDRESS(ROW(),COLUMN()))</formula>
    </cfRule>
  </conditionalFormatting>
  <conditionalFormatting sqref="J736">
    <cfRule type="cellIs" dxfId="92" priority="25" stopIfTrue="1" operator="notEqual">
      <formula>INDIRECT("Dummy_for_Comparison5!"&amp;ADDRESS(ROW(),COLUMN()))</formula>
    </cfRule>
  </conditionalFormatting>
  <conditionalFormatting sqref="E740:K740">
    <cfRule type="cellIs" dxfId="91" priority="24" stopIfTrue="1" operator="notEqual">
      <formula>INDIRECT("Dummy_for_Comparison5!"&amp;ADDRESS(ROW(),COLUMN()))</formula>
    </cfRule>
  </conditionalFormatting>
  <conditionalFormatting sqref="B741 E743:F743 D741:K741 B743 H743">
    <cfRule type="cellIs" dxfId="90" priority="23" stopIfTrue="1" operator="notEqual">
      <formula>INDIRECT("Dummy_for_Comparison5!"&amp;ADDRESS(ROW(),COLUMN()))</formula>
    </cfRule>
  </conditionalFormatting>
  <conditionalFormatting sqref="B740 C741">
    <cfRule type="cellIs" dxfId="89" priority="22" stopIfTrue="1" operator="notEqual">
      <formula>INDIRECT("Dummy_for_Comparison5!"&amp;ADDRESS(ROW(),COLUMN()))</formula>
    </cfRule>
  </conditionalFormatting>
  <conditionalFormatting sqref="D740">
    <cfRule type="cellIs" dxfId="88" priority="21" stopIfTrue="1" operator="notEqual">
      <formula>INDIRECT("Dummy_for_Comparison5!"&amp;ADDRESS(ROW(),COLUMN()))</formula>
    </cfRule>
  </conditionalFormatting>
  <conditionalFormatting sqref="J743">
    <cfRule type="cellIs" dxfId="87" priority="20" stopIfTrue="1" operator="notEqual">
      <formula>INDIRECT("Dummy_for_Comparison5!"&amp;ADDRESS(ROW(),COLUMN()))</formula>
    </cfRule>
  </conditionalFormatting>
  <conditionalFormatting sqref="D732 E729:K729 B729:B732 J731:K732">
    <cfRule type="cellIs" dxfId="86" priority="13" stopIfTrue="1" operator="notEqual">
      <formula>INDIRECT("Dummy_for_Comparison5!"&amp;ADDRESS(ROW(),COLUMN()))</formula>
    </cfRule>
  </conditionalFormatting>
  <conditionalFormatting sqref="D730:D731 F730:K730 H731 F732:H732">
    <cfRule type="cellIs" dxfId="85" priority="14" stopIfTrue="1" operator="notEqual">
      <formula>INDIRECT("Dummy_for_Comparison5!"&amp;ADDRESS(ROW(),COLUMN()))</formula>
    </cfRule>
  </conditionalFormatting>
  <conditionalFormatting sqref="D729">
    <cfRule type="cellIs" dxfId="84" priority="12" stopIfTrue="1" operator="notEqual">
      <formula>INDIRECT("Dummy_for_Comparison5!"&amp;ADDRESS(ROW(),COLUMN()))</formula>
    </cfRule>
  </conditionalFormatting>
  <conditionalFormatting sqref="H720">
    <cfRule type="cellIs" dxfId="83" priority="9" stopIfTrue="1" operator="notEqual">
      <formula>INDIRECT("Dummy_for_Comparison5!"&amp;ADDRESS(ROW(),COLUMN()))</formula>
    </cfRule>
  </conditionalFormatting>
  <conditionalFormatting sqref="D721 B721 I721">
    <cfRule type="cellIs" dxfId="82" priority="7" stopIfTrue="1" operator="notEqual">
      <formula>INDIRECT("Dummy_for_Comparison5!"&amp;ADDRESS(ROW(),COLUMN()))</formula>
    </cfRule>
  </conditionalFormatting>
  <conditionalFormatting sqref="F721:H721">
    <cfRule type="cellIs" dxfId="81" priority="8" stopIfTrue="1" operator="notEqual">
      <formula>INDIRECT("Dummy_for_Comparison5!"&amp;ADDRESS(ROW(),COLUMN()))</formula>
    </cfRule>
  </conditionalFormatting>
  <conditionalFormatting sqref="H719">
    <cfRule type="cellIs" dxfId="80" priority="6" stopIfTrue="1" operator="notEqual">
      <formula>INDIRECT("Dummy_for_Comparison5!"&amp;ADDRESS(ROW(),COLUMN()))</formula>
    </cfRule>
  </conditionalFormatting>
  <conditionalFormatting sqref="D726 B725:B726 I725:I726">
    <cfRule type="cellIs" dxfId="79" priority="4" stopIfTrue="1" operator="notEqual">
      <formula>INDIRECT("Dummy_for_Comparison5!"&amp;ADDRESS(ROW(),COLUMN()))</formula>
    </cfRule>
  </conditionalFormatting>
  <conditionalFormatting sqref="D725 H725 F726:H726">
    <cfRule type="cellIs" dxfId="78" priority="5" stopIfTrue="1" operator="notEqual">
      <formula>INDIRECT("Dummy_for_Comparison5!"&amp;ADDRESS(ROW(),COLUMN()))</formula>
    </cfRule>
  </conditionalFormatting>
  <conditionalFormatting sqref="F725:G725">
    <cfRule type="cellIs" dxfId="77" priority="3" stopIfTrue="1" operator="notEqual">
      <formula>INDIRECT("Dummy_for_Comparison5!"&amp;ADDRESS(ROW(),COLUMN()))</formula>
    </cfRule>
  </conditionalFormatting>
  <conditionalFormatting sqref="D727 B727 I727">
    <cfRule type="cellIs" dxfId="76" priority="1" stopIfTrue="1" operator="notEqual">
      <formula>INDIRECT("Dummy_for_Comparison5!"&amp;ADDRESS(ROW(),COLUMN()))</formula>
    </cfRule>
  </conditionalFormatting>
  <conditionalFormatting sqref="F727:H727">
    <cfRule type="cellIs" dxfId="75" priority="2" stopIfTrue="1" operator="notEqual">
      <formula>INDIRECT("Dummy_for_Comparison5!"&amp;ADDRESS(ROW(),COLUMN()))</formula>
    </cfRule>
  </conditionalFormatting>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2:L517"/>
  <sheetViews>
    <sheetView showGridLines="0" topLeftCell="A286" zoomScaleNormal="100" zoomScalePageLayoutView="85" workbookViewId="0">
      <selection activeCell="B3" sqref="B3:D517"/>
    </sheetView>
  </sheetViews>
  <sheetFormatPr defaultColWidth="9.19921875" defaultRowHeight="14.25" outlineLevelRow="1" x14ac:dyDescent="0.45"/>
  <cols>
    <col min="1" max="1" width="9.19921875" style="2191"/>
    <col min="2" max="2" width="13.19921875" style="2191" customWidth="1"/>
    <col min="3" max="3" width="58.19921875" style="2191" bestFit="1" customWidth="1"/>
    <col min="4" max="4" width="12.19921875" style="2191" bestFit="1" customWidth="1"/>
    <col min="5" max="5" width="8.6640625" style="2191" bestFit="1" customWidth="1"/>
    <col min="6" max="6" width="10.19921875" style="2191" bestFit="1" customWidth="1"/>
    <col min="7" max="7" width="18" style="2191" bestFit="1" customWidth="1"/>
    <col min="8" max="8" width="8.19921875" style="2191" bestFit="1" customWidth="1"/>
    <col min="9" max="9" width="9.19921875" style="2191"/>
    <col min="10" max="10" width="76.6640625" style="2191" customWidth="1"/>
    <col min="11" max="11" width="9.19921875" style="2191"/>
    <col min="12" max="12" width="29.19921875" style="2191" bestFit="1" customWidth="1"/>
    <col min="13" max="16384" width="9.19921875" style="2191"/>
  </cols>
  <sheetData>
    <row r="2" spans="2:10" ht="14.65" thickBot="1" x14ac:dyDescent="0.5">
      <c r="C2" s="2250" t="s">
        <v>470</v>
      </c>
    </row>
    <row r="3" spans="2:10" ht="14.65" thickBot="1" x14ac:dyDescent="0.5">
      <c r="B3" s="2251" t="s">
        <v>0</v>
      </c>
      <c r="C3" s="2252" t="s">
        <v>1</v>
      </c>
      <c r="D3" s="2253" t="s">
        <v>152</v>
      </c>
      <c r="E3" s="2253" t="s">
        <v>471</v>
      </c>
      <c r="F3" s="2253" t="s">
        <v>472</v>
      </c>
      <c r="G3" s="2253" t="s">
        <v>2</v>
      </c>
      <c r="H3" s="2253" t="s">
        <v>300</v>
      </c>
      <c r="I3" s="2253" t="s">
        <v>116</v>
      </c>
      <c r="J3" s="2254" t="s">
        <v>117</v>
      </c>
    </row>
    <row r="4" spans="2:10" ht="15.75" x14ac:dyDescent="0.45">
      <c r="B4" s="2187" t="s">
        <v>1004</v>
      </c>
      <c r="C4" s="2188" t="s">
        <v>473</v>
      </c>
      <c r="D4" s="2188">
        <v>1.2059812053432154E-3</v>
      </c>
      <c r="E4" s="2190"/>
      <c r="F4" s="2190"/>
      <c r="G4" s="2188" t="s">
        <v>445</v>
      </c>
      <c r="H4" s="2192"/>
      <c r="I4" s="2192"/>
      <c r="J4" s="2188" t="s">
        <v>4729</v>
      </c>
    </row>
    <row r="5" spans="2:10" ht="15.75" x14ac:dyDescent="0.45">
      <c r="B5" s="2187" t="s">
        <v>1005</v>
      </c>
      <c r="C5" s="2188" t="s">
        <v>474</v>
      </c>
      <c r="D5" s="2188">
        <v>1842.5346589768687</v>
      </c>
      <c r="E5" s="2190"/>
      <c r="F5" s="2190"/>
      <c r="G5" s="2188" t="s">
        <v>475</v>
      </c>
      <c r="H5" s="2192"/>
      <c r="I5" s="2192"/>
      <c r="J5" s="2188" t="s">
        <v>4729</v>
      </c>
    </row>
    <row r="6" spans="2:10" ht="15.75" x14ac:dyDescent="0.45">
      <c r="B6" s="2187" t="s">
        <v>1006</v>
      </c>
      <c r="C6" s="2188" t="s">
        <v>476</v>
      </c>
      <c r="D6" s="2188">
        <v>3.5000000000000003E-2</v>
      </c>
      <c r="E6" s="2190"/>
      <c r="F6" s="2190"/>
      <c r="G6" s="2188" t="s">
        <v>445</v>
      </c>
      <c r="H6" s="2192"/>
      <c r="I6" s="2192"/>
      <c r="J6" s="2188" t="s">
        <v>911</v>
      </c>
    </row>
    <row r="7" spans="2:10" ht="15.75" x14ac:dyDescent="0.45">
      <c r="B7" s="2187" t="s">
        <v>1007</v>
      </c>
      <c r="C7" s="2188" t="s">
        <v>4730</v>
      </c>
      <c r="D7" s="2188">
        <v>2400</v>
      </c>
      <c r="E7" s="2190"/>
      <c r="F7" s="2190"/>
      <c r="G7" s="2188" t="s">
        <v>475</v>
      </c>
      <c r="H7" s="2192"/>
      <c r="I7" s="2192"/>
      <c r="J7" s="2188" t="s">
        <v>911</v>
      </c>
    </row>
    <row r="8" spans="2:10" ht="15.75" x14ac:dyDescent="0.45">
      <c r="B8" s="2187" t="s">
        <v>1008</v>
      </c>
      <c r="C8" s="2188" t="s">
        <v>478</v>
      </c>
      <c r="D8" s="2188">
        <v>1.9E-3</v>
      </c>
      <c r="E8" s="2190"/>
      <c r="F8" s="2190"/>
      <c r="G8" s="2188" t="s">
        <v>445</v>
      </c>
      <c r="H8" s="2192"/>
      <c r="I8" s="2192"/>
      <c r="J8" s="2188" t="s">
        <v>912</v>
      </c>
    </row>
    <row r="9" spans="2:10" ht="15.75" x14ac:dyDescent="0.45">
      <c r="B9" s="2187" t="s">
        <v>1009</v>
      </c>
      <c r="C9" s="2188" t="s">
        <v>479</v>
      </c>
      <c r="D9" s="2188">
        <v>1400</v>
      </c>
      <c r="E9" s="2190"/>
      <c r="F9" s="2190"/>
      <c r="G9" s="2188" t="s">
        <v>475</v>
      </c>
      <c r="H9" s="2192"/>
      <c r="I9" s="2192"/>
      <c r="J9" s="2188" t="s">
        <v>912</v>
      </c>
    </row>
    <row r="10" spans="2:10" ht="15.75" x14ac:dyDescent="0.45">
      <c r="B10" s="2187" t="s">
        <v>1010</v>
      </c>
      <c r="C10" s="2188" t="s">
        <v>480</v>
      </c>
      <c r="D10" s="2188">
        <v>2.5000000000000001E-2</v>
      </c>
      <c r="E10" s="2190"/>
      <c r="F10" s="2190"/>
      <c r="G10" s="2188" t="s">
        <v>445</v>
      </c>
      <c r="H10" s="2192"/>
      <c r="I10" s="2192"/>
      <c r="J10" s="2188" t="s">
        <v>913</v>
      </c>
    </row>
    <row r="11" spans="2:10" ht="15.75" x14ac:dyDescent="0.45">
      <c r="B11" s="2187" t="s">
        <v>1011</v>
      </c>
      <c r="C11" s="2188" t="s">
        <v>477</v>
      </c>
      <c r="D11" s="2188">
        <v>2600</v>
      </c>
      <c r="E11" s="2190"/>
      <c r="F11" s="2190"/>
      <c r="G11" s="2188" t="s">
        <v>475</v>
      </c>
      <c r="H11" s="2192"/>
      <c r="I11" s="2192"/>
      <c r="J11" s="2188" t="s">
        <v>913</v>
      </c>
    </row>
    <row r="12" spans="2:10" ht="15.75" x14ac:dyDescent="0.45">
      <c r="B12" s="2187" t="s">
        <v>1012</v>
      </c>
      <c r="C12" s="2188" t="s">
        <v>481</v>
      </c>
      <c r="D12" s="2188">
        <v>6.4999999999999997E-4</v>
      </c>
      <c r="E12" s="2190"/>
      <c r="F12" s="2190"/>
      <c r="G12" s="2188" t="s">
        <v>445</v>
      </c>
      <c r="H12" s="2192"/>
      <c r="I12" s="2192"/>
      <c r="J12" s="2188" t="s">
        <v>914</v>
      </c>
    </row>
    <row r="13" spans="2:10" ht="15.75" x14ac:dyDescent="0.45">
      <c r="B13" s="2187" t="s">
        <v>1013</v>
      </c>
      <c r="C13" s="2188" t="s">
        <v>482</v>
      </c>
      <c r="D13" s="2188">
        <v>1300</v>
      </c>
      <c r="E13" s="2190"/>
      <c r="F13" s="2190"/>
      <c r="G13" s="2188" t="s">
        <v>475</v>
      </c>
      <c r="H13" s="2192"/>
      <c r="I13" s="2192"/>
      <c r="J13" s="2188" t="s">
        <v>914</v>
      </c>
    </row>
    <row r="14" spans="2:10" ht="15.75" x14ac:dyDescent="0.45">
      <c r="B14" s="2187" t="s">
        <v>1014</v>
      </c>
      <c r="C14" s="2188" t="s">
        <v>483</v>
      </c>
      <c r="D14" s="2188">
        <v>7.7999999999999999E-4</v>
      </c>
      <c r="E14" s="2190"/>
      <c r="F14" s="2190"/>
      <c r="G14" s="2188" t="s">
        <v>445</v>
      </c>
      <c r="H14" s="2192"/>
      <c r="I14" s="2192"/>
      <c r="J14" s="2188" t="s">
        <v>1197</v>
      </c>
    </row>
    <row r="15" spans="2:10" ht="15.75" x14ac:dyDescent="0.45">
      <c r="B15" s="2187" t="s">
        <v>1015</v>
      </c>
      <c r="C15" s="2188" t="s">
        <v>484</v>
      </c>
      <c r="D15" s="2188">
        <v>500</v>
      </c>
      <c r="E15" s="2190"/>
      <c r="F15" s="2190"/>
      <c r="G15" s="2188" t="s">
        <v>475</v>
      </c>
      <c r="H15" s="2192"/>
      <c r="I15" s="2192"/>
      <c r="J15" s="2188" t="s">
        <v>1197</v>
      </c>
    </row>
    <row r="16" spans="2:10" ht="15.75" x14ac:dyDescent="0.45">
      <c r="B16" s="2187" t="s">
        <v>1016</v>
      </c>
      <c r="C16" s="2188" t="s">
        <v>446</v>
      </c>
      <c r="D16" s="2188">
        <v>1.4E-3</v>
      </c>
      <c r="E16" s="2190"/>
      <c r="F16" s="2190"/>
      <c r="G16" s="2188" t="s">
        <v>445</v>
      </c>
      <c r="H16" s="2192"/>
      <c r="I16" s="2192"/>
      <c r="J16" s="2188" t="s">
        <v>1198</v>
      </c>
    </row>
    <row r="17" spans="2:12" ht="15.75" x14ac:dyDescent="0.45">
      <c r="B17" s="2187" t="s">
        <v>1017</v>
      </c>
      <c r="C17" s="2188" t="s">
        <v>485</v>
      </c>
      <c r="D17" s="2188">
        <v>1600</v>
      </c>
      <c r="E17" s="2190"/>
      <c r="F17" s="2190"/>
      <c r="G17" s="2188" t="s">
        <v>475</v>
      </c>
      <c r="H17" s="2192"/>
      <c r="I17" s="2192"/>
      <c r="J17" s="2188" t="s">
        <v>1198</v>
      </c>
    </row>
    <row r="18" spans="2:12" ht="15.75" x14ac:dyDescent="0.45">
      <c r="B18" s="2187" t="s">
        <v>1199</v>
      </c>
      <c r="C18" s="2188" t="s">
        <v>1200</v>
      </c>
      <c r="D18" s="2188">
        <v>61</v>
      </c>
      <c r="E18" s="2190"/>
      <c r="F18" s="2190"/>
      <c r="G18" s="2188" t="s">
        <v>445</v>
      </c>
      <c r="H18" s="2192"/>
      <c r="I18" s="2192"/>
      <c r="J18" s="2188" t="s">
        <v>1201</v>
      </c>
    </row>
    <row r="19" spans="2:12" ht="15.75" x14ac:dyDescent="0.45">
      <c r="B19" s="2187" t="s">
        <v>1202</v>
      </c>
      <c r="C19" s="2188" t="s">
        <v>1203</v>
      </c>
      <c r="D19" s="2188">
        <v>4100</v>
      </c>
      <c r="E19" s="2190"/>
      <c r="F19" s="2190"/>
      <c r="G19" s="2188" t="s">
        <v>475</v>
      </c>
      <c r="H19" s="2192"/>
      <c r="I19" s="2192"/>
      <c r="J19" s="2188" t="s">
        <v>1201</v>
      </c>
    </row>
    <row r="20" spans="2:12" ht="15.75" x14ac:dyDescent="0.45">
      <c r="B20" s="2187" t="s">
        <v>1154</v>
      </c>
      <c r="C20" s="2188" t="s">
        <v>1204</v>
      </c>
      <c r="D20" s="2188">
        <v>0.1</v>
      </c>
      <c r="E20" s="2190"/>
      <c r="F20" s="2190"/>
      <c r="G20" s="2188" t="s">
        <v>445</v>
      </c>
      <c r="H20" s="2192"/>
      <c r="I20" s="2192"/>
      <c r="J20" s="2188" t="s">
        <v>1205</v>
      </c>
    </row>
    <row r="21" spans="2:12" ht="15.75" x14ac:dyDescent="0.45">
      <c r="B21" s="2187" t="s">
        <v>1155</v>
      </c>
      <c r="C21" s="2188" t="s">
        <v>1156</v>
      </c>
      <c r="D21" s="2188">
        <v>2200</v>
      </c>
      <c r="E21" s="2190"/>
      <c r="F21" s="2190"/>
      <c r="G21" s="2188" t="s">
        <v>475</v>
      </c>
      <c r="H21" s="2192"/>
      <c r="I21" s="2192"/>
      <c r="J21" s="2188" t="s">
        <v>1205</v>
      </c>
    </row>
    <row r="23" spans="2:12" ht="14.65" thickBot="1" x14ac:dyDescent="0.5">
      <c r="C23" s="2250" t="s">
        <v>3508</v>
      </c>
    </row>
    <row r="24" spans="2:12" ht="14.65" thickBot="1" x14ac:dyDescent="0.5">
      <c r="B24" s="2251" t="s">
        <v>0</v>
      </c>
      <c r="C24" s="2252" t="s">
        <v>1</v>
      </c>
      <c r="D24" s="2253" t="s">
        <v>152</v>
      </c>
      <c r="E24" s="2253" t="s">
        <v>471</v>
      </c>
      <c r="F24" s="2253" t="s">
        <v>472</v>
      </c>
      <c r="G24" s="2253" t="s">
        <v>2</v>
      </c>
      <c r="H24" s="2253" t="s">
        <v>300</v>
      </c>
      <c r="I24" s="2253" t="s">
        <v>116</v>
      </c>
      <c r="J24" s="2254" t="s">
        <v>117</v>
      </c>
    </row>
    <row r="25" spans="2:12" ht="15.75" x14ac:dyDescent="0.45">
      <c r="B25" s="2187" t="s">
        <v>3241</v>
      </c>
      <c r="C25" s="2188" t="s">
        <v>455</v>
      </c>
      <c r="D25" s="2188">
        <v>2.0900000000000001E-4</v>
      </c>
      <c r="E25" s="2190"/>
      <c r="F25" s="2190"/>
      <c r="G25" s="2188" t="s">
        <v>486</v>
      </c>
      <c r="H25" s="2192">
        <v>2</v>
      </c>
      <c r="I25" s="2192"/>
      <c r="J25" s="2188"/>
    </row>
    <row r="26" spans="2:12" ht="15.75" x14ac:dyDescent="0.45">
      <c r="B26" s="2187" t="s">
        <v>3242</v>
      </c>
      <c r="C26" s="2188" t="s">
        <v>456</v>
      </c>
      <c r="D26" s="2188">
        <v>1.73E-4</v>
      </c>
      <c r="E26" s="2190"/>
      <c r="F26" s="2190"/>
      <c r="G26" s="2188" t="s">
        <v>486</v>
      </c>
      <c r="H26" s="2192">
        <v>2</v>
      </c>
      <c r="I26" s="2192"/>
      <c r="J26" s="2188"/>
    </row>
    <row r="27" spans="2:12" ht="15.75" x14ac:dyDescent="0.45">
      <c r="B27" s="2187" t="s">
        <v>3243</v>
      </c>
      <c r="C27" s="2188" t="s">
        <v>1065</v>
      </c>
      <c r="D27" s="2188">
        <f>0.0000693*216/25</f>
        <v>5.9875200000000003E-4</v>
      </c>
      <c r="E27" s="2190"/>
      <c r="F27" s="2190"/>
      <c r="G27" s="2188" t="s">
        <v>486</v>
      </c>
      <c r="H27" s="2192">
        <v>2</v>
      </c>
      <c r="I27" s="2192"/>
      <c r="J27" s="2188"/>
    </row>
    <row r="28" spans="2:12" ht="15.75" x14ac:dyDescent="0.45">
      <c r="B28" s="2187" t="s">
        <v>3244</v>
      </c>
      <c r="C28" s="2188" t="s">
        <v>457</v>
      </c>
      <c r="D28" s="2188">
        <v>1.65E-4</v>
      </c>
      <c r="E28" s="2190"/>
      <c r="F28" s="2190"/>
      <c r="G28" s="2188" t="s">
        <v>486</v>
      </c>
      <c r="H28" s="2192">
        <v>2</v>
      </c>
      <c r="I28" s="2192"/>
      <c r="J28" s="2188"/>
    </row>
    <row r="29" spans="2:12" ht="15.75" x14ac:dyDescent="0.45">
      <c r="B29" s="2187" t="s">
        <v>3245</v>
      </c>
      <c r="C29" s="2188" t="s">
        <v>458</v>
      </c>
      <c r="D29" s="2188">
        <v>4.4999999999999999E-4</v>
      </c>
      <c r="E29" s="2190"/>
      <c r="F29" s="2190"/>
      <c r="G29" s="2188" t="s">
        <v>487</v>
      </c>
      <c r="H29" s="2192">
        <v>2</v>
      </c>
      <c r="I29" s="2192"/>
      <c r="J29" s="2188"/>
    </row>
    <row r="30" spans="2:12" ht="15.75" x14ac:dyDescent="0.45">
      <c r="B30" s="2187" t="s">
        <v>3246</v>
      </c>
      <c r="C30" s="2188" t="s">
        <v>459</v>
      </c>
      <c r="D30" s="2188">
        <v>1.4899999999999999E-4</v>
      </c>
      <c r="E30" s="2190"/>
      <c r="F30" s="2190"/>
      <c r="G30" s="2188" t="s">
        <v>487</v>
      </c>
      <c r="H30" s="2192">
        <v>2</v>
      </c>
      <c r="I30" s="2192"/>
      <c r="J30" s="2188"/>
      <c r="L30" s="2191" t="s">
        <v>4731</v>
      </c>
    </row>
    <row r="31" spans="2:12" ht="15.75" x14ac:dyDescent="0.45">
      <c r="B31" s="2187" t="s">
        <v>3247</v>
      </c>
      <c r="C31" s="2188" t="s">
        <v>783</v>
      </c>
      <c r="D31" s="2188">
        <f>0.000211</f>
        <v>2.1100000000000001E-4</v>
      </c>
      <c r="E31" s="2190"/>
      <c r="F31" s="2190"/>
      <c r="G31" s="2188" t="s">
        <v>487</v>
      </c>
      <c r="H31" s="2192">
        <v>2</v>
      </c>
      <c r="I31" s="2192"/>
      <c r="J31" s="2188" t="s">
        <v>4732</v>
      </c>
      <c r="K31" s="2188">
        <f>0.0001909*1.024^(25-20)</f>
        <v>2.1493429221625696E-4</v>
      </c>
      <c r="L31" s="2188">
        <v>2.9499999999999999E-5</v>
      </c>
    </row>
    <row r="32" spans="2:12" ht="15.75" x14ac:dyDescent="0.45">
      <c r="B32" s="2187" t="s">
        <v>3248</v>
      </c>
      <c r="C32" s="2188" t="s">
        <v>1258</v>
      </c>
      <c r="D32" s="2188">
        <f>0.000245</f>
        <v>2.4499999999999999E-4</v>
      </c>
      <c r="E32" s="2190"/>
      <c r="F32" s="2190"/>
      <c r="G32" s="2188" t="s">
        <v>487</v>
      </c>
      <c r="H32" s="2192">
        <v>2</v>
      </c>
      <c r="I32" s="2192"/>
      <c r="J32" s="2188" t="s">
        <v>4732</v>
      </c>
      <c r="K32" s="2188">
        <f>0.00015293*1.024^(25-20)</f>
        <v>1.7218387275344247E-4</v>
      </c>
      <c r="L32" s="2188">
        <v>1.8E-5</v>
      </c>
    </row>
    <row r="33" spans="2:10" ht="15.75" x14ac:dyDescent="0.45">
      <c r="B33" s="2187" t="s">
        <v>3249</v>
      </c>
      <c r="C33" s="2188" t="s">
        <v>1206</v>
      </c>
      <c r="D33" s="2188">
        <v>1.22E-4</v>
      </c>
      <c r="E33" s="2190"/>
      <c r="F33" s="2190"/>
      <c r="G33" s="2188" t="s">
        <v>486</v>
      </c>
      <c r="H33" s="2192">
        <v>2</v>
      </c>
      <c r="I33" s="2192"/>
      <c r="J33" s="2188"/>
    </row>
    <row r="35" spans="2:10" ht="14.65" thickBot="1" x14ac:dyDescent="0.5">
      <c r="C35" s="2250" t="s">
        <v>488</v>
      </c>
    </row>
    <row r="36" spans="2:10" ht="14.65" thickBot="1" x14ac:dyDescent="0.5">
      <c r="B36" s="2251" t="s">
        <v>0</v>
      </c>
      <c r="C36" s="2252" t="s">
        <v>1</v>
      </c>
      <c r="D36" s="2253" t="s">
        <v>152</v>
      </c>
      <c r="E36" s="2253" t="s">
        <v>471</v>
      </c>
      <c r="F36" s="2253" t="s">
        <v>472</v>
      </c>
      <c r="G36" s="2253" t="s">
        <v>2</v>
      </c>
      <c r="H36" s="2253" t="s">
        <v>300</v>
      </c>
      <c r="I36" s="2253" t="s">
        <v>116</v>
      </c>
      <c r="J36" s="2254" t="s">
        <v>117</v>
      </c>
    </row>
    <row r="37" spans="2:10" ht="15.75" x14ac:dyDescent="0.45">
      <c r="B37" s="2187" t="s">
        <v>489</v>
      </c>
      <c r="C37" s="2188" t="s">
        <v>490</v>
      </c>
      <c r="D37" s="2188">
        <v>8.0713100000000004</v>
      </c>
      <c r="E37" s="2190"/>
      <c r="F37" s="2190"/>
      <c r="G37" s="2188" t="s">
        <v>283</v>
      </c>
      <c r="H37" s="2192"/>
      <c r="I37" s="2192"/>
      <c r="J37" s="2188"/>
    </row>
    <row r="38" spans="2:10" ht="15.75" x14ac:dyDescent="0.45">
      <c r="B38" s="2187" t="s">
        <v>491</v>
      </c>
      <c r="C38" s="2188" t="s">
        <v>492</v>
      </c>
      <c r="D38" s="2188">
        <v>1730.63</v>
      </c>
      <c r="E38" s="2190"/>
      <c r="F38" s="2190"/>
      <c r="G38" s="2188" t="s">
        <v>283</v>
      </c>
      <c r="H38" s="2192"/>
      <c r="I38" s="2192"/>
      <c r="J38" s="2188"/>
    </row>
    <row r="39" spans="2:10" ht="15.75" x14ac:dyDescent="0.45">
      <c r="B39" s="2187" t="s">
        <v>493</v>
      </c>
      <c r="C39" s="2188" t="s">
        <v>494</v>
      </c>
      <c r="D39" s="2188">
        <v>233.42599999999999</v>
      </c>
      <c r="E39" s="2190"/>
      <c r="F39" s="2190"/>
      <c r="G39" s="2188" t="s">
        <v>283</v>
      </c>
      <c r="H39" s="2192"/>
      <c r="I39" s="2192"/>
      <c r="J39" s="2188"/>
    </row>
    <row r="40" spans="2:10" ht="15.75" x14ac:dyDescent="0.45">
      <c r="B40" s="2187" t="s">
        <v>3250</v>
      </c>
      <c r="C40" s="2188" t="s">
        <v>3251</v>
      </c>
      <c r="D40" s="2188">
        <v>7.2800000000000004E-2</v>
      </c>
      <c r="E40" s="2190"/>
      <c r="F40" s="2190"/>
      <c r="G40" s="2188" t="s">
        <v>3252</v>
      </c>
      <c r="H40" s="2192"/>
      <c r="I40" s="2192"/>
      <c r="J40" s="2188"/>
    </row>
    <row r="41" spans="2:10" ht="15.75" x14ac:dyDescent="0.45">
      <c r="B41" s="2187" t="s">
        <v>495</v>
      </c>
      <c r="C41" s="2188" t="s">
        <v>3253</v>
      </c>
      <c r="D41" s="2188">
        <v>1000000</v>
      </c>
      <c r="E41" s="2190"/>
      <c r="F41" s="2190"/>
      <c r="G41" s="2188" t="s">
        <v>784</v>
      </c>
      <c r="H41" s="2192"/>
      <c r="I41" s="2192"/>
      <c r="J41" s="2188"/>
    </row>
    <row r="42" spans="2:10" ht="15.75" x14ac:dyDescent="0.45">
      <c r="B42" s="2187" t="s">
        <v>1585</v>
      </c>
      <c r="C42" s="2188" t="s">
        <v>3254</v>
      </c>
      <c r="D42" s="2188">
        <f>10^-3</f>
        <v>1E-3</v>
      </c>
      <c r="E42" s="2190"/>
      <c r="F42" s="2190"/>
      <c r="G42" s="2188" t="s">
        <v>1586</v>
      </c>
      <c r="H42" s="2192"/>
      <c r="I42" s="2192"/>
      <c r="J42" s="2188"/>
    </row>
    <row r="44" spans="2:10" ht="14.65" thickBot="1" x14ac:dyDescent="0.5">
      <c r="C44" s="2250" t="s">
        <v>496</v>
      </c>
    </row>
    <row r="45" spans="2:10" ht="14.65" thickBot="1" x14ac:dyDescent="0.5">
      <c r="B45" s="2251" t="s">
        <v>0</v>
      </c>
      <c r="C45" s="2252" t="s">
        <v>1</v>
      </c>
      <c r="D45" s="2253" t="s">
        <v>152</v>
      </c>
      <c r="E45" s="2253" t="s">
        <v>471</v>
      </c>
      <c r="F45" s="2253" t="s">
        <v>472</v>
      </c>
      <c r="G45" s="2253" t="s">
        <v>2</v>
      </c>
      <c r="H45" s="2253" t="s">
        <v>300</v>
      </c>
      <c r="I45" s="2253" t="s">
        <v>116</v>
      </c>
      <c r="J45" s="2254" t="s">
        <v>117</v>
      </c>
    </row>
    <row r="46" spans="2:10" ht="15.75" x14ac:dyDescent="0.45">
      <c r="B46" s="2187" t="s">
        <v>497</v>
      </c>
      <c r="C46" s="2188" t="s">
        <v>498</v>
      </c>
      <c r="D46" s="2188">
        <v>0.20949999999999999</v>
      </c>
      <c r="E46" s="2190">
        <v>0</v>
      </c>
      <c r="F46" s="2190">
        <v>1</v>
      </c>
      <c r="G46" s="2188" t="s">
        <v>499</v>
      </c>
      <c r="H46" s="2192"/>
      <c r="I46" s="2192"/>
      <c r="J46" s="2188"/>
    </row>
    <row r="47" spans="2:10" ht="15.75" x14ac:dyDescent="0.45">
      <c r="B47" s="2187" t="s">
        <v>500</v>
      </c>
      <c r="C47" s="2188" t="s">
        <v>501</v>
      </c>
      <c r="D47" s="2188">
        <v>0.78080000000000005</v>
      </c>
      <c r="E47" s="2190">
        <v>0</v>
      </c>
      <c r="F47" s="2190">
        <v>1</v>
      </c>
      <c r="G47" s="2188" t="s">
        <v>499</v>
      </c>
      <c r="H47" s="2192"/>
      <c r="I47" s="2192"/>
      <c r="J47" s="2188"/>
    </row>
    <row r="48" spans="2:10" ht="15.75" x14ac:dyDescent="0.45">
      <c r="B48" s="2187" t="s">
        <v>502</v>
      </c>
      <c r="C48" s="2188" t="s">
        <v>503</v>
      </c>
      <c r="D48" s="2188">
        <v>9.2999999999999992E-3</v>
      </c>
      <c r="E48" s="2190">
        <v>0</v>
      </c>
      <c r="F48" s="2190">
        <v>1</v>
      </c>
      <c r="G48" s="2188" t="s">
        <v>499</v>
      </c>
      <c r="H48" s="2192"/>
      <c r="I48" s="2192"/>
      <c r="J48" s="2188"/>
    </row>
    <row r="49" spans="2:12" ht="15.75" x14ac:dyDescent="0.45">
      <c r="B49" s="2187" t="s">
        <v>504</v>
      </c>
      <c r="C49" s="2188" t="s">
        <v>505</v>
      </c>
      <c r="D49" s="2188">
        <v>4.0000000000000002E-4</v>
      </c>
      <c r="E49" s="2190">
        <v>0</v>
      </c>
      <c r="F49" s="2190">
        <v>1</v>
      </c>
      <c r="G49" s="2188" t="s">
        <v>499</v>
      </c>
      <c r="H49" s="2192"/>
      <c r="I49" s="2192"/>
      <c r="J49" s="2188"/>
    </row>
    <row r="50" spans="2:12" ht="15.75" x14ac:dyDescent="0.45">
      <c r="B50" s="2187" t="s">
        <v>3255</v>
      </c>
      <c r="C50" s="2188" t="s">
        <v>3256</v>
      </c>
      <c r="D50" s="2188">
        <v>1200</v>
      </c>
      <c r="E50" s="2190"/>
      <c r="F50" s="2190"/>
      <c r="G50" s="2188" t="s">
        <v>784</v>
      </c>
      <c r="H50" s="2192"/>
      <c r="I50" s="2192"/>
      <c r="J50" s="2188"/>
    </row>
    <row r="51" spans="2:12" ht="15.75" x14ac:dyDescent="0.45">
      <c r="B51" s="2187" t="s">
        <v>3257</v>
      </c>
      <c r="C51" s="2188" t="s">
        <v>3258</v>
      </c>
      <c r="D51" s="2188">
        <v>101325</v>
      </c>
      <c r="E51" s="2190">
        <v>0</v>
      </c>
      <c r="F51" s="2190"/>
      <c r="G51" s="2188" t="s">
        <v>785</v>
      </c>
      <c r="H51" s="2192"/>
      <c r="I51" s="2192"/>
      <c r="J51" s="2188"/>
    </row>
    <row r="52" spans="2:12" ht="15.75" x14ac:dyDescent="0.45">
      <c r="B52" s="2187" t="s">
        <v>4733</v>
      </c>
      <c r="C52" s="2188" t="s">
        <v>3259</v>
      </c>
      <c r="D52" s="2188">
        <v>101325</v>
      </c>
      <c r="E52" s="2190">
        <v>0</v>
      </c>
      <c r="F52" s="2190"/>
      <c r="G52" s="2188" t="s">
        <v>785</v>
      </c>
      <c r="H52" s="2192"/>
      <c r="I52" s="2192"/>
      <c r="J52" s="2188"/>
    </row>
    <row r="54" spans="2:12" ht="14.65" thickBot="1" x14ac:dyDescent="0.5">
      <c r="C54" s="2250" t="s">
        <v>5175</v>
      </c>
    </row>
    <row r="55" spans="2:12" ht="14.65" thickBot="1" x14ac:dyDescent="0.5">
      <c r="B55" s="2251" t="s">
        <v>0</v>
      </c>
      <c r="C55" s="2252" t="s">
        <v>1</v>
      </c>
      <c r="D55" s="2253" t="s">
        <v>152</v>
      </c>
      <c r="E55" s="2253" t="s">
        <v>471</v>
      </c>
      <c r="F55" s="2253" t="s">
        <v>472</v>
      </c>
      <c r="G55" s="2253" t="s">
        <v>2</v>
      </c>
      <c r="H55" s="2253" t="s">
        <v>300</v>
      </c>
      <c r="I55" s="2253" t="s">
        <v>116</v>
      </c>
      <c r="J55" s="2254" t="s">
        <v>117</v>
      </c>
    </row>
    <row r="56" spans="2:12" ht="15.75" x14ac:dyDescent="0.45">
      <c r="B56" s="2187" t="s">
        <v>3260</v>
      </c>
      <c r="C56" s="2188" t="s">
        <v>3261</v>
      </c>
      <c r="D56" s="2188">
        <v>1</v>
      </c>
      <c r="E56" s="2190">
        <v>0</v>
      </c>
      <c r="F56" s="2190">
        <v>1</v>
      </c>
      <c r="G56" s="2188" t="s">
        <v>3262</v>
      </c>
      <c r="H56" s="2192"/>
      <c r="I56" s="2192"/>
      <c r="J56" s="2188" t="s">
        <v>3263</v>
      </c>
    </row>
    <row r="58" spans="2:12" ht="14.65" thickBot="1" x14ac:dyDescent="0.5">
      <c r="C58" s="2250" t="s">
        <v>506</v>
      </c>
    </row>
    <row r="59" spans="2:12" ht="14.65" thickBot="1" x14ac:dyDescent="0.5">
      <c r="B59" s="2251" t="s">
        <v>0</v>
      </c>
      <c r="C59" s="2252" t="s">
        <v>1</v>
      </c>
      <c r="D59" s="2253" t="s">
        <v>152</v>
      </c>
      <c r="E59" s="2253" t="s">
        <v>471</v>
      </c>
      <c r="F59" s="2253" t="s">
        <v>472</v>
      </c>
      <c r="G59" s="2253" t="s">
        <v>2</v>
      </c>
      <c r="H59" s="2253" t="s">
        <v>300</v>
      </c>
      <c r="I59" s="2253" t="s">
        <v>116</v>
      </c>
      <c r="J59" s="2254" t="s">
        <v>117</v>
      </c>
    </row>
    <row r="60" spans="2:12" ht="15.75" x14ac:dyDescent="0.45">
      <c r="B60" s="2187" t="s">
        <v>507</v>
      </c>
      <c r="C60" s="2188" t="s">
        <v>508</v>
      </c>
      <c r="D60" s="2188">
        <v>8.3144721500000003</v>
      </c>
      <c r="E60" s="2190"/>
      <c r="F60" s="2190"/>
      <c r="G60" s="2188" t="s">
        <v>509</v>
      </c>
      <c r="H60" s="2192"/>
      <c r="I60" s="2192"/>
      <c r="J60" s="2188"/>
    </row>
    <row r="61" spans="2:12" ht="15.75" x14ac:dyDescent="0.45">
      <c r="B61" s="2187" t="s">
        <v>1587</v>
      </c>
      <c r="C61" s="2188" t="s">
        <v>1588</v>
      </c>
      <c r="D61" s="2188">
        <v>287.10199999999998</v>
      </c>
      <c r="E61" s="2190"/>
      <c r="F61" s="2190"/>
      <c r="G61" s="2188" t="s">
        <v>1589</v>
      </c>
      <c r="H61" s="2192"/>
      <c r="I61" s="2192"/>
      <c r="J61" s="2188"/>
    </row>
    <row r="62" spans="2:12" ht="15.75" x14ac:dyDescent="0.45">
      <c r="B62" s="2187" t="s">
        <v>2438</v>
      </c>
      <c r="C62" s="2188" t="s">
        <v>2439</v>
      </c>
      <c r="D62" s="2188" t="e">
        <f>(T_STP_K*R__)/p_N</f>
        <v>#NAME?</v>
      </c>
      <c r="E62" s="2190"/>
      <c r="F62" s="2190"/>
      <c r="G62" s="2188" t="s">
        <v>2440</v>
      </c>
      <c r="H62" s="2192"/>
      <c r="I62" s="2192"/>
      <c r="J62" s="2188"/>
    </row>
    <row r="63" spans="2:12" x14ac:dyDescent="0.45">
      <c r="B63" s="2187" t="s">
        <v>1590</v>
      </c>
      <c r="C63" s="2188" t="s">
        <v>3509</v>
      </c>
      <c r="D63" s="2188">
        <v>1.4</v>
      </c>
      <c r="E63" s="2190"/>
      <c r="F63" s="2190"/>
      <c r="G63" s="2188" t="s">
        <v>283</v>
      </c>
      <c r="H63" s="2192"/>
      <c r="I63" s="2192"/>
      <c r="J63" s="2188"/>
      <c r="L63" s="2191">
        <v>2.24139952407846E-2</v>
      </c>
    </row>
    <row r="64" spans="2:12" ht="15.75" x14ac:dyDescent="0.45">
      <c r="B64" s="2187" t="s">
        <v>510</v>
      </c>
      <c r="C64" s="2188" t="s">
        <v>511</v>
      </c>
      <c r="D64" s="2188">
        <v>96485.339924</v>
      </c>
      <c r="E64" s="2190"/>
      <c r="F64" s="2190"/>
      <c r="G64" s="2188" t="s">
        <v>512</v>
      </c>
      <c r="H64" s="2192"/>
      <c r="I64" s="2192"/>
      <c r="J64" s="2188"/>
    </row>
    <row r="65" spans="2:10" ht="15.75" x14ac:dyDescent="0.45">
      <c r="B65" s="2187" t="s">
        <v>513</v>
      </c>
      <c r="C65" s="2188" t="s">
        <v>514</v>
      </c>
      <c r="D65" s="2188">
        <v>9.8066499999999994</v>
      </c>
      <c r="E65" s="2190"/>
      <c r="F65" s="2190"/>
      <c r="G65" s="2188" t="s">
        <v>515</v>
      </c>
      <c r="H65" s="2192"/>
      <c r="I65" s="2192"/>
      <c r="J65" s="2188"/>
    </row>
    <row r="66" spans="2:10" ht="15.75" x14ac:dyDescent="0.45">
      <c r="B66" s="2187" t="s">
        <v>915</v>
      </c>
      <c r="C66" s="2188" t="s">
        <v>916</v>
      </c>
      <c r="D66" s="2188">
        <v>4.1813000000000002</v>
      </c>
      <c r="E66" s="2190"/>
      <c r="F66" s="2190"/>
      <c r="G66" s="2188" t="s">
        <v>3423</v>
      </c>
      <c r="H66" s="2192"/>
      <c r="I66" s="2192"/>
      <c r="J66" s="2188"/>
    </row>
    <row r="67" spans="2:10" ht="15.75" x14ac:dyDescent="0.45">
      <c r="B67" s="2187" t="s">
        <v>3264</v>
      </c>
      <c r="C67" s="2188" t="s">
        <v>3265</v>
      </c>
      <c r="D67" s="2188">
        <v>298.14999999999998</v>
      </c>
      <c r="E67" s="2190"/>
      <c r="F67" s="2190"/>
      <c r="G67" s="2188" t="s">
        <v>475</v>
      </c>
      <c r="H67" s="2192"/>
      <c r="I67" s="2192"/>
      <c r="J67" s="2188" t="s">
        <v>3266</v>
      </c>
    </row>
    <row r="68" spans="2:10" ht="15.75" x14ac:dyDescent="0.45">
      <c r="B68" s="2187" t="s">
        <v>3267</v>
      </c>
      <c r="C68" s="2188" t="s">
        <v>3268</v>
      </c>
      <c r="D68" s="2188">
        <v>293.14999999999998</v>
      </c>
      <c r="E68" s="2190"/>
      <c r="F68" s="2190"/>
      <c r="G68" s="2188" t="s">
        <v>475</v>
      </c>
      <c r="H68" s="2192"/>
      <c r="I68" s="2192"/>
      <c r="J68" s="2188" t="s">
        <v>3269</v>
      </c>
    </row>
    <row r="69" spans="2:10" ht="15.75" x14ac:dyDescent="0.45">
      <c r="B69" s="2187" t="s">
        <v>3270</v>
      </c>
      <c r="C69" s="2188" t="s">
        <v>3271</v>
      </c>
      <c r="D69" s="2188">
        <v>273.14999999999998</v>
      </c>
      <c r="E69" s="2190"/>
      <c r="F69" s="2190"/>
      <c r="G69" s="2188" t="s">
        <v>475</v>
      </c>
      <c r="H69" s="2192"/>
      <c r="I69" s="2192"/>
      <c r="J69" s="2188" t="s">
        <v>3272</v>
      </c>
    </row>
    <row r="70" spans="2:10" ht="15.75" x14ac:dyDescent="0.45">
      <c r="B70" s="2187" t="s">
        <v>3273</v>
      </c>
      <c r="C70" s="2188" t="s">
        <v>1207</v>
      </c>
      <c r="D70" s="2188">
        <v>0</v>
      </c>
      <c r="E70" s="2190"/>
      <c r="F70" s="2190"/>
      <c r="G70" s="2188" t="s">
        <v>3083</v>
      </c>
      <c r="H70" s="2192"/>
      <c r="I70" s="2192"/>
      <c r="J70" s="2188" t="s">
        <v>1591</v>
      </c>
    </row>
    <row r="72" spans="2:10" ht="14.65" thickBot="1" x14ac:dyDescent="0.5">
      <c r="C72" s="2250" t="s">
        <v>516</v>
      </c>
    </row>
    <row r="73" spans="2:10" ht="14.65" thickBot="1" x14ac:dyDescent="0.5">
      <c r="B73" s="2251" t="s">
        <v>0</v>
      </c>
      <c r="C73" s="2252" t="s">
        <v>1</v>
      </c>
      <c r="D73" s="2253" t="s">
        <v>152</v>
      </c>
      <c r="E73" s="2253" t="s">
        <v>471</v>
      </c>
      <c r="F73" s="2253" t="s">
        <v>472</v>
      </c>
      <c r="G73" s="2253" t="s">
        <v>2</v>
      </c>
      <c r="H73" s="2253" t="s">
        <v>300</v>
      </c>
      <c r="I73" s="2253" t="s">
        <v>116</v>
      </c>
      <c r="J73" s="2254" t="s">
        <v>117</v>
      </c>
    </row>
    <row r="74" spans="2:10" x14ac:dyDescent="0.45">
      <c r="B74" s="2187" t="s">
        <v>517</v>
      </c>
      <c r="C74" s="2188" t="s">
        <v>518</v>
      </c>
      <c r="D74" s="2188">
        <v>3.1415926500000002</v>
      </c>
      <c r="E74" s="2190"/>
      <c r="F74" s="2190"/>
      <c r="G74" s="2188" t="s">
        <v>283</v>
      </c>
      <c r="H74" s="2192"/>
      <c r="I74" s="2192"/>
      <c r="J74" s="2188"/>
    </row>
    <row r="76" spans="2:10" ht="14.65" thickBot="1" x14ac:dyDescent="0.5">
      <c r="C76" s="2250" t="s">
        <v>519</v>
      </c>
    </row>
    <row r="77" spans="2:10" ht="14.65" thickBot="1" x14ac:dyDescent="0.5">
      <c r="B77" s="2251" t="s">
        <v>0</v>
      </c>
      <c r="C77" s="2252" t="s">
        <v>1</v>
      </c>
      <c r="D77" s="2253" t="s">
        <v>152</v>
      </c>
      <c r="E77" s="2253" t="s">
        <v>471</v>
      </c>
      <c r="F77" s="2253" t="s">
        <v>472</v>
      </c>
      <c r="G77" s="2253" t="s">
        <v>2</v>
      </c>
      <c r="H77" s="2253" t="s">
        <v>300</v>
      </c>
      <c r="I77" s="2253" t="s">
        <v>116</v>
      </c>
      <c r="J77" s="2254" t="s">
        <v>117</v>
      </c>
    </row>
    <row r="78" spans="2:10" ht="15.75" hidden="1" outlineLevel="1" x14ac:dyDescent="0.45">
      <c r="B78" s="2187" t="s">
        <v>369</v>
      </c>
      <c r="C78" s="2188" t="s">
        <v>272</v>
      </c>
      <c r="D78" s="2188">
        <v>1.0079400000000001</v>
      </c>
      <c r="E78" s="2190"/>
      <c r="F78" s="2190"/>
      <c r="G78" s="2188" t="s">
        <v>361</v>
      </c>
      <c r="H78" s="2192"/>
      <c r="I78" s="2192"/>
      <c r="J78" s="2188"/>
    </row>
    <row r="79" spans="2:10" ht="15.75" hidden="1" outlineLevel="1" x14ac:dyDescent="0.45">
      <c r="B79" s="2187" t="s">
        <v>520</v>
      </c>
      <c r="C79" s="2188" t="s">
        <v>521</v>
      </c>
      <c r="D79" s="2188">
        <v>4.0026020000000004</v>
      </c>
      <c r="E79" s="2190"/>
      <c r="F79" s="2190"/>
      <c r="G79" s="2188" t="s">
        <v>361</v>
      </c>
      <c r="H79" s="2192"/>
      <c r="I79" s="2192"/>
      <c r="J79" s="2188"/>
    </row>
    <row r="80" spans="2:10" ht="15.75" hidden="1" outlineLevel="1" x14ac:dyDescent="0.45">
      <c r="B80" s="2187" t="s">
        <v>522</v>
      </c>
      <c r="C80" s="2188" t="s">
        <v>523</v>
      </c>
      <c r="D80" s="2188">
        <v>6.9409999999999998</v>
      </c>
      <c r="E80" s="2190"/>
      <c r="F80" s="2190"/>
      <c r="G80" s="2188" t="s">
        <v>361</v>
      </c>
      <c r="H80" s="2192"/>
      <c r="I80" s="2192"/>
      <c r="J80" s="2188"/>
    </row>
    <row r="81" spans="2:10" ht="15.75" hidden="1" outlineLevel="1" x14ac:dyDescent="0.45">
      <c r="B81" s="2187" t="s">
        <v>524</v>
      </c>
      <c r="C81" s="2188" t="s">
        <v>525</v>
      </c>
      <c r="D81" s="2188">
        <v>9.0121819999999992</v>
      </c>
      <c r="E81" s="2190"/>
      <c r="F81" s="2190"/>
      <c r="G81" s="2188" t="s">
        <v>361</v>
      </c>
      <c r="H81" s="2192"/>
      <c r="I81" s="2192"/>
      <c r="J81" s="2188"/>
    </row>
    <row r="82" spans="2:10" ht="15.75" hidden="1" outlineLevel="1" x14ac:dyDescent="0.45">
      <c r="B82" s="2187" t="s">
        <v>526</v>
      </c>
      <c r="C82" s="2188" t="s">
        <v>527</v>
      </c>
      <c r="D82" s="2188">
        <v>10.811</v>
      </c>
      <c r="E82" s="2190"/>
      <c r="F82" s="2190"/>
      <c r="G82" s="2188" t="s">
        <v>361</v>
      </c>
      <c r="H82" s="2192"/>
      <c r="I82" s="2192"/>
      <c r="J82" s="2188"/>
    </row>
    <row r="83" spans="2:10" ht="15.75" hidden="1" outlineLevel="1" x14ac:dyDescent="0.45">
      <c r="B83" s="2187" t="s">
        <v>360</v>
      </c>
      <c r="C83" s="2188" t="s">
        <v>279</v>
      </c>
      <c r="D83" s="2188">
        <v>12.0107</v>
      </c>
      <c r="E83" s="2190"/>
      <c r="F83" s="2190"/>
      <c r="G83" s="2188" t="s">
        <v>361</v>
      </c>
      <c r="H83" s="2192"/>
      <c r="I83" s="2192"/>
      <c r="J83" s="2188"/>
    </row>
    <row r="84" spans="2:10" ht="15.75" hidden="1" outlineLevel="1" x14ac:dyDescent="0.45">
      <c r="B84" s="2187" t="s">
        <v>363</v>
      </c>
      <c r="C84" s="2188" t="s">
        <v>263</v>
      </c>
      <c r="D84" s="2188">
        <v>14.0067</v>
      </c>
      <c r="E84" s="2190"/>
      <c r="F84" s="2190"/>
      <c r="G84" s="2188" t="s">
        <v>361</v>
      </c>
      <c r="H84" s="2192"/>
      <c r="I84" s="2192"/>
      <c r="J84" s="2188"/>
    </row>
    <row r="85" spans="2:10" ht="15.75" hidden="1" outlineLevel="1" x14ac:dyDescent="0.45">
      <c r="B85" s="2187" t="s">
        <v>364</v>
      </c>
      <c r="C85" s="2188" t="s">
        <v>262</v>
      </c>
      <c r="D85" s="2188">
        <v>15.9994</v>
      </c>
      <c r="E85" s="2190"/>
      <c r="F85" s="2190"/>
      <c r="G85" s="2188" t="s">
        <v>361</v>
      </c>
      <c r="H85" s="2192"/>
      <c r="I85" s="2192"/>
      <c r="J85" s="2188"/>
    </row>
    <row r="86" spans="2:10" ht="15.75" hidden="1" outlineLevel="1" x14ac:dyDescent="0.45">
      <c r="B86" s="2187" t="s">
        <v>528</v>
      </c>
      <c r="C86" s="2188" t="s">
        <v>529</v>
      </c>
      <c r="D86" s="2188">
        <v>18.998403</v>
      </c>
      <c r="E86" s="2190"/>
      <c r="F86" s="2190"/>
      <c r="G86" s="2188" t="s">
        <v>361</v>
      </c>
      <c r="H86" s="2192"/>
      <c r="I86" s="2192"/>
      <c r="J86" s="2188"/>
    </row>
    <row r="87" spans="2:10" ht="15.75" hidden="1" outlineLevel="1" x14ac:dyDescent="0.45">
      <c r="B87" s="2187" t="s">
        <v>530</v>
      </c>
      <c r="C87" s="2188" t="s">
        <v>531</v>
      </c>
      <c r="D87" s="2188">
        <v>20.1797</v>
      </c>
      <c r="E87" s="2190"/>
      <c r="F87" s="2190"/>
      <c r="G87" s="2188" t="s">
        <v>361</v>
      </c>
      <c r="H87" s="2192"/>
      <c r="I87" s="2192"/>
      <c r="J87" s="2188"/>
    </row>
    <row r="88" spans="2:10" ht="15.75" hidden="1" outlineLevel="1" x14ac:dyDescent="0.45">
      <c r="B88" s="2187" t="s">
        <v>370</v>
      </c>
      <c r="C88" s="2188" t="s">
        <v>293</v>
      </c>
      <c r="D88" s="2188">
        <v>22.989768999999999</v>
      </c>
      <c r="E88" s="2190"/>
      <c r="F88" s="2190"/>
      <c r="G88" s="2188" t="s">
        <v>361</v>
      </c>
      <c r="H88" s="2192"/>
      <c r="I88" s="2192"/>
      <c r="J88" s="2188"/>
    </row>
    <row r="89" spans="2:10" ht="15.75" hidden="1" outlineLevel="1" x14ac:dyDescent="0.45">
      <c r="B89" s="2187" t="s">
        <v>532</v>
      </c>
      <c r="C89" s="2188" t="s">
        <v>533</v>
      </c>
      <c r="D89" s="2188">
        <v>24.305</v>
      </c>
      <c r="E89" s="2190"/>
      <c r="F89" s="2190"/>
      <c r="G89" s="2188" t="s">
        <v>361</v>
      </c>
      <c r="H89" s="2192"/>
      <c r="I89" s="2192"/>
      <c r="J89" s="2188"/>
    </row>
    <row r="90" spans="2:10" ht="15.75" hidden="1" outlineLevel="1" x14ac:dyDescent="0.45">
      <c r="B90" s="2187" t="s">
        <v>368</v>
      </c>
      <c r="C90" s="2188" t="s">
        <v>266</v>
      </c>
      <c r="D90" s="2188">
        <v>26.9815</v>
      </c>
      <c r="E90" s="2190"/>
      <c r="F90" s="2190"/>
      <c r="G90" s="2188" t="s">
        <v>361</v>
      </c>
      <c r="H90" s="2192"/>
      <c r="I90" s="2192"/>
      <c r="J90" s="2188"/>
    </row>
    <row r="91" spans="2:10" ht="15.75" hidden="1" outlineLevel="1" x14ac:dyDescent="0.45">
      <c r="B91" s="2187" t="s">
        <v>534</v>
      </c>
      <c r="C91" s="2188" t="s">
        <v>535</v>
      </c>
      <c r="D91" s="2188">
        <v>28.0855</v>
      </c>
      <c r="E91" s="2190"/>
      <c r="F91" s="2190"/>
      <c r="G91" s="2188" t="s">
        <v>361</v>
      </c>
      <c r="H91" s="2192"/>
      <c r="I91" s="2192"/>
      <c r="J91" s="2188"/>
    </row>
    <row r="92" spans="2:10" ht="15.75" hidden="1" outlineLevel="1" x14ac:dyDescent="0.45">
      <c r="B92" s="2187" t="s">
        <v>362</v>
      </c>
      <c r="C92" s="2188" t="s">
        <v>267</v>
      </c>
      <c r="D92" s="2188">
        <v>30.973762199999999</v>
      </c>
      <c r="E92" s="2190"/>
      <c r="F92" s="2190"/>
      <c r="G92" s="2188" t="s">
        <v>361</v>
      </c>
      <c r="H92" s="2192"/>
      <c r="I92" s="2192"/>
      <c r="J92" s="2188"/>
    </row>
    <row r="93" spans="2:10" ht="15.75" hidden="1" outlineLevel="1" x14ac:dyDescent="0.45">
      <c r="B93" s="2187" t="s">
        <v>536</v>
      </c>
      <c r="C93" s="2188" t="s">
        <v>537</v>
      </c>
      <c r="D93" s="2188">
        <v>32.064999999999998</v>
      </c>
      <c r="E93" s="2190"/>
      <c r="F93" s="2190"/>
      <c r="G93" s="2188" t="s">
        <v>361</v>
      </c>
      <c r="H93" s="2192"/>
      <c r="I93" s="2192"/>
      <c r="J93" s="2188"/>
    </row>
    <row r="94" spans="2:10" ht="15.75" hidden="1" outlineLevel="1" x14ac:dyDescent="0.45">
      <c r="B94" s="2187" t="s">
        <v>371</v>
      </c>
      <c r="C94" s="2188" t="s">
        <v>372</v>
      </c>
      <c r="D94" s="2188">
        <v>35.453000000000003</v>
      </c>
      <c r="E94" s="2190"/>
      <c r="F94" s="2190"/>
      <c r="G94" s="2188" t="s">
        <v>361</v>
      </c>
      <c r="H94" s="2192"/>
      <c r="I94" s="2192"/>
      <c r="J94" s="2188"/>
    </row>
    <row r="95" spans="2:10" ht="15.75" hidden="1" outlineLevel="1" x14ac:dyDescent="0.45">
      <c r="B95" s="2187" t="s">
        <v>538</v>
      </c>
      <c r="C95" s="2188" t="s">
        <v>539</v>
      </c>
      <c r="D95" s="2188">
        <v>39.948</v>
      </c>
      <c r="E95" s="2190"/>
      <c r="F95" s="2190"/>
      <c r="G95" s="2188" t="s">
        <v>361</v>
      </c>
      <c r="H95" s="2192"/>
      <c r="I95" s="2192"/>
      <c r="J95" s="2188"/>
    </row>
    <row r="96" spans="2:10" ht="15.75" hidden="1" outlineLevel="1" x14ac:dyDescent="0.45">
      <c r="B96" s="2187" t="s">
        <v>540</v>
      </c>
      <c r="C96" s="2188" t="s">
        <v>541</v>
      </c>
      <c r="D96" s="2188">
        <v>39.098300000000002</v>
      </c>
      <c r="E96" s="2190"/>
      <c r="F96" s="2190"/>
      <c r="G96" s="2188" t="s">
        <v>361</v>
      </c>
      <c r="H96" s="2192"/>
      <c r="I96" s="2192"/>
      <c r="J96" s="2188"/>
    </row>
    <row r="97" spans="2:10" ht="15.75" hidden="1" outlineLevel="1" x14ac:dyDescent="0.45">
      <c r="B97" s="2187" t="s">
        <v>365</v>
      </c>
      <c r="C97" s="2188" t="s">
        <v>366</v>
      </c>
      <c r="D97" s="2188">
        <v>40.078000000000003</v>
      </c>
      <c r="E97" s="2190"/>
      <c r="F97" s="2190"/>
      <c r="G97" s="2188" t="s">
        <v>361</v>
      </c>
      <c r="H97" s="2192"/>
      <c r="I97" s="2192"/>
      <c r="J97" s="2188"/>
    </row>
    <row r="98" spans="2:10" ht="15.75" hidden="1" outlineLevel="1" x14ac:dyDescent="0.45">
      <c r="B98" s="2187" t="s">
        <v>542</v>
      </c>
      <c r="C98" s="2188" t="s">
        <v>543</v>
      </c>
      <c r="D98" s="2188">
        <v>44.955911999999998</v>
      </c>
      <c r="E98" s="2190"/>
      <c r="F98" s="2190"/>
      <c r="G98" s="2188" t="s">
        <v>361</v>
      </c>
      <c r="H98" s="2192"/>
      <c r="I98" s="2192"/>
      <c r="J98" s="2188"/>
    </row>
    <row r="99" spans="2:10" ht="15.75" hidden="1" outlineLevel="1" x14ac:dyDescent="0.45">
      <c r="B99" s="2187" t="s">
        <v>544</v>
      </c>
      <c r="C99" s="2188" t="s">
        <v>545</v>
      </c>
      <c r="D99" s="2188">
        <v>47.866999999999997</v>
      </c>
      <c r="E99" s="2190"/>
      <c r="F99" s="2190"/>
      <c r="G99" s="2188" t="s">
        <v>361</v>
      </c>
      <c r="H99" s="2192"/>
      <c r="I99" s="2192"/>
      <c r="J99" s="2188"/>
    </row>
    <row r="100" spans="2:10" ht="15.75" hidden="1" outlineLevel="1" x14ac:dyDescent="0.45">
      <c r="B100" s="2187" t="s">
        <v>546</v>
      </c>
      <c r="C100" s="2188" t="s">
        <v>547</v>
      </c>
      <c r="D100" s="2188">
        <v>50.941499999999998</v>
      </c>
      <c r="E100" s="2190"/>
      <c r="F100" s="2190"/>
      <c r="G100" s="2188" t="s">
        <v>361</v>
      </c>
      <c r="H100" s="2192"/>
      <c r="I100" s="2192"/>
      <c r="J100" s="2188"/>
    </row>
    <row r="101" spans="2:10" ht="15.75" hidden="1" outlineLevel="1" x14ac:dyDescent="0.45">
      <c r="B101" s="2187" t="s">
        <v>548</v>
      </c>
      <c r="C101" s="2188" t="s">
        <v>549</v>
      </c>
      <c r="D101" s="2188">
        <v>51.996099999999998</v>
      </c>
      <c r="E101" s="2190"/>
      <c r="F101" s="2190"/>
      <c r="G101" s="2188" t="s">
        <v>361</v>
      </c>
      <c r="H101" s="2192"/>
      <c r="I101" s="2192"/>
      <c r="J101" s="2188"/>
    </row>
    <row r="102" spans="2:10" ht="15.75" hidden="1" outlineLevel="1" x14ac:dyDescent="0.45">
      <c r="B102" s="2187" t="s">
        <v>550</v>
      </c>
      <c r="C102" s="2188" t="s">
        <v>551</v>
      </c>
      <c r="D102" s="2188">
        <v>54.938045000000002</v>
      </c>
      <c r="E102" s="2190"/>
      <c r="F102" s="2190"/>
      <c r="G102" s="2188" t="s">
        <v>361</v>
      </c>
      <c r="H102" s="2192"/>
      <c r="I102" s="2192"/>
      <c r="J102" s="2188"/>
    </row>
    <row r="103" spans="2:10" ht="15.75" hidden="1" outlineLevel="1" x14ac:dyDescent="0.45">
      <c r="B103" s="2187" t="s">
        <v>367</v>
      </c>
      <c r="C103" s="2188" t="s">
        <v>265</v>
      </c>
      <c r="D103" s="2188">
        <v>55.844999999999999</v>
      </c>
      <c r="E103" s="2190"/>
      <c r="F103" s="2190"/>
      <c r="G103" s="2188" t="s">
        <v>361</v>
      </c>
      <c r="H103" s="2192"/>
      <c r="I103" s="2192"/>
      <c r="J103" s="2188"/>
    </row>
    <row r="104" spans="2:10" ht="15.75" hidden="1" outlineLevel="1" x14ac:dyDescent="0.45">
      <c r="B104" s="2187" t="s">
        <v>552</v>
      </c>
      <c r="C104" s="2188" t="s">
        <v>553</v>
      </c>
      <c r="D104" s="2188">
        <v>58.933194999999998</v>
      </c>
      <c r="E104" s="2190"/>
      <c r="F104" s="2190"/>
      <c r="G104" s="2188" t="s">
        <v>361</v>
      </c>
      <c r="H104" s="2192"/>
      <c r="I104" s="2192"/>
      <c r="J104" s="2188"/>
    </row>
    <row r="105" spans="2:10" ht="15.75" hidden="1" outlineLevel="1" x14ac:dyDescent="0.45">
      <c r="B105" s="2187" t="s">
        <v>554</v>
      </c>
      <c r="C105" s="2188" t="s">
        <v>555</v>
      </c>
      <c r="D105" s="2188">
        <v>58.693399999999997</v>
      </c>
      <c r="E105" s="2190"/>
      <c r="F105" s="2190"/>
      <c r="G105" s="2188" t="s">
        <v>361</v>
      </c>
      <c r="H105" s="2192"/>
      <c r="I105" s="2192"/>
      <c r="J105" s="2188"/>
    </row>
    <row r="106" spans="2:10" ht="15.75" hidden="1" outlineLevel="1" x14ac:dyDescent="0.45">
      <c r="B106" s="2187" t="s">
        <v>556</v>
      </c>
      <c r="C106" s="2188" t="s">
        <v>557</v>
      </c>
      <c r="D106" s="2188">
        <v>63.545999999999999</v>
      </c>
      <c r="E106" s="2190"/>
      <c r="F106" s="2190"/>
      <c r="G106" s="2188" t="s">
        <v>361</v>
      </c>
      <c r="H106" s="2192"/>
      <c r="I106" s="2192"/>
      <c r="J106" s="2188"/>
    </row>
    <row r="107" spans="2:10" ht="15.75" hidden="1" outlineLevel="1" x14ac:dyDescent="0.45">
      <c r="B107" s="2187" t="s">
        <v>558</v>
      </c>
      <c r="C107" s="2188" t="s">
        <v>559</v>
      </c>
      <c r="D107" s="2188">
        <v>65.38</v>
      </c>
      <c r="E107" s="2190"/>
      <c r="F107" s="2190"/>
      <c r="G107" s="2188" t="s">
        <v>361</v>
      </c>
      <c r="H107" s="2192"/>
      <c r="I107" s="2192"/>
      <c r="J107" s="2188"/>
    </row>
    <row r="108" spans="2:10" ht="15.75" hidden="1" outlineLevel="1" x14ac:dyDescent="0.45">
      <c r="B108" s="2187" t="s">
        <v>560</v>
      </c>
      <c r="C108" s="2188" t="s">
        <v>561</v>
      </c>
      <c r="D108" s="2188">
        <v>69.722999999999999</v>
      </c>
      <c r="E108" s="2190"/>
      <c r="F108" s="2190"/>
      <c r="G108" s="2188" t="s">
        <v>361</v>
      </c>
      <c r="H108" s="2192"/>
      <c r="I108" s="2192"/>
      <c r="J108" s="2188"/>
    </row>
    <row r="109" spans="2:10" ht="15.75" hidden="1" outlineLevel="1" x14ac:dyDescent="0.45">
      <c r="B109" s="2187" t="s">
        <v>562</v>
      </c>
      <c r="C109" s="2188" t="s">
        <v>563</v>
      </c>
      <c r="D109" s="2188">
        <v>72.64</v>
      </c>
      <c r="E109" s="2190"/>
      <c r="F109" s="2190"/>
      <c r="G109" s="2188" t="s">
        <v>361</v>
      </c>
      <c r="H109" s="2192"/>
      <c r="I109" s="2192"/>
      <c r="J109" s="2188"/>
    </row>
    <row r="110" spans="2:10" ht="15.75" hidden="1" outlineLevel="1" x14ac:dyDescent="0.45">
      <c r="B110" s="2187" t="s">
        <v>564</v>
      </c>
      <c r="C110" s="2188" t="s">
        <v>565</v>
      </c>
      <c r="D110" s="2188">
        <v>74.921599999999998</v>
      </c>
      <c r="E110" s="2190"/>
      <c r="F110" s="2190"/>
      <c r="G110" s="2188" t="s">
        <v>361</v>
      </c>
      <c r="H110" s="2192"/>
      <c r="I110" s="2192"/>
      <c r="J110" s="2188"/>
    </row>
    <row r="111" spans="2:10" ht="15.75" hidden="1" outlineLevel="1" x14ac:dyDescent="0.45">
      <c r="B111" s="2187" t="s">
        <v>566</v>
      </c>
      <c r="C111" s="2188" t="s">
        <v>567</v>
      </c>
      <c r="D111" s="2188">
        <v>78.959999999999994</v>
      </c>
      <c r="E111" s="2190"/>
      <c r="F111" s="2190"/>
      <c r="G111" s="2188" t="s">
        <v>361</v>
      </c>
      <c r="H111" s="2192"/>
      <c r="I111" s="2192"/>
      <c r="J111" s="2188"/>
    </row>
    <row r="112" spans="2:10" ht="15.75" hidden="1" outlineLevel="1" x14ac:dyDescent="0.45">
      <c r="B112" s="2187" t="s">
        <v>568</v>
      </c>
      <c r="C112" s="2188" t="s">
        <v>569</v>
      </c>
      <c r="D112" s="2188">
        <v>79.903999999999996</v>
      </c>
      <c r="E112" s="2190"/>
      <c r="F112" s="2190"/>
      <c r="G112" s="2188" t="s">
        <v>361</v>
      </c>
      <c r="H112" s="2192"/>
      <c r="I112" s="2192"/>
      <c r="J112" s="2188"/>
    </row>
    <row r="113" spans="2:10" ht="15.75" hidden="1" outlineLevel="1" x14ac:dyDescent="0.45">
      <c r="B113" s="2187" t="s">
        <v>570</v>
      </c>
      <c r="C113" s="2188" t="s">
        <v>571</v>
      </c>
      <c r="D113" s="2188">
        <v>83.798000000000002</v>
      </c>
      <c r="E113" s="2190"/>
      <c r="F113" s="2190"/>
      <c r="G113" s="2188" t="s">
        <v>361</v>
      </c>
      <c r="H113" s="2192"/>
      <c r="I113" s="2192"/>
      <c r="J113" s="2188"/>
    </row>
    <row r="114" spans="2:10" ht="15.75" hidden="1" outlineLevel="1" x14ac:dyDescent="0.45">
      <c r="B114" s="2187" t="s">
        <v>572</v>
      </c>
      <c r="C114" s="2188" t="s">
        <v>573</v>
      </c>
      <c r="D114" s="2188">
        <v>85.467799999999997</v>
      </c>
      <c r="E114" s="2190"/>
      <c r="F114" s="2190"/>
      <c r="G114" s="2188" t="s">
        <v>361</v>
      </c>
      <c r="H114" s="2192"/>
      <c r="I114" s="2192"/>
      <c r="J114" s="2188"/>
    </row>
    <row r="115" spans="2:10" ht="15.75" hidden="1" outlineLevel="1" x14ac:dyDescent="0.45">
      <c r="B115" s="2187" t="s">
        <v>574</v>
      </c>
      <c r="C115" s="2188" t="s">
        <v>575</v>
      </c>
      <c r="D115" s="2188">
        <v>87.62</v>
      </c>
      <c r="E115" s="2190"/>
      <c r="F115" s="2190"/>
      <c r="G115" s="2188" t="s">
        <v>361</v>
      </c>
      <c r="H115" s="2192"/>
      <c r="I115" s="2192"/>
      <c r="J115" s="2188"/>
    </row>
    <row r="116" spans="2:10" ht="15.75" hidden="1" outlineLevel="1" x14ac:dyDescent="0.45">
      <c r="B116" s="2187" t="s">
        <v>576</v>
      </c>
      <c r="C116" s="2188" t="s">
        <v>577</v>
      </c>
      <c r="D116" s="2188">
        <v>88.905850000000001</v>
      </c>
      <c r="E116" s="2190"/>
      <c r="F116" s="2190"/>
      <c r="G116" s="2188" t="s">
        <v>361</v>
      </c>
      <c r="H116" s="2192"/>
      <c r="I116" s="2192"/>
      <c r="J116" s="2188"/>
    </row>
    <row r="117" spans="2:10" ht="15.75" hidden="1" outlineLevel="1" x14ac:dyDescent="0.45">
      <c r="B117" s="2187" t="s">
        <v>578</v>
      </c>
      <c r="C117" s="2188" t="s">
        <v>579</v>
      </c>
      <c r="D117" s="2188">
        <v>91.224000000000004</v>
      </c>
      <c r="E117" s="2190"/>
      <c r="F117" s="2190"/>
      <c r="G117" s="2188" t="s">
        <v>361</v>
      </c>
      <c r="H117" s="2192"/>
      <c r="I117" s="2192"/>
      <c r="J117" s="2188"/>
    </row>
    <row r="118" spans="2:10" ht="15.75" hidden="1" outlineLevel="1" x14ac:dyDescent="0.45">
      <c r="B118" s="2187" t="s">
        <v>580</v>
      </c>
      <c r="C118" s="2188" t="s">
        <v>581</v>
      </c>
      <c r="D118" s="2188">
        <v>92.906379999999999</v>
      </c>
      <c r="E118" s="2190"/>
      <c r="F118" s="2190"/>
      <c r="G118" s="2188" t="s">
        <v>361</v>
      </c>
      <c r="H118" s="2192"/>
      <c r="I118" s="2192"/>
      <c r="J118" s="2188"/>
    </row>
    <row r="119" spans="2:10" ht="15.75" hidden="1" outlineLevel="1" x14ac:dyDescent="0.45">
      <c r="B119" s="2187" t="s">
        <v>582</v>
      </c>
      <c r="C119" s="2188" t="s">
        <v>583</v>
      </c>
      <c r="D119" s="2188">
        <v>95.94</v>
      </c>
      <c r="E119" s="2190"/>
      <c r="F119" s="2190"/>
      <c r="G119" s="2188" t="s">
        <v>361</v>
      </c>
      <c r="H119" s="2192"/>
      <c r="I119" s="2192"/>
      <c r="J119" s="2188"/>
    </row>
    <row r="120" spans="2:10" ht="15.75" hidden="1" outlineLevel="1" x14ac:dyDescent="0.45">
      <c r="B120" s="2187" t="s">
        <v>584</v>
      </c>
      <c r="C120" s="2188" t="s">
        <v>585</v>
      </c>
      <c r="D120" s="2188">
        <v>98</v>
      </c>
      <c r="E120" s="2190"/>
      <c r="F120" s="2190"/>
      <c r="G120" s="2188" t="s">
        <v>361</v>
      </c>
      <c r="H120" s="2192"/>
      <c r="I120" s="2192"/>
      <c r="J120" s="2188"/>
    </row>
    <row r="121" spans="2:10" ht="15.75" hidden="1" outlineLevel="1" x14ac:dyDescent="0.45">
      <c r="B121" s="2187" t="s">
        <v>586</v>
      </c>
      <c r="C121" s="2188" t="s">
        <v>587</v>
      </c>
      <c r="D121" s="2188">
        <v>101.07</v>
      </c>
      <c r="E121" s="2190"/>
      <c r="F121" s="2190"/>
      <c r="G121" s="2188" t="s">
        <v>361</v>
      </c>
      <c r="H121" s="2192"/>
      <c r="I121" s="2192"/>
      <c r="J121" s="2188"/>
    </row>
    <row r="122" spans="2:10" ht="15.75" hidden="1" outlineLevel="1" x14ac:dyDescent="0.45">
      <c r="B122" s="2187" t="s">
        <v>588</v>
      </c>
      <c r="C122" s="2188" t="s">
        <v>589</v>
      </c>
      <c r="D122" s="2188">
        <v>102.9055</v>
      </c>
      <c r="E122" s="2190"/>
      <c r="F122" s="2190"/>
      <c r="G122" s="2188" t="s">
        <v>361</v>
      </c>
      <c r="H122" s="2192"/>
      <c r="I122" s="2192"/>
      <c r="J122" s="2188"/>
    </row>
    <row r="123" spans="2:10" ht="15.75" hidden="1" outlineLevel="1" x14ac:dyDescent="0.45">
      <c r="B123" s="2187" t="s">
        <v>590</v>
      </c>
      <c r="C123" s="2188" t="s">
        <v>591</v>
      </c>
      <c r="D123" s="2188">
        <v>106.42</v>
      </c>
      <c r="E123" s="2190"/>
      <c r="F123" s="2190"/>
      <c r="G123" s="2188" t="s">
        <v>361</v>
      </c>
      <c r="H123" s="2192"/>
      <c r="I123" s="2192"/>
      <c r="J123" s="2188"/>
    </row>
    <row r="124" spans="2:10" ht="15.75" hidden="1" outlineLevel="1" x14ac:dyDescent="0.45">
      <c r="B124" s="2187" t="s">
        <v>592</v>
      </c>
      <c r="C124" s="2188" t="s">
        <v>593</v>
      </c>
      <c r="D124" s="2188">
        <v>107.8682</v>
      </c>
      <c r="E124" s="2190"/>
      <c r="F124" s="2190"/>
      <c r="G124" s="2188" t="s">
        <v>361</v>
      </c>
      <c r="H124" s="2192"/>
      <c r="I124" s="2192"/>
      <c r="J124" s="2188"/>
    </row>
    <row r="125" spans="2:10" ht="15.75" hidden="1" outlineLevel="1" x14ac:dyDescent="0.45">
      <c r="B125" s="2187" t="s">
        <v>594</v>
      </c>
      <c r="C125" s="2188" t="s">
        <v>595</v>
      </c>
      <c r="D125" s="2188">
        <v>112.411</v>
      </c>
      <c r="E125" s="2190"/>
      <c r="F125" s="2190"/>
      <c r="G125" s="2188" t="s">
        <v>361</v>
      </c>
      <c r="H125" s="2192"/>
      <c r="I125" s="2192"/>
      <c r="J125" s="2188"/>
    </row>
    <row r="126" spans="2:10" ht="15.75" hidden="1" outlineLevel="1" x14ac:dyDescent="0.45">
      <c r="B126" s="2187" t="s">
        <v>596</v>
      </c>
      <c r="C126" s="2188" t="s">
        <v>597</v>
      </c>
      <c r="D126" s="2188">
        <v>114.818</v>
      </c>
      <c r="E126" s="2190"/>
      <c r="F126" s="2190"/>
      <c r="G126" s="2188" t="s">
        <v>361</v>
      </c>
      <c r="H126" s="2192"/>
      <c r="I126" s="2192"/>
      <c r="J126" s="2188"/>
    </row>
    <row r="127" spans="2:10" ht="15.75" hidden="1" outlineLevel="1" x14ac:dyDescent="0.45">
      <c r="B127" s="2187" t="s">
        <v>598</v>
      </c>
      <c r="C127" s="2188" t="s">
        <v>599</v>
      </c>
      <c r="D127" s="2188">
        <v>118.71</v>
      </c>
      <c r="E127" s="2190"/>
      <c r="F127" s="2190"/>
      <c r="G127" s="2188" t="s">
        <v>361</v>
      </c>
      <c r="H127" s="2192"/>
      <c r="I127" s="2192"/>
      <c r="J127" s="2188"/>
    </row>
    <row r="128" spans="2:10" ht="15.75" hidden="1" outlineLevel="1" x14ac:dyDescent="0.45">
      <c r="B128" s="2187" t="s">
        <v>600</v>
      </c>
      <c r="C128" s="2188" t="s">
        <v>601</v>
      </c>
      <c r="D128" s="2188">
        <v>121.76</v>
      </c>
      <c r="E128" s="2190"/>
      <c r="F128" s="2190"/>
      <c r="G128" s="2188" t="s">
        <v>361</v>
      </c>
      <c r="H128" s="2192"/>
      <c r="I128" s="2192"/>
      <c r="J128" s="2188"/>
    </row>
    <row r="129" spans="2:10" ht="15.75" hidden="1" outlineLevel="1" x14ac:dyDescent="0.45">
      <c r="B129" s="2187" t="s">
        <v>602</v>
      </c>
      <c r="C129" s="2188" t="s">
        <v>603</v>
      </c>
      <c r="D129" s="2188">
        <v>127.6</v>
      </c>
      <c r="E129" s="2190"/>
      <c r="F129" s="2190"/>
      <c r="G129" s="2188" t="s">
        <v>361</v>
      </c>
      <c r="H129" s="2192"/>
      <c r="I129" s="2192"/>
      <c r="J129" s="2188"/>
    </row>
    <row r="130" spans="2:10" ht="15.75" hidden="1" outlineLevel="1" x14ac:dyDescent="0.45">
      <c r="B130" s="2187" t="s">
        <v>604</v>
      </c>
      <c r="C130" s="2188" t="s">
        <v>605</v>
      </c>
      <c r="D130" s="2188">
        <v>126.90447</v>
      </c>
      <c r="E130" s="2190"/>
      <c r="F130" s="2190"/>
      <c r="G130" s="2188" t="s">
        <v>361</v>
      </c>
      <c r="H130" s="2192"/>
      <c r="I130" s="2192"/>
      <c r="J130" s="2188"/>
    </row>
    <row r="131" spans="2:10" ht="15.75" hidden="1" outlineLevel="1" x14ac:dyDescent="0.45">
      <c r="B131" s="2187" t="s">
        <v>606</v>
      </c>
      <c r="C131" s="2188" t="s">
        <v>607</v>
      </c>
      <c r="D131" s="2188">
        <v>131.29300000000001</v>
      </c>
      <c r="E131" s="2190"/>
      <c r="F131" s="2190"/>
      <c r="G131" s="2188" t="s">
        <v>361</v>
      </c>
      <c r="H131" s="2192"/>
      <c r="I131" s="2192"/>
      <c r="J131" s="2188"/>
    </row>
    <row r="132" spans="2:10" ht="15.75" hidden="1" outlineLevel="1" x14ac:dyDescent="0.45">
      <c r="B132" s="2187" t="s">
        <v>608</v>
      </c>
      <c r="C132" s="2188" t="s">
        <v>609</v>
      </c>
      <c r="D132" s="2188">
        <v>132.90545</v>
      </c>
      <c r="E132" s="2190"/>
      <c r="F132" s="2190"/>
      <c r="G132" s="2188" t="s">
        <v>361</v>
      </c>
      <c r="H132" s="2192"/>
      <c r="I132" s="2192"/>
      <c r="J132" s="2188"/>
    </row>
    <row r="133" spans="2:10" ht="15.75" hidden="1" outlineLevel="1" x14ac:dyDescent="0.45">
      <c r="B133" s="2187" t="s">
        <v>610</v>
      </c>
      <c r="C133" s="2188" t="s">
        <v>611</v>
      </c>
      <c r="D133" s="2188">
        <v>137.327</v>
      </c>
      <c r="E133" s="2190"/>
      <c r="F133" s="2190"/>
      <c r="G133" s="2188" t="s">
        <v>361</v>
      </c>
      <c r="H133" s="2192"/>
      <c r="I133" s="2192"/>
      <c r="J133" s="2188"/>
    </row>
    <row r="134" spans="2:10" ht="15.75" hidden="1" outlineLevel="1" x14ac:dyDescent="0.45">
      <c r="B134" s="2187" t="s">
        <v>612</v>
      </c>
      <c r="C134" s="2188" t="s">
        <v>613</v>
      </c>
      <c r="D134" s="2188">
        <v>138.90547000000001</v>
      </c>
      <c r="E134" s="2190"/>
      <c r="F134" s="2190"/>
      <c r="G134" s="2188" t="s">
        <v>361</v>
      </c>
      <c r="H134" s="2192"/>
      <c r="I134" s="2192"/>
      <c r="J134" s="2188"/>
    </row>
    <row r="135" spans="2:10" ht="15.75" hidden="1" outlineLevel="1" x14ac:dyDescent="0.45">
      <c r="B135" s="2187" t="s">
        <v>614</v>
      </c>
      <c r="C135" s="2188" t="s">
        <v>615</v>
      </c>
      <c r="D135" s="2188">
        <v>140.11600000000001</v>
      </c>
      <c r="E135" s="2190"/>
      <c r="F135" s="2190"/>
      <c r="G135" s="2188" t="s">
        <v>361</v>
      </c>
      <c r="H135" s="2192"/>
      <c r="I135" s="2192"/>
      <c r="J135" s="2188"/>
    </row>
    <row r="136" spans="2:10" ht="15.75" hidden="1" outlineLevel="1" x14ac:dyDescent="0.45">
      <c r="B136" s="2187" t="s">
        <v>616</v>
      </c>
      <c r="C136" s="2188" t="s">
        <v>617</v>
      </c>
      <c r="D136" s="2188">
        <v>140.90764999999999</v>
      </c>
      <c r="E136" s="2190"/>
      <c r="F136" s="2190"/>
      <c r="G136" s="2188" t="s">
        <v>361</v>
      </c>
      <c r="H136" s="2192"/>
      <c r="I136" s="2192"/>
      <c r="J136" s="2188"/>
    </row>
    <row r="137" spans="2:10" ht="15.75" hidden="1" outlineLevel="1" x14ac:dyDescent="0.45">
      <c r="B137" s="2187" t="s">
        <v>618</v>
      </c>
      <c r="C137" s="2188" t="s">
        <v>619</v>
      </c>
      <c r="D137" s="2188">
        <v>144.24199999999999</v>
      </c>
      <c r="E137" s="2190"/>
      <c r="F137" s="2190"/>
      <c r="G137" s="2188" t="s">
        <v>361</v>
      </c>
      <c r="H137" s="2192"/>
      <c r="I137" s="2192"/>
      <c r="J137" s="2188"/>
    </row>
    <row r="138" spans="2:10" ht="15.75" hidden="1" outlineLevel="1" x14ac:dyDescent="0.45">
      <c r="B138" s="2187" t="s">
        <v>620</v>
      </c>
      <c r="C138" s="2188" t="s">
        <v>621</v>
      </c>
      <c r="D138" s="2188">
        <v>145</v>
      </c>
      <c r="E138" s="2190"/>
      <c r="F138" s="2190"/>
      <c r="G138" s="2188" t="s">
        <v>361</v>
      </c>
      <c r="H138" s="2192"/>
      <c r="I138" s="2192"/>
      <c r="J138" s="2188"/>
    </row>
    <row r="139" spans="2:10" ht="15.75" hidden="1" outlineLevel="1" x14ac:dyDescent="0.45">
      <c r="B139" s="2187" t="s">
        <v>622</v>
      </c>
      <c r="C139" s="2188" t="s">
        <v>623</v>
      </c>
      <c r="D139" s="2188">
        <v>150.36000000000001</v>
      </c>
      <c r="E139" s="2190"/>
      <c r="F139" s="2190"/>
      <c r="G139" s="2188" t="s">
        <v>361</v>
      </c>
      <c r="H139" s="2192"/>
      <c r="I139" s="2192"/>
      <c r="J139" s="2188"/>
    </row>
    <row r="140" spans="2:10" ht="15.75" hidden="1" outlineLevel="1" x14ac:dyDescent="0.45">
      <c r="B140" s="2187" t="s">
        <v>624</v>
      </c>
      <c r="C140" s="2188" t="s">
        <v>625</v>
      </c>
      <c r="D140" s="2188">
        <v>151.964</v>
      </c>
      <c r="E140" s="2190"/>
      <c r="F140" s="2190"/>
      <c r="G140" s="2188" t="s">
        <v>361</v>
      </c>
      <c r="H140" s="2192"/>
      <c r="I140" s="2192"/>
      <c r="J140" s="2188"/>
    </row>
    <row r="141" spans="2:10" ht="15.75" hidden="1" outlineLevel="1" x14ac:dyDescent="0.45">
      <c r="B141" s="2187" t="s">
        <v>626</v>
      </c>
      <c r="C141" s="2188" t="s">
        <v>627</v>
      </c>
      <c r="D141" s="2188">
        <v>157.25</v>
      </c>
      <c r="E141" s="2190"/>
      <c r="F141" s="2190"/>
      <c r="G141" s="2188" t="s">
        <v>361</v>
      </c>
      <c r="H141" s="2192"/>
      <c r="I141" s="2192"/>
      <c r="J141" s="2188"/>
    </row>
    <row r="142" spans="2:10" ht="15.75" hidden="1" outlineLevel="1" x14ac:dyDescent="0.45">
      <c r="B142" s="2187" t="s">
        <v>628</v>
      </c>
      <c r="C142" s="2188" t="s">
        <v>629</v>
      </c>
      <c r="D142" s="2188">
        <v>158.92535000000001</v>
      </c>
      <c r="E142" s="2190"/>
      <c r="F142" s="2190"/>
      <c r="G142" s="2188" t="s">
        <v>361</v>
      </c>
      <c r="H142" s="2192"/>
      <c r="I142" s="2192"/>
      <c r="J142" s="2188"/>
    </row>
    <row r="143" spans="2:10" ht="15.75" hidden="1" outlineLevel="1" x14ac:dyDescent="0.45">
      <c r="B143" s="2187" t="s">
        <v>630</v>
      </c>
      <c r="C143" s="2188" t="s">
        <v>631</v>
      </c>
      <c r="D143" s="2188">
        <v>162.5</v>
      </c>
      <c r="E143" s="2190"/>
      <c r="F143" s="2190"/>
      <c r="G143" s="2188" t="s">
        <v>361</v>
      </c>
      <c r="H143" s="2192"/>
      <c r="I143" s="2192"/>
      <c r="J143" s="2188"/>
    </row>
    <row r="144" spans="2:10" ht="15.75" hidden="1" outlineLevel="1" x14ac:dyDescent="0.45">
      <c r="B144" s="2187" t="s">
        <v>632</v>
      </c>
      <c r="C144" s="2188" t="s">
        <v>633</v>
      </c>
      <c r="D144" s="2188">
        <v>164.93031999999999</v>
      </c>
      <c r="E144" s="2190"/>
      <c r="F144" s="2190"/>
      <c r="G144" s="2188" t="s">
        <v>361</v>
      </c>
      <c r="H144" s="2192"/>
      <c r="I144" s="2192"/>
      <c r="J144" s="2188"/>
    </row>
    <row r="145" spans="2:10" ht="15.75" hidden="1" outlineLevel="1" x14ac:dyDescent="0.45">
      <c r="B145" s="2187" t="s">
        <v>634</v>
      </c>
      <c r="C145" s="2188" t="s">
        <v>635</v>
      </c>
      <c r="D145" s="2188">
        <v>167.25899999999999</v>
      </c>
      <c r="E145" s="2190"/>
      <c r="F145" s="2190"/>
      <c r="G145" s="2188" t="s">
        <v>361</v>
      </c>
      <c r="H145" s="2192"/>
      <c r="I145" s="2192"/>
      <c r="J145" s="2188"/>
    </row>
    <row r="146" spans="2:10" ht="15.75" hidden="1" outlineLevel="1" x14ac:dyDescent="0.45">
      <c r="B146" s="2187" t="s">
        <v>636</v>
      </c>
      <c r="C146" s="2188" t="s">
        <v>637</v>
      </c>
      <c r="D146" s="2188">
        <v>168.93421000000001</v>
      </c>
      <c r="E146" s="2190"/>
      <c r="F146" s="2190"/>
      <c r="G146" s="2188" t="s">
        <v>361</v>
      </c>
      <c r="H146" s="2192"/>
      <c r="I146" s="2192"/>
      <c r="J146" s="2188"/>
    </row>
    <row r="147" spans="2:10" ht="15.75" hidden="1" outlineLevel="1" x14ac:dyDescent="0.45">
      <c r="B147" s="2187" t="s">
        <v>638</v>
      </c>
      <c r="C147" s="2188" t="s">
        <v>639</v>
      </c>
      <c r="D147" s="2188">
        <v>173.04</v>
      </c>
      <c r="E147" s="2190"/>
      <c r="F147" s="2190"/>
      <c r="G147" s="2188" t="s">
        <v>361</v>
      </c>
      <c r="H147" s="2192"/>
      <c r="I147" s="2192"/>
      <c r="J147" s="2188"/>
    </row>
    <row r="148" spans="2:10" ht="15.75" hidden="1" outlineLevel="1" x14ac:dyDescent="0.45">
      <c r="B148" s="2187" t="s">
        <v>640</v>
      </c>
      <c r="C148" s="2188" t="s">
        <v>641</v>
      </c>
      <c r="D148" s="2188">
        <v>174.96700000000001</v>
      </c>
      <c r="E148" s="2190"/>
      <c r="F148" s="2190"/>
      <c r="G148" s="2188" t="s">
        <v>361</v>
      </c>
      <c r="H148" s="2192"/>
      <c r="I148" s="2192"/>
      <c r="J148" s="2188"/>
    </row>
    <row r="149" spans="2:10" ht="15.75" hidden="1" outlineLevel="1" x14ac:dyDescent="0.45">
      <c r="B149" s="2187" t="s">
        <v>642</v>
      </c>
      <c r="C149" s="2188" t="s">
        <v>643</v>
      </c>
      <c r="D149" s="2188">
        <v>178.49</v>
      </c>
      <c r="E149" s="2190"/>
      <c r="F149" s="2190"/>
      <c r="G149" s="2188" t="s">
        <v>361</v>
      </c>
      <c r="H149" s="2192"/>
      <c r="I149" s="2192"/>
      <c r="J149" s="2188"/>
    </row>
    <row r="150" spans="2:10" ht="15.75" hidden="1" outlineLevel="1" x14ac:dyDescent="0.45">
      <c r="B150" s="2187" t="s">
        <v>644</v>
      </c>
      <c r="C150" s="2188" t="s">
        <v>645</v>
      </c>
      <c r="D150" s="2188">
        <v>180.94788</v>
      </c>
      <c r="E150" s="2190"/>
      <c r="F150" s="2190"/>
      <c r="G150" s="2188" t="s">
        <v>361</v>
      </c>
      <c r="H150" s="2192"/>
      <c r="I150" s="2192"/>
      <c r="J150" s="2188"/>
    </row>
    <row r="151" spans="2:10" ht="15.75" hidden="1" outlineLevel="1" x14ac:dyDescent="0.45">
      <c r="B151" s="2187" t="s">
        <v>646</v>
      </c>
      <c r="C151" s="2188" t="s">
        <v>647</v>
      </c>
      <c r="D151" s="2188">
        <v>183.84</v>
      </c>
      <c r="E151" s="2190"/>
      <c r="F151" s="2190"/>
      <c r="G151" s="2188" t="s">
        <v>361</v>
      </c>
      <c r="H151" s="2192"/>
      <c r="I151" s="2192"/>
      <c r="J151" s="2188"/>
    </row>
    <row r="152" spans="2:10" ht="15.75" hidden="1" outlineLevel="1" x14ac:dyDescent="0.45">
      <c r="B152" s="2187" t="s">
        <v>648</v>
      </c>
      <c r="C152" s="2188" t="s">
        <v>649</v>
      </c>
      <c r="D152" s="2188">
        <v>186.20699999999999</v>
      </c>
      <c r="E152" s="2190"/>
      <c r="F152" s="2190"/>
      <c r="G152" s="2188" t="s">
        <v>361</v>
      </c>
      <c r="H152" s="2192"/>
      <c r="I152" s="2192"/>
      <c r="J152" s="2188"/>
    </row>
    <row r="153" spans="2:10" ht="15.75" hidden="1" outlineLevel="1" x14ac:dyDescent="0.45">
      <c r="B153" s="2187" t="s">
        <v>650</v>
      </c>
      <c r="C153" s="2188" t="s">
        <v>651</v>
      </c>
      <c r="D153" s="2188">
        <v>190.23</v>
      </c>
      <c r="E153" s="2190"/>
      <c r="F153" s="2190"/>
      <c r="G153" s="2188" t="s">
        <v>361</v>
      </c>
      <c r="H153" s="2192"/>
      <c r="I153" s="2192"/>
      <c r="J153" s="2188"/>
    </row>
    <row r="154" spans="2:10" ht="15.75" hidden="1" outlineLevel="1" x14ac:dyDescent="0.45">
      <c r="B154" s="2187" t="s">
        <v>652</v>
      </c>
      <c r="C154" s="2188" t="s">
        <v>653</v>
      </c>
      <c r="D154" s="2188">
        <v>192.21700000000001</v>
      </c>
      <c r="E154" s="2190"/>
      <c r="F154" s="2190"/>
      <c r="G154" s="2188" t="s">
        <v>361</v>
      </c>
      <c r="H154" s="2192"/>
      <c r="I154" s="2192"/>
      <c r="J154" s="2188"/>
    </row>
    <row r="155" spans="2:10" ht="15.75" hidden="1" outlineLevel="1" x14ac:dyDescent="0.45">
      <c r="B155" s="2187" t="s">
        <v>654</v>
      </c>
      <c r="C155" s="2188" t="s">
        <v>655</v>
      </c>
      <c r="D155" s="2188">
        <v>195.084</v>
      </c>
      <c r="E155" s="2190"/>
      <c r="F155" s="2190"/>
      <c r="G155" s="2188" t="s">
        <v>361</v>
      </c>
      <c r="H155" s="2192"/>
      <c r="I155" s="2192"/>
      <c r="J155" s="2188"/>
    </row>
    <row r="156" spans="2:10" ht="15.75" hidden="1" outlineLevel="1" x14ac:dyDescent="0.45">
      <c r="B156" s="2187" t="s">
        <v>656</v>
      </c>
      <c r="C156" s="2188" t="s">
        <v>657</v>
      </c>
      <c r="D156" s="2188">
        <v>196.96656999999999</v>
      </c>
      <c r="E156" s="2190"/>
      <c r="F156" s="2190"/>
      <c r="G156" s="2188" t="s">
        <v>361</v>
      </c>
      <c r="H156" s="2192"/>
      <c r="I156" s="2192"/>
      <c r="J156" s="2188"/>
    </row>
    <row r="157" spans="2:10" ht="15.75" hidden="1" outlineLevel="1" x14ac:dyDescent="0.45">
      <c r="B157" s="2187" t="s">
        <v>658</v>
      </c>
      <c r="C157" s="2188" t="s">
        <v>659</v>
      </c>
      <c r="D157" s="2188">
        <v>200.59</v>
      </c>
      <c r="E157" s="2190"/>
      <c r="F157" s="2190"/>
      <c r="G157" s="2188" t="s">
        <v>361</v>
      </c>
      <c r="H157" s="2192"/>
      <c r="I157" s="2192"/>
      <c r="J157" s="2188"/>
    </row>
    <row r="158" spans="2:10" ht="15.75" hidden="1" outlineLevel="1" x14ac:dyDescent="0.45">
      <c r="B158" s="2187" t="s">
        <v>660</v>
      </c>
      <c r="C158" s="2188" t="s">
        <v>661</v>
      </c>
      <c r="D158" s="2188">
        <v>204.38329999999999</v>
      </c>
      <c r="E158" s="2190"/>
      <c r="F158" s="2190"/>
      <c r="G158" s="2188" t="s">
        <v>361</v>
      </c>
      <c r="H158" s="2192"/>
      <c r="I158" s="2192"/>
      <c r="J158" s="2188"/>
    </row>
    <row r="159" spans="2:10" ht="15.75" hidden="1" outlineLevel="1" x14ac:dyDescent="0.45">
      <c r="B159" s="2187" t="s">
        <v>662</v>
      </c>
      <c r="C159" s="2188" t="s">
        <v>663</v>
      </c>
      <c r="D159" s="2188">
        <v>207.2</v>
      </c>
      <c r="E159" s="2190"/>
      <c r="F159" s="2190"/>
      <c r="G159" s="2188" t="s">
        <v>361</v>
      </c>
      <c r="H159" s="2192"/>
      <c r="I159" s="2192"/>
      <c r="J159" s="2188"/>
    </row>
    <row r="160" spans="2:10" ht="15.75" hidden="1" outlineLevel="1" x14ac:dyDescent="0.45">
      <c r="B160" s="2187" t="s">
        <v>664</v>
      </c>
      <c r="C160" s="2188" t="s">
        <v>665</v>
      </c>
      <c r="D160" s="2188">
        <v>208.9804</v>
      </c>
      <c r="E160" s="2190"/>
      <c r="F160" s="2190"/>
      <c r="G160" s="2188" t="s">
        <v>361</v>
      </c>
      <c r="H160" s="2192"/>
      <c r="I160" s="2192"/>
      <c r="J160" s="2188"/>
    </row>
    <row r="161" spans="2:10" ht="15.75" hidden="1" outlineLevel="1" x14ac:dyDescent="0.45">
      <c r="B161" s="2187" t="s">
        <v>666</v>
      </c>
      <c r="C161" s="2188" t="s">
        <v>667</v>
      </c>
      <c r="D161" s="2188">
        <v>209</v>
      </c>
      <c r="E161" s="2190"/>
      <c r="F161" s="2190"/>
      <c r="G161" s="2188" t="s">
        <v>361</v>
      </c>
      <c r="H161" s="2192"/>
      <c r="I161" s="2192"/>
      <c r="J161" s="2188"/>
    </row>
    <row r="162" spans="2:10" ht="15.75" hidden="1" outlineLevel="1" x14ac:dyDescent="0.45">
      <c r="B162" s="2187" t="s">
        <v>668</v>
      </c>
      <c r="C162" s="2188" t="s">
        <v>669</v>
      </c>
      <c r="D162" s="2188">
        <v>210</v>
      </c>
      <c r="E162" s="2190"/>
      <c r="F162" s="2190"/>
      <c r="G162" s="2188" t="s">
        <v>361</v>
      </c>
      <c r="H162" s="2192"/>
      <c r="I162" s="2192"/>
      <c r="J162" s="2188"/>
    </row>
    <row r="163" spans="2:10" ht="15.75" hidden="1" outlineLevel="1" x14ac:dyDescent="0.45">
      <c r="B163" s="2187" t="s">
        <v>670</v>
      </c>
      <c r="C163" s="2188" t="s">
        <v>671</v>
      </c>
      <c r="D163" s="2188">
        <v>222</v>
      </c>
      <c r="E163" s="2190"/>
      <c r="F163" s="2190"/>
      <c r="G163" s="2188" t="s">
        <v>361</v>
      </c>
      <c r="H163" s="2192"/>
      <c r="I163" s="2192"/>
      <c r="J163" s="2188"/>
    </row>
    <row r="164" spans="2:10" ht="15.75" hidden="1" outlineLevel="1" x14ac:dyDescent="0.45">
      <c r="B164" s="2187" t="s">
        <v>672</v>
      </c>
      <c r="C164" s="2188" t="s">
        <v>673</v>
      </c>
      <c r="D164" s="2188">
        <v>223</v>
      </c>
      <c r="E164" s="2190"/>
      <c r="F164" s="2190"/>
      <c r="G164" s="2188" t="s">
        <v>361</v>
      </c>
      <c r="H164" s="2192"/>
      <c r="I164" s="2192"/>
      <c r="J164" s="2188"/>
    </row>
    <row r="165" spans="2:10" ht="15.75" hidden="1" outlineLevel="1" x14ac:dyDescent="0.45">
      <c r="B165" s="2187" t="s">
        <v>674</v>
      </c>
      <c r="C165" s="2188" t="s">
        <v>675</v>
      </c>
      <c r="D165" s="2188">
        <v>226</v>
      </c>
      <c r="E165" s="2190"/>
      <c r="F165" s="2190"/>
      <c r="G165" s="2188" t="s">
        <v>361</v>
      </c>
      <c r="H165" s="2192"/>
      <c r="I165" s="2192"/>
      <c r="J165" s="2188"/>
    </row>
    <row r="166" spans="2:10" ht="15.75" hidden="1" outlineLevel="1" x14ac:dyDescent="0.45">
      <c r="B166" s="2187" t="s">
        <v>676</v>
      </c>
      <c r="C166" s="2188" t="s">
        <v>677</v>
      </c>
      <c r="D166" s="2188">
        <v>227</v>
      </c>
      <c r="E166" s="2190"/>
      <c r="F166" s="2190"/>
      <c r="G166" s="2188" t="s">
        <v>361</v>
      </c>
      <c r="H166" s="2192"/>
      <c r="I166" s="2192"/>
      <c r="J166" s="2188"/>
    </row>
    <row r="167" spans="2:10" ht="15.75" hidden="1" outlineLevel="1" x14ac:dyDescent="0.45">
      <c r="B167" s="2187" t="s">
        <v>678</v>
      </c>
      <c r="C167" s="2188" t="s">
        <v>679</v>
      </c>
      <c r="D167" s="2188">
        <v>232.03806</v>
      </c>
      <c r="E167" s="2190"/>
      <c r="F167" s="2190"/>
      <c r="G167" s="2188" t="s">
        <v>361</v>
      </c>
      <c r="H167" s="2192"/>
      <c r="I167" s="2192"/>
      <c r="J167" s="2188"/>
    </row>
    <row r="168" spans="2:10" ht="15.75" hidden="1" outlineLevel="1" x14ac:dyDescent="0.45">
      <c r="B168" s="2187" t="s">
        <v>680</v>
      </c>
      <c r="C168" s="2188" t="s">
        <v>681</v>
      </c>
      <c r="D168" s="2188">
        <v>231.03587999999999</v>
      </c>
      <c r="E168" s="2190"/>
      <c r="F168" s="2190"/>
      <c r="G168" s="2188" t="s">
        <v>361</v>
      </c>
      <c r="H168" s="2192"/>
      <c r="I168" s="2192"/>
      <c r="J168" s="2188"/>
    </row>
    <row r="169" spans="2:10" ht="15.75" hidden="1" outlineLevel="1" x14ac:dyDescent="0.45">
      <c r="B169" s="2187" t="s">
        <v>682</v>
      </c>
      <c r="C169" s="2188" t="s">
        <v>683</v>
      </c>
      <c r="D169" s="2188">
        <v>238.02891</v>
      </c>
      <c r="E169" s="2190"/>
      <c r="F169" s="2190"/>
      <c r="G169" s="2188" t="s">
        <v>361</v>
      </c>
      <c r="H169" s="2192"/>
      <c r="I169" s="2192"/>
      <c r="J169" s="2188"/>
    </row>
    <row r="170" spans="2:10" ht="15.75" hidden="1" outlineLevel="1" x14ac:dyDescent="0.45">
      <c r="B170" s="2187" t="s">
        <v>684</v>
      </c>
      <c r="C170" s="2188" t="s">
        <v>685</v>
      </c>
      <c r="D170" s="2188">
        <v>237</v>
      </c>
      <c r="E170" s="2190"/>
      <c r="F170" s="2190"/>
      <c r="G170" s="2188" t="s">
        <v>361</v>
      </c>
      <c r="H170" s="2192"/>
      <c r="I170" s="2192"/>
      <c r="J170" s="2188"/>
    </row>
    <row r="171" spans="2:10" ht="15.75" hidden="1" outlineLevel="1" x14ac:dyDescent="0.45">
      <c r="B171" s="2187" t="s">
        <v>686</v>
      </c>
      <c r="C171" s="2188" t="s">
        <v>687</v>
      </c>
      <c r="D171" s="2188">
        <v>244</v>
      </c>
      <c r="E171" s="2190"/>
      <c r="F171" s="2190"/>
      <c r="G171" s="2188" t="s">
        <v>361</v>
      </c>
      <c r="H171" s="2192"/>
      <c r="I171" s="2192"/>
      <c r="J171" s="2188"/>
    </row>
    <row r="172" spans="2:10" ht="15.75" hidden="1" outlineLevel="1" x14ac:dyDescent="0.45">
      <c r="B172" s="2187" t="s">
        <v>688</v>
      </c>
      <c r="C172" s="2188" t="s">
        <v>689</v>
      </c>
      <c r="D172" s="2188">
        <v>243</v>
      </c>
      <c r="E172" s="2190"/>
      <c r="F172" s="2190"/>
      <c r="G172" s="2188" t="s">
        <v>361</v>
      </c>
      <c r="H172" s="2192"/>
      <c r="I172" s="2192"/>
      <c r="J172" s="2188"/>
    </row>
    <row r="173" spans="2:10" ht="15.75" hidden="1" outlineLevel="1" x14ac:dyDescent="0.45">
      <c r="B173" s="2187" t="s">
        <v>690</v>
      </c>
      <c r="C173" s="2188" t="s">
        <v>691</v>
      </c>
      <c r="D173" s="2188">
        <v>247</v>
      </c>
      <c r="E173" s="2190"/>
      <c r="F173" s="2190"/>
      <c r="G173" s="2188" t="s">
        <v>361</v>
      </c>
      <c r="H173" s="2192"/>
      <c r="I173" s="2192"/>
      <c r="J173" s="2188"/>
    </row>
    <row r="174" spans="2:10" ht="15.75" hidden="1" outlineLevel="1" x14ac:dyDescent="0.45">
      <c r="B174" s="2187" t="s">
        <v>692</v>
      </c>
      <c r="C174" s="2188" t="s">
        <v>693</v>
      </c>
      <c r="D174" s="2188">
        <v>247</v>
      </c>
      <c r="E174" s="2190"/>
      <c r="F174" s="2190"/>
      <c r="G174" s="2188" t="s">
        <v>361</v>
      </c>
      <c r="H174" s="2192"/>
      <c r="I174" s="2192"/>
      <c r="J174" s="2188"/>
    </row>
    <row r="175" spans="2:10" ht="15.75" hidden="1" outlineLevel="1" x14ac:dyDescent="0.45">
      <c r="B175" s="2187" t="s">
        <v>694</v>
      </c>
      <c r="C175" s="2188" t="s">
        <v>695</v>
      </c>
      <c r="D175" s="2188">
        <v>251</v>
      </c>
      <c r="E175" s="2190"/>
      <c r="F175" s="2190"/>
      <c r="G175" s="2188" t="s">
        <v>361</v>
      </c>
      <c r="H175" s="2192"/>
      <c r="I175" s="2192"/>
      <c r="J175" s="2188"/>
    </row>
    <row r="176" spans="2:10" ht="15.75" hidden="1" outlineLevel="1" x14ac:dyDescent="0.45">
      <c r="B176" s="2187" t="s">
        <v>696</v>
      </c>
      <c r="C176" s="2188" t="s">
        <v>697</v>
      </c>
      <c r="D176" s="2188">
        <v>252</v>
      </c>
      <c r="E176" s="2190"/>
      <c r="F176" s="2190"/>
      <c r="G176" s="2188" t="s">
        <v>361</v>
      </c>
      <c r="H176" s="2192"/>
      <c r="I176" s="2192"/>
      <c r="J176" s="2188"/>
    </row>
    <row r="177" spans="2:10" ht="15.75" hidden="1" outlineLevel="1" x14ac:dyDescent="0.45">
      <c r="B177" s="2187" t="s">
        <v>698</v>
      </c>
      <c r="C177" s="2188" t="s">
        <v>699</v>
      </c>
      <c r="D177" s="2188">
        <v>257</v>
      </c>
      <c r="E177" s="2190"/>
      <c r="F177" s="2190"/>
      <c r="G177" s="2188" t="s">
        <v>361</v>
      </c>
      <c r="H177" s="2192"/>
      <c r="I177" s="2192"/>
      <c r="J177" s="2188"/>
    </row>
    <row r="178" spans="2:10" ht="15.75" hidden="1" outlineLevel="1" x14ac:dyDescent="0.45">
      <c r="B178" s="2187" t="s">
        <v>700</v>
      </c>
      <c r="C178" s="2188" t="s">
        <v>701</v>
      </c>
      <c r="D178" s="2188">
        <v>258</v>
      </c>
      <c r="E178" s="2190"/>
      <c r="F178" s="2190"/>
      <c r="G178" s="2188" t="s">
        <v>361</v>
      </c>
      <c r="H178" s="2192"/>
      <c r="I178" s="2192"/>
      <c r="J178" s="2188"/>
    </row>
    <row r="179" spans="2:10" ht="15.75" hidden="1" outlineLevel="1" x14ac:dyDescent="0.45">
      <c r="B179" s="2187" t="s">
        <v>702</v>
      </c>
      <c r="C179" s="2188" t="s">
        <v>703</v>
      </c>
      <c r="D179" s="2188">
        <v>259</v>
      </c>
      <c r="E179" s="2190"/>
      <c r="F179" s="2190"/>
      <c r="G179" s="2188" t="s">
        <v>361</v>
      </c>
      <c r="H179" s="2192"/>
      <c r="I179" s="2192"/>
      <c r="J179" s="2188"/>
    </row>
    <row r="180" spans="2:10" ht="15.75" hidden="1" outlineLevel="1" x14ac:dyDescent="0.45">
      <c r="B180" s="2187" t="s">
        <v>704</v>
      </c>
      <c r="C180" s="2188" t="s">
        <v>705</v>
      </c>
      <c r="D180" s="2188">
        <v>262</v>
      </c>
      <c r="E180" s="2190"/>
      <c r="F180" s="2190"/>
      <c r="G180" s="2188" t="s">
        <v>361</v>
      </c>
      <c r="H180" s="2192"/>
      <c r="I180" s="2192"/>
      <c r="J180" s="2188"/>
    </row>
    <row r="181" spans="2:10" ht="15.75" hidden="1" outlineLevel="1" x14ac:dyDescent="0.45">
      <c r="B181" s="2187" t="s">
        <v>706</v>
      </c>
      <c r="C181" s="2188" t="s">
        <v>707</v>
      </c>
      <c r="D181" s="2188">
        <v>261</v>
      </c>
      <c r="E181" s="2190"/>
      <c r="F181" s="2190"/>
      <c r="G181" s="2188" t="s">
        <v>361</v>
      </c>
      <c r="H181" s="2192"/>
      <c r="I181" s="2192"/>
      <c r="J181" s="2188"/>
    </row>
    <row r="182" spans="2:10" ht="15.75" hidden="1" outlineLevel="1" x14ac:dyDescent="0.45">
      <c r="B182" s="2187" t="s">
        <v>708</v>
      </c>
      <c r="C182" s="2188" t="s">
        <v>709</v>
      </c>
      <c r="D182" s="2188">
        <v>262</v>
      </c>
      <c r="E182" s="2190"/>
      <c r="F182" s="2190"/>
      <c r="G182" s="2188" t="s">
        <v>361</v>
      </c>
      <c r="H182" s="2192"/>
      <c r="I182" s="2192"/>
      <c r="J182" s="2188"/>
    </row>
    <row r="183" spans="2:10" ht="15.75" hidden="1" outlineLevel="1" x14ac:dyDescent="0.45">
      <c r="B183" s="2187" t="s">
        <v>710</v>
      </c>
      <c r="C183" s="2188" t="s">
        <v>711</v>
      </c>
      <c r="D183" s="2188">
        <v>266</v>
      </c>
      <c r="E183" s="2190"/>
      <c r="F183" s="2190"/>
      <c r="G183" s="2188" t="s">
        <v>361</v>
      </c>
      <c r="H183" s="2192"/>
      <c r="I183" s="2192"/>
      <c r="J183" s="2188"/>
    </row>
    <row r="184" spans="2:10" ht="15.75" hidden="1" outlineLevel="1" x14ac:dyDescent="0.45">
      <c r="B184" s="2187" t="s">
        <v>712</v>
      </c>
      <c r="C184" s="2188" t="s">
        <v>713</v>
      </c>
      <c r="D184" s="2188">
        <v>264</v>
      </c>
      <c r="E184" s="2190"/>
      <c r="F184" s="2190"/>
      <c r="G184" s="2188" t="s">
        <v>361</v>
      </c>
      <c r="H184" s="2192"/>
      <c r="I184" s="2192"/>
      <c r="J184" s="2188"/>
    </row>
    <row r="185" spans="2:10" ht="15.75" hidden="1" outlineLevel="1" x14ac:dyDescent="0.45">
      <c r="B185" s="2187" t="s">
        <v>714</v>
      </c>
      <c r="C185" s="2188" t="s">
        <v>715</v>
      </c>
      <c r="D185" s="2188">
        <v>277</v>
      </c>
      <c r="E185" s="2190"/>
      <c r="F185" s="2190"/>
      <c r="G185" s="2188" t="s">
        <v>361</v>
      </c>
      <c r="H185" s="2192"/>
      <c r="I185" s="2192"/>
      <c r="J185" s="2188"/>
    </row>
    <row r="186" spans="2:10" ht="15.75" hidden="1" outlineLevel="1" x14ac:dyDescent="0.45">
      <c r="B186" s="2187" t="s">
        <v>716</v>
      </c>
      <c r="C186" s="2188" t="s">
        <v>717</v>
      </c>
      <c r="D186" s="2188">
        <v>268</v>
      </c>
      <c r="E186" s="2190"/>
      <c r="F186" s="2190"/>
      <c r="G186" s="2188" t="s">
        <v>361</v>
      </c>
      <c r="H186" s="2192"/>
      <c r="I186" s="2192"/>
      <c r="J186" s="2188"/>
    </row>
    <row r="187" spans="2:10" ht="15.75" hidden="1" outlineLevel="1" x14ac:dyDescent="0.45">
      <c r="B187" s="2187" t="s">
        <v>718</v>
      </c>
      <c r="C187" s="2188" t="s">
        <v>719</v>
      </c>
      <c r="D187" s="2188">
        <v>281</v>
      </c>
      <c r="E187" s="2190"/>
      <c r="F187" s="2190"/>
      <c r="G187" s="2188" t="s">
        <v>361</v>
      </c>
      <c r="H187" s="2192"/>
      <c r="I187" s="2192"/>
      <c r="J187" s="2188"/>
    </row>
    <row r="188" spans="2:10" ht="15.75" hidden="1" outlineLevel="1" x14ac:dyDescent="0.45">
      <c r="B188" s="2187" t="s">
        <v>720</v>
      </c>
      <c r="C188" s="2188" t="s">
        <v>721</v>
      </c>
      <c r="D188" s="2188">
        <v>272</v>
      </c>
      <c r="E188" s="2190"/>
      <c r="F188" s="2190"/>
      <c r="G188" s="2188" t="s">
        <v>361</v>
      </c>
      <c r="H188" s="2192"/>
      <c r="I188" s="2192"/>
      <c r="J188" s="2188"/>
    </row>
    <row r="189" spans="2:10" ht="15.75" hidden="1" outlineLevel="1" x14ac:dyDescent="0.45">
      <c r="B189" s="2187" t="s">
        <v>722</v>
      </c>
      <c r="C189" s="2188" t="s">
        <v>723</v>
      </c>
      <c r="D189" s="2188">
        <v>285</v>
      </c>
      <c r="E189" s="2190"/>
      <c r="F189" s="2190"/>
      <c r="G189" s="2188" t="s">
        <v>361</v>
      </c>
      <c r="H189" s="2192"/>
      <c r="I189" s="2192"/>
      <c r="J189" s="2188"/>
    </row>
    <row r="190" spans="2:10" ht="15.75" hidden="1" outlineLevel="1" x14ac:dyDescent="0.45">
      <c r="B190" s="2187" t="s">
        <v>724</v>
      </c>
      <c r="C190" s="2188" t="s">
        <v>725</v>
      </c>
      <c r="D190" s="2188">
        <v>284</v>
      </c>
      <c r="E190" s="2190"/>
      <c r="F190" s="2190"/>
      <c r="G190" s="2188" t="s">
        <v>361</v>
      </c>
      <c r="H190" s="2192"/>
      <c r="I190" s="2192"/>
      <c r="J190" s="2188"/>
    </row>
    <row r="191" spans="2:10" ht="15.75" hidden="1" outlineLevel="1" x14ac:dyDescent="0.45">
      <c r="B191" s="2187" t="s">
        <v>726</v>
      </c>
      <c r="C191" s="2188" t="s">
        <v>727</v>
      </c>
      <c r="D191" s="2188">
        <v>289</v>
      </c>
      <c r="E191" s="2190"/>
      <c r="F191" s="2190"/>
      <c r="G191" s="2188" t="s">
        <v>361</v>
      </c>
      <c r="H191" s="2192"/>
      <c r="I191" s="2192"/>
      <c r="J191" s="2188"/>
    </row>
    <row r="192" spans="2:10" ht="15.75" hidden="1" outlineLevel="1" x14ac:dyDescent="0.45">
      <c r="B192" s="2187" t="s">
        <v>728</v>
      </c>
      <c r="C192" s="2188" t="s">
        <v>729</v>
      </c>
      <c r="D192" s="2188">
        <v>288</v>
      </c>
      <c r="E192" s="2190"/>
      <c r="F192" s="2190"/>
      <c r="G192" s="2188" t="s">
        <v>361</v>
      </c>
      <c r="H192" s="2192"/>
      <c r="I192" s="2192"/>
      <c r="J192" s="2188"/>
    </row>
    <row r="193" spans="2:10" ht="15.75" hidden="1" outlineLevel="1" x14ac:dyDescent="0.45">
      <c r="B193" s="2187" t="s">
        <v>730</v>
      </c>
      <c r="C193" s="2188" t="s">
        <v>731</v>
      </c>
      <c r="D193" s="2188">
        <v>292</v>
      </c>
      <c r="E193" s="2190"/>
      <c r="F193" s="2190"/>
      <c r="G193" s="2188" t="s">
        <v>361</v>
      </c>
      <c r="H193" s="2192"/>
      <c r="I193" s="2192"/>
      <c r="J193" s="2188"/>
    </row>
    <row r="194" spans="2:10" ht="15.75" hidden="1" outlineLevel="1" x14ac:dyDescent="0.45">
      <c r="B194" s="2187" t="s">
        <v>732</v>
      </c>
      <c r="C194" s="2188" t="s">
        <v>733</v>
      </c>
      <c r="D194" s="2188">
        <v>292</v>
      </c>
      <c r="E194" s="2190"/>
      <c r="F194" s="2190"/>
      <c r="G194" s="2188" t="s">
        <v>361</v>
      </c>
      <c r="H194" s="2192"/>
      <c r="I194" s="2192"/>
      <c r="J194" s="2188"/>
    </row>
    <row r="195" spans="2:10" ht="15.75" hidden="1" outlineLevel="1" x14ac:dyDescent="0.45">
      <c r="B195" s="2187" t="s">
        <v>734</v>
      </c>
      <c r="C195" s="2188" t="s">
        <v>735</v>
      </c>
      <c r="D195" s="2188">
        <v>294</v>
      </c>
      <c r="E195" s="2190"/>
      <c r="F195" s="2190"/>
      <c r="G195" s="2188" t="s">
        <v>361</v>
      </c>
      <c r="H195" s="2192"/>
      <c r="I195" s="2192"/>
      <c r="J195" s="2188"/>
    </row>
    <row r="196" spans="2:10" collapsed="1" x14ac:dyDescent="0.45"/>
    <row r="197" spans="2:10" ht="14.65" thickBot="1" x14ac:dyDescent="0.5">
      <c r="C197" s="2250" t="s">
        <v>736</v>
      </c>
    </row>
    <row r="198" spans="2:10" ht="14.65" thickBot="1" x14ac:dyDescent="0.5">
      <c r="B198" s="2251" t="s">
        <v>0</v>
      </c>
      <c r="C198" s="2252" t="s">
        <v>1</v>
      </c>
      <c r="D198" s="2253" t="s">
        <v>152</v>
      </c>
      <c r="E198" s="2253" t="s">
        <v>471</v>
      </c>
      <c r="F198" s="2253" t="s">
        <v>472</v>
      </c>
      <c r="G198" s="2253" t="s">
        <v>2</v>
      </c>
      <c r="H198" s="2253" t="s">
        <v>300</v>
      </c>
      <c r="I198" s="2253" t="s">
        <v>116</v>
      </c>
      <c r="J198" s="2254" t="s">
        <v>117</v>
      </c>
    </row>
    <row r="199" spans="2:10" ht="15.75" hidden="1" outlineLevel="1" x14ac:dyDescent="0.45">
      <c r="B199" s="2187" t="s">
        <v>2038</v>
      </c>
      <c r="C199" s="2188" t="s">
        <v>2039</v>
      </c>
      <c r="D199" s="2188">
        <v>28.97</v>
      </c>
      <c r="E199" s="2190"/>
      <c r="F199" s="2190"/>
      <c r="G199" s="2188" t="s">
        <v>361</v>
      </c>
      <c r="H199" s="2192"/>
      <c r="I199" s="2192"/>
      <c r="J199" s="2188"/>
    </row>
    <row r="200" spans="2:10" ht="15.75" hidden="1" outlineLevel="1" x14ac:dyDescent="0.45">
      <c r="B200" s="2187" t="s">
        <v>460</v>
      </c>
      <c r="C200" s="2188" t="s">
        <v>453</v>
      </c>
      <c r="D200" s="2188">
        <f>2*A_MH</f>
        <v>2.0158800000000001</v>
      </c>
      <c r="E200" s="2190"/>
      <c r="F200" s="2190"/>
      <c r="G200" s="2188" t="s">
        <v>361</v>
      </c>
      <c r="H200" s="2192"/>
      <c r="I200" s="2192"/>
      <c r="J200" s="2188"/>
    </row>
    <row r="201" spans="2:10" ht="15.75" hidden="1" outlineLevel="1" x14ac:dyDescent="0.45">
      <c r="B201" s="2187" t="s">
        <v>461</v>
      </c>
      <c r="C201" s="2188" t="s">
        <v>454</v>
      </c>
      <c r="D201" s="2188">
        <f>A_MC+4*A_MH</f>
        <v>16.042459999999998</v>
      </c>
      <c r="E201" s="2190"/>
      <c r="F201" s="2190"/>
      <c r="G201" s="2188" t="s">
        <v>361</v>
      </c>
      <c r="H201" s="2192"/>
      <c r="I201" s="2192"/>
      <c r="J201" s="2188"/>
    </row>
    <row r="202" spans="2:10" ht="15.75" hidden="1" outlineLevel="1" x14ac:dyDescent="0.45">
      <c r="B202" s="2187" t="s">
        <v>737</v>
      </c>
      <c r="C202" s="2188" t="s">
        <v>738</v>
      </c>
      <c r="D202" s="2188">
        <f>A_MC+2*A_MO</f>
        <v>44.009500000000003</v>
      </c>
      <c r="E202" s="2190"/>
      <c r="F202" s="2190"/>
      <c r="G202" s="2188" t="s">
        <v>361</v>
      </c>
      <c r="H202" s="2192"/>
      <c r="I202" s="2192"/>
      <c r="J202" s="2188"/>
    </row>
    <row r="203" spans="2:10" ht="15.75" hidden="1" outlineLevel="1" x14ac:dyDescent="0.45">
      <c r="B203" s="2187" t="s">
        <v>1110</v>
      </c>
      <c r="C203" s="2188" t="s">
        <v>748</v>
      </c>
      <c r="D203" s="2188">
        <f>A_MN+3*A_MH</f>
        <v>17.030519999999999</v>
      </c>
      <c r="E203" s="2190"/>
      <c r="F203" s="2190"/>
      <c r="G203" s="2188" t="s">
        <v>361</v>
      </c>
      <c r="H203" s="2192"/>
      <c r="I203" s="2192"/>
      <c r="J203" s="2188"/>
    </row>
    <row r="204" spans="2:10" ht="15.75" hidden="1" outlineLevel="1" x14ac:dyDescent="0.45">
      <c r="B204" s="2187" t="s">
        <v>452</v>
      </c>
      <c r="C204" s="2188" t="s">
        <v>451</v>
      </c>
      <c r="D204" s="2188">
        <f>2*A_MN</f>
        <v>28.013400000000001</v>
      </c>
      <c r="E204" s="2190"/>
      <c r="F204" s="2190"/>
      <c r="G204" s="2188" t="s">
        <v>361</v>
      </c>
      <c r="H204" s="2192"/>
      <c r="I204" s="2192"/>
      <c r="J204" s="2188"/>
    </row>
    <row r="205" spans="2:10" ht="15.75" hidden="1" outlineLevel="1" x14ac:dyDescent="0.45">
      <c r="B205" s="2187" t="s">
        <v>447</v>
      </c>
      <c r="C205" s="2188" t="s">
        <v>448</v>
      </c>
      <c r="D205" s="2188">
        <f>2*A_MO</f>
        <v>31.998799999999999</v>
      </c>
      <c r="E205" s="2190"/>
      <c r="F205" s="2190"/>
      <c r="G205" s="2188" t="s">
        <v>361</v>
      </c>
      <c r="H205" s="2192"/>
      <c r="I205" s="2192"/>
      <c r="J205" s="2188" t="s">
        <v>739</v>
      </c>
    </row>
    <row r="206" spans="2:10" ht="15.75" hidden="1" outlineLevel="1" x14ac:dyDescent="0.45">
      <c r="B206" s="2187" t="s">
        <v>740</v>
      </c>
      <c r="C206" s="2188" t="s">
        <v>741</v>
      </c>
      <c r="D206" s="2188">
        <f>A_MN+A_MO</f>
        <v>30.0061</v>
      </c>
      <c r="E206" s="2190"/>
      <c r="F206" s="2190"/>
      <c r="G206" s="2188" t="s">
        <v>361</v>
      </c>
      <c r="H206" s="2192"/>
      <c r="I206" s="2192"/>
      <c r="J206" s="2188" t="s">
        <v>742</v>
      </c>
    </row>
    <row r="207" spans="2:10" ht="15.75" hidden="1" outlineLevel="1" x14ac:dyDescent="0.45">
      <c r="B207" s="2187" t="s">
        <v>743</v>
      </c>
      <c r="C207" s="2188" t="s">
        <v>744</v>
      </c>
      <c r="D207" s="2188">
        <f>2*A_MN+A_MO</f>
        <v>44.012799999999999</v>
      </c>
      <c r="E207" s="2190"/>
      <c r="F207" s="2190"/>
      <c r="G207" s="2188" t="s">
        <v>361</v>
      </c>
      <c r="H207" s="2192"/>
      <c r="I207" s="2192"/>
      <c r="J207" s="2188" t="s">
        <v>745</v>
      </c>
    </row>
    <row r="208" spans="2:10" ht="15.75" hidden="1" outlineLevel="1" x14ac:dyDescent="0.45">
      <c r="B208" s="2187" t="s">
        <v>1157</v>
      </c>
      <c r="C208" s="2188" t="s">
        <v>1208</v>
      </c>
      <c r="D208" s="2188">
        <f>M_MH2S</f>
        <v>34.080880000000001</v>
      </c>
      <c r="E208" s="2190"/>
      <c r="F208" s="2190"/>
      <c r="G208" s="2188" t="s">
        <v>361</v>
      </c>
      <c r="H208" s="2192"/>
      <c r="I208" s="2192"/>
      <c r="J208" s="2188"/>
    </row>
    <row r="209" spans="1:10" collapsed="1" x14ac:dyDescent="0.45"/>
    <row r="210" spans="1:10" ht="14.65" thickBot="1" x14ac:dyDescent="0.5">
      <c r="C210" s="2250" t="s">
        <v>746</v>
      </c>
    </row>
    <row r="211" spans="1:10" ht="14.65" thickBot="1" x14ac:dyDescent="0.5">
      <c r="B211" s="2251" t="s">
        <v>0</v>
      </c>
      <c r="C211" s="2252" t="s">
        <v>1</v>
      </c>
      <c r="D211" s="2253" t="s">
        <v>152</v>
      </c>
      <c r="E211" s="2253" t="s">
        <v>471</v>
      </c>
      <c r="F211" s="2253" t="s">
        <v>472</v>
      </c>
      <c r="G211" s="2253" t="s">
        <v>2</v>
      </c>
      <c r="H211" s="2253" t="s">
        <v>300</v>
      </c>
      <c r="I211" s="2253" t="s">
        <v>116</v>
      </c>
      <c r="J211" s="2254" t="s">
        <v>117</v>
      </c>
    </row>
    <row r="212" spans="1:10" ht="15.75" outlineLevel="1" x14ac:dyDescent="0.45">
      <c r="B212" s="2187" t="s">
        <v>1209</v>
      </c>
      <c r="C212" s="2188" t="s">
        <v>1132</v>
      </c>
      <c r="D212" s="2188">
        <f>3*A_MCa+2*M_MPO4+4*M_MH2O</f>
        <v>382.23784440000003</v>
      </c>
      <c r="E212" s="2190"/>
      <c r="F212" s="2190"/>
      <c r="G212" s="2188" t="s">
        <v>361</v>
      </c>
      <c r="H212" s="2192"/>
      <c r="I212" s="2192"/>
      <c r="J212" s="2188" t="s">
        <v>4734</v>
      </c>
    </row>
    <row r="213" spans="1:10" ht="15.75" outlineLevel="1" x14ac:dyDescent="0.45">
      <c r="B213" s="2187" t="s">
        <v>4735</v>
      </c>
      <c r="C213" s="2188" t="s">
        <v>4736</v>
      </c>
      <c r="D213" s="2188">
        <f>2*A_MAl+3*A_MS+12*A_MO</f>
        <v>342.1508</v>
      </c>
      <c r="E213" s="2190"/>
      <c r="F213" s="2190"/>
      <c r="G213" s="2188" t="s">
        <v>361</v>
      </c>
      <c r="H213" s="2192"/>
      <c r="I213" s="2192"/>
      <c r="J213" s="2188"/>
    </row>
    <row r="214" spans="1:10" ht="15.75" outlineLevel="1" x14ac:dyDescent="0.45">
      <c r="B214" s="2187" t="s">
        <v>4737</v>
      </c>
      <c r="C214" s="2188" t="s">
        <v>4738</v>
      </c>
      <c r="D214" s="2188">
        <f>A_MAl+3*A_MCl</f>
        <v>133.34050000000002</v>
      </c>
      <c r="E214" s="2190"/>
      <c r="F214" s="2190"/>
      <c r="G214" s="2188" t="s">
        <v>361</v>
      </c>
      <c r="H214" s="2192"/>
      <c r="I214" s="2192"/>
      <c r="J214" s="2188"/>
    </row>
    <row r="215" spans="1:10" ht="15.75" outlineLevel="1" x14ac:dyDescent="0.45">
      <c r="B215" s="2187" t="s">
        <v>3275</v>
      </c>
      <c r="C215" s="2188" t="s">
        <v>3085</v>
      </c>
      <c r="D215" s="2188">
        <f>A_MAl+3*(A_MO+A_MH)</f>
        <v>78.003519999999995</v>
      </c>
      <c r="E215" s="2190"/>
      <c r="F215" s="2190"/>
      <c r="G215" s="2188" t="s">
        <v>361</v>
      </c>
      <c r="H215" s="2192"/>
      <c r="I215" s="2192"/>
      <c r="J215" s="2188"/>
    </row>
    <row r="216" spans="1:10" ht="15.75" outlineLevel="1" x14ac:dyDescent="0.45">
      <c r="B216" s="2187" t="s">
        <v>3276</v>
      </c>
      <c r="C216" s="2188" t="s">
        <v>3086</v>
      </c>
      <c r="D216" s="2188">
        <f>A_MAl+A_MP+4*A_MO</f>
        <v>121.9528622</v>
      </c>
      <c r="E216" s="2190"/>
      <c r="F216" s="2190"/>
      <c r="G216" s="2188" t="s">
        <v>361</v>
      </c>
      <c r="H216" s="2192"/>
      <c r="I216" s="2192"/>
      <c r="J216" s="2188"/>
    </row>
    <row r="217" spans="1:10" ht="15.75" x14ac:dyDescent="0.45">
      <c r="A217" s="2255"/>
      <c r="B217" s="2187" t="s">
        <v>4739</v>
      </c>
      <c r="C217" s="2188" t="s">
        <v>4740</v>
      </c>
      <c r="D217" s="2188">
        <f>1*A_MCa+1*A_MH+1*M_MPO4+2*M_MH2O</f>
        <v>172.08786220000002</v>
      </c>
      <c r="E217" s="2190"/>
      <c r="F217" s="2190"/>
      <c r="G217" s="2188" t="s">
        <v>361</v>
      </c>
      <c r="H217" s="2192"/>
      <c r="I217" s="2192"/>
      <c r="J217" s="2188"/>
    </row>
    <row r="218" spans="1:10" s="2256" customFormat="1" ht="15.75" outlineLevel="1" x14ac:dyDescent="0.45">
      <c r="B218" s="2187" t="s">
        <v>4741</v>
      </c>
      <c r="C218" s="2188" t="s">
        <v>4742</v>
      </c>
      <c r="D218" s="2188">
        <f>A_MCa+2*A_MCl</f>
        <v>110.98400000000001</v>
      </c>
      <c r="E218" s="2190"/>
      <c r="F218" s="2190"/>
      <c r="G218" s="2188" t="s">
        <v>361</v>
      </c>
      <c r="H218" s="2257"/>
      <c r="I218" s="2257"/>
      <c r="J218" s="2258"/>
    </row>
    <row r="219" spans="1:10" s="2256" customFormat="1" ht="15.75" outlineLevel="1" x14ac:dyDescent="0.45">
      <c r="B219" s="2187" t="s">
        <v>1263</v>
      </c>
      <c r="C219" s="2188" t="s">
        <v>1030</v>
      </c>
      <c r="D219" s="2188">
        <f>A_MCa+A_MC+3*A_MO</f>
        <v>100.0869</v>
      </c>
      <c r="E219" s="2190"/>
      <c r="F219" s="2190"/>
      <c r="G219" s="2188" t="s">
        <v>361</v>
      </c>
      <c r="H219" s="2257"/>
      <c r="I219" s="2257"/>
      <c r="J219" s="2258"/>
    </row>
    <row r="220" spans="1:10" ht="15.75" outlineLevel="1" x14ac:dyDescent="0.45">
      <c r="B220" s="2187" t="s">
        <v>1302</v>
      </c>
      <c r="C220" s="2188" t="s">
        <v>1338</v>
      </c>
      <c r="D220" s="2188">
        <f>A_MCa+2*A_MH+A_MP+4*A_MO</f>
        <v>137.0652422</v>
      </c>
      <c r="E220" s="2190"/>
      <c r="F220" s="2190"/>
      <c r="G220" s="2188" t="s">
        <v>361</v>
      </c>
      <c r="H220" s="2192"/>
      <c r="I220" s="2192"/>
      <c r="J220" s="2188"/>
    </row>
    <row r="221" spans="1:10" ht="15.75" outlineLevel="1" x14ac:dyDescent="0.45">
      <c r="B221" s="2187" t="s">
        <v>1299</v>
      </c>
      <c r="C221" s="2188" t="s">
        <v>1335</v>
      </c>
      <c r="D221" s="2188">
        <f>A_MCa+A_MH+A_MC+3*A_MO</f>
        <v>101.09484</v>
      </c>
      <c r="E221" s="2190"/>
      <c r="F221" s="2190"/>
      <c r="G221" s="2188" t="s">
        <v>361</v>
      </c>
      <c r="H221" s="2192"/>
      <c r="I221" s="2192"/>
      <c r="J221" s="2188"/>
    </row>
    <row r="222" spans="1:10" ht="15.75" outlineLevel="1" x14ac:dyDescent="0.45">
      <c r="B222" s="2187" t="s">
        <v>1301</v>
      </c>
      <c r="C222" s="2188" t="s">
        <v>1337</v>
      </c>
      <c r="D222" s="2188">
        <f>A_MCa+A_MH+A_MP+4*A_MO</f>
        <v>136.05730220000001</v>
      </c>
      <c r="E222" s="2190"/>
      <c r="F222" s="2190"/>
      <c r="G222" s="2188" t="s">
        <v>361</v>
      </c>
      <c r="H222" s="2192"/>
      <c r="I222" s="2192"/>
      <c r="J222" s="2188"/>
    </row>
    <row r="223" spans="1:10" ht="15.75" outlineLevel="1" x14ac:dyDescent="0.45">
      <c r="B223" s="2187" t="s">
        <v>1297</v>
      </c>
      <c r="C223" s="2188" t="s">
        <v>1298</v>
      </c>
      <c r="D223" s="2188">
        <f>A_MCa+A_MO+A_MH</f>
        <v>57.085340000000002</v>
      </c>
      <c r="E223" s="2190"/>
      <c r="F223" s="2190"/>
      <c r="G223" s="2188" t="s">
        <v>361</v>
      </c>
      <c r="H223" s="2192"/>
      <c r="I223" s="2192"/>
      <c r="J223" s="2188"/>
    </row>
    <row r="224" spans="1:10" ht="15.75" outlineLevel="1" x14ac:dyDescent="0.45">
      <c r="B224" s="2187" t="s">
        <v>4743</v>
      </c>
      <c r="C224" s="2188" t="s">
        <v>4744</v>
      </c>
      <c r="D224" s="2188">
        <f>A_MCa+2*(A_MO+A_MH)</f>
        <v>74.092680000000001</v>
      </c>
      <c r="E224" s="2190"/>
      <c r="F224" s="2190"/>
      <c r="G224" s="2188" t="s">
        <v>361</v>
      </c>
      <c r="H224" s="2192"/>
      <c r="I224" s="2192"/>
      <c r="J224" s="2188"/>
    </row>
    <row r="225" spans="2:10" ht="15.75" outlineLevel="1" x14ac:dyDescent="0.45">
      <c r="B225" s="2187" t="s">
        <v>1300</v>
      </c>
      <c r="C225" s="2188" t="s">
        <v>1336</v>
      </c>
      <c r="D225" s="2188">
        <f>A_MCa+A_MP+4*A_MO</f>
        <v>135.04936219999999</v>
      </c>
      <c r="E225" s="2190"/>
      <c r="F225" s="2190"/>
      <c r="G225" s="2188" t="s">
        <v>361</v>
      </c>
      <c r="H225" s="2192"/>
      <c r="I225" s="2192"/>
      <c r="J225" s="2188"/>
    </row>
    <row r="226" spans="2:10" ht="15.75" outlineLevel="1" x14ac:dyDescent="0.45">
      <c r="B226" s="2187" t="s">
        <v>752</v>
      </c>
      <c r="C226" s="2188" t="s">
        <v>753</v>
      </c>
      <c r="D226" s="2188">
        <f>A_MC+3*A_MH+A_MC+2*A_MO+A_MH</f>
        <v>60.051960000000001</v>
      </c>
      <c r="E226" s="2190"/>
      <c r="F226" s="2190"/>
      <c r="G226" s="2188" t="s">
        <v>361</v>
      </c>
      <c r="H226" s="2192"/>
      <c r="I226" s="2192"/>
      <c r="J226" s="2188"/>
    </row>
    <row r="227" spans="2:10" ht="15.75" outlineLevel="1" x14ac:dyDescent="0.45">
      <c r="B227" s="2187" t="s">
        <v>750</v>
      </c>
      <c r="C227" s="2188" t="s">
        <v>751</v>
      </c>
      <c r="D227" s="2188">
        <f>A_MC+3*A_MH+A_MO+A_MH</f>
        <v>32.04186</v>
      </c>
      <c r="E227" s="2190"/>
      <c r="F227" s="2190"/>
      <c r="G227" s="2188" t="s">
        <v>361</v>
      </c>
      <c r="H227" s="2192"/>
      <c r="I227" s="2192"/>
      <c r="J227" s="2188"/>
    </row>
    <row r="228" spans="2:10" ht="15.75" outlineLevel="1" x14ac:dyDescent="0.45">
      <c r="B228" s="2187" t="s">
        <v>1262</v>
      </c>
      <c r="C228" s="2188" t="s">
        <v>738</v>
      </c>
      <c r="D228" s="2188">
        <f>A_MC+2*A_MO</f>
        <v>44.009500000000003</v>
      </c>
      <c r="E228" s="2190"/>
      <c r="F228" s="2190"/>
      <c r="G228" s="2188" t="s">
        <v>361</v>
      </c>
      <c r="H228" s="2192"/>
      <c r="I228" s="2192"/>
      <c r="J228" s="2188"/>
    </row>
    <row r="229" spans="2:10" ht="15.75" outlineLevel="1" x14ac:dyDescent="0.45">
      <c r="B229" s="2187" t="s">
        <v>1021</v>
      </c>
      <c r="C229" s="2188" t="s">
        <v>1022</v>
      </c>
      <c r="D229" s="2188">
        <f>A_MC + 3*A_MO</f>
        <v>60.008899999999997</v>
      </c>
      <c r="E229" s="2190"/>
      <c r="F229" s="2190"/>
      <c r="G229" s="2188" t="s">
        <v>361</v>
      </c>
      <c r="H229" s="2192"/>
      <c r="I229" s="2192"/>
      <c r="J229" s="2188"/>
    </row>
    <row r="230" spans="2:10" ht="15.75" outlineLevel="1" x14ac:dyDescent="0.45">
      <c r="B230" s="2187" t="s">
        <v>1259</v>
      </c>
      <c r="C230" s="2188" t="s">
        <v>1260</v>
      </c>
      <c r="D230" s="2188">
        <f>2*A_MFe+3*A_MO</f>
        <v>159.68819999999999</v>
      </c>
      <c r="E230" s="2190"/>
      <c r="F230" s="2190"/>
      <c r="G230" s="2188" t="s">
        <v>361</v>
      </c>
      <c r="H230" s="2192"/>
      <c r="I230" s="2192"/>
      <c r="J230" s="2188"/>
    </row>
    <row r="231" spans="2:10" ht="15.75" outlineLevel="1" x14ac:dyDescent="0.45">
      <c r="B231" s="2187" t="s">
        <v>4745</v>
      </c>
      <c r="C231" s="2188" t="s">
        <v>4746</v>
      </c>
      <c r="D231" s="2188">
        <f>2*A_MFe+3*A_MS+12*A_MO</f>
        <v>399.87779999999998</v>
      </c>
      <c r="E231" s="2190"/>
      <c r="F231" s="2190"/>
      <c r="G231" s="2188" t="s">
        <v>361</v>
      </c>
      <c r="H231" s="2192"/>
      <c r="I231" s="2192"/>
      <c r="J231" s="2188"/>
    </row>
    <row r="232" spans="2:10" ht="15.75" outlineLevel="1" x14ac:dyDescent="0.45">
      <c r="B232" s="2187" t="s">
        <v>2443</v>
      </c>
      <c r="C232" s="2188" t="s">
        <v>2444</v>
      </c>
      <c r="D232" s="2188">
        <f>A_MFe+2*A_MCl</f>
        <v>126.751</v>
      </c>
      <c r="E232" s="2190"/>
      <c r="F232" s="2190"/>
      <c r="G232" s="2188" t="s">
        <v>361</v>
      </c>
      <c r="H232" s="2192"/>
      <c r="I232" s="2192"/>
      <c r="J232" s="2188"/>
    </row>
    <row r="233" spans="2:10" ht="15.75" outlineLevel="1" x14ac:dyDescent="0.45">
      <c r="B233" s="2187" t="s">
        <v>2441</v>
      </c>
      <c r="C233" s="2188" t="s">
        <v>2442</v>
      </c>
      <c r="D233" s="2188">
        <f>A_MFe+3*A_MCl</f>
        <v>162.20400000000001</v>
      </c>
      <c r="E233" s="2190"/>
      <c r="F233" s="2190"/>
      <c r="G233" s="2188" t="s">
        <v>361</v>
      </c>
      <c r="H233" s="2192"/>
      <c r="I233" s="2192"/>
      <c r="J233" s="2188"/>
    </row>
    <row r="234" spans="2:10" ht="15.75" outlineLevel="1" x14ac:dyDescent="0.45">
      <c r="B234" s="2187" t="s">
        <v>3274</v>
      </c>
      <c r="C234" s="2188" t="s">
        <v>3084</v>
      </c>
      <c r="D234" s="2188">
        <f>A_MFe+3*(A_MO+A_MH)</f>
        <v>106.86702</v>
      </c>
      <c r="E234" s="2190"/>
      <c r="F234" s="2190"/>
      <c r="G234" s="2188" t="s">
        <v>361</v>
      </c>
      <c r="H234" s="2192"/>
      <c r="I234" s="2192"/>
      <c r="J234" s="2188"/>
    </row>
    <row r="235" spans="2:10" ht="15.75" outlineLevel="1" x14ac:dyDescent="0.45">
      <c r="B235" s="2187" t="s">
        <v>1121</v>
      </c>
      <c r="C235" s="2188" t="s">
        <v>1117</v>
      </c>
      <c r="D235" s="2188">
        <f>A_MFe+A_MS</f>
        <v>87.91</v>
      </c>
      <c r="E235" s="2190"/>
      <c r="F235" s="2190"/>
      <c r="G235" s="2188" t="s">
        <v>361</v>
      </c>
      <c r="H235" s="2192"/>
      <c r="I235" s="2192"/>
      <c r="J235" s="2188"/>
    </row>
    <row r="236" spans="2:10" ht="15.75" outlineLevel="1" x14ac:dyDescent="0.45">
      <c r="B236" s="2187" t="s">
        <v>2445</v>
      </c>
      <c r="C236" s="2188" t="s">
        <v>2446</v>
      </c>
      <c r="D236" s="2188">
        <f>A_MFe+M_MSO4</f>
        <v>151.9076</v>
      </c>
      <c r="E236" s="2190"/>
      <c r="F236" s="2190"/>
      <c r="G236" s="2188" t="s">
        <v>361</v>
      </c>
      <c r="H236" s="2192"/>
      <c r="I236" s="2192"/>
      <c r="J236" s="2188"/>
    </row>
    <row r="237" spans="2:10" ht="15.75" outlineLevel="1" x14ac:dyDescent="0.45">
      <c r="B237" s="2187" t="s">
        <v>1025</v>
      </c>
      <c r="C237" s="2188" t="s">
        <v>1026</v>
      </c>
      <c r="D237" s="2188">
        <f>2*A_MH+A_MC + 3*A_MO</f>
        <v>62.024779999999993</v>
      </c>
      <c r="E237" s="2190"/>
      <c r="F237" s="2190"/>
      <c r="G237" s="2188" t="s">
        <v>361</v>
      </c>
      <c r="H237" s="2192"/>
      <c r="I237" s="2192"/>
      <c r="J237" s="2188"/>
    </row>
    <row r="238" spans="2:10" ht="15.75" outlineLevel="1" x14ac:dyDescent="0.45">
      <c r="B238" s="2187" t="s">
        <v>1118</v>
      </c>
      <c r="C238" s="2188" t="s">
        <v>1119</v>
      </c>
      <c r="D238" s="2188">
        <f>2*A_MH+A_MO</f>
        <v>18.015280000000001</v>
      </c>
      <c r="E238" s="2190"/>
      <c r="F238" s="2190"/>
      <c r="G238" s="2188" t="s">
        <v>361</v>
      </c>
      <c r="H238" s="2192"/>
      <c r="I238" s="2192"/>
      <c r="J238" s="2188"/>
    </row>
    <row r="239" spans="2:10" ht="15.75" outlineLevel="1" x14ac:dyDescent="0.45">
      <c r="B239" s="2187" t="s">
        <v>4747</v>
      </c>
      <c r="C239" s="2188" t="s">
        <v>4748</v>
      </c>
      <c r="D239" s="2188">
        <f>3*A_MH + A_MP+4*A_MO</f>
        <v>97.995182199999988</v>
      </c>
      <c r="E239" s="2190"/>
      <c r="F239" s="2190"/>
      <c r="G239" s="2188" t="s">
        <v>361</v>
      </c>
      <c r="H239" s="2192"/>
      <c r="I239" s="2192"/>
      <c r="J239" s="2188"/>
    </row>
    <row r="240" spans="2:10" ht="15.75" outlineLevel="1" x14ac:dyDescent="0.45">
      <c r="B240" s="2187" t="s">
        <v>1112</v>
      </c>
      <c r="C240" s="2188" t="s">
        <v>1029</v>
      </c>
      <c r="D240" s="2188">
        <f>2*A_MH + A_MS</f>
        <v>34.080880000000001</v>
      </c>
      <c r="E240" s="2190"/>
      <c r="F240" s="2190"/>
      <c r="G240" s="2188" t="s">
        <v>361</v>
      </c>
      <c r="H240" s="2192"/>
      <c r="I240" s="2192"/>
      <c r="J240" s="2188"/>
    </row>
    <row r="241" spans="2:10" ht="15.75" outlineLevel="1" x14ac:dyDescent="0.45">
      <c r="B241" s="2187" t="s">
        <v>1068</v>
      </c>
      <c r="C241" s="2188" t="s">
        <v>1027</v>
      </c>
      <c r="D241" s="2188">
        <f>2*A_MH + A_MS+4*A_MO</f>
        <v>98.078479999999999</v>
      </c>
      <c r="E241" s="2190"/>
      <c r="F241" s="2190"/>
      <c r="G241" s="2188" t="s">
        <v>361</v>
      </c>
      <c r="H241" s="2192"/>
      <c r="I241" s="2192"/>
      <c r="J241" s="2188"/>
    </row>
    <row r="242" spans="2:10" ht="15.75" outlineLevel="1" x14ac:dyDescent="0.45">
      <c r="B242" s="2187" t="s">
        <v>1295</v>
      </c>
      <c r="C242" s="2188" t="s">
        <v>1296</v>
      </c>
      <c r="D242" s="2188">
        <f>5*A_MCa+A_MP*3+4*3*A_MO+A_MO+A_MH</f>
        <v>502.3114266</v>
      </c>
      <c r="E242" s="2190"/>
      <c r="F242" s="2190"/>
      <c r="G242" s="2188" t="s">
        <v>361</v>
      </c>
      <c r="H242" s="2192"/>
      <c r="I242" s="2192"/>
      <c r="J242" s="2188" t="s">
        <v>4749</v>
      </c>
    </row>
    <row r="243" spans="2:10" ht="15.75" outlineLevel="1" x14ac:dyDescent="0.45">
      <c r="B243" s="2187" t="s">
        <v>1028</v>
      </c>
      <c r="C243" s="2188" t="s">
        <v>1108</v>
      </c>
      <c r="D243" s="2188">
        <f>A_MH + A_MCl</f>
        <v>36.460940000000001</v>
      </c>
      <c r="E243" s="2190"/>
      <c r="F243" s="2190"/>
      <c r="G243" s="2188" t="s">
        <v>361</v>
      </c>
      <c r="H243" s="2192"/>
      <c r="I243" s="2192"/>
      <c r="J243" s="2188"/>
    </row>
    <row r="244" spans="2:10" ht="15.75" outlineLevel="1" x14ac:dyDescent="0.45">
      <c r="B244" s="2187" t="s">
        <v>1023</v>
      </c>
      <c r="C244" s="2188" t="s">
        <v>1024</v>
      </c>
      <c r="D244" s="2188">
        <f>A_MH + A_MC + 3*A_MO</f>
        <v>61.016839999999995</v>
      </c>
      <c r="E244" s="2190"/>
      <c r="F244" s="2190"/>
      <c r="G244" s="2188" t="s">
        <v>361</v>
      </c>
      <c r="H244" s="2192"/>
      <c r="I244" s="2192"/>
      <c r="J244" s="2188"/>
    </row>
    <row r="245" spans="2:10" ht="15.75" outlineLevel="1" x14ac:dyDescent="0.45">
      <c r="B245" s="2187" t="s">
        <v>1293</v>
      </c>
      <c r="C245" s="2188" t="s">
        <v>1294</v>
      </c>
      <c r="D245" s="2188">
        <f>2*A_MCa+A_MP+4*A_MO+2*(A_MO+A_MH)</f>
        <v>209.14204219999999</v>
      </c>
      <c r="E245" s="2190"/>
      <c r="F245" s="2190"/>
      <c r="G245" s="2188" t="s">
        <v>361</v>
      </c>
      <c r="H245" s="2192"/>
      <c r="I245" s="2192"/>
      <c r="J245" s="2188" t="s">
        <v>4750</v>
      </c>
    </row>
    <row r="246" spans="2:10" ht="15.75" outlineLevel="1" x14ac:dyDescent="0.45">
      <c r="B246" s="2187" t="s">
        <v>4751</v>
      </c>
      <c r="C246" s="2188" t="s">
        <v>4752</v>
      </c>
      <c r="D246" s="2188">
        <f>A_MH + A_MN+3*A_MO</f>
        <v>63.012839999999997</v>
      </c>
      <c r="E246" s="2190"/>
      <c r="F246" s="2190"/>
      <c r="G246" s="2188" t="s">
        <v>361</v>
      </c>
      <c r="H246" s="2192"/>
      <c r="I246" s="2192"/>
      <c r="J246" s="2188"/>
    </row>
    <row r="247" spans="2:10" ht="15.75" outlineLevel="1" x14ac:dyDescent="0.45">
      <c r="B247" s="2187" t="s">
        <v>1067</v>
      </c>
      <c r="C247" s="2188" t="s">
        <v>1109</v>
      </c>
      <c r="D247" s="2188">
        <f>A_MH + A_MS+4*A_MO</f>
        <v>97.070539999999994</v>
      </c>
      <c r="E247" s="2190"/>
      <c r="F247" s="2190"/>
      <c r="G247" s="2188" t="s">
        <v>361</v>
      </c>
      <c r="H247" s="2192"/>
      <c r="I247" s="2192"/>
      <c r="J247" s="2188"/>
    </row>
    <row r="248" spans="2:10" ht="15.75" outlineLevel="1" x14ac:dyDescent="0.45">
      <c r="B248" s="2187" t="s">
        <v>1304</v>
      </c>
      <c r="C248" s="2188" t="s">
        <v>1340</v>
      </c>
      <c r="D248" s="2188">
        <f>A_MMg+A_MC+3*A_MO</f>
        <v>84.31389999999999</v>
      </c>
      <c r="E248" s="2190"/>
      <c r="F248" s="2190"/>
      <c r="G248" s="2188" t="s">
        <v>361</v>
      </c>
      <c r="H248" s="2192"/>
      <c r="I248" s="2192"/>
      <c r="J248" s="2188"/>
    </row>
    <row r="249" spans="2:10" ht="15.75" outlineLevel="1" x14ac:dyDescent="0.45">
      <c r="B249" s="2187" t="s">
        <v>1308</v>
      </c>
      <c r="C249" s="2188" t="s">
        <v>1344</v>
      </c>
      <c r="D249" s="2188">
        <f>A_MMg+2*A_MH+A_MP+4*A_MO</f>
        <v>121.2922422</v>
      </c>
      <c r="E249" s="2190"/>
      <c r="F249" s="2190"/>
      <c r="G249" s="2188" t="s">
        <v>361</v>
      </c>
      <c r="H249" s="2192"/>
      <c r="I249" s="2192"/>
      <c r="J249" s="2188"/>
    </row>
    <row r="250" spans="2:10" ht="15.75" outlineLevel="1" x14ac:dyDescent="0.45">
      <c r="B250" s="2187" t="s">
        <v>1305</v>
      </c>
      <c r="C250" s="2188" t="s">
        <v>1341</v>
      </c>
      <c r="D250" s="2188">
        <f>A_MMg+A_MH+A_MC+3*A_MO</f>
        <v>85.321839999999995</v>
      </c>
      <c r="E250" s="2190"/>
      <c r="F250" s="2190"/>
      <c r="G250" s="2188" t="s">
        <v>361</v>
      </c>
      <c r="H250" s="2192"/>
      <c r="I250" s="2192"/>
      <c r="J250" s="2188"/>
    </row>
    <row r="251" spans="2:10" ht="15.75" outlineLevel="1" x14ac:dyDescent="0.45">
      <c r="B251" s="2187" t="s">
        <v>1306</v>
      </c>
      <c r="C251" s="2188" t="s">
        <v>1342</v>
      </c>
      <c r="D251" s="2188">
        <f>A_MMg+A_MH+A_MP+4*A_MO</f>
        <v>120.2843022</v>
      </c>
      <c r="E251" s="2190"/>
      <c r="F251" s="2190"/>
      <c r="G251" s="2188" t="s">
        <v>361</v>
      </c>
      <c r="H251" s="2192"/>
      <c r="I251" s="2192"/>
      <c r="J251" s="2188"/>
    </row>
    <row r="252" spans="2:10" ht="15.75" outlineLevel="1" x14ac:dyDescent="0.45">
      <c r="B252" s="2187" t="s">
        <v>1303</v>
      </c>
      <c r="C252" s="2188" t="s">
        <v>1339</v>
      </c>
      <c r="D252" s="2188">
        <f>A_MMg+A_MO+A_MH</f>
        <v>41.312339999999999</v>
      </c>
      <c r="E252" s="2190"/>
      <c r="F252" s="2190"/>
      <c r="G252" s="2188" t="s">
        <v>361</v>
      </c>
      <c r="H252" s="2192"/>
      <c r="I252" s="2192"/>
      <c r="J252" s="2188"/>
    </row>
    <row r="253" spans="2:10" ht="15.75" outlineLevel="1" x14ac:dyDescent="0.45">
      <c r="B253" s="2187" t="s">
        <v>2447</v>
      </c>
      <c r="C253" s="2188" t="s">
        <v>2448</v>
      </c>
      <c r="D253" s="2188">
        <f>A_MMg+2*(A_MO+A_MH)</f>
        <v>58.319679999999998</v>
      </c>
      <c r="E253" s="2190"/>
      <c r="F253" s="2190"/>
      <c r="G253" s="2188" t="s">
        <v>361</v>
      </c>
      <c r="H253" s="2192"/>
      <c r="I253" s="2192"/>
      <c r="J253" s="2188"/>
    </row>
    <row r="254" spans="2:10" ht="15.75" outlineLevel="1" x14ac:dyDescent="0.45">
      <c r="B254" s="2187" t="s">
        <v>1307</v>
      </c>
      <c r="C254" s="2188" t="s">
        <v>1343</v>
      </c>
      <c r="D254" s="2188">
        <f>A_MMg+A_MP+4*A_MO</f>
        <v>119.27636219999999</v>
      </c>
      <c r="E254" s="2190"/>
      <c r="F254" s="2190"/>
      <c r="G254" s="2188" t="s">
        <v>361</v>
      </c>
      <c r="H254" s="2192"/>
      <c r="I254" s="2192"/>
      <c r="J254" s="2188"/>
    </row>
    <row r="255" spans="2:10" ht="15.75" outlineLevel="1" x14ac:dyDescent="0.45">
      <c r="B255" s="2187" t="s">
        <v>1291</v>
      </c>
      <c r="C255" s="2188" t="s">
        <v>1292</v>
      </c>
      <c r="D255" s="2188">
        <f>A_MMg+A_MK+A_MP+4*A_MO+6*2*A_MH+6*A_MO</f>
        <v>266.46634219999999</v>
      </c>
      <c r="E255" s="2190"/>
      <c r="F255" s="2190"/>
      <c r="G255" s="2188" t="s">
        <v>361</v>
      </c>
      <c r="H255" s="2192"/>
      <c r="I255" s="2192"/>
      <c r="J255" s="2188"/>
    </row>
    <row r="256" spans="2:10" ht="15.75" outlineLevel="1" x14ac:dyDescent="0.45">
      <c r="B256" s="2187" t="s">
        <v>2044</v>
      </c>
      <c r="C256" s="2188" t="s">
        <v>2045</v>
      </c>
      <c r="D256" s="2188">
        <f>4*A_MH+A_MC+A_MS</f>
        <v>48.107459999999996</v>
      </c>
      <c r="E256" s="2190"/>
      <c r="F256" s="2190"/>
      <c r="G256" s="2188" t="s">
        <v>361</v>
      </c>
      <c r="H256" s="2192"/>
      <c r="I256" s="2192"/>
      <c r="J256" s="2189" t="s">
        <v>4753</v>
      </c>
    </row>
    <row r="257" spans="2:10" ht="15.75" outlineLevel="1" x14ac:dyDescent="0.45">
      <c r="B257" s="2187" t="s">
        <v>450</v>
      </c>
      <c r="C257" s="2188" t="s">
        <v>451</v>
      </c>
      <c r="D257" s="2188">
        <f>2*A_MN</f>
        <v>28.013400000000001</v>
      </c>
      <c r="E257" s="2190"/>
      <c r="F257" s="2190"/>
      <c r="G257" s="2188" t="s">
        <v>361</v>
      </c>
      <c r="H257" s="2192"/>
      <c r="I257" s="2192"/>
      <c r="J257" s="2188"/>
    </row>
    <row r="258" spans="2:10" ht="15.75" outlineLevel="1" x14ac:dyDescent="0.45">
      <c r="B258" s="2259" t="s">
        <v>3805</v>
      </c>
      <c r="C258" s="2258" t="s">
        <v>3807</v>
      </c>
      <c r="D258" s="2258">
        <f>2*A_MN + A_MO</f>
        <v>44.012799999999999</v>
      </c>
      <c r="E258" s="2260"/>
      <c r="F258" s="2260"/>
      <c r="G258" s="2258" t="s">
        <v>361</v>
      </c>
      <c r="H258" s="2192"/>
      <c r="I258" s="2192"/>
      <c r="J258" s="2188"/>
    </row>
    <row r="259" spans="2:10" ht="15.75" outlineLevel="1" x14ac:dyDescent="0.45">
      <c r="B259" s="2187" t="s">
        <v>2449</v>
      </c>
      <c r="C259" s="2188" t="s">
        <v>2450</v>
      </c>
      <c r="D259" s="2188">
        <f>2*A_MNa+A_MC+3*A_MO</f>
        <v>105.988438</v>
      </c>
      <c r="E259" s="2190"/>
      <c r="F259" s="2190"/>
      <c r="G259" s="2188" t="s">
        <v>361</v>
      </c>
      <c r="H259" s="2192"/>
      <c r="I259" s="2192"/>
      <c r="J259" s="2188"/>
    </row>
    <row r="260" spans="2:10" ht="15.75" outlineLevel="1" x14ac:dyDescent="0.45">
      <c r="B260" s="2187" t="s">
        <v>2040</v>
      </c>
      <c r="C260" s="2188" t="s">
        <v>2041</v>
      </c>
      <c r="D260" s="2188">
        <f>A_MNa+A_MCl</f>
        <v>58.442768999999998</v>
      </c>
      <c r="E260" s="2190"/>
      <c r="F260" s="2190"/>
      <c r="G260" s="2188" t="s">
        <v>361</v>
      </c>
      <c r="H260" s="2192"/>
      <c r="I260" s="2192"/>
      <c r="J260" s="2188"/>
    </row>
    <row r="261" spans="2:10" ht="15.75" outlineLevel="1" x14ac:dyDescent="0.45">
      <c r="B261" s="2187" t="s">
        <v>2451</v>
      </c>
      <c r="C261" s="2188" t="s">
        <v>2452</v>
      </c>
      <c r="D261" s="2188">
        <f>A_MNa+A_MH+A_MC+3*A_MO</f>
        <v>84.006608999999997</v>
      </c>
      <c r="E261" s="2190"/>
      <c r="F261" s="2190"/>
      <c r="G261" s="2188" t="s">
        <v>361</v>
      </c>
      <c r="H261" s="2192"/>
      <c r="I261" s="2192"/>
      <c r="J261" s="2188"/>
    </row>
    <row r="262" spans="2:10" ht="15.75" outlineLevel="1" x14ac:dyDescent="0.45">
      <c r="B262" s="2187" t="s">
        <v>1309</v>
      </c>
      <c r="C262" s="2188" t="s">
        <v>1345</v>
      </c>
      <c r="D262" s="2188">
        <f>A_MNa+A_MH+A_MP+4*A_MO</f>
        <v>118.9690712</v>
      </c>
      <c r="E262" s="2190"/>
      <c r="F262" s="2190"/>
      <c r="G262" s="2188" t="s">
        <v>361</v>
      </c>
      <c r="H262" s="2192"/>
      <c r="I262" s="2192"/>
      <c r="J262" s="2188"/>
    </row>
    <row r="263" spans="2:10" ht="15.75" outlineLevel="1" x14ac:dyDescent="0.45">
      <c r="B263" s="2187" t="s">
        <v>4754</v>
      </c>
      <c r="C263" s="2188" t="s">
        <v>4755</v>
      </c>
      <c r="D263" s="2188">
        <f>A_MK+A_MN+2*A_MO</f>
        <v>85.103800000000007</v>
      </c>
      <c r="E263" s="2190"/>
      <c r="F263" s="2190"/>
      <c r="G263" s="2188" t="s">
        <v>361</v>
      </c>
      <c r="H263" s="2192"/>
      <c r="I263" s="2192"/>
      <c r="J263" s="2188"/>
    </row>
    <row r="264" spans="2:10" ht="15.75" outlineLevel="1" x14ac:dyDescent="0.45">
      <c r="B264" s="2187" t="s">
        <v>4756</v>
      </c>
      <c r="C264" s="2188" t="s">
        <v>4757</v>
      </c>
      <c r="D264" s="2188">
        <f>A_MK+A_MN+3*A_MO</f>
        <v>101.1032</v>
      </c>
      <c r="E264" s="2190"/>
      <c r="F264" s="2190"/>
      <c r="G264" s="2188" t="s">
        <v>361</v>
      </c>
      <c r="H264" s="2192"/>
      <c r="I264" s="2192"/>
      <c r="J264" s="2188"/>
    </row>
    <row r="265" spans="2:10" ht="15.75" outlineLevel="1" x14ac:dyDescent="0.45">
      <c r="B265" s="2187" t="s">
        <v>2042</v>
      </c>
      <c r="C265" s="2188" t="s">
        <v>2043</v>
      </c>
      <c r="D265" s="2188">
        <f>A_MNa+A_MH+A_MO</f>
        <v>39.997109000000002</v>
      </c>
      <c r="E265" s="2190"/>
      <c r="F265" s="2190"/>
      <c r="G265" s="2188" t="s">
        <v>361</v>
      </c>
      <c r="H265" s="2192"/>
      <c r="I265" s="2192"/>
      <c r="J265" s="2188"/>
    </row>
    <row r="266" spans="2:10" ht="15.75" outlineLevel="1" x14ac:dyDescent="0.45">
      <c r="B266" s="2187" t="s">
        <v>747</v>
      </c>
      <c r="C266" s="2188" t="s">
        <v>748</v>
      </c>
      <c r="D266" s="2188">
        <f>A_MN+3*A_MH</f>
        <v>17.030519999999999</v>
      </c>
      <c r="E266" s="2190"/>
      <c r="F266" s="2190"/>
      <c r="G266" s="2188" t="s">
        <v>361</v>
      </c>
      <c r="H266" s="2192"/>
      <c r="I266" s="2192"/>
      <c r="J266" s="2188"/>
    </row>
    <row r="267" spans="2:10" ht="15.75" outlineLevel="1" x14ac:dyDescent="0.45">
      <c r="B267" s="2187" t="s">
        <v>1018</v>
      </c>
      <c r="C267" s="2188" t="s">
        <v>3510</v>
      </c>
      <c r="D267" s="2188">
        <f>A_MN+4*A_MH</f>
        <v>18.038460000000001</v>
      </c>
      <c r="E267" s="2190"/>
      <c r="F267" s="2190"/>
      <c r="G267" s="2188" t="s">
        <v>361</v>
      </c>
      <c r="H267" s="2192"/>
      <c r="I267" s="2192"/>
      <c r="J267" s="2188"/>
    </row>
    <row r="268" spans="2:10" ht="15.75" outlineLevel="1" x14ac:dyDescent="0.45">
      <c r="B268" s="2187" t="s">
        <v>4758</v>
      </c>
      <c r="C268" s="2188" t="s">
        <v>4759</v>
      </c>
      <c r="D268" s="2188">
        <f>M_MNH4+A_MH+A_MC+3*A_MO</f>
        <v>79.055300000000003</v>
      </c>
      <c r="E268" s="2190"/>
      <c r="F268" s="2190"/>
      <c r="G268" s="2188" t="s">
        <v>361</v>
      </c>
      <c r="H268" s="2192"/>
      <c r="I268" s="2192"/>
      <c r="J268" s="2188"/>
    </row>
    <row r="269" spans="2:10" ht="15.75" outlineLevel="1" x14ac:dyDescent="0.45">
      <c r="B269" s="2259" t="s">
        <v>3804</v>
      </c>
      <c r="C269" s="2258" t="s">
        <v>3806</v>
      </c>
      <c r="D269" s="2258">
        <f>A_MN + A_MO</f>
        <v>30.0061</v>
      </c>
      <c r="E269" s="2260"/>
      <c r="F269" s="2260"/>
      <c r="G269" s="2258" t="s">
        <v>361</v>
      </c>
      <c r="H269" s="2192"/>
      <c r="I269" s="2192"/>
      <c r="J269" s="2188"/>
    </row>
    <row r="270" spans="2:10" ht="15.75" outlineLevel="1" x14ac:dyDescent="0.45">
      <c r="B270" s="2187" t="s">
        <v>1019</v>
      </c>
      <c r="C270" s="2188" t="s">
        <v>3511</v>
      </c>
      <c r="D270" s="2188">
        <f>A_MN + 2*A_MO</f>
        <v>46.005499999999998</v>
      </c>
      <c r="E270" s="2190"/>
      <c r="F270" s="2190"/>
      <c r="G270" s="2188" t="s">
        <v>361</v>
      </c>
      <c r="H270" s="2192"/>
      <c r="I270" s="2192"/>
      <c r="J270" s="2188"/>
    </row>
    <row r="271" spans="2:10" ht="15.75" outlineLevel="1" x14ac:dyDescent="0.45">
      <c r="B271" s="2187" t="s">
        <v>1020</v>
      </c>
      <c r="C271" s="2188" t="s">
        <v>3512</v>
      </c>
      <c r="D271" s="2188">
        <f>A_MN + 3*A_MO</f>
        <v>62.004899999999999</v>
      </c>
      <c r="E271" s="2190"/>
      <c r="F271" s="2190"/>
      <c r="G271" s="2188" t="s">
        <v>361</v>
      </c>
      <c r="H271" s="2192"/>
      <c r="I271" s="2192"/>
      <c r="J271" s="2188"/>
    </row>
    <row r="272" spans="2:10" ht="15.75" outlineLevel="1" x14ac:dyDescent="0.45">
      <c r="B272" s="2187" t="s">
        <v>449</v>
      </c>
      <c r="C272" s="2188" t="s">
        <v>448</v>
      </c>
      <c r="D272" s="2188">
        <f>2*A_MO</f>
        <v>31.998799999999999</v>
      </c>
      <c r="E272" s="2190"/>
      <c r="F272" s="2190"/>
      <c r="G272" s="2188" t="s">
        <v>361</v>
      </c>
      <c r="H272" s="2192"/>
      <c r="I272" s="2192"/>
      <c r="J272" s="2188"/>
    </row>
    <row r="273" spans="2:10" ht="15.75" outlineLevel="1" x14ac:dyDescent="0.45">
      <c r="B273" s="2187" t="s">
        <v>1261</v>
      </c>
      <c r="C273" s="2188" t="s">
        <v>749</v>
      </c>
      <c r="D273" s="2188">
        <f>A_MP+4*A_MO</f>
        <v>94.971362200000002</v>
      </c>
      <c r="E273" s="2190"/>
      <c r="F273" s="2190"/>
      <c r="G273" s="2188" t="s">
        <v>361</v>
      </c>
      <c r="H273" s="2192"/>
      <c r="I273" s="2192"/>
      <c r="J273" s="2188"/>
    </row>
    <row r="274" spans="2:10" ht="15.75" outlineLevel="1" x14ac:dyDescent="0.45">
      <c r="B274" s="2187" t="s">
        <v>1032</v>
      </c>
      <c r="C274" s="2188" t="s">
        <v>1033</v>
      </c>
      <c r="D274" s="2188">
        <f>A_MSi + 2*A_MO</f>
        <v>60.084299999999999</v>
      </c>
      <c r="E274" s="2190"/>
      <c r="F274" s="2190"/>
      <c r="G274" s="2188" t="s">
        <v>361</v>
      </c>
      <c r="H274" s="2192"/>
      <c r="I274" s="2192"/>
      <c r="J274" s="2188"/>
    </row>
    <row r="275" spans="2:10" ht="15.75" outlineLevel="1" x14ac:dyDescent="0.45">
      <c r="B275" s="2187" t="s">
        <v>1066</v>
      </c>
      <c r="C275" s="2188" t="s">
        <v>1111</v>
      </c>
      <c r="D275" s="2188">
        <f>A_MS+4*A_MO</f>
        <v>96.062600000000003</v>
      </c>
      <c r="E275" s="2190"/>
      <c r="F275" s="2190"/>
      <c r="G275" s="2188" t="s">
        <v>361</v>
      </c>
      <c r="H275" s="2192"/>
      <c r="I275" s="2192"/>
      <c r="J275" s="2188"/>
    </row>
    <row r="276" spans="2:10" ht="15.75" outlineLevel="1" x14ac:dyDescent="0.45">
      <c r="B276" s="2187" t="s">
        <v>1264</v>
      </c>
      <c r="C276" s="2188" t="s">
        <v>1031</v>
      </c>
      <c r="D276" s="2188">
        <f>A_MMg+A_MN+4*A_MH+A_MP+4*A_MO+6*(M_MH2O)</f>
        <v>245.40650220000001</v>
      </c>
      <c r="E276" s="2190"/>
      <c r="F276" s="2190"/>
      <c r="G276" s="2188" t="s">
        <v>361</v>
      </c>
      <c r="H276" s="2192"/>
      <c r="I276" s="2192"/>
      <c r="J276" s="2188" t="s">
        <v>4760</v>
      </c>
    </row>
    <row r="277" spans="2:10" ht="15.75" outlineLevel="1" x14ac:dyDescent="0.45">
      <c r="B277" s="2187" t="s">
        <v>1120</v>
      </c>
      <c r="C277" s="2188" t="s">
        <v>1116</v>
      </c>
      <c r="D277" s="2188">
        <f>3*A_MFe+2*(A_MP+4*A_MO)+8*M_MH2O</f>
        <v>501.59996439999998</v>
      </c>
      <c r="E277" s="2190"/>
      <c r="F277" s="2190"/>
      <c r="G277" s="2188" t="s">
        <v>361</v>
      </c>
      <c r="H277" s="2192"/>
      <c r="I277" s="2192"/>
      <c r="J277" s="2188" t="s">
        <v>4761</v>
      </c>
    </row>
    <row r="279" spans="2:10" ht="14.65" thickBot="1" x14ac:dyDescent="0.5">
      <c r="C279" s="2250" t="s">
        <v>754</v>
      </c>
    </row>
    <row r="280" spans="2:10" ht="14.65" thickBot="1" x14ac:dyDescent="0.5">
      <c r="B280" s="2251" t="s">
        <v>0</v>
      </c>
      <c r="C280" s="2252" t="s">
        <v>1</v>
      </c>
      <c r="D280" s="2253" t="s">
        <v>152</v>
      </c>
      <c r="E280" s="2253" t="s">
        <v>471</v>
      </c>
      <c r="F280" s="2253" t="s">
        <v>472</v>
      </c>
      <c r="G280" s="2253" t="s">
        <v>2</v>
      </c>
      <c r="H280" s="2253" t="s">
        <v>300</v>
      </c>
      <c r="I280" s="2253" t="s">
        <v>116</v>
      </c>
      <c r="J280" s="2254" t="s">
        <v>117</v>
      </c>
    </row>
    <row r="281" spans="2:10" ht="15.75" x14ac:dyDescent="0.45">
      <c r="B281" s="2187" t="s">
        <v>1265</v>
      </c>
      <c r="C281" s="2188" t="s">
        <v>1069</v>
      </c>
      <c r="D281" s="2188">
        <f>2*A_MN</f>
        <v>28.013400000000001</v>
      </c>
      <c r="E281" s="2190"/>
      <c r="F281" s="2190"/>
      <c r="G281" s="2188" t="s">
        <v>2046</v>
      </c>
      <c r="H281" s="2192"/>
      <c r="I281" s="2192"/>
      <c r="J281" s="2188"/>
    </row>
    <row r="282" spans="2:10" ht="15.75" x14ac:dyDescent="0.45">
      <c r="B282" s="2187" t="s">
        <v>1266</v>
      </c>
      <c r="C282" s="2188" t="s">
        <v>1113</v>
      </c>
      <c r="D282" s="2188">
        <f>A_MN</f>
        <v>14.0067</v>
      </c>
      <c r="E282" s="2190"/>
      <c r="F282" s="2190"/>
      <c r="G282" s="2188" t="s">
        <v>2046</v>
      </c>
      <c r="H282" s="2192"/>
      <c r="I282" s="2192"/>
      <c r="J282" s="2188"/>
    </row>
    <row r="283" spans="2:10" ht="15.75" x14ac:dyDescent="0.45">
      <c r="B283" s="2187" t="s">
        <v>1267</v>
      </c>
      <c r="C283" s="2188" t="s">
        <v>1070</v>
      </c>
      <c r="D283" s="2188">
        <f>A_MN</f>
        <v>14.0067</v>
      </c>
      <c r="E283" s="2190"/>
      <c r="F283" s="2190"/>
      <c r="G283" s="2188" t="s">
        <v>2046</v>
      </c>
      <c r="H283" s="2192"/>
      <c r="I283" s="2192"/>
      <c r="J283" s="2188"/>
    </row>
    <row r="284" spans="2:10" ht="15.75" x14ac:dyDescent="0.45">
      <c r="B284" s="2187" t="s">
        <v>1268</v>
      </c>
      <c r="C284" s="2188" t="s">
        <v>1071</v>
      </c>
      <c r="D284" s="2188">
        <f>2*A_MN</f>
        <v>28.013400000000001</v>
      </c>
      <c r="E284" s="2190"/>
      <c r="F284" s="2190"/>
      <c r="G284" s="2188" t="s">
        <v>2046</v>
      </c>
      <c r="H284" s="2192"/>
      <c r="I284" s="2192"/>
      <c r="J284" s="2188"/>
    </row>
    <row r="285" spans="2:10" ht="15.75" x14ac:dyDescent="0.45">
      <c r="B285" s="2187" t="s">
        <v>1269</v>
      </c>
      <c r="C285" s="2188" t="s">
        <v>1072</v>
      </c>
      <c r="D285" s="2188">
        <v>12.0107</v>
      </c>
      <c r="E285" s="2190"/>
      <c r="F285" s="2190"/>
      <c r="G285" s="2188" t="s">
        <v>361</v>
      </c>
      <c r="H285" s="2192"/>
      <c r="I285" s="2192"/>
      <c r="J285" s="2188" t="s">
        <v>1270</v>
      </c>
    </row>
    <row r="286" spans="2:10" ht="15.75" x14ac:dyDescent="0.45">
      <c r="B286" s="2187" t="s">
        <v>1271</v>
      </c>
      <c r="C286" s="2188" t="s">
        <v>1073</v>
      </c>
      <c r="D286" s="2188">
        <f>2*A_MO</f>
        <v>31.998799999999999</v>
      </c>
      <c r="E286" s="2190"/>
      <c r="F286" s="2190"/>
      <c r="G286" s="2188" t="s">
        <v>361</v>
      </c>
      <c r="H286" s="2192"/>
      <c r="I286" s="2192"/>
      <c r="J286" s="2188"/>
    </row>
    <row r="287" spans="2:10" ht="15.75" x14ac:dyDescent="0.45">
      <c r="B287" s="2187" t="s">
        <v>755</v>
      </c>
      <c r="C287" s="2188" t="s">
        <v>1074</v>
      </c>
      <c r="D287" s="2188">
        <v>63.997599999999998</v>
      </c>
      <c r="E287" s="2190"/>
      <c r="F287" s="2190"/>
      <c r="G287" s="2188" t="s">
        <v>2047</v>
      </c>
      <c r="H287" s="2192"/>
      <c r="I287" s="2192"/>
      <c r="J287" s="2188"/>
    </row>
    <row r="288" spans="2:10" ht="15.75" x14ac:dyDescent="0.45">
      <c r="B288" s="2187" t="s">
        <v>756</v>
      </c>
      <c r="C288" s="2188" t="s">
        <v>1075</v>
      </c>
      <c r="D288" s="2188">
        <f>2*7.9997</f>
        <v>15.9994</v>
      </c>
      <c r="E288" s="2190"/>
      <c r="F288" s="2190"/>
      <c r="G288" s="2188" t="s">
        <v>2047</v>
      </c>
      <c r="H288" s="2192"/>
      <c r="I288" s="2192"/>
      <c r="J288" s="2188"/>
    </row>
    <row r="289" spans="2:10" ht="15.75" x14ac:dyDescent="0.45">
      <c r="B289" s="2187" t="s">
        <v>1151</v>
      </c>
      <c r="C289" s="2188" t="s">
        <v>1152</v>
      </c>
      <c r="D289" s="2188">
        <f>A_MS</f>
        <v>32.064999999999998</v>
      </c>
      <c r="E289" s="2190"/>
      <c r="F289" s="2190"/>
      <c r="G289" s="2188" t="s">
        <v>2048</v>
      </c>
      <c r="H289" s="2192"/>
      <c r="I289" s="2192"/>
      <c r="J289" s="2188"/>
    </row>
    <row r="291" spans="2:10" ht="14.65" thickBot="1" x14ac:dyDescent="0.5">
      <c r="C291" s="2250" t="s">
        <v>757</v>
      </c>
    </row>
    <row r="292" spans="2:10" x14ac:dyDescent="0.45">
      <c r="B292" s="2261" t="s">
        <v>0</v>
      </c>
      <c r="C292" s="2262" t="s">
        <v>1</v>
      </c>
      <c r="D292" s="2263" t="s">
        <v>152</v>
      </c>
      <c r="E292" s="2263" t="s">
        <v>471</v>
      </c>
      <c r="F292" s="2263" t="s">
        <v>472</v>
      </c>
      <c r="G292" s="2263" t="s">
        <v>2</v>
      </c>
      <c r="H292" s="2263" t="s">
        <v>300</v>
      </c>
      <c r="I292" s="2263" t="s">
        <v>116</v>
      </c>
      <c r="J292" s="2264" t="s">
        <v>117</v>
      </c>
    </row>
    <row r="293" spans="2:10" ht="15.75" x14ac:dyDescent="0.55000000000000004">
      <c r="B293" s="2190" t="s">
        <v>917</v>
      </c>
      <c r="C293" s="2190" t="s">
        <v>3087</v>
      </c>
      <c r="D293" s="2190">
        <f>10^-13.997</f>
        <v>1.0069316688518014E-14</v>
      </c>
      <c r="E293" s="2190"/>
      <c r="F293" s="2190"/>
      <c r="G293" s="2190"/>
      <c r="H293" s="2190"/>
      <c r="I293" s="2190"/>
      <c r="J293" s="2190" t="s">
        <v>3088</v>
      </c>
    </row>
    <row r="294" spans="2:10" ht="15.75" x14ac:dyDescent="0.55000000000000004">
      <c r="B294" s="2190" t="s">
        <v>3277</v>
      </c>
      <c r="C294" s="2190" t="s">
        <v>3089</v>
      </c>
      <c r="D294" s="2190">
        <f>10^-9.244</f>
        <v>5.7016427228074759E-10</v>
      </c>
      <c r="E294" s="2190"/>
      <c r="F294" s="2190"/>
      <c r="G294" s="2190"/>
      <c r="H294" s="2190"/>
      <c r="I294" s="2190"/>
      <c r="J294" s="2190" t="s">
        <v>3090</v>
      </c>
    </row>
    <row r="295" spans="2:10" ht="15.75" x14ac:dyDescent="0.55000000000000004">
      <c r="B295" s="2190" t="s">
        <v>3278</v>
      </c>
      <c r="C295" s="2190" t="s">
        <v>3091</v>
      </c>
      <c r="D295" s="2190">
        <f>10^-3.35</f>
        <v>4.4668359215096267E-4</v>
      </c>
      <c r="E295" s="2190"/>
      <c r="F295" s="2190"/>
      <c r="G295" s="2190"/>
      <c r="H295" s="2190"/>
      <c r="I295" s="2190"/>
      <c r="J295" s="2190" t="s">
        <v>3092</v>
      </c>
    </row>
    <row r="296" spans="2:10" ht="15.75" x14ac:dyDescent="0.55000000000000004">
      <c r="B296" s="2190" t="s">
        <v>918</v>
      </c>
      <c r="C296" s="2190" t="s">
        <v>3093</v>
      </c>
      <c r="D296" s="2190">
        <f>10^-6.352</f>
        <v>4.4463126746910741E-7</v>
      </c>
      <c r="E296" s="2190"/>
      <c r="F296" s="2190"/>
      <c r="G296" s="2190"/>
      <c r="H296" s="2190"/>
      <c r="I296" s="2190"/>
      <c r="J296" s="2190" t="s">
        <v>3094</v>
      </c>
    </row>
    <row r="297" spans="2:10" ht="15.75" x14ac:dyDescent="0.55000000000000004">
      <c r="B297" s="2190" t="s">
        <v>919</v>
      </c>
      <c r="C297" s="2190" t="s">
        <v>3095</v>
      </c>
      <c r="D297" s="2190">
        <f>10^-10.329</f>
        <v>4.6881338214526346E-11</v>
      </c>
      <c r="E297" s="2190"/>
      <c r="F297" s="2190"/>
      <c r="G297" s="2190"/>
      <c r="H297" s="2190"/>
      <c r="I297" s="2190"/>
      <c r="J297" s="2190" t="s">
        <v>3096</v>
      </c>
    </row>
    <row r="298" spans="2:10" ht="15.75" x14ac:dyDescent="0.55000000000000004">
      <c r="B298" s="2190" t="s">
        <v>920</v>
      </c>
      <c r="C298" s="2190" t="s">
        <v>3097</v>
      </c>
      <c r="D298" s="2190">
        <f>10^-2.148</f>
        <v>7.1121351365332815E-3</v>
      </c>
      <c r="E298" s="2190"/>
      <c r="F298" s="2190"/>
      <c r="G298" s="2190"/>
      <c r="H298" s="2190"/>
      <c r="I298" s="2190"/>
      <c r="J298" s="2190" t="s">
        <v>3098</v>
      </c>
    </row>
    <row r="299" spans="2:10" ht="15.75" x14ac:dyDescent="0.55000000000000004">
      <c r="B299" s="2190" t="s">
        <v>921</v>
      </c>
      <c r="C299" s="2190" t="s">
        <v>3099</v>
      </c>
      <c r="D299" s="2190">
        <f>10^-7.198</f>
        <v>6.3386971125692633E-8</v>
      </c>
      <c r="E299" s="2190"/>
      <c r="F299" s="2190"/>
      <c r="G299" s="2190"/>
      <c r="H299" s="2190"/>
      <c r="I299" s="2190"/>
      <c r="J299" s="2190" t="s">
        <v>3100</v>
      </c>
    </row>
    <row r="300" spans="2:10" ht="15.75" x14ac:dyDescent="0.55000000000000004">
      <c r="B300" s="2190" t="s">
        <v>922</v>
      </c>
      <c r="C300" s="2190" t="s">
        <v>3101</v>
      </c>
      <c r="D300" s="2190">
        <f>10^-12.375</f>
        <v>4.216965034285812E-13</v>
      </c>
      <c r="E300" s="2190"/>
      <c r="F300" s="2190"/>
      <c r="G300" s="2190"/>
      <c r="H300" s="2190"/>
      <c r="I300" s="2190"/>
      <c r="J300" s="2190" t="s">
        <v>3102</v>
      </c>
    </row>
    <row r="301" spans="2:10" ht="15.75" x14ac:dyDescent="0.55000000000000004">
      <c r="B301" s="2190" t="s">
        <v>3279</v>
      </c>
      <c r="C301" s="2190" t="s">
        <v>3103</v>
      </c>
      <c r="D301" s="2190">
        <f>10^-4.757</f>
        <v>1.7498466886246563E-5</v>
      </c>
      <c r="E301" s="2190"/>
      <c r="F301" s="2190"/>
      <c r="G301" s="2190"/>
      <c r="H301" s="2190"/>
      <c r="I301" s="2190"/>
      <c r="J301" s="2190" t="s">
        <v>3104</v>
      </c>
    </row>
    <row r="302" spans="2:10" ht="15.75" x14ac:dyDescent="0.55000000000000004">
      <c r="B302" s="2190" t="s">
        <v>5176</v>
      </c>
      <c r="C302" s="2190" t="s">
        <v>4762</v>
      </c>
      <c r="D302" s="2190">
        <v>1.3365955165464412E-5</v>
      </c>
      <c r="E302" s="2190"/>
      <c r="F302" s="2190"/>
      <c r="G302" s="2190"/>
      <c r="H302" s="2190"/>
      <c r="I302" s="2190"/>
      <c r="J302" s="2190" t="s">
        <v>4765</v>
      </c>
    </row>
    <row r="303" spans="2:10" ht="15.75" x14ac:dyDescent="0.55000000000000004">
      <c r="B303" s="2190" t="s">
        <v>4763</v>
      </c>
      <c r="C303" s="2190" t="s">
        <v>4764</v>
      </c>
      <c r="D303" s="2190">
        <v>1.5170503674593348E-5</v>
      </c>
      <c r="E303" s="2190"/>
      <c r="F303" s="2190"/>
      <c r="G303" s="2190"/>
      <c r="H303" s="2190"/>
      <c r="I303" s="2190"/>
      <c r="J303" s="2190" t="s">
        <v>4765</v>
      </c>
    </row>
    <row r="304" spans="2:10" ht="15.75" x14ac:dyDescent="0.55000000000000004">
      <c r="B304" s="2190" t="s">
        <v>4766</v>
      </c>
      <c r="C304" s="2190" t="s">
        <v>4767</v>
      </c>
      <c r="D304" s="2190">
        <v>1.4354894333536556E-5</v>
      </c>
      <c r="E304" s="2190"/>
      <c r="F304" s="2190"/>
      <c r="G304" s="2190"/>
      <c r="H304" s="2190"/>
      <c r="I304" s="2190"/>
      <c r="J304" s="2190" t="s">
        <v>4765</v>
      </c>
    </row>
    <row r="305" spans="1:10" ht="15.75" x14ac:dyDescent="0.55000000000000004">
      <c r="B305" s="2190" t="s">
        <v>1346</v>
      </c>
      <c r="C305" s="2190" t="s">
        <v>3105</v>
      </c>
      <c r="D305" s="2190">
        <f>10^(-7.02)</f>
        <v>9.5499258602143556E-8</v>
      </c>
      <c r="E305" s="2190"/>
      <c r="F305" s="2190"/>
      <c r="G305" s="2190"/>
      <c r="H305" s="2190"/>
      <c r="I305" s="2190"/>
      <c r="J305" s="2190" t="s">
        <v>3106</v>
      </c>
    </row>
    <row r="306" spans="1:10" ht="15.75" x14ac:dyDescent="0.55000000000000004">
      <c r="B306" s="2190" t="s">
        <v>1347</v>
      </c>
      <c r="C306" s="2190" t="s">
        <v>3107</v>
      </c>
      <c r="D306" s="2190">
        <f>10^(-17.3)</f>
        <v>5.0118723362726963E-18</v>
      </c>
      <c r="E306" s="2190"/>
      <c r="F306" s="2190"/>
      <c r="G306" s="2190"/>
      <c r="H306" s="2190"/>
      <c r="I306" s="2190"/>
      <c r="J306" s="2190" t="s">
        <v>3106</v>
      </c>
    </row>
    <row r="307" spans="1:10" ht="15.75" x14ac:dyDescent="0.55000000000000004">
      <c r="B307" s="2190" t="s">
        <v>1348</v>
      </c>
      <c r="C307" s="2190" t="s">
        <v>3108</v>
      </c>
      <c r="D307" s="2190">
        <f>10^(3)</f>
        <v>1000</v>
      </c>
      <c r="E307" s="2190"/>
      <c r="F307" s="2190"/>
      <c r="G307" s="2190"/>
      <c r="H307" s="2190"/>
      <c r="I307" s="2190"/>
      <c r="J307" s="2190" t="s">
        <v>1272</v>
      </c>
    </row>
    <row r="308" spans="1:10" ht="15.75" x14ac:dyDescent="0.55000000000000004">
      <c r="B308" s="2190" t="s">
        <v>1349</v>
      </c>
      <c r="C308" s="2190" t="s">
        <v>3109</v>
      </c>
      <c r="D308" s="2190">
        <f>10^(-1.99)</f>
        <v>1.0232929922807535E-2</v>
      </c>
      <c r="E308" s="2190"/>
      <c r="F308" s="2190"/>
      <c r="G308" s="2190"/>
      <c r="H308" s="2190"/>
      <c r="I308" s="2190"/>
      <c r="J308" s="2190" t="s">
        <v>3110</v>
      </c>
    </row>
    <row r="309" spans="1:10" ht="15.75" x14ac:dyDescent="0.55000000000000004">
      <c r="B309" s="2190" t="s">
        <v>3280</v>
      </c>
      <c r="C309" s="2190" t="s">
        <v>3105</v>
      </c>
      <c r="D309" s="2190">
        <f>10^(-7.02)</f>
        <v>9.5499258602143556E-8</v>
      </c>
      <c r="E309" s="2190"/>
      <c r="F309" s="2190"/>
      <c r="G309" s="2190"/>
      <c r="H309" s="2190"/>
      <c r="I309" s="2190"/>
      <c r="J309" s="2190" t="s">
        <v>3110</v>
      </c>
    </row>
    <row r="311" spans="1:10" ht="14.65" thickBot="1" x14ac:dyDescent="0.5">
      <c r="C311" s="2250" t="s">
        <v>1310</v>
      </c>
    </row>
    <row r="312" spans="1:10" ht="14.65" thickBot="1" x14ac:dyDescent="0.5">
      <c r="B312" s="2251" t="s">
        <v>0</v>
      </c>
      <c r="C312" s="2252" t="s">
        <v>1</v>
      </c>
      <c r="D312" s="2253" t="s">
        <v>152</v>
      </c>
      <c r="E312" s="2253" t="s">
        <v>471</v>
      </c>
      <c r="F312" s="2253" t="s">
        <v>472</v>
      </c>
      <c r="G312" s="2253" t="s">
        <v>2</v>
      </c>
      <c r="H312" s="2253" t="s">
        <v>300</v>
      </c>
      <c r="I312" s="2253" t="s">
        <v>116</v>
      </c>
      <c r="J312" s="2254" t="s">
        <v>117</v>
      </c>
    </row>
    <row r="313" spans="1:10" ht="15.75" x14ac:dyDescent="0.45">
      <c r="B313" s="2187" t="s">
        <v>1320</v>
      </c>
      <c r="C313" s="2188" t="s">
        <v>3513</v>
      </c>
      <c r="D313" s="2188">
        <f>10^(-6.35)</f>
        <v>4.4668359215096327E-7</v>
      </c>
      <c r="E313" s="2190"/>
      <c r="F313" s="2190"/>
      <c r="G313" s="2188"/>
      <c r="H313" s="2192"/>
      <c r="I313" s="2192"/>
      <c r="J313" s="2188"/>
    </row>
    <row r="314" spans="1:10" ht="15.75" x14ac:dyDescent="0.45">
      <c r="B314" s="2187" t="s">
        <v>1321</v>
      </c>
      <c r="C314" s="2188" t="s">
        <v>3514</v>
      </c>
      <c r="D314" s="2188">
        <v>6.9180000000000002E-14</v>
      </c>
      <c r="E314" s="2190"/>
      <c r="F314" s="2190"/>
      <c r="G314" s="2188"/>
      <c r="H314" s="2192"/>
      <c r="I314" s="2192"/>
      <c r="J314" s="2188"/>
    </row>
    <row r="315" spans="1:10" ht="15.75" x14ac:dyDescent="0.45">
      <c r="B315" s="2187" t="s">
        <v>1325</v>
      </c>
      <c r="C315" s="2188" t="s">
        <v>3111</v>
      </c>
      <c r="D315" s="2265">
        <f>10^(-25.46)</f>
        <v>3.4673685045252971E-26</v>
      </c>
      <c r="E315" s="2190"/>
      <c r="F315" s="2190"/>
      <c r="G315" s="2188"/>
      <c r="H315" s="2192"/>
      <c r="I315" s="2192"/>
      <c r="J315" s="2188" t="s">
        <v>4768</v>
      </c>
    </row>
    <row r="316" spans="1:10" ht="15.75" x14ac:dyDescent="0.45">
      <c r="A316" s="2255"/>
      <c r="B316" s="2187" t="s">
        <v>4769</v>
      </c>
      <c r="C316" s="2188" t="s">
        <v>4770</v>
      </c>
      <c r="D316" s="2265">
        <f>10^-6.6</f>
        <v>2.511886431509578E-7</v>
      </c>
      <c r="E316" s="2190"/>
      <c r="F316" s="2190"/>
      <c r="G316" s="2188"/>
      <c r="H316" s="2192"/>
      <c r="I316" s="2192"/>
      <c r="J316" s="2188" t="s">
        <v>4771</v>
      </c>
    </row>
    <row r="317" spans="1:10" ht="15.75" x14ac:dyDescent="0.45">
      <c r="B317" s="2187" t="s">
        <v>1322</v>
      </c>
      <c r="C317" s="2188" t="s">
        <v>3112</v>
      </c>
      <c r="D317" s="2188">
        <v>9.9999999999999994E-37</v>
      </c>
      <c r="E317" s="2190"/>
      <c r="F317" s="2190"/>
      <c r="G317" s="2188"/>
      <c r="H317" s="2192"/>
      <c r="I317" s="2192"/>
      <c r="J317" s="2188" t="s">
        <v>1898</v>
      </c>
    </row>
    <row r="318" spans="1:10" ht="15.75" x14ac:dyDescent="0.45">
      <c r="B318" s="2187" t="s">
        <v>1350</v>
      </c>
      <c r="C318" s="2188" t="s">
        <v>3113</v>
      </c>
      <c r="D318" s="2188">
        <f>3.7*10^-19</f>
        <v>3.7000000000000001E-19</v>
      </c>
      <c r="E318" s="2190"/>
      <c r="F318" s="2190"/>
      <c r="G318" s="2188"/>
      <c r="H318" s="2192"/>
      <c r="I318" s="2192"/>
      <c r="J318" s="2188"/>
    </row>
    <row r="319" spans="1:10" ht="15.75" x14ac:dyDescent="0.45">
      <c r="B319" s="2187" t="s">
        <v>1323</v>
      </c>
      <c r="C319" s="2188" t="s">
        <v>3114</v>
      </c>
      <c r="D319" s="2188">
        <v>2.7500000000000001E-22</v>
      </c>
      <c r="E319" s="2190"/>
      <c r="F319" s="2190"/>
      <c r="G319" s="2188"/>
      <c r="H319" s="2192"/>
      <c r="I319" s="2192"/>
      <c r="J319" s="2188"/>
    </row>
    <row r="320" spans="1:10" ht="15.75" x14ac:dyDescent="0.45">
      <c r="B320" s="2187" t="s">
        <v>1324</v>
      </c>
      <c r="C320" s="2188" t="s">
        <v>3115</v>
      </c>
      <c r="D320" s="2188">
        <f>10^(-16)</f>
        <v>9.9999999999999998E-17</v>
      </c>
      <c r="E320" s="2190"/>
      <c r="F320" s="2190"/>
      <c r="G320" s="2188"/>
      <c r="H320" s="2192"/>
      <c r="I320" s="2192"/>
      <c r="J320" s="2188"/>
    </row>
    <row r="322" spans="1:10" ht="14.65" thickBot="1" x14ac:dyDescent="0.5">
      <c r="C322" s="2250" t="s">
        <v>759</v>
      </c>
    </row>
    <row r="323" spans="1:10" ht="14.65" thickBot="1" x14ac:dyDescent="0.5">
      <c r="B323" s="2251" t="s">
        <v>0</v>
      </c>
      <c r="C323" s="2252" t="s">
        <v>1</v>
      </c>
      <c r="D323" s="2253" t="s">
        <v>152</v>
      </c>
      <c r="E323" s="2253" t="s">
        <v>471</v>
      </c>
      <c r="F323" s="2253" t="s">
        <v>472</v>
      </c>
      <c r="G323" s="2253" t="s">
        <v>2</v>
      </c>
      <c r="H323" s="2253" t="s">
        <v>300</v>
      </c>
      <c r="I323" s="2253" t="s">
        <v>116</v>
      </c>
      <c r="J323" s="2254" t="s">
        <v>117</v>
      </c>
    </row>
    <row r="324" spans="1:10" ht="15.75" x14ac:dyDescent="0.45">
      <c r="B324" s="2187" t="s">
        <v>760</v>
      </c>
      <c r="C324" s="2188" t="s">
        <v>761</v>
      </c>
      <c r="D324" s="2188">
        <f>3*A_MO/(2*A_MN)</f>
        <v>1.7134014435948508</v>
      </c>
      <c r="E324" s="2190"/>
      <c r="F324" s="2190"/>
      <c r="G324" s="2188" t="s">
        <v>2049</v>
      </c>
      <c r="H324" s="2192"/>
      <c r="I324" s="2192"/>
      <c r="J324" s="2188" t="s">
        <v>264</v>
      </c>
    </row>
    <row r="325" spans="1:10" ht="15.75" x14ac:dyDescent="0.45">
      <c r="B325" s="2187" t="s">
        <v>762</v>
      </c>
      <c r="C325" s="2188" t="s">
        <v>763</v>
      </c>
      <c r="D325" s="2188">
        <f>2*A_MO/(A_MN)</f>
        <v>2.2845352581264677</v>
      </c>
      <c r="E325" s="2190"/>
      <c r="F325" s="2190"/>
      <c r="G325" s="2188" t="s">
        <v>2049</v>
      </c>
      <c r="H325" s="2192"/>
      <c r="I325" s="2192"/>
      <c r="J325" s="2188" t="s">
        <v>264</v>
      </c>
    </row>
    <row r="326" spans="1:10" ht="15.75" x14ac:dyDescent="0.45">
      <c r="B326" s="2187" t="s">
        <v>764</v>
      </c>
      <c r="C326" s="2188" t="s">
        <v>765</v>
      </c>
      <c r="D326" s="2188">
        <f>2.5*A_MO/(A_MN)</f>
        <v>2.8556690726580851</v>
      </c>
      <c r="E326" s="2190"/>
      <c r="F326" s="2190"/>
      <c r="G326" s="2188" t="s">
        <v>2049</v>
      </c>
      <c r="H326" s="2192"/>
      <c r="I326" s="2192"/>
      <c r="J326" s="2188" t="s">
        <v>264</v>
      </c>
    </row>
    <row r="327" spans="1:10" ht="15.75" x14ac:dyDescent="0.45">
      <c r="B327" s="2187" t="s">
        <v>766</v>
      </c>
      <c r="C327" s="2188" t="s">
        <v>767</v>
      </c>
      <c r="D327" s="2188">
        <f>3*A_MO/A_MN</f>
        <v>3.4268028871897016</v>
      </c>
      <c r="E327" s="2190"/>
      <c r="F327" s="2190"/>
      <c r="G327" s="2188" t="s">
        <v>2049</v>
      </c>
      <c r="H327" s="2192"/>
      <c r="I327" s="2192"/>
      <c r="J327" s="2188" t="s">
        <v>264</v>
      </c>
    </row>
    <row r="328" spans="1:10" ht="15.75" x14ac:dyDescent="0.45">
      <c r="B328" s="2187" t="s">
        <v>768</v>
      </c>
      <c r="C328" s="2188" t="s">
        <v>769</v>
      </c>
      <c r="D328" s="2188">
        <f>4*A_MO/A_MN</f>
        <v>4.5690705162529355</v>
      </c>
      <c r="E328" s="2190"/>
      <c r="F328" s="2190"/>
      <c r="G328" s="2188" t="s">
        <v>2049</v>
      </c>
      <c r="H328" s="2192"/>
      <c r="I328" s="2192"/>
      <c r="J328" s="2188" t="s">
        <v>264</v>
      </c>
    </row>
    <row r="329" spans="1:10" ht="15.75" x14ac:dyDescent="0.45">
      <c r="A329" s="2266"/>
      <c r="B329" s="2187" t="s">
        <v>4048</v>
      </c>
      <c r="C329" s="2188" t="s">
        <v>4049</v>
      </c>
      <c r="D329" s="2188">
        <f>A_MO/A_MN</f>
        <v>1.1422676290632339</v>
      </c>
      <c r="E329" s="2190"/>
      <c r="F329" s="2190"/>
      <c r="G329" s="2188" t="s">
        <v>2049</v>
      </c>
      <c r="H329" s="2192"/>
      <c r="I329" s="2192"/>
      <c r="J329" s="2188" t="s">
        <v>264</v>
      </c>
    </row>
    <row r="330" spans="1:10" ht="15.75" x14ac:dyDescent="0.45">
      <c r="A330" s="2266"/>
      <c r="B330" s="2187" t="s">
        <v>4050</v>
      </c>
      <c r="C330" s="2188" t="s">
        <v>4051</v>
      </c>
      <c r="D330" s="2188">
        <f>1.5*A_MO/A_MN</f>
        <v>1.7134014435948508</v>
      </c>
      <c r="E330" s="2190"/>
      <c r="F330" s="2190"/>
      <c r="G330" s="2188" t="s">
        <v>2049</v>
      </c>
      <c r="H330" s="2192"/>
      <c r="I330" s="2192"/>
      <c r="J330" s="2188" t="s">
        <v>264</v>
      </c>
    </row>
    <row r="331" spans="1:10" ht="15.75" x14ac:dyDescent="0.45">
      <c r="B331" s="2187" t="s">
        <v>1034</v>
      </c>
      <c r="C331" s="2188" t="s">
        <v>770</v>
      </c>
      <c r="D331" s="2188">
        <f>A_MO/A_MN</f>
        <v>1.1422676290632339</v>
      </c>
      <c r="E331" s="2190"/>
      <c r="F331" s="2190"/>
      <c r="G331" s="2188" t="s">
        <v>2049</v>
      </c>
      <c r="H331" s="2192"/>
      <c r="I331" s="2192"/>
      <c r="J331" s="2188"/>
    </row>
    <row r="332" spans="1:10" ht="15.75" x14ac:dyDescent="0.45">
      <c r="B332" s="2187" t="s">
        <v>1035</v>
      </c>
      <c r="C332" s="2188" t="s">
        <v>771</v>
      </c>
      <c r="D332" s="2188">
        <f>3*A_MO/(2*A_MN)</f>
        <v>1.7134014435948508</v>
      </c>
      <c r="E332" s="2190"/>
      <c r="F332" s="2190"/>
      <c r="G332" s="2188" t="s">
        <v>2049</v>
      </c>
      <c r="H332" s="2192"/>
      <c r="I332" s="2192"/>
      <c r="J332" s="2188"/>
    </row>
    <row r="333" spans="1:10" ht="15.75" x14ac:dyDescent="0.45">
      <c r="B333" s="2187" t="s">
        <v>1036</v>
      </c>
      <c r="C333" s="2188" t="s">
        <v>772</v>
      </c>
      <c r="D333" s="2188">
        <f>0.5*A_MO/A_MN</f>
        <v>0.57113381453161693</v>
      </c>
      <c r="E333" s="2190"/>
      <c r="F333" s="2190"/>
      <c r="G333" s="2188" t="s">
        <v>2049</v>
      </c>
      <c r="H333" s="2192"/>
      <c r="I333" s="2192"/>
      <c r="J333" s="2188"/>
    </row>
    <row r="334" spans="1:10" ht="15.75" x14ac:dyDescent="0.45">
      <c r="B334" s="2187" t="s">
        <v>1037</v>
      </c>
      <c r="C334" s="2188" t="s">
        <v>773</v>
      </c>
      <c r="D334" s="2188">
        <f>0.5*A_MO/A_MN</f>
        <v>0.57113381453161693</v>
      </c>
      <c r="E334" s="2190"/>
      <c r="F334" s="2190"/>
      <c r="G334" s="2188" t="s">
        <v>2049</v>
      </c>
      <c r="H334" s="2192"/>
      <c r="I334" s="2192"/>
      <c r="J334" s="2188"/>
    </row>
    <row r="335" spans="1:10" ht="15.75" x14ac:dyDescent="0.45">
      <c r="B335" s="2187" t="s">
        <v>1038</v>
      </c>
      <c r="C335" s="2188" t="s">
        <v>774</v>
      </c>
      <c r="D335" s="2188">
        <f>0.5*A_MO/A_MN</f>
        <v>0.57113381453161693</v>
      </c>
      <c r="E335" s="2190"/>
      <c r="F335" s="2190"/>
      <c r="G335" s="2188" t="s">
        <v>2049</v>
      </c>
      <c r="H335" s="2192"/>
      <c r="I335" s="2192"/>
      <c r="J335" s="2188"/>
    </row>
    <row r="336" spans="1:10" ht="15.75" x14ac:dyDescent="0.45">
      <c r="B336" s="2187" t="s">
        <v>1076</v>
      </c>
      <c r="C336" s="2188" t="s">
        <v>789</v>
      </c>
      <c r="D336" s="2188">
        <f>5*A_MO/(2*A_MN)</f>
        <v>2.8556690726580851</v>
      </c>
      <c r="E336" s="2190"/>
      <c r="F336" s="2190"/>
      <c r="G336" s="2188" t="s">
        <v>2049</v>
      </c>
      <c r="H336" s="2192"/>
      <c r="I336" s="2192"/>
      <c r="J336" s="2188"/>
    </row>
    <row r="337" spans="2:10" ht="15.75" x14ac:dyDescent="0.45">
      <c r="B337" s="2187" t="s">
        <v>1351</v>
      </c>
      <c r="C337" s="2188" t="s">
        <v>1352</v>
      </c>
      <c r="D337" s="2188">
        <f>8/A_MFe</f>
        <v>0.14325364849136002</v>
      </c>
      <c r="E337" s="2190"/>
      <c r="F337" s="2190"/>
      <c r="G337" s="2188" t="s">
        <v>2050</v>
      </c>
      <c r="H337" s="2192"/>
      <c r="I337" s="2192"/>
      <c r="J337" s="2188"/>
    </row>
    <row r="338" spans="2:10" ht="15.75" x14ac:dyDescent="0.45">
      <c r="B338" s="2187" t="s">
        <v>1334</v>
      </c>
      <c r="C338" s="2188" t="s">
        <v>1318</v>
      </c>
      <c r="D338" s="2188">
        <f>3*A_MO/(A_MS)</f>
        <v>1.4969031654451894</v>
      </c>
      <c r="E338" s="2190"/>
      <c r="F338" s="2190"/>
      <c r="G338" s="2188" t="s">
        <v>2051</v>
      </c>
      <c r="H338" s="2192"/>
      <c r="I338" s="2192"/>
      <c r="J338" s="2188" t="s">
        <v>1273</v>
      </c>
    </row>
    <row r="339" spans="2:10" ht="15.75" x14ac:dyDescent="0.45">
      <c r="B339" s="2187" t="s">
        <v>1149</v>
      </c>
      <c r="C339" s="2188" t="s">
        <v>1210</v>
      </c>
      <c r="D339" s="2188">
        <f>4*A_MO/(A_MS)</f>
        <v>1.9958708872602526</v>
      </c>
      <c r="E339" s="2190"/>
      <c r="F339" s="2190"/>
      <c r="G339" s="2188" t="s">
        <v>2052</v>
      </c>
      <c r="H339" s="2192"/>
      <c r="I339" s="2192"/>
      <c r="J339" s="2188" t="s">
        <v>1273</v>
      </c>
    </row>
    <row r="341" spans="2:10" ht="14.65" thickBot="1" x14ac:dyDescent="0.5">
      <c r="C341" s="2250" t="s">
        <v>923</v>
      </c>
    </row>
    <row r="342" spans="2:10" ht="14.65" thickBot="1" x14ac:dyDescent="0.5">
      <c r="B342" s="2251" t="s">
        <v>0</v>
      </c>
      <c r="C342" s="2252" t="s">
        <v>1</v>
      </c>
      <c r="D342" s="2253" t="s">
        <v>152</v>
      </c>
      <c r="E342" s="2253" t="s">
        <v>471</v>
      </c>
      <c r="F342" s="2253" t="s">
        <v>472</v>
      </c>
      <c r="G342" s="2253" t="s">
        <v>2</v>
      </c>
      <c r="H342" s="2253" t="s">
        <v>300</v>
      </c>
      <c r="I342" s="2253" t="s">
        <v>116</v>
      </c>
      <c r="J342" s="2254" t="s">
        <v>117</v>
      </c>
    </row>
    <row r="343" spans="2:10" ht="15.75" x14ac:dyDescent="0.45">
      <c r="B343" s="2187" t="s">
        <v>924</v>
      </c>
      <c r="C343" s="2188" t="s">
        <v>925</v>
      </c>
      <c r="D343" s="2188">
        <v>0.5</v>
      </c>
      <c r="E343" s="2190"/>
      <c r="F343" s="2190"/>
      <c r="G343" s="2188"/>
      <c r="H343" s="2192"/>
      <c r="I343" s="2192"/>
      <c r="J343" s="2188" t="s">
        <v>1077</v>
      </c>
    </row>
    <row r="344" spans="2:10" ht="15.75" x14ac:dyDescent="0.45">
      <c r="B344" s="2187" t="s">
        <v>926</v>
      </c>
      <c r="C344" s="2188" t="s">
        <v>927</v>
      </c>
      <c r="D344" s="2188">
        <v>0.5</v>
      </c>
      <c r="E344" s="2190"/>
      <c r="F344" s="2190"/>
      <c r="G344" s="2188"/>
      <c r="H344" s="2192"/>
      <c r="I344" s="2192"/>
      <c r="J344" s="2188" t="s">
        <v>1078</v>
      </c>
    </row>
    <row r="345" spans="2:10" ht="15.75" x14ac:dyDescent="0.45">
      <c r="B345" s="2187" t="s">
        <v>928</v>
      </c>
      <c r="C345" s="2188" t="s">
        <v>929</v>
      </c>
      <c r="D345" s="2188">
        <v>2</v>
      </c>
      <c r="E345" s="2190"/>
      <c r="F345" s="2190"/>
      <c r="G345" s="2188"/>
      <c r="H345" s="2192"/>
      <c r="I345" s="2192"/>
      <c r="J345" s="2188" t="s">
        <v>1079</v>
      </c>
    </row>
    <row r="346" spans="2:10" ht="15.75" x14ac:dyDescent="0.45">
      <c r="B346" s="2187" t="s">
        <v>930</v>
      </c>
      <c r="C346" s="2188" t="s">
        <v>931</v>
      </c>
      <c r="D346" s="2188">
        <v>2</v>
      </c>
      <c r="E346" s="2190"/>
      <c r="F346" s="2190"/>
      <c r="G346" s="2188"/>
      <c r="H346" s="2192"/>
      <c r="I346" s="2192"/>
      <c r="J346" s="2188" t="s">
        <v>1080</v>
      </c>
    </row>
    <row r="347" spans="2:10" ht="15.75" x14ac:dyDescent="0.45">
      <c r="B347" s="2187" t="s">
        <v>932</v>
      </c>
      <c r="C347" s="2188" t="s">
        <v>933</v>
      </c>
      <c r="D347" s="2188">
        <v>4.5</v>
      </c>
      <c r="E347" s="2190"/>
      <c r="F347" s="2190"/>
      <c r="G347" s="2188"/>
      <c r="H347" s="2192"/>
      <c r="I347" s="2192"/>
      <c r="J347" s="2188" t="s">
        <v>1081</v>
      </c>
    </row>
    <row r="348" spans="2:10" ht="15.75" x14ac:dyDescent="0.45">
      <c r="B348" s="2187" t="s">
        <v>934</v>
      </c>
      <c r="C348" s="2188" t="s">
        <v>935</v>
      </c>
      <c r="D348" s="2188">
        <v>4.5</v>
      </c>
      <c r="E348" s="2190"/>
      <c r="F348" s="2190"/>
      <c r="G348" s="2188"/>
      <c r="H348" s="2192"/>
      <c r="I348" s="2192"/>
      <c r="J348" s="2188" t="s">
        <v>1082</v>
      </c>
    </row>
    <row r="350" spans="2:10" ht="14.65" thickBot="1" x14ac:dyDescent="0.5">
      <c r="C350" s="2250" t="s">
        <v>902</v>
      </c>
    </row>
    <row r="351" spans="2:10" ht="14.65" thickBot="1" x14ac:dyDescent="0.5">
      <c r="B351" s="2251" t="s">
        <v>0</v>
      </c>
      <c r="C351" s="2252" t="s">
        <v>1</v>
      </c>
      <c r="D351" s="2253" t="s">
        <v>152</v>
      </c>
      <c r="E351" s="2253" t="s">
        <v>471</v>
      </c>
      <c r="F351" s="2253" t="s">
        <v>472</v>
      </c>
      <c r="G351" s="2253" t="s">
        <v>2</v>
      </c>
      <c r="H351" s="2253" t="s">
        <v>300</v>
      </c>
      <c r="I351" s="2253" t="s">
        <v>116</v>
      </c>
      <c r="J351" s="2254" t="s">
        <v>117</v>
      </c>
    </row>
    <row r="352" spans="2:10" ht="15.75" x14ac:dyDescent="0.45">
      <c r="B352" s="2187" t="s">
        <v>903</v>
      </c>
      <c r="C352" s="2188" t="s">
        <v>904</v>
      </c>
      <c r="D352" s="2188">
        <v>6.4135999999999997E-5</v>
      </c>
      <c r="E352" s="2190"/>
      <c r="F352" s="2190"/>
      <c r="G352" s="2188" t="s">
        <v>384</v>
      </c>
      <c r="H352" s="2192"/>
      <c r="I352" s="2192"/>
      <c r="J352" s="2188" t="s">
        <v>1274</v>
      </c>
    </row>
    <row r="354" spans="2:10" ht="14.65" thickBot="1" x14ac:dyDescent="0.5">
      <c r="C354" s="2250" t="s">
        <v>902</v>
      </c>
    </row>
    <row r="355" spans="2:10" ht="14.65" thickBot="1" x14ac:dyDescent="0.5">
      <c r="B355" s="2251" t="s">
        <v>0</v>
      </c>
      <c r="C355" s="2252" t="s">
        <v>1</v>
      </c>
      <c r="D355" s="2253" t="s">
        <v>152</v>
      </c>
      <c r="E355" s="2253" t="s">
        <v>471</v>
      </c>
      <c r="F355" s="2253" t="s">
        <v>472</v>
      </c>
      <c r="G355" s="2253" t="s">
        <v>2</v>
      </c>
      <c r="H355" s="2253" t="s">
        <v>300</v>
      </c>
      <c r="I355" s="2253" t="s">
        <v>116</v>
      </c>
      <c r="J355" s="2254" t="s">
        <v>117</v>
      </c>
    </row>
    <row r="356" spans="2:10" ht="15.75" x14ac:dyDescent="0.45">
      <c r="B356" s="2187" t="s">
        <v>2453</v>
      </c>
      <c r="C356" s="2188" t="s">
        <v>1897</v>
      </c>
      <c r="D356" s="2188">
        <v>0.6</v>
      </c>
      <c r="E356" s="2190" t="s">
        <v>1219</v>
      </c>
      <c r="F356" s="2190" t="s">
        <v>2329</v>
      </c>
      <c r="G356" s="2188" t="s">
        <v>2454</v>
      </c>
      <c r="H356" s="2192"/>
      <c r="I356" s="2192"/>
      <c r="J356" s="2188" t="s">
        <v>2455</v>
      </c>
    </row>
    <row r="358" spans="2:10" ht="14.65" thickBot="1" x14ac:dyDescent="0.5">
      <c r="C358" s="2250" t="s">
        <v>936</v>
      </c>
    </row>
    <row r="359" spans="2:10" ht="14.65" thickBot="1" x14ac:dyDescent="0.5">
      <c r="B359" s="2251" t="s">
        <v>0</v>
      </c>
      <c r="C359" s="2252" t="s">
        <v>1</v>
      </c>
      <c r="D359" s="2253" t="s">
        <v>152</v>
      </c>
      <c r="E359" s="2253" t="s">
        <v>471</v>
      </c>
      <c r="F359" s="2253" t="s">
        <v>472</v>
      </c>
      <c r="G359" s="2253" t="s">
        <v>2</v>
      </c>
      <c r="H359" s="2253" t="s">
        <v>300</v>
      </c>
      <c r="I359" s="2253" t="s">
        <v>116</v>
      </c>
      <c r="J359" s="2254" t="s">
        <v>117</v>
      </c>
    </row>
    <row r="360" spans="2:10" ht="15.75" outlineLevel="1" x14ac:dyDescent="0.45">
      <c r="B360" s="2187" t="s">
        <v>937</v>
      </c>
      <c r="C360" s="2188" t="s">
        <v>938</v>
      </c>
      <c r="D360" s="2188">
        <v>1000000</v>
      </c>
      <c r="E360" s="2190"/>
      <c r="F360" s="2190"/>
      <c r="G360" s="2188" t="s">
        <v>2053</v>
      </c>
      <c r="H360" s="2192"/>
      <c r="I360" s="2192"/>
      <c r="J360" s="2188"/>
    </row>
    <row r="361" spans="2:10" ht="15.75" outlineLevel="1" x14ac:dyDescent="0.45">
      <c r="B361" s="2187" t="s">
        <v>1889</v>
      </c>
      <c r="C361" s="2188" t="s">
        <v>1890</v>
      </c>
      <c r="D361" s="2188">
        <v>100</v>
      </c>
      <c r="E361" s="2190"/>
      <c r="F361" s="2190"/>
      <c r="G361" s="2188" t="s">
        <v>2054</v>
      </c>
      <c r="H361" s="2192"/>
      <c r="I361" s="2192"/>
      <c r="J361" s="2188"/>
    </row>
    <row r="362" spans="2:10" ht="15.75" outlineLevel="1" x14ac:dyDescent="0.45">
      <c r="B362" s="2187" t="s">
        <v>1899</v>
      </c>
      <c r="C362" s="2188" t="s">
        <v>1900</v>
      </c>
      <c r="D362" s="2188">
        <v>100</v>
      </c>
      <c r="E362" s="2190"/>
      <c r="F362" s="2190"/>
      <c r="G362" s="2188" t="s">
        <v>1901</v>
      </c>
      <c r="H362" s="2192"/>
      <c r="I362" s="2192"/>
      <c r="J362" s="2188"/>
    </row>
    <row r="363" spans="2:10" ht="15.75" outlineLevel="1" x14ac:dyDescent="0.45">
      <c r="B363" s="2187" t="s">
        <v>4772</v>
      </c>
      <c r="C363" s="2188" t="s">
        <v>4773</v>
      </c>
      <c r="D363" s="2188">
        <v>1000</v>
      </c>
      <c r="E363" s="2190"/>
      <c r="F363" s="2190"/>
      <c r="G363" s="2188" t="s">
        <v>4774</v>
      </c>
      <c r="H363" s="2192"/>
      <c r="I363" s="2192"/>
      <c r="J363" s="2188"/>
    </row>
    <row r="364" spans="2:10" ht="15.75" outlineLevel="1" x14ac:dyDescent="0.45">
      <c r="B364" s="2187" t="s">
        <v>939</v>
      </c>
      <c r="C364" s="2188" t="s">
        <v>1592</v>
      </c>
      <c r="D364" s="2188">
        <v>86400</v>
      </c>
      <c r="E364" s="2190"/>
      <c r="F364" s="2190"/>
      <c r="G364" s="2188" t="s">
        <v>1593</v>
      </c>
      <c r="H364" s="2192"/>
      <c r="I364" s="2192"/>
      <c r="J364" s="2188"/>
    </row>
    <row r="365" spans="2:10" ht="15.75" outlineLevel="1" x14ac:dyDescent="0.45">
      <c r="B365" s="2187" t="s">
        <v>1594</v>
      </c>
      <c r="C365" s="2188" t="s">
        <v>1595</v>
      </c>
      <c r="D365" s="2188">
        <v>3600</v>
      </c>
      <c r="E365" s="2190"/>
      <c r="F365" s="2190"/>
      <c r="G365" s="2188" t="s">
        <v>1596</v>
      </c>
      <c r="H365" s="2192"/>
      <c r="I365" s="2192"/>
      <c r="J365" s="2188"/>
    </row>
    <row r="366" spans="2:10" ht="15.75" outlineLevel="1" x14ac:dyDescent="0.45">
      <c r="B366" s="2187" t="s">
        <v>4775</v>
      </c>
      <c r="C366" s="2188" t="s">
        <v>4776</v>
      </c>
      <c r="D366" s="2188">
        <v>60</v>
      </c>
      <c r="E366" s="2190"/>
      <c r="F366" s="2190"/>
      <c r="G366" s="2188" t="s">
        <v>4777</v>
      </c>
      <c r="H366" s="2192"/>
      <c r="I366" s="2192"/>
      <c r="J366" s="2188"/>
    </row>
    <row r="367" spans="2:10" ht="15.75" outlineLevel="1" x14ac:dyDescent="0.45">
      <c r="B367" s="2187" t="s">
        <v>4778</v>
      </c>
      <c r="C367" s="2188" t="s">
        <v>4779</v>
      </c>
      <c r="D367" s="2188">
        <v>1440</v>
      </c>
      <c r="E367" s="2190"/>
      <c r="F367" s="2190"/>
      <c r="G367" s="2188" t="s">
        <v>4780</v>
      </c>
      <c r="H367" s="2192"/>
      <c r="I367" s="2192"/>
      <c r="J367" s="2188"/>
    </row>
    <row r="368" spans="2:10" ht="15.75" outlineLevel="1" x14ac:dyDescent="0.45">
      <c r="B368" s="2187" t="s">
        <v>3515</v>
      </c>
      <c r="C368" s="2188" t="s">
        <v>3516</v>
      </c>
      <c r="D368" s="2188">
        <v>60</v>
      </c>
      <c r="E368" s="2190"/>
      <c r="F368" s="2190"/>
      <c r="G368" s="2188" t="s">
        <v>3517</v>
      </c>
      <c r="H368" s="2192"/>
      <c r="I368" s="2192"/>
      <c r="J368" s="2188"/>
    </row>
    <row r="369" spans="2:10" ht="15.75" outlineLevel="1" x14ac:dyDescent="0.45">
      <c r="B369" s="2187" t="s">
        <v>3518</v>
      </c>
      <c r="C369" s="2188" t="s">
        <v>3519</v>
      </c>
      <c r="D369" s="2188">
        <v>24</v>
      </c>
      <c r="E369" s="2190"/>
      <c r="F369" s="2190"/>
      <c r="G369" s="2188" t="s">
        <v>3520</v>
      </c>
      <c r="H369" s="2192"/>
      <c r="I369" s="2192"/>
      <c r="J369" s="2188"/>
    </row>
    <row r="370" spans="2:10" ht="15.75" outlineLevel="1" x14ac:dyDescent="0.45">
      <c r="B370" s="2187" t="s">
        <v>2456</v>
      </c>
      <c r="C370" s="2188" t="s">
        <v>2457</v>
      </c>
      <c r="D370" s="2188">
        <v>86400000</v>
      </c>
      <c r="E370" s="2190"/>
      <c r="F370" s="2190"/>
      <c r="G370" s="2188" t="s">
        <v>2458</v>
      </c>
      <c r="H370" s="2192"/>
      <c r="I370" s="2192"/>
      <c r="J370" s="2188"/>
    </row>
    <row r="371" spans="2:10" ht="15.75" outlineLevel="1" x14ac:dyDescent="0.45">
      <c r="B371" s="2187" t="s">
        <v>1083</v>
      </c>
      <c r="C371" s="2188" t="s">
        <v>1084</v>
      </c>
      <c r="D371" s="2188">
        <v>3600000</v>
      </c>
      <c r="E371" s="2190"/>
      <c r="F371" s="2190"/>
      <c r="G371" s="2188" t="s">
        <v>1085</v>
      </c>
      <c r="H371" s="2192"/>
      <c r="I371" s="2192"/>
      <c r="J371" s="2188"/>
    </row>
    <row r="372" spans="2:10" ht="15.75" outlineLevel="1" x14ac:dyDescent="0.45">
      <c r="B372" s="2187" t="s">
        <v>3521</v>
      </c>
      <c r="C372" s="2188" t="s">
        <v>3522</v>
      </c>
      <c r="D372" s="2188">
        <v>60000</v>
      </c>
      <c r="E372" s="2190"/>
      <c r="F372" s="2190"/>
      <c r="G372" s="2188" t="s">
        <v>3523</v>
      </c>
      <c r="H372" s="2192"/>
      <c r="I372" s="2192"/>
      <c r="J372" s="2188"/>
    </row>
    <row r="373" spans="2:10" ht="15.75" outlineLevel="1" x14ac:dyDescent="0.45">
      <c r="B373" s="2187" t="s">
        <v>2459</v>
      </c>
      <c r="C373" s="2188" t="s">
        <v>2460</v>
      </c>
      <c r="D373" s="2188">
        <v>1000</v>
      </c>
      <c r="E373" s="2190"/>
      <c r="F373" s="2190"/>
      <c r="G373" s="2188" t="s">
        <v>2461</v>
      </c>
      <c r="H373" s="2192"/>
      <c r="I373" s="2192"/>
      <c r="J373" s="2188"/>
    </row>
    <row r="374" spans="2:10" ht="15.75" outlineLevel="1" x14ac:dyDescent="0.45">
      <c r="B374" s="2187" t="s">
        <v>4781</v>
      </c>
      <c r="C374" s="2188" t="s">
        <v>4782</v>
      </c>
      <c r="D374" s="2188">
        <v>7</v>
      </c>
      <c r="E374" s="2190"/>
      <c r="F374" s="2190"/>
      <c r="G374" s="2188" t="s">
        <v>4783</v>
      </c>
      <c r="H374" s="2192"/>
      <c r="I374" s="2192"/>
      <c r="J374" s="2188"/>
    </row>
    <row r="375" spans="2:10" ht="15.75" outlineLevel="1" x14ac:dyDescent="0.45">
      <c r="B375" s="2187" t="s">
        <v>4784</v>
      </c>
      <c r="C375" s="2188" t="s">
        <v>4785</v>
      </c>
      <c r="D375" s="2188">
        <v>30</v>
      </c>
      <c r="E375" s="2190"/>
      <c r="F375" s="2190"/>
      <c r="G375" s="2188" t="s">
        <v>4786</v>
      </c>
      <c r="H375" s="2192"/>
      <c r="I375" s="2192"/>
      <c r="J375" s="2188"/>
    </row>
    <row r="376" spans="2:10" ht="15.75" outlineLevel="1" x14ac:dyDescent="0.45">
      <c r="B376" s="2187" t="s">
        <v>4787</v>
      </c>
      <c r="C376" s="2188" t="s">
        <v>4788</v>
      </c>
      <c r="D376" s="2188">
        <v>365</v>
      </c>
      <c r="E376" s="2190"/>
      <c r="F376" s="2190"/>
      <c r="G376" s="2188" t="s">
        <v>4789</v>
      </c>
      <c r="H376" s="2192"/>
      <c r="I376" s="2192"/>
      <c r="J376" s="2188"/>
    </row>
    <row r="377" spans="2:10" ht="15.75" outlineLevel="1" x14ac:dyDescent="0.45">
      <c r="B377" s="2187" t="s">
        <v>940</v>
      </c>
      <c r="C377" s="2188" t="s">
        <v>941</v>
      </c>
      <c r="D377" s="2188">
        <v>1000</v>
      </c>
      <c r="E377" s="2190"/>
      <c r="F377" s="2190"/>
      <c r="G377" s="2188" t="s">
        <v>1597</v>
      </c>
      <c r="H377" s="2192"/>
      <c r="I377" s="2192"/>
      <c r="J377" s="2188"/>
    </row>
    <row r="378" spans="2:10" ht="15.75" outlineLevel="1" x14ac:dyDescent="0.45">
      <c r="B378" s="2187" t="s">
        <v>1039</v>
      </c>
      <c r="C378" s="2188" t="s">
        <v>1040</v>
      </c>
      <c r="D378" s="2188">
        <v>1000</v>
      </c>
      <c r="E378" s="2190"/>
      <c r="F378" s="2190"/>
      <c r="G378" s="2188" t="s">
        <v>1598</v>
      </c>
      <c r="H378" s="2192"/>
      <c r="I378" s="2192"/>
      <c r="J378" s="2188"/>
    </row>
    <row r="379" spans="2:10" ht="15.75" outlineLevel="1" x14ac:dyDescent="0.45">
      <c r="B379" s="2187" t="s">
        <v>4790</v>
      </c>
      <c r="C379" s="2188" t="s">
        <v>4791</v>
      </c>
      <c r="D379" s="2188">
        <v>1000000</v>
      </c>
      <c r="E379" s="2190"/>
      <c r="F379" s="2190"/>
      <c r="G379" s="2188" t="s">
        <v>4792</v>
      </c>
      <c r="H379" s="2192"/>
      <c r="I379" s="2192"/>
      <c r="J379" s="2188"/>
    </row>
    <row r="380" spans="2:10" ht="15.75" outlineLevel="1" x14ac:dyDescent="0.45">
      <c r="B380" s="2187" t="s">
        <v>942</v>
      </c>
      <c r="C380" s="2188" t="s">
        <v>1599</v>
      </c>
      <c r="D380" s="2188">
        <v>1000</v>
      </c>
      <c r="E380" s="2190"/>
      <c r="F380" s="2190"/>
      <c r="G380" s="2188" t="s">
        <v>1600</v>
      </c>
      <c r="H380" s="2192"/>
      <c r="I380" s="2192"/>
      <c r="J380" s="2188"/>
    </row>
    <row r="381" spans="2:10" ht="15.75" outlineLevel="1" x14ac:dyDescent="0.45">
      <c r="B381" s="2267" t="s">
        <v>3524</v>
      </c>
      <c r="C381" s="2267" t="s">
        <v>3525</v>
      </c>
      <c r="D381" s="2267">
        <v>1000</v>
      </c>
      <c r="E381" s="2267"/>
      <c r="F381" s="2267"/>
      <c r="G381" s="2267" t="s">
        <v>3526</v>
      </c>
      <c r="H381" s="2267"/>
      <c r="I381" s="2267"/>
      <c r="J381" s="2267"/>
    </row>
    <row r="382" spans="2:10" ht="15.75" outlineLevel="1" x14ac:dyDescent="0.45">
      <c r="B382" s="2267" t="s">
        <v>4793</v>
      </c>
      <c r="C382" s="2267" t="s">
        <v>3525</v>
      </c>
      <c r="D382" s="2267">
        <v>1000</v>
      </c>
      <c r="E382" s="2267"/>
      <c r="F382" s="2267"/>
      <c r="G382" s="2267" t="s">
        <v>4794</v>
      </c>
      <c r="H382" s="2267"/>
      <c r="I382" s="2267"/>
      <c r="J382" s="2267"/>
    </row>
    <row r="383" spans="2:10" ht="15.75" outlineLevel="1" x14ac:dyDescent="0.45">
      <c r="B383" s="2187" t="s">
        <v>4795</v>
      </c>
      <c r="C383" s="2188" t="s">
        <v>4796</v>
      </c>
      <c r="D383" s="2188">
        <v>1000000</v>
      </c>
      <c r="E383" s="2190"/>
      <c r="F383" s="2190"/>
      <c r="G383" s="2188" t="s">
        <v>4797</v>
      </c>
      <c r="H383" s="2192"/>
      <c r="I383" s="2192"/>
      <c r="J383" s="2188"/>
    </row>
    <row r="384" spans="2:10" ht="15.75" outlineLevel="1" x14ac:dyDescent="0.45">
      <c r="B384" s="2187" t="s">
        <v>1041</v>
      </c>
      <c r="C384" s="2188" t="s">
        <v>2055</v>
      </c>
      <c r="D384" s="2188">
        <v>133.32236800000001</v>
      </c>
      <c r="E384" s="2190"/>
      <c r="F384" s="2190"/>
      <c r="G384" s="2188" t="s">
        <v>1601</v>
      </c>
      <c r="H384" s="2192"/>
      <c r="I384" s="2192"/>
      <c r="J384" s="2188"/>
    </row>
    <row r="385" spans="2:10" ht="15.75" outlineLevel="1" x14ac:dyDescent="0.45">
      <c r="B385" s="2187" t="s">
        <v>1042</v>
      </c>
      <c r="C385" s="2188" t="s">
        <v>2056</v>
      </c>
      <c r="D385" s="2188">
        <v>100000</v>
      </c>
      <c r="E385" s="2190"/>
      <c r="F385" s="2190"/>
      <c r="G385" s="2188" t="s">
        <v>1602</v>
      </c>
      <c r="H385" s="2192"/>
      <c r="I385" s="2192"/>
      <c r="J385" s="2188"/>
    </row>
    <row r="386" spans="2:10" ht="15.75" outlineLevel="1" x14ac:dyDescent="0.45">
      <c r="B386" s="2187" t="s">
        <v>4798</v>
      </c>
      <c r="C386" s="2188" t="s">
        <v>4799</v>
      </c>
      <c r="D386" s="2188">
        <v>100</v>
      </c>
      <c r="E386" s="2190"/>
      <c r="F386" s="2190"/>
      <c r="G386" s="2188" t="s">
        <v>4800</v>
      </c>
      <c r="H386" s="2192"/>
      <c r="I386" s="2192"/>
      <c r="J386" s="2188"/>
    </row>
    <row r="387" spans="2:10" ht="15.75" outlineLevel="1" x14ac:dyDescent="0.45">
      <c r="B387" s="2187" t="s">
        <v>4801</v>
      </c>
      <c r="C387" s="2188" t="s">
        <v>4802</v>
      </c>
      <c r="D387" s="2188">
        <v>1000000</v>
      </c>
      <c r="E387" s="2190"/>
      <c r="F387" s="2190"/>
      <c r="G387" s="2188" t="s">
        <v>4803</v>
      </c>
      <c r="H387" s="2192"/>
      <c r="I387" s="2192"/>
      <c r="J387" s="2188"/>
    </row>
    <row r="388" spans="2:10" ht="15.75" outlineLevel="1" x14ac:dyDescent="0.45">
      <c r="B388" s="2187" t="s">
        <v>4804</v>
      </c>
      <c r="C388" s="2188" t="s">
        <v>4805</v>
      </c>
      <c r="D388" s="2188">
        <v>1000</v>
      </c>
      <c r="E388" s="2190"/>
      <c r="F388" s="2190"/>
      <c r="G388" s="2188" t="s">
        <v>4806</v>
      </c>
      <c r="H388" s="2192"/>
      <c r="I388" s="2192"/>
      <c r="J388" s="2188"/>
    </row>
    <row r="389" spans="2:10" ht="15.75" outlineLevel="1" x14ac:dyDescent="0.45">
      <c r="B389" s="2187" t="s">
        <v>3527</v>
      </c>
      <c r="C389" s="2188" t="s">
        <v>3528</v>
      </c>
      <c r="D389" s="2188">
        <v>100</v>
      </c>
      <c r="E389" s="2190"/>
      <c r="F389" s="2190"/>
      <c r="G389" s="2188" t="s">
        <v>4807</v>
      </c>
      <c r="H389" s="2192"/>
      <c r="I389" s="2192"/>
      <c r="J389" s="2188"/>
    </row>
    <row r="390" spans="2:10" ht="15.75" outlineLevel="1" x14ac:dyDescent="0.45">
      <c r="B390" s="2187" t="s">
        <v>1043</v>
      </c>
      <c r="C390" s="2188" t="s">
        <v>2057</v>
      </c>
      <c r="D390" s="2188">
        <v>10000</v>
      </c>
      <c r="E390" s="2190"/>
      <c r="F390" s="2190"/>
      <c r="G390" s="2188" t="s">
        <v>1603</v>
      </c>
      <c r="H390" s="2192"/>
      <c r="I390" s="2192"/>
      <c r="J390" s="2188"/>
    </row>
    <row r="391" spans="2:10" ht="15.75" outlineLevel="1" x14ac:dyDescent="0.45">
      <c r="B391" s="2187" t="s">
        <v>2058</v>
      </c>
      <c r="C391" s="2188" t="s">
        <v>2059</v>
      </c>
      <c r="D391" s="2188">
        <v>1000000</v>
      </c>
      <c r="E391" s="2190"/>
      <c r="F391" s="2190"/>
      <c r="G391" s="2188" t="s">
        <v>2060</v>
      </c>
      <c r="H391" s="2192"/>
      <c r="I391" s="2192"/>
      <c r="J391" s="2188"/>
    </row>
    <row r="392" spans="2:10" ht="15.75" outlineLevel="1" x14ac:dyDescent="0.45">
      <c r="B392" s="2187" t="s">
        <v>4808</v>
      </c>
      <c r="C392" s="2188" t="s">
        <v>4809</v>
      </c>
      <c r="D392" s="2188">
        <f>1/3785.411784</f>
        <v>2.6417205235814843E-4</v>
      </c>
      <c r="E392" s="2190"/>
      <c r="F392" s="2190"/>
      <c r="G392" s="2188" t="s">
        <v>4810</v>
      </c>
      <c r="H392" s="2192"/>
      <c r="I392" s="2192"/>
      <c r="J392" s="2188"/>
    </row>
    <row r="393" spans="2:10" ht="15.75" outlineLevel="1" x14ac:dyDescent="0.45">
      <c r="B393" s="2187" t="s">
        <v>4811</v>
      </c>
      <c r="C393" s="2188" t="s">
        <v>4812</v>
      </c>
      <c r="D393" s="2188">
        <f>1/0.003785411784</f>
        <v>264.17205235814839</v>
      </c>
      <c r="E393" s="2190"/>
      <c r="F393" s="2190"/>
      <c r="G393" s="2188" t="s">
        <v>4813</v>
      </c>
      <c r="H393" s="2192"/>
      <c r="I393" s="2192"/>
      <c r="J393" s="2188"/>
    </row>
    <row r="394" spans="2:10" ht="15.75" outlineLevel="1" x14ac:dyDescent="0.45">
      <c r="B394" s="2187" t="s">
        <v>4814</v>
      </c>
      <c r="C394" s="2188" t="s">
        <v>4815</v>
      </c>
      <c r="D394" s="2188">
        <v>2.2046226218000002E-3</v>
      </c>
      <c r="E394" s="2190"/>
      <c r="F394" s="2190"/>
      <c r="G394" s="2188" t="s">
        <v>4816</v>
      </c>
      <c r="H394" s="2192"/>
      <c r="I394" s="2192"/>
      <c r="J394" s="2188"/>
    </row>
    <row r="395" spans="2:10" ht="15.75" outlineLevel="1" x14ac:dyDescent="0.45">
      <c r="B395" s="2187" t="s">
        <v>4817</v>
      </c>
      <c r="C395" s="2188" t="s">
        <v>4818</v>
      </c>
      <c r="D395" s="2190">
        <f>+c_ft_m*c_ft2_m2</f>
        <v>35.314670111696707</v>
      </c>
      <c r="E395" s="2190"/>
      <c r="F395" s="2190"/>
      <c r="G395" s="2188" t="s">
        <v>4819</v>
      </c>
      <c r="H395" s="2192"/>
      <c r="I395" s="2192"/>
      <c r="J395" s="2188"/>
    </row>
    <row r="396" spans="2:10" ht="15.75" outlineLevel="1" x14ac:dyDescent="0.45">
      <c r="B396" s="2187" t="s">
        <v>4820</v>
      </c>
      <c r="C396" s="2188" t="s">
        <v>4821</v>
      </c>
      <c r="D396" s="2190">
        <f>+c_ft_m^2</f>
        <v>10.7639111056</v>
      </c>
      <c r="E396" s="2190"/>
      <c r="F396" s="2190"/>
      <c r="G396" s="2188" t="s">
        <v>4822</v>
      </c>
      <c r="H396" s="2192"/>
      <c r="I396" s="2192"/>
      <c r="J396" s="2188"/>
    </row>
    <row r="397" spans="2:10" ht="15.75" outlineLevel="1" x14ac:dyDescent="0.45">
      <c r="B397" s="2187" t="s">
        <v>4823</v>
      </c>
      <c r="C397" s="2188" t="s">
        <v>4824</v>
      </c>
      <c r="D397" s="2188">
        <v>3.28084</v>
      </c>
      <c r="E397" s="2190"/>
      <c r="F397" s="2190"/>
      <c r="G397" s="2188" t="s">
        <v>4825</v>
      </c>
      <c r="H397" s="2192"/>
      <c r="I397" s="2192"/>
      <c r="J397" s="2188"/>
    </row>
    <row r="399" spans="2:10" ht="14.65" thickBot="1" x14ac:dyDescent="0.5">
      <c r="C399" s="2250" t="s">
        <v>958</v>
      </c>
    </row>
    <row r="400" spans="2:10" ht="14.65" thickBot="1" x14ac:dyDescent="0.5">
      <c r="B400" s="2251" t="s">
        <v>0</v>
      </c>
      <c r="C400" s="2252" t="s">
        <v>1</v>
      </c>
      <c r="D400" s="2253" t="s">
        <v>152</v>
      </c>
      <c r="E400" s="2253" t="s">
        <v>471</v>
      </c>
      <c r="F400" s="2253" t="s">
        <v>472</v>
      </c>
      <c r="G400" s="2253" t="s">
        <v>2</v>
      </c>
      <c r="H400" s="2253" t="s">
        <v>300</v>
      </c>
      <c r="I400" s="2253" t="s">
        <v>116</v>
      </c>
      <c r="J400" s="2254" t="s">
        <v>117</v>
      </c>
    </row>
    <row r="401" spans="2:10" ht="15.75" outlineLevel="1" x14ac:dyDescent="0.45">
      <c r="B401" s="2187" t="s">
        <v>1086</v>
      </c>
      <c r="C401" s="2188" t="s">
        <v>959</v>
      </c>
      <c r="D401" s="2188">
        <v>0</v>
      </c>
      <c r="E401" s="2190"/>
      <c r="F401" s="2190"/>
      <c r="G401" s="2188" t="s">
        <v>3116</v>
      </c>
      <c r="H401" s="2192"/>
      <c r="I401" s="2192"/>
      <c r="J401" s="2188" t="s">
        <v>960</v>
      </c>
    </row>
    <row r="402" spans="2:10" ht="15.75" outlineLevel="1" x14ac:dyDescent="0.45">
      <c r="B402" s="2187" t="s">
        <v>1087</v>
      </c>
      <c r="C402" s="2188" t="s">
        <v>961</v>
      </c>
      <c r="D402" s="2188">
        <v>-285840</v>
      </c>
      <c r="E402" s="2190"/>
      <c r="F402" s="2190"/>
      <c r="G402" s="2188" t="s">
        <v>3116</v>
      </c>
      <c r="H402" s="2192"/>
      <c r="I402" s="2192"/>
      <c r="J402" s="2188" t="s">
        <v>962</v>
      </c>
    </row>
    <row r="403" spans="2:10" ht="15.75" outlineLevel="1" x14ac:dyDescent="0.45">
      <c r="B403" s="2187" t="s">
        <v>1088</v>
      </c>
      <c r="C403" s="2188" t="s">
        <v>963</v>
      </c>
      <c r="D403" s="2188">
        <v>-229994</v>
      </c>
      <c r="E403" s="2190"/>
      <c r="F403" s="2190"/>
      <c r="G403" s="2188" t="s">
        <v>3116</v>
      </c>
      <c r="H403" s="2192"/>
      <c r="I403" s="2192"/>
      <c r="J403" s="2188" t="s">
        <v>960</v>
      </c>
    </row>
    <row r="404" spans="2:10" ht="15.75" outlineLevel="1" x14ac:dyDescent="0.45">
      <c r="B404" s="2187" t="s">
        <v>1089</v>
      </c>
      <c r="C404" s="2188" t="s">
        <v>964</v>
      </c>
      <c r="D404" s="2188">
        <v>-80920</v>
      </c>
      <c r="E404" s="2190"/>
      <c r="F404" s="2190"/>
      <c r="G404" s="2188" t="s">
        <v>3116</v>
      </c>
      <c r="H404" s="2192"/>
      <c r="I404" s="2192"/>
      <c r="J404" s="2188" t="s">
        <v>960</v>
      </c>
    </row>
    <row r="405" spans="2:10" ht="15.75" outlineLevel="1" x14ac:dyDescent="0.45">
      <c r="B405" s="2187" t="s">
        <v>1090</v>
      </c>
      <c r="C405" s="2188" t="s">
        <v>965</v>
      </c>
      <c r="D405" s="2188">
        <v>-132510</v>
      </c>
      <c r="E405" s="2190"/>
      <c r="F405" s="2190"/>
      <c r="G405" s="2188" t="s">
        <v>3116</v>
      </c>
      <c r="H405" s="2192"/>
      <c r="I405" s="2192"/>
      <c r="J405" s="2188" t="s">
        <v>960</v>
      </c>
    </row>
    <row r="406" spans="2:10" ht="15.75" outlineLevel="1" x14ac:dyDescent="0.45">
      <c r="B406" s="2187" t="s">
        <v>1091</v>
      </c>
      <c r="C406" s="2188" t="s">
        <v>966</v>
      </c>
      <c r="D406" s="2188">
        <v>-119200</v>
      </c>
      <c r="E406" s="2190"/>
      <c r="F406" s="2190"/>
      <c r="G406" s="2188" t="s">
        <v>3116</v>
      </c>
      <c r="H406" s="2192"/>
      <c r="I406" s="2192"/>
      <c r="J406" s="2188" t="s">
        <v>960</v>
      </c>
    </row>
    <row r="407" spans="2:10" ht="15.75" outlineLevel="1" x14ac:dyDescent="0.45">
      <c r="B407" s="2187" t="s">
        <v>1092</v>
      </c>
      <c r="C407" s="2188" t="s">
        <v>967</v>
      </c>
      <c r="D407" s="2188">
        <v>-106000</v>
      </c>
      <c r="E407" s="2190"/>
      <c r="F407" s="2190"/>
      <c r="G407" s="2188" t="s">
        <v>3116</v>
      </c>
      <c r="H407" s="2192"/>
      <c r="I407" s="2192"/>
      <c r="J407" s="2188" t="s">
        <v>962</v>
      </c>
    </row>
    <row r="408" spans="2:10" ht="15.75" outlineLevel="1" x14ac:dyDescent="0.45">
      <c r="B408" s="2187" t="s">
        <v>1093</v>
      </c>
      <c r="C408" s="2188" t="s">
        <v>968</v>
      </c>
      <c r="D408" s="2188">
        <v>-205000</v>
      </c>
      <c r="E408" s="2190"/>
      <c r="F408" s="2190"/>
      <c r="G408" s="2188" t="s">
        <v>3116</v>
      </c>
      <c r="H408" s="2192"/>
      <c r="I408" s="2192"/>
      <c r="J408" s="2188" t="s">
        <v>960</v>
      </c>
    </row>
    <row r="409" spans="2:10" ht="15.75" outlineLevel="1" x14ac:dyDescent="0.45">
      <c r="B409" s="2187" t="s">
        <v>1094</v>
      </c>
      <c r="C409" s="2188" t="s">
        <v>969</v>
      </c>
      <c r="D409" s="2188">
        <v>-699650</v>
      </c>
      <c r="E409" s="2190"/>
      <c r="F409" s="2190"/>
      <c r="G409" s="2188" t="s">
        <v>3116</v>
      </c>
      <c r="H409" s="2192"/>
      <c r="I409" s="2192"/>
      <c r="J409" s="2188" t="s">
        <v>960</v>
      </c>
    </row>
    <row r="410" spans="2:10" ht="15.75" outlineLevel="1" x14ac:dyDescent="0.45">
      <c r="B410" s="2187" t="s">
        <v>1095</v>
      </c>
      <c r="C410" s="2188" t="s">
        <v>970</v>
      </c>
      <c r="D410" s="2188">
        <v>-691990</v>
      </c>
      <c r="E410" s="2190"/>
      <c r="F410" s="2190"/>
      <c r="G410" s="2188" t="s">
        <v>3116</v>
      </c>
      <c r="H410" s="2192"/>
      <c r="I410" s="2192"/>
      <c r="J410" s="2188" t="s">
        <v>960</v>
      </c>
    </row>
    <row r="411" spans="2:10" ht="15.75" outlineLevel="1" x14ac:dyDescent="0.45">
      <c r="B411" s="2187" t="s">
        <v>1096</v>
      </c>
      <c r="C411" s="2188" t="s">
        <v>971</v>
      </c>
      <c r="D411" s="2188">
        <v>-677140</v>
      </c>
      <c r="E411" s="2190"/>
      <c r="F411" s="2190"/>
      <c r="G411" s="2188" t="s">
        <v>3116</v>
      </c>
      <c r="H411" s="2192"/>
      <c r="I411" s="2192"/>
      <c r="J411" s="2188" t="s">
        <v>960</v>
      </c>
    </row>
    <row r="412" spans="2:10" ht="15.75" outlineLevel="1" x14ac:dyDescent="0.45">
      <c r="B412" s="2187" t="s">
        <v>1097</v>
      </c>
      <c r="C412" s="2188" t="s">
        <v>4826</v>
      </c>
      <c r="D412" s="2188">
        <v>-1299144</v>
      </c>
      <c r="E412" s="2190"/>
      <c r="F412" s="2190"/>
      <c r="G412" s="2188" t="s">
        <v>3116</v>
      </c>
      <c r="H412" s="2192"/>
      <c r="I412" s="2192"/>
      <c r="J412" s="2188" t="s">
        <v>972</v>
      </c>
    </row>
    <row r="413" spans="2:10" ht="15.75" outlineLevel="1" x14ac:dyDescent="0.45">
      <c r="B413" s="2187" t="s">
        <v>1098</v>
      </c>
      <c r="C413" s="2188" t="s">
        <v>973</v>
      </c>
      <c r="D413" s="2188">
        <v>1296000</v>
      </c>
      <c r="E413" s="2190"/>
      <c r="F413" s="2190"/>
      <c r="G413" s="2188" t="s">
        <v>3116</v>
      </c>
      <c r="H413" s="2192"/>
      <c r="I413" s="2192"/>
      <c r="J413" s="2188" t="s">
        <v>974</v>
      </c>
    </row>
    <row r="414" spans="2:10" ht="15.75" outlineLevel="1" x14ac:dyDescent="0.45">
      <c r="B414" s="2187" t="s">
        <v>1099</v>
      </c>
      <c r="C414" s="2188" t="s">
        <v>975</v>
      </c>
      <c r="D414" s="2188">
        <v>-1292000</v>
      </c>
      <c r="E414" s="2190"/>
      <c r="F414" s="2190"/>
      <c r="G414" s="2188" t="s">
        <v>3116</v>
      </c>
      <c r="H414" s="2192"/>
      <c r="I414" s="2192"/>
      <c r="J414" s="2188" t="s">
        <v>974</v>
      </c>
    </row>
    <row r="415" spans="2:10" ht="15.75" outlineLevel="1" x14ac:dyDescent="0.45">
      <c r="B415" s="2187" t="s">
        <v>1100</v>
      </c>
      <c r="C415" s="2188" t="s">
        <v>976</v>
      </c>
      <c r="D415" s="2188">
        <v>-1277400</v>
      </c>
      <c r="E415" s="2190"/>
      <c r="F415" s="2190"/>
      <c r="G415" s="2188" t="s">
        <v>3116</v>
      </c>
      <c r="H415" s="2192"/>
      <c r="I415" s="2192"/>
      <c r="J415" s="2188" t="s">
        <v>960</v>
      </c>
    </row>
    <row r="416" spans="2:10" ht="15.75" outlineLevel="1" x14ac:dyDescent="0.45">
      <c r="B416" s="2187" t="s">
        <v>1101</v>
      </c>
      <c r="C416" s="2188" t="s">
        <v>977</v>
      </c>
      <c r="D416" s="2188">
        <v>-488453</v>
      </c>
      <c r="E416" s="2190"/>
      <c r="F416" s="2190"/>
      <c r="G416" s="2188" t="s">
        <v>3116</v>
      </c>
      <c r="H416" s="2192"/>
      <c r="I416" s="2192"/>
      <c r="J416" s="2188" t="s">
        <v>962</v>
      </c>
    </row>
    <row r="417" spans="2:10" ht="15.75" outlineLevel="1" x14ac:dyDescent="0.45">
      <c r="B417" s="2187" t="s">
        <v>1102</v>
      </c>
      <c r="C417" s="2188" t="s">
        <v>978</v>
      </c>
      <c r="D417" s="2188">
        <v>-488871</v>
      </c>
      <c r="E417" s="2190"/>
      <c r="F417" s="2190"/>
      <c r="G417" s="2188" t="s">
        <v>3116</v>
      </c>
      <c r="H417" s="2192"/>
      <c r="I417" s="2192"/>
      <c r="J417" s="2188" t="s">
        <v>962</v>
      </c>
    </row>
    <row r="418" spans="2:10" ht="15.75" outlineLevel="1" x14ac:dyDescent="0.45">
      <c r="B418" s="2187" t="s">
        <v>1353</v>
      </c>
      <c r="C418" s="2188" t="s">
        <v>1275</v>
      </c>
      <c r="D418" s="2188">
        <v>-39000</v>
      </c>
      <c r="E418" s="2190"/>
      <c r="F418" s="2190"/>
      <c r="G418" s="2188" t="s">
        <v>3116</v>
      </c>
      <c r="H418" s="2192"/>
      <c r="I418" s="2192"/>
      <c r="J418" s="2188" t="s">
        <v>962</v>
      </c>
    </row>
    <row r="419" spans="2:10" ht="15.75" outlineLevel="1" x14ac:dyDescent="0.45">
      <c r="B419" s="2187" t="s">
        <v>1354</v>
      </c>
      <c r="C419" s="2188" t="s">
        <v>1276</v>
      </c>
      <c r="D419" s="2188">
        <v>-17000</v>
      </c>
      <c r="E419" s="2190"/>
      <c r="F419" s="2190"/>
      <c r="G419" s="2188" t="s">
        <v>3116</v>
      </c>
      <c r="H419" s="2192"/>
      <c r="I419" s="2192"/>
      <c r="J419" s="2188" t="s">
        <v>1277</v>
      </c>
    </row>
    <row r="420" spans="2:10" ht="15.75" outlineLevel="1" x14ac:dyDescent="0.45">
      <c r="B420" s="2187" t="s">
        <v>1355</v>
      </c>
      <c r="C420" s="2188" t="s">
        <v>1278</v>
      </c>
      <c r="D420" s="2188">
        <v>33000</v>
      </c>
      <c r="E420" s="2190"/>
      <c r="F420" s="2190"/>
      <c r="G420" s="2188" t="s">
        <v>3116</v>
      </c>
      <c r="H420" s="2192"/>
      <c r="I420" s="2192"/>
      <c r="J420" s="2188" t="s">
        <v>962</v>
      </c>
    </row>
    <row r="421" spans="2:10" ht="15.75" outlineLevel="1" x14ac:dyDescent="0.45">
      <c r="B421" s="2187" t="s">
        <v>1356</v>
      </c>
      <c r="C421" s="2188" t="s">
        <v>1279</v>
      </c>
      <c r="D421" s="2188">
        <v>-909000</v>
      </c>
      <c r="E421" s="2190"/>
      <c r="F421" s="2190"/>
      <c r="G421" s="2188" t="s">
        <v>3116</v>
      </c>
      <c r="H421" s="2192"/>
      <c r="I421" s="2192"/>
      <c r="J421" s="2188" t="s">
        <v>974</v>
      </c>
    </row>
    <row r="422" spans="2:10" ht="15.75" outlineLevel="1" x14ac:dyDescent="0.45">
      <c r="B422" s="2187" t="s">
        <v>1357</v>
      </c>
      <c r="C422" s="2188" t="s">
        <v>1280</v>
      </c>
      <c r="D422" s="2188">
        <v>-887000</v>
      </c>
      <c r="E422" s="2190"/>
      <c r="F422" s="2190"/>
      <c r="G422" s="2188" t="s">
        <v>3116</v>
      </c>
      <c r="H422" s="2192"/>
      <c r="I422" s="2192"/>
      <c r="J422" s="2188" t="s">
        <v>1281</v>
      </c>
    </row>
    <row r="423" spans="2:10" ht="15.75" outlineLevel="1" x14ac:dyDescent="0.45">
      <c r="B423" s="2187" t="s">
        <v>1358</v>
      </c>
      <c r="C423" s="2188" t="s">
        <v>1282</v>
      </c>
      <c r="D423" s="2188">
        <v>-909000</v>
      </c>
      <c r="E423" s="2190"/>
      <c r="F423" s="2190"/>
      <c r="G423" s="2188" t="s">
        <v>3116</v>
      </c>
      <c r="H423" s="2192"/>
      <c r="I423" s="2192"/>
      <c r="J423" s="2188" t="s">
        <v>974</v>
      </c>
    </row>
    <row r="424" spans="2:10" ht="15.75" outlineLevel="1" x14ac:dyDescent="0.45">
      <c r="B424" s="2187" t="s">
        <v>1311</v>
      </c>
      <c r="C424" s="2188" t="s">
        <v>1312</v>
      </c>
      <c r="D424" s="2188">
        <v>-542960</v>
      </c>
      <c r="E424" s="2190"/>
      <c r="F424" s="2190"/>
      <c r="G424" s="2188" t="s">
        <v>3116</v>
      </c>
      <c r="H424" s="2192"/>
      <c r="I424" s="2192"/>
      <c r="J424" s="2188" t="s">
        <v>962</v>
      </c>
    </row>
    <row r="425" spans="2:10" ht="15.75" outlineLevel="1" x14ac:dyDescent="0.45">
      <c r="B425" s="2187" t="s">
        <v>1313</v>
      </c>
      <c r="C425" s="2188" t="s">
        <v>3529</v>
      </c>
      <c r="D425" s="2188">
        <v>-461960</v>
      </c>
      <c r="E425" s="2190"/>
      <c r="F425" s="2190"/>
      <c r="G425" s="2188" t="s">
        <v>3116</v>
      </c>
      <c r="H425" s="2192"/>
      <c r="I425" s="2192"/>
      <c r="J425" s="2188" t="s">
        <v>962</v>
      </c>
    </row>
    <row r="426" spans="2:10" ht="15.75" outlineLevel="1" x14ac:dyDescent="0.45">
      <c r="B426" s="2187" t="s">
        <v>1314</v>
      </c>
      <c r="C426" s="2188" t="s">
        <v>1315</v>
      </c>
      <c r="D426" s="2188">
        <v>-239660</v>
      </c>
      <c r="E426" s="2190"/>
      <c r="F426" s="2190"/>
      <c r="G426" s="2188" t="s">
        <v>3116</v>
      </c>
      <c r="H426" s="2192"/>
      <c r="I426" s="2192"/>
      <c r="J426" s="2188" t="s">
        <v>962</v>
      </c>
    </row>
    <row r="428" spans="2:10" ht="14.65" thickBot="1" x14ac:dyDescent="0.5">
      <c r="C428" s="2250" t="s">
        <v>979</v>
      </c>
    </row>
    <row r="429" spans="2:10" ht="14.65" thickBot="1" x14ac:dyDescent="0.5">
      <c r="B429" s="2251" t="s">
        <v>0</v>
      </c>
      <c r="C429" s="2252" t="s">
        <v>1</v>
      </c>
      <c r="D429" s="2253" t="s">
        <v>152</v>
      </c>
      <c r="E429" s="2253" t="s">
        <v>471</v>
      </c>
      <c r="F429" s="2253" t="s">
        <v>472</v>
      </c>
      <c r="G429" s="2253" t="s">
        <v>2</v>
      </c>
      <c r="H429" s="2253" t="s">
        <v>300</v>
      </c>
      <c r="I429" s="2253" t="s">
        <v>116</v>
      </c>
      <c r="J429" s="2254" t="s">
        <v>117</v>
      </c>
    </row>
    <row r="430" spans="2:10" ht="15.75" x14ac:dyDescent="0.45">
      <c r="B430" s="2187" t="s">
        <v>980</v>
      </c>
      <c r="C430" s="2188" t="s">
        <v>981</v>
      </c>
      <c r="D430" s="2188">
        <v>-286933.08</v>
      </c>
      <c r="E430" s="2190"/>
      <c r="F430" s="2190"/>
      <c r="G430" s="2188" t="s">
        <v>3116</v>
      </c>
      <c r="H430" s="2192"/>
      <c r="I430" s="2192"/>
      <c r="J430" s="2188" t="s">
        <v>982</v>
      </c>
    </row>
    <row r="432" spans="2:10" ht="14.65" thickBot="1" x14ac:dyDescent="0.5">
      <c r="C432" s="2250" t="s">
        <v>2061</v>
      </c>
    </row>
    <row r="433" spans="2:12" ht="14.65" thickBot="1" x14ac:dyDescent="0.5">
      <c r="B433" s="2251" t="s">
        <v>0</v>
      </c>
      <c r="C433" s="2252" t="s">
        <v>1</v>
      </c>
      <c r="D433" s="2253" t="s">
        <v>152</v>
      </c>
      <c r="E433" s="2253" t="s">
        <v>471</v>
      </c>
      <c r="F433" s="2253" t="s">
        <v>472</v>
      </c>
      <c r="G433" s="2253" t="s">
        <v>2</v>
      </c>
      <c r="H433" s="2253" t="s">
        <v>300</v>
      </c>
      <c r="I433" s="2253" t="s">
        <v>116</v>
      </c>
      <c r="J433" s="2254" t="s">
        <v>117</v>
      </c>
      <c r="L433" s="2191" t="s">
        <v>2062</v>
      </c>
    </row>
    <row r="434" spans="2:12" ht="15.75" outlineLevel="1" x14ac:dyDescent="0.45">
      <c r="B434" s="2187" t="s">
        <v>2063</v>
      </c>
      <c r="C434" s="2188" t="s">
        <v>2064</v>
      </c>
      <c r="D434" s="2188">
        <v>58032.160000000098</v>
      </c>
      <c r="E434" s="2190"/>
      <c r="F434" s="2190"/>
      <c r="G434" s="2188" t="s">
        <v>3116</v>
      </c>
      <c r="H434" s="2192">
        <v>1</v>
      </c>
      <c r="I434" s="2192"/>
      <c r="J434" s="2188" t="s">
        <v>2065</v>
      </c>
      <c r="L434" s="2191">
        <f>(H_OHm+H_H3Op) - 2*H_H2O</f>
        <v>58032.160000000033</v>
      </c>
    </row>
    <row r="435" spans="2:12" ht="15.75" outlineLevel="1" x14ac:dyDescent="0.45">
      <c r="B435" s="2187" t="s">
        <v>2066</v>
      </c>
      <c r="C435" s="2188" t="s">
        <v>2067</v>
      </c>
      <c r="D435" s="2188">
        <v>5349.0800000000099</v>
      </c>
      <c r="E435" s="2190"/>
      <c r="F435" s="2190"/>
      <c r="G435" s="2188" t="s">
        <v>3116</v>
      </c>
      <c r="H435" s="2192">
        <v>1</v>
      </c>
      <c r="I435" s="2192"/>
      <c r="J435" s="2188" t="s">
        <v>2462</v>
      </c>
      <c r="L435" s="2191">
        <f>(H_NH4p + H_OHm) - (H_NH3 + H_H2O)</f>
        <v>5349.0800000000163</v>
      </c>
    </row>
    <row r="436" spans="2:12" ht="15.75" outlineLevel="1" x14ac:dyDescent="0.45">
      <c r="B436" s="2187" t="s">
        <v>2463</v>
      </c>
      <c r="C436" s="2188" t="s">
        <v>2464</v>
      </c>
      <c r="D436" s="2188">
        <v>14293.080000000031</v>
      </c>
      <c r="E436" s="2190"/>
      <c r="F436" s="2190"/>
      <c r="G436" s="2188" t="s">
        <v>3116</v>
      </c>
      <c r="H436" s="2192">
        <v>1</v>
      </c>
      <c r="I436" s="2192"/>
      <c r="J436" s="2188" t="s">
        <v>2465</v>
      </c>
      <c r="L436" s="2191">
        <f>(H_H3Op+H_NO2m)-(H_HNO2+H_H2O)</f>
        <v>14293.080000000016</v>
      </c>
    </row>
    <row r="437" spans="2:12" ht="15.75" outlineLevel="1" x14ac:dyDescent="0.45">
      <c r="B437" s="2187" t="s">
        <v>2068</v>
      </c>
      <c r="C437" s="2188" t="s">
        <v>2069</v>
      </c>
      <c r="D437" s="2188">
        <v>8753.0800000000672</v>
      </c>
      <c r="E437" s="2190"/>
      <c r="F437" s="2190"/>
      <c r="G437" s="2188" t="s">
        <v>3116</v>
      </c>
      <c r="H437" s="2192">
        <v>1</v>
      </c>
      <c r="I437" s="2192"/>
      <c r="J437" s="2188" t="s">
        <v>2070</v>
      </c>
      <c r="L437" s="2191">
        <f>(H_HCO3m + H_H3Op) - (H_H2CO3 + H_H2O)</f>
        <v>8753.0800000000745</v>
      </c>
    </row>
    <row r="438" spans="2:12" ht="15.75" outlineLevel="1" x14ac:dyDescent="0.45">
      <c r="B438" s="2187" t="s">
        <v>2071</v>
      </c>
      <c r="C438" s="2188" t="s">
        <v>2072</v>
      </c>
      <c r="D438" s="2188">
        <v>15943.080000000009</v>
      </c>
      <c r="E438" s="2190"/>
      <c r="F438" s="2190"/>
      <c r="G438" s="2188" t="s">
        <v>3116</v>
      </c>
      <c r="H438" s="2192">
        <v>1</v>
      </c>
      <c r="I438" s="2192"/>
      <c r="J438" s="2188" t="s">
        <v>2073</v>
      </c>
      <c r="L438" s="2191">
        <f>(H_H3Op + H_CO32m) - (H_HCO3m + H_H2O)</f>
        <v>15943.080000000075</v>
      </c>
    </row>
    <row r="439" spans="2:12" ht="15.75" outlineLevel="1" x14ac:dyDescent="0.45">
      <c r="B439" s="2187" t="s">
        <v>2074</v>
      </c>
      <c r="C439" s="2188" t="s">
        <v>2075</v>
      </c>
      <c r="D439" s="2188">
        <v>2596237.08</v>
      </c>
      <c r="E439" s="2190"/>
      <c r="F439" s="2190"/>
      <c r="G439" s="2188" t="s">
        <v>3116</v>
      </c>
      <c r="H439" s="2192">
        <v>1</v>
      </c>
      <c r="I439" s="2192"/>
      <c r="J439" s="2188" t="s">
        <v>2076</v>
      </c>
      <c r="L439" s="2191">
        <f>(H_H3Op + H_H2PO4m) - (H_H3PO4 + H_H2O)</f>
        <v>2596237.08</v>
      </c>
    </row>
    <row r="440" spans="2:12" ht="15.75" outlineLevel="1" x14ac:dyDescent="0.45">
      <c r="B440" s="2187" t="s">
        <v>2077</v>
      </c>
      <c r="C440" s="2188" t="s">
        <v>2078</v>
      </c>
      <c r="D440" s="2188">
        <v>-2586906.92</v>
      </c>
      <c r="E440" s="2190"/>
      <c r="F440" s="2190"/>
      <c r="G440" s="2188" t="s">
        <v>3116</v>
      </c>
      <c r="H440" s="2192">
        <v>1</v>
      </c>
      <c r="I440" s="2192"/>
      <c r="J440" s="2188" t="s">
        <v>2079</v>
      </c>
      <c r="L440" s="2191">
        <f>(H_H3Op + H_HPO42m) - (H_H2PO4m + H_H2O)</f>
        <v>-2586906.92</v>
      </c>
    </row>
    <row r="441" spans="2:12" ht="15.75" outlineLevel="1" x14ac:dyDescent="0.45">
      <c r="B441" s="2187" t="s">
        <v>2080</v>
      </c>
      <c r="C441" s="2188" t="s">
        <v>2081</v>
      </c>
      <c r="D441" s="2188">
        <v>15693.080000000009</v>
      </c>
      <c r="E441" s="2190"/>
      <c r="F441" s="2190"/>
      <c r="G441" s="2188" t="s">
        <v>3116</v>
      </c>
      <c r="H441" s="2192">
        <v>1</v>
      </c>
      <c r="I441" s="2192"/>
      <c r="J441" s="2188" t="s">
        <v>2082</v>
      </c>
      <c r="L441" s="2191">
        <f>(H_H3Op + H_PO43m) - (H_HPO42m + H_H2O)</f>
        <v>15693.080000000075</v>
      </c>
    </row>
    <row r="442" spans="2:12" ht="15.75" outlineLevel="1" x14ac:dyDescent="0.45">
      <c r="B442" s="2187" t="s">
        <v>2083</v>
      </c>
      <c r="C442" s="2188" t="s">
        <v>2084</v>
      </c>
      <c r="D442" s="2188">
        <v>675.07999999997992</v>
      </c>
      <c r="E442" s="2190"/>
      <c r="F442" s="2190"/>
      <c r="G442" s="2188" t="s">
        <v>3116</v>
      </c>
      <c r="H442" s="2192">
        <v>1</v>
      </c>
      <c r="I442" s="2192"/>
      <c r="J442" s="2188" t="s">
        <v>2085</v>
      </c>
      <c r="L442" s="2191">
        <f>(H_H3Op + H_Acm) - (H_HAc + H_H2O)</f>
        <v>675.08000000007451</v>
      </c>
    </row>
    <row r="443" spans="2:12" ht="15.75" outlineLevel="1" x14ac:dyDescent="0.45">
      <c r="B443" s="2268" t="s">
        <v>4827</v>
      </c>
      <c r="C443" s="2268" t="s">
        <v>4828</v>
      </c>
      <c r="D443" s="2268">
        <v>660</v>
      </c>
      <c r="E443" s="2269"/>
      <c r="F443" s="2268"/>
      <c r="G443" s="2270" t="s">
        <v>3116</v>
      </c>
      <c r="H443" s="2271">
        <v>1</v>
      </c>
      <c r="I443" s="2268"/>
      <c r="J443" s="2268" t="s">
        <v>4829</v>
      </c>
    </row>
    <row r="444" spans="2:12" ht="15.75" outlineLevel="1" x14ac:dyDescent="0.45">
      <c r="B444" s="2268" t="s">
        <v>4830</v>
      </c>
      <c r="C444" s="2268" t="s">
        <v>4831</v>
      </c>
      <c r="D444" s="2268">
        <v>2800</v>
      </c>
      <c r="E444" s="2269"/>
      <c r="F444" s="2268"/>
      <c r="G444" s="2270" t="s">
        <v>3116</v>
      </c>
      <c r="H444" s="2271">
        <v>1</v>
      </c>
      <c r="I444" s="2268"/>
      <c r="J444" s="2268" t="s">
        <v>4829</v>
      </c>
    </row>
    <row r="445" spans="2:12" ht="15.75" outlineLevel="1" x14ac:dyDescent="0.45">
      <c r="B445" s="2268" t="s">
        <v>4832</v>
      </c>
      <c r="C445" s="2268" t="s">
        <v>4833</v>
      </c>
      <c r="D445" s="2268">
        <v>2887</v>
      </c>
      <c r="E445" s="2269"/>
      <c r="F445" s="2268"/>
      <c r="G445" s="2270" t="s">
        <v>3116</v>
      </c>
      <c r="H445" s="2271">
        <v>1</v>
      </c>
      <c r="I445" s="2268"/>
      <c r="J445" s="2268" t="s">
        <v>4829</v>
      </c>
    </row>
    <row r="446" spans="2:12" ht="15.75" outlineLevel="1" x14ac:dyDescent="0.45">
      <c r="B446" s="2187" t="s">
        <v>2086</v>
      </c>
      <c r="C446" s="2188" t="s">
        <v>2087</v>
      </c>
      <c r="D446" s="2188">
        <v>23093.080000000042</v>
      </c>
      <c r="E446" s="2190"/>
      <c r="F446" s="2190"/>
      <c r="G446" s="2188" t="s">
        <v>3116</v>
      </c>
      <c r="H446" s="2192">
        <v>1</v>
      </c>
      <c r="I446" s="2192"/>
      <c r="J446" s="2188" t="s">
        <v>2088</v>
      </c>
      <c r="L446" s="2191">
        <f>(H_HSm+H_H3Op)-(H_H2S+H_H2O)</f>
        <v>23093.080000000016</v>
      </c>
    </row>
    <row r="447" spans="2:12" ht="15.75" outlineLevel="1" x14ac:dyDescent="0.45">
      <c r="B447" s="2187" t="s">
        <v>2089</v>
      </c>
      <c r="C447" s="2188" t="s">
        <v>2090</v>
      </c>
      <c r="D447" s="2188">
        <v>51093.080000000045</v>
      </c>
      <c r="E447" s="2190"/>
      <c r="F447" s="2190"/>
      <c r="G447" s="2188" t="s">
        <v>3116</v>
      </c>
      <c r="H447" s="2192">
        <v>1</v>
      </c>
      <c r="I447" s="2192"/>
      <c r="J447" s="2188" t="s">
        <v>2091</v>
      </c>
      <c r="L447" s="2191">
        <f>(H_H3Op+H_S2m)-(H_HSm+H_H2O)</f>
        <v>51093.080000000016</v>
      </c>
    </row>
    <row r="448" spans="2:12" ht="15.75" outlineLevel="1" x14ac:dyDescent="0.45">
      <c r="B448" s="2187" t="s">
        <v>2092</v>
      </c>
      <c r="C448" s="2188" t="s">
        <v>2093</v>
      </c>
      <c r="D448" s="2188">
        <v>23093.0800000001</v>
      </c>
      <c r="E448" s="2190"/>
      <c r="F448" s="2190"/>
      <c r="G448" s="2188" t="s">
        <v>3116</v>
      </c>
      <c r="H448" s="2192">
        <v>1</v>
      </c>
      <c r="I448" s="2192"/>
      <c r="J448" s="2188" t="s">
        <v>2094</v>
      </c>
      <c r="L448" s="2191">
        <f>(H_HSO4m+H_H3Op)-(H_H2SO4+H_H2O)</f>
        <v>23093.080000000075</v>
      </c>
    </row>
    <row r="449" spans="2:12" ht="15.75" outlineLevel="1" x14ac:dyDescent="0.45">
      <c r="B449" s="2187" t="s">
        <v>2095</v>
      </c>
      <c r="C449" s="2188" t="s">
        <v>2096</v>
      </c>
      <c r="D449" s="2188">
        <v>-20906.9199999999</v>
      </c>
      <c r="E449" s="2190"/>
      <c r="F449" s="2190"/>
      <c r="G449" s="2188" t="s">
        <v>3116</v>
      </c>
      <c r="H449" s="2192">
        <v>1</v>
      </c>
      <c r="I449" s="2192"/>
      <c r="J449" s="2188" t="s">
        <v>2097</v>
      </c>
      <c r="L449" s="2191">
        <f>(H_H3Op+H_SO42m)-(H_HSO4m+H_H2O)</f>
        <v>-20906.919999999925</v>
      </c>
    </row>
    <row r="450" spans="2:12" ht="15.75" outlineLevel="1" x14ac:dyDescent="0.45">
      <c r="B450" s="2187" t="s">
        <v>2098</v>
      </c>
      <c r="C450" s="2188" t="s">
        <v>2099</v>
      </c>
      <c r="D450" s="2188">
        <v>64110</v>
      </c>
      <c r="E450" s="2190"/>
      <c r="F450" s="2190"/>
      <c r="G450" s="2188" t="s">
        <v>3116</v>
      </c>
      <c r="H450" s="2192">
        <v>1</v>
      </c>
      <c r="I450" s="2192"/>
      <c r="J450" s="2188"/>
    </row>
    <row r="451" spans="2:12" ht="15.75" outlineLevel="1" x14ac:dyDescent="0.45">
      <c r="B451" s="2187" t="s">
        <v>2100</v>
      </c>
      <c r="C451" s="2188" t="s">
        <v>2101</v>
      </c>
      <c r="D451" s="2188">
        <v>16000</v>
      </c>
      <c r="E451" s="2190"/>
      <c r="F451" s="2190"/>
      <c r="G451" s="2188" t="s">
        <v>3116</v>
      </c>
      <c r="H451" s="2192">
        <v>1</v>
      </c>
      <c r="I451" s="2192"/>
      <c r="J451" s="2188"/>
    </row>
    <row r="452" spans="2:12" ht="15.75" outlineLevel="1" x14ac:dyDescent="0.45">
      <c r="B452" s="2187" t="s">
        <v>2102</v>
      </c>
      <c r="C452" s="2188" t="s">
        <v>2103</v>
      </c>
      <c r="D452" s="2188">
        <v>5400</v>
      </c>
      <c r="E452" s="2190"/>
      <c r="F452" s="2190"/>
      <c r="G452" s="2188" t="s">
        <v>3116</v>
      </c>
      <c r="H452" s="2192">
        <v>1</v>
      </c>
      <c r="I452" s="2192"/>
      <c r="J452" s="2188"/>
    </row>
    <row r="453" spans="2:12" ht="15.75" outlineLevel="1" x14ac:dyDescent="0.45">
      <c r="B453" s="2187" t="s">
        <v>2104</v>
      </c>
      <c r="C453" s="2188" t="s">
        <v>2105</v>
      </c>
      <c r="D453" s="2188">
        <v>12970.4</v>
      </c>
      <c r="E453" s="2190"/>
      <c r="F453" s="2190"/>
      <c r="G453" s="2188" t="s">
        <v>3116</v>
      </c>
      <c r="H453" s="2192">
        <v>1</v>
      </c>
      <c r="I453" s="2192"/>
      <c r="J453" s="2188"/>
    </row>
    <row r="454" spans="2:12" ht="15.75" outlineLevel="1" x14ac:dyDescent="0.45">
      <c r="B454" s="2187" t="s">
        <v>2106</v>
      </c>
      <c r="C454" s="2188" t="s">
        <v>2107</v>
      </c>
      <c r="D454" s="2188">
        <v>-3000</v>
      </c>
      <c r="E454" s="2190"/>
      <c r="F454" s="2190"/>
      <c r="G454" s="2188" t="s">
        <v>3116</v>
      </c>
      <c r="H454" s="2192">
        <v>1</v>
      </c>
      <c r="I454" s="2192"/>
      <c r="J454" s="2188"/>
    </row>
    <row r="455" spans="2:12" ht="15.75" outlineLevel="1" x14ac:dyDescent="0.45">
      <c r="B455" s="2187" t="s">
        <v>2108</v>
      </c>
      <c r="C455" s="2188" t="s">
        <v>2109</v>
      </c>
      <c r="D455" s="2188">
        <v>-6000</v>
      </c>
      <c r="E455" s="2190"/>
      <c r="F455" s="2190"/>
      <c r="G455" s="2188" t="s">
        <v>3116</v>
      </c>
      <c r="H455" s="2192">
        <v>1</v>
      </c>
      <c r="I455" s="2192"/>
      <c r="J455" s="2188"/>
    </row>
    <row r="456" spans="2:12" ht="15.75" outlineLevel="1" x14ac:dyDescent="0.45">
      <c r="B456" s="2187" t="s">
        <v>2110</v>
      </c>
      <c r="C456" s="2188" t="s">
        <v>2111</v>
      </c>
      <c r="D456" s="2188">
        <v>67810</v>
      </c>
      <c r="E456" s="2190"/>
      <c r="F456" s="2190"/>
      <c r="G456" s="2188" t="s">
        <v>3116</v>
      </c>
      <c r="H456" s="2192">
        <v>1</v>
      </c>
      <c r="I456" s="2192"/>
      <c r="J456" s="2188"/>
    </row>
    <row r="457" spans="2:12" ht="15.75" outlineLevel="1" x14ac:dyDescent="0.45">
      <c r="B457" s="2187" t="s">
        <v>2112</v>
      </c>
      <c r="C457" s="2188" t="s">
        <v>2113</v>
      </c>
      <c r="D457" s="2188">
        <v>12000</v>
      </c>
      <c r="E457" s="2190"/>
      <c r="F457" s="2190"/>
      <c r="G457" s="2188" t="s">
        <v>3116</v>
      </c>
      <c r="H457" s="2192">
        <v>1</v>
      </c>
      <c r="I457" s="2192"/>
      <c r="J457" s="2188"/>
    </row>
    <row r="458" spans="2:12" ht="15.75" outlineLevel="1" x14ac:dyDescent="0.45">
      <c r="B458" s="2187" t="s">
        <v>2114</v>
      </c>
      <c r="C458" s="2188" t="s">
        <v>2115</v>
      </c>
      <c r="D458" s="2188">
        <v>-10600</v>
      </c>
      <c r="E458" s="2190"/>
      <c r="F458" s="2190"/>
      <c r="G458" s="2188" t="s">
        <v>3116</v>
      </c>
      <c r="H458" s="2192">
        <v>1</v>
      </c>
      <c r="I458" s="2192"/>
      <c r="J458" s="2188"/>
    </row>
    <row r="459" spans="2:12" ht="15.75" outlineLevel="1" x14ac:dyDescent="0.45">
      <c r="B459" s="2187" t="s">
        <v>2116</v>
      </c>
      <c r="C459" s="2188" t="s">
        <v>2117</v>
      </c>
      <c r="D459" s="2188">
        <v>-3000</v>
      </c>
      <c r="E459" s="2190"/>
      <c r="F459" s="2190"/>
      <c r="G459" s="2188" t="s">
        <v>3116</v>
      </c>
      <c r="H459" s="2192">
        <v>1</v>
      </c>
      <c r="I459" s="2192"/>
      <c r="J459" s="2188"/>
    </row>
    <row r="460" spans="2:12" ht="15.75" outlineLevel="1" x14ac:dyDescent="0.45">
      <c r="B460" s="2187" t="s">
        <v>2118</v>
      </c>
      <c r="C460" s="2188" t="s">
        <v>2119</v>
      </c>
      <c r="D460" s="2188">
        <v>12970.4</v>
      </c>
      <c r="E460" s="2190"/>
      <c r="F460" s="2190"/>
      <c r="G460" s="2188" t="s">
        <v>3116</v>
      </c>
      <c r="H460" s="2192">
        <v>1</v>
      </c>
      <c r="I460" s="2192"/>
      <c r="J460" s="2188"/>
    </row>
    <row r="461" spans="2:12" ht="15.75" outlineLevel="1" x14ac:dyDescent="0.45">
      <c r="B461" s="2187" t="s">
        <v>2120</v>
      </c>
      <c r="C461" s="2188" t="s">
        <v>2121</v>
      </c>
      <c r="D461" s="2188">
        <v>21256.1</v>
      </c>
      <c r="E461" s="2190"/>
      <c r="F461" s="2190"/>
      <c r="G461" s="2188" t="s">
        <v>3116</v>
      </c>
      <c r="H461" s="2192">
        <v>1</v>
      </c>
      <c r="I461" s="2192"/>
      <c r="J461" s="2188"/>
    </row>
    <row r="462" spans="2:12" ht="15.75" outlineLevel="1" x14ac:dyDescent="0.45">
      <c r="B462" s="2187" t="s">
        <v>2122</v>
      </c>
      <c r="C462" s="2188" t="s">
        <v>2123</v>
      </c>
      <c r="D462" s="2188">
        <v>0</v>
      </c>
      <c r="E462" s="2190"/>
      <c r="F462" s="2190"/>
      <c r="G462" s="2188" t="s">
        <v>3116</v>
      </c>
      <c r="H462" s="2192">
        <v>1</v>
      </c>
      <c r="I462" s="2192"/>
      <c r="J462" s="2188"/>
    </row>
    <row r="464" spans="2:12" ht="14.65" thickBot="1" x14ac:dyDescent="0.5">
      <c r="C464" s="2250" t="s">
        <v>3530</v>
      </c>
    </row>
    <row r="465" spans="2:12" ht="14.65" thickBot="1" x14ac:dyDescent="0.5">
      <c r="B465" s="2251" t="s">
        <v>0</v>
      </c>
      <c r="C465" s="2252" t="s">
        <v>1</v>
      </c>
      <c r="D465" s="2253" t="s">
        <v>152</v>
      </c>
      <c r="E465" s="2253" t="s">
        <v>471</v>
      </c>
      <c r="F465" s="2253" t="s">
        <v>472</v>
      </c>
      <c r="G465" s="2253" t="s">
        <v>2</v>
      </c>
      <c r="H465" s="2253" t="s">
        <v>300</v>
      </c>
      <c r="I465" s="2253" t="s">
        <v>116</v>
      </c>
      <c r="J465" s="2254" t="s">
        <v>117</v>
      </c>
      <c r="L465" s="2191" t="s">
        <v>2062</v>
      </c>
    </row>
    <row r="466" spans="2:12" ht="15.75" outlineLevel="1" x14ac:dyDescent="0.45">
      <c r="B466" s="2187" t="s">
        <v>3281</v>
      </c>
      <c r="C466" s="2188" t="s">
        <v>3117</v>
      </c>
      <c r="D466" s="2188">
        <v>2.5000000000000001E-5</v>
      </c>
      <c r="E466" s="2190" t="s">
        <v>1219</v>
      </c>
      <c r="F466" s="2190" t="s">
        <v>1256</v>
      </c>
      <c r="G466" s="2188" t="s">
        <v>3282</v>
      </c>
      <c r="H466" s="2192">
        <v>2</v>
      </c>
      <c r="I466" s="2192"/>
      <c r="J466" s="2188" t="s">
        <v>3118</v>
      </c>
    </row>
    <row r="467" spans="2:12" ht="15.75" outlineLevel="1" x14ac:dyDescent="0.45">
      <c r="B467" s="2187" t="s">
        <v>3283</v>
      </c>
      <c r="C467" s="2188" t="s">
        <v>3117</v>
      </c>
      <c r="D467" s="2188">
        <v>2.5000000000000001E-5</v>
      </c>
      <c r="E467" s="2190" t="s">
        <v>1219</v>
      </c>
      <c r="F467" s="2190" t="s">
        <v>1256</v>
      </c>
      <c r="G467" s="2188" t="s">
        <v>3282</v>
      </c>
      <c r="H467" s="2192">
        <v>2</v>
      </c>
      <c r="I467" s="2192"/>
      <c r="J467" s="2188" t="s">
        <v>3118</v>
      </c>
    </row>
    <row r="468" spans="2:12" ht="15.75" outlineLevel="1" x14ac:dyDescent="0.45">
      <c r="B468" s="2187" t="s">
        <v>3284</v>
      </c>
      <c r="C468" s="2188" t="s">
        <v>3117</v>
      </c>
      <c r="D468" s="2188">
        <v>2.5000000000000001E-5</v>
      </c>
      <c r="E468" s="2190" t="s">
        <v>1219</v>
      </c>
      <c r="F468" s="2190" t="s">
        <v>1256</v>
      </c>
      <c r="G468" s="2188" t="s">
        <v>3282</v>
      </c>
      <c r="H468" s="2192">
        <v>2</v>
      </c>
      <c r="I468" s="2192"/>
      <c r="J468" s="2188" t="s">
        <v>3118</v>
      </c>
    </row>
    <row r="469" spans="2:12" ht="15.75" outlineLevel="1" x14ac:dyDescent="0.45">
      <c r="B469" s="2187" t="s">
        <v>3285</v>
      </c>
      <c r="C469" s="2188" t="s">
        <v>3119</v>
      </c>
      <c r="D469" s="2188">
        <v>1.24E-5</v>
      </c>
      <c r="E469" s="2190" t="s">
        <v>1219</v>
      </c>
      <c r="F469" s="2190" t="s">
        <v>1256</v>
      </c>
      <c r="G469" s="2188" t="s">
        <v>3282</v>
      </c>
      <c r="H469" s="2192">
        <v>2</v>
      </c>
      <c r="I469" s="2192"/>
      <c r="J469" s="2188" t="s">
        <v>3118</v>
      </c>
    </row>
    <row r="470" spans="2:12" ht="15.75" outlineLevel="1" x14ac:dyDescent="0.45">
      <c r="B470" s="2187" t="s">
        <v>3286</v>
      </c>
      <c r="C470" s="2188" t="s">
        <v>3120</v>
      </c>
      <c r="D470" s="2188">
        <v>1.24E-5</v>
      </c>
      <c r="E470" s="2190" t="s">
        <v>1219</v>
      </c>
      <c r="F470" s="2190" t="s">
        <v>1256</v>
      </c>
      <c r="G470" s="2188" t="s">
        <v>3282</v>
      </c>
      <c r="H470" s="2192">
        <v>2</v>
      </c>
      <c r="I470" s="2192"/>
      <c r="J470" s="2188" t="s">
        <v>3118</v>
      </c>
    </row>
    <row r="471" spans="2:12" ht="15.75" outlineLevel="1" x14ac:dyDescent="0.45">
      <c r="B471" s="2187" t="s">
        <v>3287</v>
      </c>
      <c r="C471" s="2188" t="s">
        <v>3121</v>
      </c>
      <c r="D471" s="2188">
        <v>1.24E-5</v>
      </c>
      <c r="E471" s="2190" t="s">
        <v>1219</v>
      </c>
      <c r="F471" s="2190" t="s">
        <v>1256</v>
      </c>
      <c r="G471" s="2188" t="s">
        <v>3282</v>
      </c>
      <c r="H471" s="2192">
        <v>2</v>
      </c>
      <c r="I471" s="2192"/>
      <c r="J471" s="2188" t="s">
        <v>3118</v>
      </c>
    </row>
    <row r="472" spans="2:12" ht="15.75" outlineLevel="1" x14ac:dyDescent="0.45">
      <c r="B472" s="2187" t="s">
        <v>3288</v>
      </c>
      <c r="C472" s="2188" t="s">
        <v>3119</v>
      </c>
      <c r="D472" s="2188">
        <v>1.24E-5</v>
      </c>
      <c r="E472" s="2190" t="s">
        <v>1219</v>
      </c>
      <c r="F472" s="2190" t="s">
        <v>1256</v>
      </c>
      <c r="G472" s="2188" t="s">
        <v>3282</v>
      </c>
      <c r="H472" s="2192">
        <v>2</v>
      </c>
      <c r="I472" s="2192"/>
      <c r="J472" s="2188" t="s">
        <v>3118</v>
      </c>
    </row>
    <row r="473" spans="2:12" ht="15.75" outlineLevel="1" x14ac:dyDescent="0.45">
      <c r="B473" s="2187" t="s">
        <v>5177</v>
      </c>
      <c r="C473" s="2188" t="s">
        <v>5178</v>
      </c>
      <c r="D473" s="2188">
        <v>1.24E-5</v>
      </c>
      <c r="E473" s="2190" t="s">
        <v>1219</v>
      </c>
      <c r="F473" s="2190" t="s">
        <v>1256</v>
      </c>
      <c r="G473" s="2188" t="s">
        <v>3282</v>
      </c>
      <c r="H473" s="2192">
        <v>2</v>
      </c>
      <c r="I473" s="2192"/>
      <c r="J473" s="2188" t="s">
        <v>3118</v>
      </c>
    </row>
    <row r="474" spans="2:12" ht="15.75" outlineLevel="1" x14ac:dyDescent="0.45">
      <c r="B474" s="2187" t="s">
        <v>3289</v>
      </c>
      <c r="C474" s="2188" t="s">
        <v>3122</v>
      </c>
      <c r="D474" s="2188">
        <v>1.24E-5</v>
      </c>
      <c r="E474" s="2190" t="s">
        <v>1219</v>
      </c>
      <c r="F474" s="2190" t="s">
        <v>1256</v>
      </c>
      <c r="G474" s="2188" t="s">
        <v>3282</v>
      </c>
      <c r="H474" s="2192">
        <v>2</v>
      </c>
      <c r="I474" s="2192"/>
      <c r="J474" s="2188" t="s">
        <v>3118</v>
      </c>
    </row>
    <row r="475" spans="2:12" ht="15.75" outlineLevel="1" x14ac:dyDescent="0.45">
      <c r="B475" s="2187" t="s">
        <v>3290</v>
      </c>
      <c r="C475" s="2188" t="s">
        <v>3122</v>
      </c>
      <c r="D475" s="2188">
        <v>1.24E-5</v>
      </c>
      <c r="E475" s="2190" t="s">
        <v>1219</v>
      </c>
      <c r="F475" s="2190" t="s">
        <v>1256</v>
      </c>
      <c r="G475" s="2188" t="s">
        <v>3282</v>
      </c>
      <c r="H475" s="2192">
        <v>2</v>
      </c>
      <c r="I475" s="2192"/>
      <c r="J475" s="2188" t="s">
        <v>3118</v>
      </c>
    </row>
    <row r="476" spans="2:12" ht="15.75" outlineLevel="1" x14ac:dyDescent="0.45">
      <c r="B476" s="2187" t="s">
        <v>3291</v>
      </c>
      <c r="C476" s="2188" t="s">
        <v>3123</v>
      </c>
      <c r="D476" s="2188">
        <v>1.24E-5</v>
      </c>
      <c r="E476" s="2190" t="s">
        <v>1219</v>
      </c>
      <c r="F476" s="2190" t="s">
        <v>1256</v>
      </c>
      <c r="G476" s="2188" t="s">
        <v>3282</v>
      </c>
      <c r="H476" s="2192">
        <v>2</v>
      </c>
      <c r="I476" s="2192"/>
      <c r="J476" s="2188" t="s">
        <v>3118</v>
      </c>
    </row>
    <row r="477" spans="2:12" ht="15.75" outlineLevel="1" x14ac:dyDescent="0.45">
      <c r="B477" s="2187" t="s">
        <v>3292</v>
      </c>
      <c r="C477" s="2188" t="s">
        <v>3124</v>
      </c>
      <c r="D477" s="2188">
        <v>1.0000000000000001E-5</v>
      </c>
      <c r="E477" s="2190" t="s">
        <v>1219</v>
      </c>
      <c r="F477" s="2190" t="s">
        <v>1256</v>
      </c>
      <c r="G477" s="2188" t="s">
        <v>3282</v>
      </c>
      <c r="H477" s="2192">
        <v>2</v>
      </c>
      <c r="I477" s="2192"/>
      <c r="J477" s="2188"/>
    </row>
    <row r="478" spans="2:12" ht="15.75" outlineLevel="1" x14ac:dyDescent="0.45">
      <c r="B478" s="2187" t="s">
        <v>3293</v>
      </c>
      <c r="C478" s="2188" t="s">
        <v>3124</v>
      </c>
      <c r="D478" s="2188">
        <v>1.0000000000000001E-5</v>
      </c>
      <c r="E478" s="2190" t="s">
        <v>1219</v>
      </c>
      <c r="F478" s="2190" t="s">
        <v>1256</v>
      </c>
      <c r="G478" s="2188" t="s">
        <v>3282</v>
      </c>
      <c r="H478" s="2192">
        <v>2</v>
      </c>
      <c r="I478" s="2192"/>
      <c r="J478" s="2188"/>
    </row>
    <row r="479" spans="2:12" ht="15.75" outlineLevel="1" x14ac:dyDescent="0.45">
      <c r="B479" s="2187" t="s">
        <v>3325</v>
      </c>
      <c r="C479" s="2188" t="s">
        <v>3155</v>
      </c>
      <c r="D479" s="2188">
        <v>2.5000000000000002E-6</v>
      </c>
      <c r="E479" s="2190" t="s">
        <v>1219</v>
      </c>
      <c r="F479" s="2190" t="s">
        <v>1256</v>
      </c>
      <c r="G479" s="2188" t="s">
        <v>3282</v>
      </c>
      <c r="H479" s="2192">
        <v>2</v>
      </c>
      <c r="I479" s="2192"/>
      <c r="J479" s="2188" t="s">
        <v>3118</v>
      </c>
    </row>
    <row r="480" spans="2:12" ht="15.75" outlineLevel="1" x14ac:dyDescent="0.45">
      <c r="B480" s="2187" t="s">
        <v>3326</v>
      </c>
      <c r="C480" s="2188" t="s">
        <v>3156</v>
      </c>
      <c r="D480" s="2188">
        <v>2.5000000000000002E-6</v>
      </c>
      <c r="E480" s="2190" t="s">
        <v>1219</v>
      </c>
      <c r="F480" s="2190" t="s">
        <v>1256</v>
      </c>
      <c r="G480" s="2188" t="s">
        <v>3282</v>
      </c>
      <c r="H480" s="2192">
        <v>2</v>
      </c>
      <c r="I480" s="2192"/>
      <c r="J480" s="2188" t="s">
        <v>3118</v>
      </c>
    </row>
    <row r="481" spans="2:10" ht="15.75" outlineLevel="1" x14ac:dyDescent="0.45">
      <c r="B481" s="2187" t="s">
        <v>3294</v>
      </c>
      <c r="C481" s="2188" t="s">
        <v>3125</v>
      </c>
      <c r="D481" s="2188">
        <v>2.0000000000000002E-5</v>
      </c>
      <c r="E481" s="2190" t="s">
        <v>1219</v>
      </c>
      <c r="F481" s="2190" t="s">
        <v>1256</v>
      </c>
      <c r="G481" s="2188" t="s">
        <v>3282</v>
      </c>
      <c r="H481" s="2192">
        <v>2</v>
      </c>
      <c r="I481" s="2192"/>
      <c r="J481" s="2188" t="s">
        <v>3126</v>
      </c>
    </row>
    <row r="482" spans="2:10" ht="15.75" outlineLevel="1" x14ac:dyDescent="0.45">
      <c r="B482" s="2187" t="s">
        <v>3295</v>
      </c>
      <c r="C482" s="2188" t="s">
        <v>3125</v>
      </c>
      <c r="D482" s="2188">
        <v>2.0000000000000002E-5</v>
      </c>
      <c r="E482" s="2190" t="s">
        <v>1219</v>
      </c>
      <c r="F482" s="2190" t="s">
        <v>1256</v>
      </c>
      <c r="G482" s="2188" t="s">
        <v>3282</v>
      </c>
      <c r="H482" s="2192">
        <v>2</v>
      </c>
      <c r="I482" s="2192"/>
      <c r="J482" s="2188" t="s">
        <v>3126</v>
      </c>
    </row>
    <row r="483" spans="2:10" ht="15.75" outlineLevel="1" x14ac:dyDescent="0.45">
      <c r="B483" s="2187" t="s">
        <v>3296</v>
      </c>
      <c r="C483" s="2188" t="s">
        <v>3125</v>
      </c>
      <c r="D483" s="2188">
        <v>2.0000000000000002E-5</v>
      </c>
      <c r="E483" s="2190" t="s">
        <v>1219</v>
      </c>
      <c r="F483" s="2190" t="s">
        <v>1256</v>
      </c>
      <c r="G483" s="2188" t="s">
        <v>3282</v>
      </c>
      <c r="H483" s="2192">
        <v>2</v>
      </c>
      <c r="I483" s="2192"/>
      <c r="J483" s="2188" t="s">
        <v>3126</v>
      </c>
    </row>
    <row r="484" spans="2:10" ht="15.75" outlineLevel="1" x14ac:dyDescent="0.45">
      <c r="B484" s="2187" t="s">
        <v>3297</v>
      </c>
      <c r="C484" s="2188" t="s">
        <v>3127</v>
      </c>
      <c r="D484" s="2188">
        <v>2.0000000000000002E-5</v>
      </c>
      <c r="E484" s="2190" t="s">
        <v>1219</v>
      </c>
      <c r="F484" s="2190" t="s">
        <v>2329</v>
      </c>
      <c r="G484" s="2188" t="s">
        <v>3282</v>
      </c>
      <c r="H484" s="2192">
        <v>2</v>
      </c>
      <c r="I484" s="2192"/>
      <c r="J484" s="2188" t="s">
        <v>3128</v>
      </c>
    </row>
    <row r="485" spans="2:10" ht="15.75" outlineLevel="1" x14ac:dyDescent="0.45">
      <c r="B485" s="2187" t="s">
        <v>3298</v>
      </c>
      <c r="C485" s="2188" t="s">
        <v>3129</v>
      </c>
      <c r="D485" s="2188">
        <v>1.0000000000000001E-5</v>
      </c>
      <c r="E485" s="2190" t="s">
        <v>1219</v>
      </c>
      <c r="F485" s="2190" t="s">
        <v>2329</v>
      </c>
      <c r="G485" s="2188" t="s">
        <v>3282</v>
      </c>
      <c r="H485" s="2192">
        <v>2</v>
      </c>
      <c r="I485" s="2192"/>
      <c r="J485" s="2188" t="s">
        <v>3118</v>
      </c>
    </row>
    <row r="486" spans="2:10" ht="15.75" outlineLevel="1" x14ac:dyDescent="0.45">
      <c r="B486" s="2187" t="s">
        <v>3299</v>
      </c>
      <c r="C486" s="2188" t="s">
        <v>3130</v>
      </c>
      <c r="D486" s="2188">
        <v>1.24E-5</v>
      </c>
      <c r="E486" s="2190" t="s">
        <v>1219</v>
      </c>
      <c r="F486" s="2190" t="s">
        <v>2329</v>
      </c>
      <c r="G486" s="2188" t="s">
        <v>3282</v>
      </c>
      <c r="H486" s="2192">
        <v>2</v>
      </c>
      <c r="I486" s="2192"/>
      <c r="J486" s="2188" t="s">
        <v>3118</v>
      </c>
    </row>
    <row r="487" spans="2:10" ht="15.75" outlineLevel="1" x14ac:dyDescent="0.45">
      <c r="B487" s="2187" t="s">
        <v>3300</v>
      </c>
      <c r="C487" s="2188" t="s">
        <v>3131</v>
      </c>
      <c r="D487" s="2188">
        <v>1.9000000000000001E-5</v>
      </c>
      <c r="E487" s="2190" t="s">
        <v>1219</v>
      </c>
      <c r="F487" s="2190" t="s">
        <v>2329</v>
      </c>
      <c r="G487" s="2188" t="s">
        <v>3282</v>
      </c>
      <c r="H487" s="2192">
        <v>2</v>
      </c>
      <c r="I487" s="2192"/>
      <c r="J487" s="2188" t="s">
        <v>3132</v>
      </c>
    </row>
    <row r="488" spans="2:10" ht="15.75" outlineLevel="1" x14ac:dyDescent="0.45">
      <c r="B488" s="2187" t="s">
        <v>3301</v>
      </c>
      <c r="C488" s="2188" t="s">
        <v>3133</v>
      </c>
      <c r="D488" s="2188">
        <v>1.24E-5</v>
      </c>
      <c r="E488" s="2190" t="s">
        <v>1219</v>
      </c>
      <c r="F488" s="2190" t="s">
        <v>2329</v>
      </c>
      <c r="G488" s="2188" t="s">
        <v>3282</v>
      </c>
      <c r="H488" s="2192">
        <v>2</v>
      </c>
      <c r="I488" s="2192"/>
      <c r="J488" s="2188" t="s">
        <v>3134</v>
      </c>
    </row>
    <row r="489" spans="2:10" ht="15.75" outlineLevel="1" x14ac:dyDescent="0.45">
      <c r="B489" s="2187" t="s">
        <v>3302</v>
      </c>
      <c r="C489" s="2188" t="s">
        <v>3135</v>
      </c>
      <c r="D489" s="2188">
        <v>1.24E-5</v>
      </c>
      <c r="E489" s="2190" t="s">
        <v>1219</v>
      </c>
      <c r="F489" s="2190" t="s">
        <v>2329</v>
      </c>
      <c r="G489" s="2188" t="s">
        <v>3282</v>
      </c>
      <c r="H489" s="2192">
        <v>2</v>
      </c>
      <c r="I489" s="2192"/>
      <c r="J489" s="2188" t="s">
        <v>3134</v>
      </c>
    </row>
    <row r="490" spans="2:10" ht="15.75" outlineLevel="1" x14ac:dyDescent="0.45">
      <c r="B490" s="2187" t="s">
        <v>3303</v>
      </c>
      <c r="C490" s="2188" t="s">
        <v>3124</v>
      </c>
      <c r="D490" s="2188">
        <v>1.0000000000000001E-5</v>
      </c>
      <c r="E490" s="2190" t="s">
        <v>1219</v>
      </c>
      <c r="F490" s="2190" t="s">
        <v>2329</v>
      </c>
      <c r="G490" s="2188" t="s">
        <v>3282</v>
      </c>
      <c r="H490" s="2192">
        <v>2</v>
      </c>
      <c r="I490" s="2192"/>
      <c r="J490" s="2188" t="s">
        <v>3118</v>
      </c>
    </row>
    <row r="491" spans="2:10" ht="15.75" outlineLevel="1" x14ac:dyDescent="0.45">
      <c r="B491" s="2187" t="s">
        <v>5179</v>
      </c>
      <c r="C491" s="2188" t="s">
        <v>3129</v>
      </c>
      <c r="D491" s="2188">
        <v>1.0000000000000001E-5</v>
      </c>
      <c r="E491" s="2190" t="s">
        <v>1219</v>
      </c>
      <c r="F491" s="2190" t="s">
        <v>1256</v>
      </c>
      <c r="G491" s="2188" t="s">
        <v>3282</v>
      </c>
      <c r="H491" s="2192">
        <v>2</v>
      </c>
      <c r="I491" s="2192"/>
      <c r="J491" s="2188"/>
    </row>
    <row r="492" spans="2:10" ht="15.75" outlineLevel="1" x14ac:dyDescent="0.45">
      <c r="B492" s="2187" t="s">
        <v>4834</v>
      </c>
      <c r="C492" s="2188" t="s">
        <v>4835</v>
      </c>
      <c r="D492" s="2188">
        <v>1.0000000000000001E-5</v>
      </c>
      <c r="E492" s="2190" t="s">
        <v>1219</v>
      </c>
      <c r="F492" s="2190" t="s">
        <v>2329</v>
      </c>
      <c r="G492" s="2188" t="s">
        <v>3282</v>
      </c>
      <c r="H492" s="2192">
        <v>2</v>
      </c>
      <c r="I492" s="2192"/>
      <c r="J492" s="2188"/>
    </row>
    <row r="493" spans="2:10" ht="15.75" outlineLevel="1" x14ac:dyDescent="0.45">
      <c r="B493" s="2187" t="s">
        <v>3305</v>
      </c>
      <c r="C493" s="2188" t="s">
        <v>3137</v>
      </c>
      <c r="D493" s="2188">
        <v>1.0000000000000001E-5</v>
      </c>
      <c r="E493" s="2190" t="s">
        <v>1219</v>
      </c>
      <c r="F493" s="2190" t="s">
        <v>2329</v>
      </c>
      <c r="G493" s="2188" t="s">
        <v>3282</v>
      </c>
      <c r="H493" s="2192">
        <v>2</v>
      </c>
      <c r="I493" s="2192"/>
      <c r="J493" s="2188"/>
    </row>
    <row r="494" spans="2:10" ht="15.75" outlineLevel="1" x14ac:dyDescent="0.45">
      <c r="B494" s="2187" t="s">
        <v>3304</v>
      </c>
      <c r="C494" s="2188" t="s">
        <v>3136</v>
      </c>
      <c r="D494" s="2188">
        <v>1.0000000000000001E-5</v>
      </c>
      <c r="E494" s="2190" t="s">
        <v>1219</v>
      </c>
      <c r="F494" s="2190" t="s">
        <v>2329</v>
      </c>
      <c r="G494" s="2188" t="s">
        <v>3282</v>
      </c>
      <c r="H494" s="2192">
        <v>2</v>
      </c>
      <c r="I494" s="2192"/>
      <c r="J494" s="2188"/>
    </row>
    <row r="495" spans="2:10" ht="15.75" outlineLevel="1" x14ac:dyDescent="0.45">
      <c r="B495" s="2187" t="s">
        <v>4836</v>
      </c>
      <c r="C495" s="2188" t="s">
        <v>3129</v>
      </c>
      <c r="D495" s="2188">
        <v>1.0000000000000001E-5</v>
      </c>
      <c r="E495" s="2190" t="s">
        <v>1219</v>
      </c>
      <c r="F495" s="2190" t="s">
        <v>1256</v>
      </c>
      <c r="G495" s="2188" t="s">
        <v>3282</v>
      </c>
      <c r="H495" s="2192">
        <v>2</v>
      </c>
      <c r="I495" s="2192"/>
      <c r="J495" s="2188"/>
    </row>
    <row r="496" spans="2:10" ht="15.75" outlineLevel="1" x14ac:dyDescent="0.45">
      <c r="B496" s="2187" t="s">
        <v>4837</v>
      </c>
      <c r="C496" s="2188" t="s">
        <v>4838</v>
      </c>
      <c r="D496" s="2188">
        <v>1.0000000000000001E-5</v>
      </c>
      <c r="E496" s="2190" t="s">
        <v>1219</v>
      </c>
      <c r="F496" s="2190" t="s">
        <v>2329</v>
      </c>
      <c r="G496" s="2188" t="s">
        <v>3282</v>
      </c>
      <c r="H496" s="2192">
        <v>2</v>
      </c>
      <c r="I496" s="2192"/>
      <c r="J496" s="2188"/>
    </row>
    <row r="497" spans="2:10" ht="15.75" outlineLevel="1" x14ac:dyDescent="0.45">
      <c r="B497" s="2187" t="s">
        <v>3306</v>
      </c>
      <c r="C497" s="2188" t="s">
        <v>3138</v>
      </c>
      <c r="D497" s="2188">
        <v>1.24E-5</v>
      </c>
      <c r="E497" s="2190" t="s">
        <v>1219</v>
      </c>
      <c r="F497" s="2190" t="s">
        <v>1256</v>
      </c>
      <c r="G497" s="2188" t="s">
        <v>3282</v>
      </c>
      <c r="H497" s="2192">
        <v>2</v>
      </c>
      <c r="I497" s="2192"/>
      <c r="J497" s="2188" t="s">
        <v>3134</v>
      </c>
    </row>
    <row r="498" spans="2:10" ht="15.75" outlineLevel="1" x14ac:dyDescent="0.45">
      <c r="B498" s="2187" t="s">
        <v>3307</v>
      </c>
      <c r="C498" s="2188" t="s">
        <v>3138</v>
      </c>
      <c r="D498" s="2188">
        <v>1.24E-5</v>
      </c>
      <c r="E498" s="2190" t="s">
        <v>1219</v>
      </c>
      <c r="F498" s="2190" t="s">
        <v>1256</v>
      </c>
      <c r="G498" s="2188" t="s">
        <v>3282</v>
      </c>
      <c r="H498" s="2192">
        <v>2</v>
      </c>
      <c r="I498" s="2192"/>
      <c r="J498" s="2188" t="s">
        <v>3134</v>
      </c>
    </row>
    <row r="499" spans="2:10" ht="15.75" outlineLevel="1" x14ac:dyDescent="0.45">
      <c r="B499" s="2187" t="s">
        <v>3308</v>
      </c>
      <c r="C499" s="2188" t="s">
        <v>3130</v>
      </c>
      <c r="D499" s="2188">
        <v>1.24E-5</v>
      </c>
      <c r="E499" s="2190" t="s">
        <v>1219</v>
      </c>
      <c r="F499" s="2190" t="s">
        <v>1256</v>
      </c>
      <c r="G499" s="2188" t="s">
        <v>3282</v>
      </c>
      <c r="H499" s="2192">
        <v>2</v>
      </c>
      <c r="I499" s="2192"/>
      <c r="J499" s="2188" t="s">
        <v>3118</v>
      </c>
    </row>
    <row r="500" spans="2:10" ht="15.75" outlineLevel="1" x14ac:dyDescent="0.45">
      <c r="B500" s="2187" t="s">
        <v>3309</v>
      </c>
      <c r="C500" s="2188" t="s">
        <v>3130</v>
      </c>
      <c r="D500" s="2188">
        <v>1.24E-5</v>
      </c>
      <c r="E500" s="2190" t="s">
        <v>1219</v>
      </c>
      <c r="F500" s="2190" t="s">
        <v>1256</v>
      </c>
      <c r="G500" s="2188" t="s">
        <v>3282</v>
      </c>
      <c r="H500" s="2192">
        <v>2</v>
      </c>
      <c r="I500" s="2192"/>
      <c r="J500" s="2188" t="s">
        <v>3118</v>
      </c>
    </row>
    <row r="501" spans="2:10" ht="15.75" outlineLevel="1" x14ac:dyDescent="0.45">
      <c r="B501" s="2187" t="s">
        <v>3310</v>
      </c>
      <c r="C501" s="2188" t="s">
        <v>3139</v>
      </c>
      <c r="D501" s="2188">
        <v>1.24E-5</v>
      </c>
      <c r="E501" s="2190" t="s">
        <v>1219</v>
      </c>
      <c r="F501" s="2190" t="s">
        <v>1256</v>
      </c>
      <c r="G501" s="2188" t="s">
        <v>3282</v>
      </c>
      <c r="H501" s="2192">
        <v>2</v>
      </c>
      <c r="I501" s="2192"/>
      <c r="J501" s="2188" t="s">
        <v>3134</v>
      </c>
    </row>
    <row r="502" spans="2:10" ht="15.75" outlineLevel="1" x14ac:dyDescent="0.45">
      <c r="B502" s="2187" t="s">
        <v>3311</v>
      </c>
      <c r="C502" s="2188" t="s">
        <v>3140</v>
      </c>
      <c r="D502" s="2188">
        <v>2.5000000000000001E-5</v>
      </c>
      <c r="E502" s="2190" t="s">
        <v>1219</v>
      </c>
      <c r="F502" s="2190" t="s">
        <v>1256</v>
      </c>
      <c r="G502" s="2188" t="s">
        <v>3282</v>
      </c>
      <c r="H502" s="2192">
        <v>2</v>
      </c>
      <c r="I502" s="2192"/>
      <c r="J502" s="2188" t="s">
        <v>3141</v>
      </c>
    </row>
    <row r="503" spans="2:10" ht="15.75" outlineLevel="1" x14ac:dyDescent="0.45">
      <c r="B503" s="2187" t="s">
        <v>4839</v>
      </c>
      <c r="C503" s="2188" t="s">
        <v>3140</v>
      </c>
      <c r="D503" s="2188">
        <v>2.5000000000000001E-5</v>
      </c>
      <c r="E503" s="2190" t="s">
        <v>1219</v>
      </c>
      <c r="F503" s="2190" t="s">
        <v>1256</v>
      </c>
      <c r="G503" s="2188" t="s">
        <v>3282</v>
      </c>
      <c r="H503" s="2192">
        <v>2</v>
      </c>
      <c r="I503" s="2192"/>
      <c r="J503" s="2188" t="s">
        <v>3141</v>
      </c>
    </row>
    <row r="504" spans="2:10" ht="15.75" outlineLevel="1" x14ac:dyDescent="0.45">
      <c r="B504" s="2187" t="s">
        <v>3312</v>
      </c>
      <c r="C504" s="2188" t="s">
        <v>3142</v>
      </c>
      <c r="D504" s="2188">
        <v>2.5000000000000001E-5</v>
      </c>
      <c r="E504" s="2190" t="s">
        <v>1219</v>
      </c>
      <c r="F504" s="2190" t="s">
        <v>1256</v>
      </c>
      <c r="G504" s="2188" t="s">
        <v>3282</v>
      </c>
      <c r="H504" s="2192">
        <v>2</v>
      </c>
      <c r="I504" s="2192"/>
      <c r="J504" s="2188" t="s">
        <v>3118</v>
      </c>
    </row>
    <row r="505" spans="2:10" ht="15.75" outlineLevel="1" x14ac:dyDescent="0.45">
      <c r="B505" s="2187" t="s">
        <v>3313</v>
      </c>
      <c r="C505" s="2188" t="s">
        <v>3143</v>
      </c>
      <c r="D505" s="2188">
        <v>2.5000000000000001E-5</v>
      </c>
      <c r="E505" s="2190" t="s">
        <v>1219</v>
      </c>
      <c r="F505" s="2190" t="s">
        <v>1256</v>
      </c>
      <c r="G505" s="2188" t="s">
        <v>3282</v>
      </c>
      <c r="H505" s="2192">
        <v>2</v>
      </c>
      <c r="I505" s="2192"/>
      <c r="J505" s="2188" t="s">
        <v>3118</v>
      </c>
    </row>
    <row r="506" spans="2:10" ht="15.75" outlineLevel="1" x14ac:dyDescent="0.45">
      <c r="B506" s="2187" t="s">
        <v>3314</v>
      </c>
      <c r="C506" s="2188" t="s">
        <v>3144</v>
      </c>
      <c r="D506" s="2188">
        <v>1.0000000000000001E-5</v>
      </c>
      <c r="E506" s="2190" t="s">
        <v>1219</v>
      </c>
      <c r="F506" s="2190" t="s">
        <v>1256</v>
      </c>
      <c r="G506" s="2188" t="s">
        <v>3282</v>
      </c>
      <c r="H506" s="2192">
        <v>2</v>
      </c>
      <c r="I506" s="2192"/>
      <c r="J506" s="2188" t="s">
        <v>3118</v>
      </c>
    </row>
    <row r="507" spans="2:10" ht="15.75" outlineLevel="1" x14ac:dyDescent="0.45">
      <c r="B507" s="2187" t="s">
        <v>3315</v>
      </c>
      <c r="C507" s="2188" t="s">
        <v>3145</v>
      </c>
      <c r="D507" s="2188">
        <v>1.9000000000000001E-5</v>
      </c>
      <c r="E507" s="2190" t="s">
        <v>1219</v>
      </c>
      <c r="F507" s="2190" t="s">
        <v>1256</v>
      </c>
      <c r="G507" s="2188" t="s">
        <v>3282</v>
      </c>
      <c r="H507" s="2192">
        <v>2</v>
      </c>
      <c r="I507" s="2192"/>
      <c r="J507" s="2188" t="s">
        <v>3118</v>
      </c>
    </row>
    <row r="508" spans="2:10" ht="15.75" outlineLevel="1" x14ac:dyDescent="0.45">
      <c r="B508" s="2187" t="s">
        <v>3316</v>
      </c>
      <c r="C508" s="2188" t="s">
        <v>3146</v>
      </c>
      <c r="D508" s="2188">
        <v>1.9000000000000001E-5</v>
      </c>
      <c r="E508" s="2190" t="s">
        <v>1219</v>
      </c>
      <c r="F508" s="2190" t="s">
        <v>1256</v>
      </c>
      <c r="G508" s="2188" t="s">
        <v>3282</v>
      </c>
      <c r="H508" s="2192">
        <v>2</v>
      </c>
      <c r="I508" s="2192"/>
      <c r="J508" s="2188" t="s">
        <v>3118</v>
      </c>
    </row>
    <row r="509" spans="2:10" ht="15.75" outlineLevel="1" x14ac:dyDescent="0.45">
      <c r="B509" s="2187" t="s">
        <v>3317</v>
      </c>
      <c r="C509" s="2188" t="s">
        <v>3147</v>
      </c>
      <c r="D509" s="2188">
        <v>1.9000000000000001E-5</v>
      </c>
      <c r="E509" s="2190" t="s">
        <v>1219</v>
      </c>
      <c r="F509" s="2190" t="s">
        <v>1256</v>
      </c>
      <c r="G509" s="2188" t="s">
        <v>3282</v>
      </c>
      <c r="H509" s="2192">
        <v>2</v>
      </c>
      <c r="I509" s="2192"/>
      <c r="J509" s="2188" t="s">
        <v>3118</v>
      </c>
    </row>
    <row r="510" spans="2:10" ht="15.75" outlineLevel="1" x14ac:dyDescent="0.45">
      <c r="B510" s="2187" t="s">
        <v>3318</v>
      </c>
      <c r="C510" s="2188" t="s">
        <v>3148</v>
      </c>
      <c r="D510" s="2188">
        <v>1.9000000000000001E-5</v>
      </c>
      <c r="E510" s="2190" t="s">
        <v>1219</v>
      </c>
      <c r="F510" s="2190" t="s">
        <v>1256</v>
      </c>
      <c r="G510" s="2188" t="s">
        <v>3282</v>
      </c>
      <c r="H510" s="2192">
        <v>2</v>
      </c>
      <c r="I510" s="2192"/>
      <c r="J510" s="2188" t="s">
        <v>3118</v>
      </c>
    </row>
    <row r="511" spans="2:10" ht="15.75" outlineLevel="1" x14ac:dyDescent="0.45">
      <c r="B511" s="2187" t="s">
        <v>3319</v>
      </c>
      <c r="C511" s="2188" t="s">
        <v>3149</v>
      </c>
      <c r="D511" s="2188">
        <v>1.9000000000000001E-5</v>
      </c>
      <c r="E511" s="2190" t="s">
        <v>1219</v>
      </c>
      <c r="F511" s="2190" t="s">
        <v>1256</v>
      </c>
      <c r="G511" s="2188" t="s">
        <v>3282</v>
      </c>
      <c r="H511" s="2192">
        <v>2</v>
      </c>
      <c r="I511" s="2192"/>
      <c r="J511" s="2188" t="s">
        <v>3118</v>
      </c>
    </row>
    <row r="512" spans="2:10" ht="15.75" outlineLevel="1" x14ac:dyDescent="0.45">
      <c r="B512" s="2187" t="s">
        <v>3320</v>
      </c>
      <c r="C512" s="2188" t="s">
        <v>3150</v>
      </c>
      <c r="D512" s="2188">
        <v>1.9000000000000001E-5</v>
      </c>
      <c r="E512" s="2190" t="s">
        <v>1219</v>
      </c>
      <c r="F512" s="2190" t="s">
        <v>1256</v>
      </c>
      <c r="G512" s="2188" t="s">
        <v>3282</v>
      </c>
      <c r="H512" s="2192">
        <v>2</v>
      </c>
      <c r="I512" s="2192"/>
      <c r="J512" s="2188" t="s">
        <v>3118</v>
      </c>
    </row>
    <row r="513" spans="2:10" ht="15.75" outlineLevel="1" x14ac:dyDescent="0.45">
      <c r="B513" s="2187" t="s">
        <v>3321</v>
      </c>
      <c r="C513" s="2188" t="s">
        <v>3151</v>
      </c>
      <c r="D513" s="2188">
        <v>1.9000000000000001E-5</v>
      </c>
      <c r="E513" s="2190" t="s">
        <v>1219</v>
      </c>
      <c r="F513" s="2190" t="s">
        <v>1256</v>
      </c>
      <c r="G513" s="2188" t="s">
        <v>3282</v>
      </c>
      <c r="H513" s="2192">
        <v>2</v>
      </c>
      <c r="I513" s="2192"/>
      <c r="J513" s="2188" t="s">
        <v>3118</v>
      </c>
    </row>
    <row r="514" spans="2:10" ht="15.75" outlineLevel="1" x14ac:dyDescent="0.45">
      <c r="B514" s="2187" t="s">
        <v>3322</v>
      </c>
      <c r="C514" s="2188" t="s">
        <v>3152</v>
      </c>
      <c r="D514" s="2188">
        <v>1.9000000000000001E-5</v>
      </c>
      <c r="E514" s="2190" t="s">
        <v>1219</v>
      </c>
      <c r="F514" s="2190" t="s">
        <v>1256</v>
      </c>
      <c r="G514" s="2188" t="s">
        <v>3282</v>
      </c>
      <c r="H514" s="2192">
        <v>2</v>
      </c>
      <c r="I514" s="2192"/>
      <c r="J514" s="2188" t="s">
        <v>3118</v>
      </c>
    </row>
    <row r="515" spans="2:10" ht="15.75" outlineLevel="1" x14ac:dyDescent="0.45">
      <c r="B515" s="2187" t="s">
        <v>3323</v>
      </c>
      <c r="C515" s="2188" t="s">
        <v>3153</v>
      </c>
      <c r="D515" s="2188">
        <v>1.0000000000000001E-5</v>
      </c>
      <c r="E515" s="2190" t="s">
        <v>1219</v>
      </c>
      <c r="F515" s="2190" t="s">
        <v>2329</v>
      </c>
      <c r="G515" s="2188" t="s">
        <v>3282</v>
      </c>
      <c r="H515" s="2192"/>
      <c r="I515" s="2192"/>
      <c r="J515" s="2188"/>
    </row>
    <row r="516" spans="2:10" ht="15.75" outlineLevel="1" x14ac:dyDescent="0.45">
      <c r="B516" s="2187" t="s">
        <v>4840</v>
      </c>
      <c r="C516" s="2188" t="s">
        <v>3153</v>
      </c>
      <c r="D516" s="2188">
        <v>1.0000000000000001E-5</v>
      </c>
      <c r="E516" s="2190" t="s">
        <v>1219</v>
      </c>
      <c r="F516" s="2190" t="s">
        <v>2329</v>
      </c>
      <c r="G516" s="2188" t="s">
        <v>3282</v>
      </c>
      <c r="H516" s="2192"/>
      <c r="I516" s="2192"/>
      <c r="J516" s="2188"/>
    </row>
    <row r="517" spans="2:10" ht="15.75" outlineLevel="1" x14ac:dyDescent="0.45">
      <c r="B517" s="2187" t="s">
        <v>3324</v>
      </c>
      <c r="C517" s="2188" t="s">
        <v>3154</v>
      </c>
      <c r="D517" s="2188">
        <v>1.9000000000000001E-5</v>
      </c>
      <c r="E517" s="2190" t="s">
        <v>1219</v>
      </c>
      <c r="F517" s="2190" t="s">
        <v>2329</v>
      </c>
      <c r="G517" s="2188" t="s">
        <v>3282</v>
      </c>
      <c r="H517" s="2192">
        <v>2</v>
      </c>
      <c r="I517" s="2192"/>
      <c r="J517" s="2188" t="s">
        <v>3118</v>
      </c>
    </row>
  </sheetData>
  <conditionalFormatting sqref="E219:F219">
    <cfRule type="cellIs" dxfId="74" priority="22" stopIfTrue="1" operator="notEqual">
      <formula>INDIRECT("Dummy_for_Comparison3!"&amp;ADDRESS(ROW(),COLUMN()))</formula>
    </cfRule>
  </conditionalFormatting>
  <conditionalFormatting sqref="E503:F503">
    <cfRule type="cellIs" dxfId="73" priority="26" stopIfTrue="1" operator="notEqual">
      <formula>INDIRECT("Dummy_for_Comparison3!"&amp;ADDRESS(ROW(),COLUMN()))</formula>
    </cfRule>
  </conditionalFormatting>
  <conditionalFormatting sqref="E495:F495">
    <cfRule type="cellIs" dxfId="72" priority="25" stopIfTrue="1" operator="notEqual">
      <formula>INDIRECT("Dummy_for_Comparison3!"&amp;ADDRESS(ROW(),COLUMN()))</formula>
    </cfRule>
  </conditionalFormatting>
  <conditionalFormatting sqref="E516:F516">
    <cfRule type="cellIs" dxfId="71" priority="24" stopIfTrue="1" operator="notEqual">
      <formula>INDIRECT("Dummy_for_Comparison3!"&amp;ADDRESS(ROW(),COLUMN()))</formula>
    </cfRule>
  </conditionalFormatting>
  <conditionalFormatting sqref="E218:F218">
    <cfRule type="cellIs" dxfId="70" priority="23" stopIfTrue="1" operator="notEqual">
      <formula>INDIRECT("Dummy_for_Comparison3!"&amp;ADDRESS(ROW(),COLUMN()))</formula>
    </cfRule>
  </conditionalFormatting>
  <conditionalFormatting sqref="E251:F251">
    <cfRule type="cellIs" dxfId="69" priority="20" stopIfTrue="1" operator="notEqual">
      <formula>INDIRECT("Dummy_for_Comparison3!"&amp;ADDRESS(ROW(),COLUMN()))</formula>
    </cfRule>
  </conditionalFormatting>
  <conditionalFormatting sqref="E386:F386">
    <cfRule type="cellIs" dxfId="68" priority="19" stopIfTrue="1" operator="notEqual">
      <formula>INDIRECT("Dummy_for_Comparison3!"&amp;ADDRESS(ROW(),COLUMN()))</formula>
    </cfRule>
  </conditionalFormatting>
  <conditionalFormatting sqref="E227:F227">
    <cfRule type="cellIs" dxfId="67" priority="18" stopIfTrue="1" operator="notEqual">
      <formula>INDIRECT("Dummy_for_Comparison3!"&amp;ADDRESS(ROW(),COLUMN()))</formula>
    </cfRule>
  </conditionalFormatting>
  <conditionalFormatting sqref="E246:F246">
    <cfRule type="cellIs" dxfId="66" priority="17" stopIfTrue="1" operator="notEqual">
      <formula>INDIRECT("Dummy_for_Comparison3!"&amp;ADDRESS(ROW(),COLUMN()))</formula>
    </cfRule>
  </conditionalFormatting>
  <conditionalFormatting sqref="E239:F239">
    <cfRule type="cellIs" dxfId="65" priority="16" stopIfTrue="1" operator="notEqual">
      <formula>INDIRECT("Dummy_for_Comparison3!"&amp;ADDRESS(ROW(),COLUMN()))</formula>
    </cfRule>
  </conditionalFormatting>
  <conditionalFormatting sqref="E263:F263">
    <cfRule type="cellIs" dxfId="64" priority="15" stopIfTrue="1" operator="notEqual">
      <formula>INDIRECT("Dummy_for_Comparison3!"&amp;ADDRESS(ROW(),COLUMN()))</formula>
    </cfRule>
  </conditionalFormatting>
  <conditionalFormatting sqref="E264:F264">
    <cfRule type="cellIs" dxfId="63" priority="14" stopIfTrue="1" operator="notEqual">
      <formula>INDIRECT("Dummy_for_Comparison3!"&amp;ADDRESS(ROW(),COLUMN()))</formula>
    </cfRule>
  </conditionalFormatting>
  <conditionalFormatting sqref="E268:F268">
    <cfRule type="cellIs" dxfId="62" priority="13" stopIfTrue="1" operator="notEqual">
      <formula>INDIRECT("Dummy_for_Comparison3!"&amp;ADDRESS(ROW(),COLUMN()))</formula>
    </cfRule>
  </conditionalFormatting>
  <conditionalFormatting sqref="E30:F30">
    <cfRule type="cellIs" dxfId="61" priority="12" stopIfTrue="1" operator="notEqual">
      <formula>INDIRECT("Dummy_for_Comparison3!"&amp;ADDRESS(ROW(),COLUMN()))</formula>
    </cfRule>
  </conditionalFormatting>
  <conditionalFormatting sqref="E492:F494">
    <cfRule type="cellIs" dxfId="60" priority="11" stopIfTrue="1" operator="notEqual">
      <formula>INDIRECT("Dummy_for_Comparison3!"&amp;ADDRESS(ROW(),COLUMN()))</formula>
    </cfRule>
  </conditionalFormatting>
  <conditionalFormatting sqref="E496:F496">
    <cfRule type="cellIs" dxfId="59" priority="10" stopIfTrue="1" operator="notEqual">
      <formula>INDIRECT("Dummy_for_Comparison3!"&amp;ADDRESS(ROW(),COLUMN()))</formula>
    </cfRule>
  </conditionalFormatting>
  <conditionalFormatting sqref="E217:F217">
    <cfRule type="cellIs" dxfId="58" priority="9" stopIfTrue="1" operator="notEqual">
      <formula>INDIRECT("Dummy_for_Comparison3!"&amp;ADDRESS(ROW(),COLUMN()))</formula>
    </cfRule>
  </conditionalFormatting>
  <conditionalFormatting sqref="E316:F316">
    <cfRule type="cellIs" dxfId="57" priority="8" stopIfTrue="1" operator="notEqual">
      <formula>INDIRECT("Dummy_for_Comparison3!"&amp;ADDRESS(ROW(),COLUMN()))</formula>
    </cfRule>
  </conditionalFormatting>
  <conditionalFormatting sqref="E31:F32">
    <cfRule type="cellIs" dxfId="56" priority="7" stopIfTrue="1" operator="notEqual">
      <formula>INDIRECT("Dummy_for_Comparison3!"&amp;ADDRESS(ROW(),COLUMN()))</formula>
    </cfRule>
  </conditionalFormatting>
  <conditionalFormatting sqref="E367:F367">
    <cfRule type="cellIs" dxfId="55" priority="6" stopIfTrue="1" operator="notEqual">
      <formula>INDIRECT("Dummy_for_Comparison3!"&amp;ADDRESS(ROW(),COLUMN()))</formula>
    </cfRule>
  </conditionalFormatting>
  <conditionalFormatting sqref="E383:F383">
    <cfRule type="cellIs" dxfId="54" priority="5" stopIfTrue="1" operator="notEqual">
      <formula>INDIRECT("Dummy_for_Comparison3!"&amp;ADDRESS(ROW(),COLUMN()))</formula>
    </cfRule>
  </conditionalFormatting>
  <conditionalFormatting sqref="E366:F366">
    <cfRule type="cellIs" dxfId="53" priority="4" stopIfTrue="1" operator="notEqual">
      <formula>INDIRECT("Dummy_for_Comparison3!"&amp;ADDRESS(ROW(),COLUMN()))</formula>
    </cfRule>
  </conditionalFormatting>
  <conditionalFormatting sqref="E443:F445">
    <cfRule type="cellIs" dxfId="52" priority="3" stopIfTrue="1" operator="notEqual">
      <formula>INDIRECT("Dummy_for_Comparison3!"&amp;ADDRESS(ROW(),COLUMN()))</formula>
    </cfRule>
  </conditionalFormatting>
  <conditionalFormatting sqref="B293:J309">
    <cfRule type="cellIs" dxfId="51" priority="2" stopIfTrue="1" operator="notEqual">
      <formula>INDIRECT("Dummy_for_Comparison3!"&amp;ADDRESS(ROW(),COLUMN()))</formula>
    </cfRule>
  </conditionalFormatting>
  <conditionalFormatting sqref="E473:F473">
    <cfRule type="cellIs" dxfId="50" priority="1" stopIfTrue="1" operator="notEqual">
      <formula>INDIRECT("Dummy_for_Comparison3!"&amp;ADDRESS(ROW(),COLUMN()))</formula>
    </cfRule>
  </conditionalFormatting>
  <conditionalFormatting sqref="E226:F226">
    <cfRule type="cellIs" dxfId="49" priority="21" stopIfTrue="1" operator="notEqual">
      <formula>INDIRECT("Dummy_for_Comparison3!"&amp;ADDRESS(ROW(),COLUMN()))</formula>
    </cfRule>
  </conditionalFormatting>
  <conditionalFormatting sqref="E37:F37">
    <cfRule type="cellIs" dxfId="48" priority="63" stopIfTrue="1" operator="notEqual">
      <formula>INDIRECT("Dummy_for_Comparison3!"&amp;ADDRESS(ROW(),COLUMN()))</formula>
    </cfRule>
  </conditionalFormatting>
  <conditionalFormatting sqref="E6:F21 E26:F29 E38:F42 E47:F52 E61:F70 E79:F195 E200:F208 E213:F216 E282:F289 E314:F315 E325:F339 E344:F348 E361:F362 E435:F442 E384:F385 E258:F262 E389:F391 E379:F380 E364:F365 E377:F377 E220:F238 E252:F255 E387:F387 E265:F267 E247:F250 E269:F277 E240:F245 E33:F33 E317:F320 E368:F373 E446:F462">
    <cfRule type="cellIs" dxfId="47" priority="65" stopIfTrue="1" operator="notEqual">
      <formula>INDIRECT("Dummy_for_Comparison3!"&amp;ADDRESS(ROW(),COLUMN()))</formula>
    </cfRule>
  </conditionalFormatting>
  <conditionalFormatting sqref="E25:F25">
    <cfRule type="cellIs" dxfId="46" priority="64" stopIfTrue="1" operator="notEqual">
      <formula>INDIRECT("Dummy_for_Comparison3!"&amp;ADDRESS(ROW(),COLUMN()))</formula>
    </cfRule>
  </conditionalFormatting>
  <conditionalFormatting sqref="E46:F46 E504:F515 E517:F517 E497:F502 E466:F472 E402:F426 E474:F494 E56:F56">
    <cfRule type="cellIs" dxfId="45" priority="62" stopIfTrue="1" operator="notEqual">
      <formula>INDIRECT("Dummy_for_Comparison3!"&amp;ADDRESS(ROW(),COLUMN()))</formula>
    </cfRule>
  </conditionalFormatting>
  <conditionalFormatting sqref="E60:F60">
    <cfRule type="cellIs" dxfId="44" priority="61" stopIfTrue="1" operator="notEqual">
      <formula>INDIRECT("Dummy_for_Comparison3!"&amp;ADDRESS(ROW(),COLUMN()))</formula>
    </cfRule>
  </conditionalFormatting>
  <conditionalFormatting sqref="E74:F74">
    <cfRule type="cellIs" dxfId="43" priority="60" stopIfTrue="1" operator="notEqual">
      <formula>INDIRECT("Dummy_for_Comparison3!"&amp;ADDRESS(ROW(),COLUMN()))</formula>
    </cfRule>
  </conditionalFormatting>
  <conditionalFormatting sqref="E78:F78">
    <cfRule type="cellIs" dxfId="42" priority="59" stopIfTrue="1" operator="notEqual">
      <formula>INDIRECT("Dummy_for_Comparison3!"&amp;ADDRESS(ROW(),COLUMN()))</formula>
    </cfRule>
  </conditionalFormatting>
  <conditionalFormatting sqref="E199:F199">
    <cfRule type="cellIs" dxfId="41" priority="58" stopIfTrue="1" operator="notEqual">
      <formula>INDIRECT("Dummy_for_Comparison3!"&amp;ADDRESS(ROW(),COLUMN()))</formula>
    </cfRule>
  </conditionalFormatting>
  <conditionalFormatting sqref="E212:F212">
    <cfRule type="cellIs" dxfId="40" priority="57" stopIfTrue="1" operator="notEqual">
      <formula>INDIRECT("Dummy_for_Comparison3!"&amp;ADDRESS(ROW(),COLUMN()))</formula>
    </cfRule>
  </conditionalFormatting>
  <conditionalFormatting sqref="E281:F281">
    <cfRule type="cellIs" dxfId="39" priority="56" stopIfTrue="1" operator="notEqual">
      <formula>INDIRECT("Dummy_for_Comparison3!"&amp;ADDRESS(ROW(),COLUMN()))</formula>
    </cfRule>
  </conditionalFormatting>
  <conditionalFormatting sqref="E313:F313">
    <cfRule type="cellIs" dxfId="38" priority="55" stopIfTrue="1" operator="notEqual">
      <formula>INDIRECT("Dummy_for_Comparison3!"&amp;ADDRESS(ROW(),COLUMN()))</formula>
    </cfRule>
  </conditionalFormatting>
  <conditionalFormatting sqref="E324:F324">
    <cfRule type="cellIs" dxfId="37" priority="54" stopIfTrue="1" operator="notEqual">
      <formula>INDIRECT("Dummy_for_Comparison3!"&amp;ADDRESS(ROW(),COLUMN()))</formula>
    </cfRule>
  </conditionalFormatting>
  <conditionalFormatting sqref="E343:F343">
    <cfRule type="cellIs" dxfId="36" priority="53" stopIfTrue="1" operator="notEqual">
      <formula>INDIRECT("Dummy_for_Comparison3!"&amp;ADDRESS(ROW(),COLUMN()))</formula>
    </cfRule>
  </conditionalFormatting>
  <conditionalFormatting sqref="E352:F352">
    <cfRule type="cellIs" dxfId="35" priority="52" stopIfTrue="1" operator="notEqual">
      <formula>INDIRECT("Dummy_for_Comparison3!"&amp;ADDRESS(ROW(),COLUMN()))</formula>
    </cfRule>
  </conditionalFormatting>
  <conditionalFormatting sqref="E356:F356">
    <cfRule type="cellIs" dxfId="34" priority="51" stopIfTrue="1" operator="notEqual">
      <formula>INDIRECT("Dummy_for_Comparison3!"&amp;ADDRESS(ROW(),COLUMN()))</formula>
    </cfRule>
  </conditionalFormatting>
  <conditionalFormatting sqref="E360:F360">
    <cfRule type="cellIs" dxfId="33" priority="50" stopIfTrue="1" operator="notEqual">
      <formula>INDIRECT("Dummy_for_Comparison3!"&amp;ADDRESS(ROW(),COLUMN()))</formula>
    </cfRule>
  </conditionalFormatting>
  <conditionalFormatting sqref="E401:F401">
    <cfRule type="cellIs" dxfId="32" priority="49" stopIfTrue="1" operator="notEqual">
      <formula>INDIRECT("Dummy_for_Comparison3!"&amp;ADDRESS(ROW(),COLUMN()))</formula>
    </cfRule>
  </conditionalFormatting>
  <conditionalFormatting sqref="E430:F430">
    <cfRule type="cellIs" dxfId="31" priority="48" stopIfTrue="1" operator="notEqual">
      <formula>INDIRECT("Dummy_for_Comparison3!"&amp;ADDRESS(ROW(),COLUMN()))</formula>
    </cfRule>
  </conditionalFormatting>
  <conditionalFormatting sqref="E434:F434">
    <cfRule type="cellIs" dxfId="30" priority="47" stopIfTrue="1" operator="notEqual">
      <formula>INDIRECT("Dummy_for_Comparison3!"&amp;ADDRESS(ROW(),COLUMN()))</formula>
    </cfRule>
  </conditionalFormatting>
  <conditionalFormatting sqref="E256:F256">
    <cfRule type="cellIs" dxfId="29" priority="46" stopIfTrue="1" operator="notEqual">
      <formula>INDIRECT("Dummy_for_Comparison3!"&amp;ADDRESS(ROW(),COLUMN()))</formula>
    </cfRule>
  </conditionalFormatting>
  <conditionalFormatting sqref="E5:F5">
    <cfRule type="cellIs" dxfId="28" priority="45" stopIfTrue="1" operator="notEqual">
      <formula>INDIRECT("Dummy_for_Comparison3!"&amp;ADDRESS(ROW(),COLUMN()))</formula>
    </cfRule>
  </conditionalFormatting>
  <conditionalFormatting sqref="E4:F4">
    <cfRule type="cellIs" dxfId="27" priority="44" stopIfTrue="1" operator="notEqual">
      <formula>INDIRECT("Dummy_for_Comparison3!"&amp;ADDRESS(ROW(),COLUMN()))</formula>
    </cfRule>
  </conditionalFormatting>
  <conditionalFormatting sqref="E393:F393">
    <cfRule type="cellIs" dxfId="26" priority="43" stopIfTrue="1" operator="notEqual">
      <formula>INDIRECT("Dummy_for_Comparison3!"&amp;ADDRESS(ROW(),COLUMN()))</formula>
    </cfRule>
  </conditionalFormatting>
  <conditionalFormatting sqref="E392:F392">
    <cfRule type="cellIs" dxfId="25" priority="42" stopIfTrue="1" operator="notEqual">
      <formula>INDIRECT("Dummy_for_Comparison3!"&amp;ADDRESS(ROW(),COLUMN()))</formula>
    </cfRule>
  </conditionalFormatting>
  <conditionalFormatting sqref="E394:F394">
    <cfRule type="cellIs" dxfId="24" priority="41" stopIfTrue="1" operator="notEqual">
      <formula>INDIRECT("Dummy_for_Comparison3!"&amp;ADDRESS(ROW(),COLUMN()))</formula>
    </cfRule>
  </conditionalFormatting>
  <conditionalFormatting sqref="F396">
    <cfRule type="cellIs" dxfId="23" priority="40" stopIfTrue="1" operator="notEqual">
      <formula>INDIRECT("Dummy_for_Comparison3!"&amp;ADDRESS(ROW(),COLUMN()))</formula>
    </cfRule>
  </conditionalFormatting>
  <conditionalFormatting sqref="D396">
    <cfRule type="cellIs" dxfId="22" priority="39" stopIfTrue="1" operator="notEqual">
      <formula>INDIRECT("Dummy_for_Comparison3!"&amp;ADDRESS(ROW(),COLUMN()))</formula>
    </cfRule>
  </conditionalFormatting>
  <conditionalFormatting sqref="E397:F397">
    <cfRule type="cellIs" dxfId="21" priority="38" stopIfTrue="1" operator="notEqual">
      <formula>INDIRECT("Dummy_for_Comparison3!"&amp;ADDRESS(ROW(),COLUMN()))</formula>
    </cfRule>
  </conditionalFormatting>
  <conditionalFormatting sqref="E396">
    <cfRule type="cellIs" dxfId="20" priority="37" stopIfTrue="1" operator="notEqual">
      <formula>INDIRECT("Dummy_for_Comparison3!"&amp;ADDRESS(ROW(),COLUMN()))</formula>
    </cfRule>
  </conditionalFormatting>
  <conditionalFormatting sqref="E388:F388">
    <cfRule type="cellIs" dxfId="19" priority="36" stopIfTrue="1" operator="notEqual">
      <formula>INDIRECT("Dummy_for_Comparison3!"&amp;ADDRESS(ROW(),COLUMN()))</formula>
    </cfRule>
  </conditionalFormatting>
  <conditionalFormatting sqref="E378:F378">
    <cfRule type="cellIs" dxfId="18" priority="35" stopIfTrue="1" operator="notEqual">
      <formula>INDIRECT("Dummy_for_Comparison3!"&amp;ADDRESS(ROW(),COLUMN()))</formula>
    </cfRule>
  </conditionalFormatting>
  <conditionalFormatting sqref="E363:F363">
    <cfRule type="cellIs" dxfId="17" priority="34" stopIfTrue="1" operator="notEqual">
      <formula>INDIRECT("Dummy_for_Comparison3!"&amp;ADDRESS(ROW(),COLUMN()))</formula>
    </cfRule>
  </conditionalFormatting>
  <conditionalFormatting sqref="F395">
    <cfRule type="cellIs" dxfId="16" priority="33" stopIfTrue="1" operator="notEqual">
      <formula>INDIRECT("Dummy_for_Comparison3!"&amp;ADDRESS(ROW(),COLUMN()))</formula>
    </cfRule>
  </conditionalFormatting>
  <conditionalFormatting sqref="D395">
    <cfRule type="cellIs" dxfId="15" priority="32" stopIfTrue="1" operator="notEqual">
      <formula>INDIRECT("Dummy_for_Comparison3!"&amp;ADDRESS(ROW(),COLUMN()))</formula>
    </cfRule>
  </conditionalFormatting>
  <conditionalFormatting sqref="E395">
    <cfRule type="cellIs" dxfId="14" priority="31" stopIfTrue="1" operator="notEqual">
      <formula>INDIRECT("Dummy_for_Comparison3!"&amp;ADDRESS(ROW(),COLUMN()))</formula>
    </cfRule>
  </conditionalFormatting>
  <conditionalFormatting sqref="E257:F257">
    <cfRule type="cellIs" dxfId="13" priority="30" stopIfTrue="1" operator="notEqual">
      <formula>INDIRECT("Dummy_for_Comparison3!"&amp;ADDRESS(ROW(),COLUMN()))</formula>
    </cfRule>
  </conditionalFormatting>
  <conditionalFormatting sqref="E374:F374">
    <cfRule type="cellIs" dxfId="12" priority="29" stopIfTrue="1" operator="notEqual">
      <formula>INDIRECT("Dummy_for_Comparison3!"&amp;ADDRESS(ROW(),COLUMN()))</formula>
    </cfRule>
  </conditionalFormatting>
  <conditionalFormatting sqref="E375:F375">
    <cfRule type="cellIs" dxfId="11" priority="28" stopIfTrue="1" operator="notEqual">
      <formula>INDIRECT("Dummy_for_Comparison3!"&amp;ADDRESS(ROW(),COLUMN()))</formula>
    </cfRule>
  </conditionalFormatting>
  <conditionalFormatting sqref="E376:F376">
    <cfRule type="cellIs" dxfId="10" priority="27" stopIfTrue="1" operator="notEqual">
      <formula>INDIRECT("Dummy_for_Comparison3!"&amp;ADDRESS(ROW(),COLUMN()))</formula>
    </cfRule>
  </conditionalFormatting>
  <hyperlinks>
    <hyperlink ref="J18" r:id="rId1" xr:uid="{00000000-0004-0000-0B00-000000000000}"/>
    <hyperlink ref="J19" r:id="rId2" xr:uid="{00000000-0004-0000-0B00-000001000000}"/>
    <hyperlink ref="J20" r:id="rId3" xr:uid="{00000000-0004-0000-0B00-000002000000}"/>
    <hyperlink ref="J21" r:id="rId4" xr:uid="{00000000-0004-0000-0B00-000003000000}"/>
    <hyperlink ref="J14" r:id="rId5" xr:uid="{00000000-0004-0000-0B00-000004000000}"/>
    <hyperlink ref="J15" r:id="rId6" xr:uid="{00000000-0004-0000-0B00-000005000000}"/>
    <hyperlink ref="J16" r:id="rId7" xr:uid="{00000000-0004-0000-0B00-000006000000}"/>
    <hyperlink ref="J17" r:id="rId8" xr:uid="{00000000-0004-0000-0B00-000007000000}"/>
    <hyperlink ref="J424" r:id="rId9" xr:uid="{00000000-0004-0000-0B00-000008000000}"/>
    <hyperlink ref="J7" r:id="rId10" xr:uid="{00000000-0004-0000-0B00-000009000000}"/>
  </hyperlinks>
  <pageMargins left="0.7" right="0.7" top="0.75" bottom="0.75" header="0.3" footer="0.3"/>
  <pageSetup orientation="portrait" r:id="rId1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unka8"/>
  <dimension ref="B1:F8"/>
  <sheetViews>
    <sheetView showGridLines="0" workbookViewId="0">
      <selection activeCell="B4" sqref="B4:D8"/>
    </sheetView>
  </sheetViews>
  <sheetFormatPr defaultColWidth="9.1328125" defaultRowHeight="14.25" x14ac:dyDescent="0.45"/>
  <cols>
    <col min="2" max="2" width="24.46484375" customWidth="1"/>
    <col min="3" max="3" width="23.46484375" customWidth="1"/>
    <col min="4" max="4" width="22.1328125" customWidth="1"/>
  </cols>
  <sheetData>
    <row r="1" spans="2:6" s="47" customFormat="1" ht="58.5" customHeight="1" thickBot="1" x14ac:dyDescent="0.5"/>
    <row r="2" spans="2:6" ht="14.65" thickBot="1" x14ac:dyDescent="0.5">
      <c r="C2" s="64" t="s">
        <v>133</v>
      </c>
      <c r="D2" s="1"/>
    </row>
    <row r="3" spans="2:6" ht="20.25" customHeight="1" x14ac:dyDescent="0.45">
      <c r="B3" s="55" t="s">
        <v>0</v>
      </c>
      <c r="C3" s="55" t="s">
        <v>1</v>
      </c>
      <c r="D3" s="77" t="s">
        <v>5</v>
      </c>
      <c r="E3" s="77" t="s">
        <v>116</v>
      </c>
      <c r="F3" s="71" t="s">
        <v>2</v>
      </c>
    </row>
    <row r="4" spans="2:6" x14ac:dyDescent="0.45">
      <c r="B4" s="78"/>
      <c r="C4" s="74"/>
      <c r="D4" s="75"/>
      <c r="E4" s="6"/>
      <c r="F4" s="6"/>
    </row>
    <row r="5" spans="2:6" x14ac:dyDescent="0.45">
      <c r="B5" s="78"/>
      <c r="C5" s="74"/>
      <c r="D5" s="74"/>
      <c r="E5" s="6"/>
      <c r="F5" s="6"/>
    </row>
    <row r="6" spans="2:6" x14ac:dyDescent="0.45">
      <c r="B6" s="78"/>
      <c r="C6" s="74"/>
      <c r="D6" s="74"/>
      <c r="E6" s="74"/>
      <c r="F6" s="74"/>
    </row>
    <row r="7" spans="2:6" x14ac:dyDescent="0.45">
      <c r="B7" s="78"/>
      <c r="C7" s="74"/>
      <c r="D7" s="74"/>
      <c r="E7" s="74"/>
      <c r="F7" s="74"/>
    </row>
    <row r="8" spans="2:6" x14ac:dyDescent="0.45">
      <c r="B8" s="78"/>
      <c r="C8" s="74"/>
      <c r="D8" s="74"/>
      <c r="E8" s="74"/>
      <c r="F8" s="74"/>
    </row>
  </sheetData>
  <phoneticPr fontId="31" type="noConversion"/>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Munka10"/>
  <dimension ref="B1:G4"/>
  <sheetViews>
    <sheetView showGridLines="0" zoomScale="110" zoomScaleNormal="110" workbookViewId="0">
      <selection activeCell="C10" sqref="C10"/>
    </sheetView>
  </sheetViews>
  <sheetFormatPr defaultColWidth="9.1328125" defaultRowHeight="14.25" x14ac:dyDescent="0.45"/>
  <cols>
    <col min="1" max="1" width="3.1328125" customWidth="1"/>
    <col min="2" max="2" width="10.46484375" customWidth="1"/>
    <col min="3" max="3" width="26.46484375" customWidth="1"/>
    <col min="4" max="4" width="30" customWidth="1"/>
    <col min="5" max="5" width="12.46484375" customWidth="1"/>
    <col min="6" max="6" width="9.86328125" customWidth="1"/>
    <col min="7" max="7" width="20.86328125" customWidth="1"/>
  </cols>
  <sheetData>
    <row r="1" spans="2:7" s="47" customFormat="1" ht="44.25" customHeight="1" thickBot="1" x14ac:dyDescent="0.5"/>
    <row r="2" spans="2:7" ht="16.5" customHeight="1" thickBot="1" x14ac:dyDescent="0.5">
      <c r="B2" s="4"/>
      <c r="C2" s="64"/>
      <c r="D2" s="63"/>
      <c r="E2" s="4"/>
      <c r="F2" s="4"/>
      <c r="G2" s="4"/>
    </row>
    <row r="3" spans="2:7" ht="13.5" customHeight="1" thickBot="1" x14ac:dyDescent="0.5">
      <c r="B3" s="65"/>
      <c r="C3" s="66" t="s">
        <v>1</v>
      </c>
      <c r="D3" s="66" t="s">
        <v>5</v>
      </c>
      <c r="E3" s="68" t="s">
        <v>2</v>
      </c>
      <c r="F3" s="69" t="s">
        <v>116</v>
      </c>
      <c r="G3" s="67" t="s">
        <v>117</v>
      </c>
    </row>
    <row r="4" spans="2:7" ht="20.25" customHeight="1" x14ac:dyDescent="0.45">
      <c r="B4" s="42"/>
      <c r="C4" s="42"/>
      <c r="D4" s="41"/>
      <c r="E4" s="43"/>
      <c r="F4" s="44"/>
      <c r="G4" s="44"/>
    </row>
  </sheetData>
  <phoneticPr fontId="3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unka12"/>
  <dimension ref="A1:BU18"/>
  <sheetViews>
    <sheetView workbookViewId="0">
      <selection activeCell="B10" sqref="B10:G18"/>
    </sheetView>
  </sheetViews>
  <sheetFormatPr defaultColWidth="9.1328125" defaultRowHeight="14.25" x14ac:dyDescent="0.45"/>
  <cols>
    <col min="1" max="1" width="9.1328125" style="10"/>
    <col min="2" max="7" width="16.46484375" style="10" customWidth="1"/>
    <col min="8" max="73" width="9.1328125" style="10"/>
  </cols>
  <sheetData>
    <row r="1" spans="2:7" ht="14.65" thickBot="1" x14ac:dyDescent="0.5"/>
    <row r="2" spans="2:7" x14ac:dyDescent="0.45">
      <c r="B2" s="11"/>
      <c r="C2" s="12"/>
      <c r="D2" s="12"/>
      <c r="E2" s="12"/>
      <c r="F2" s="12"/>
      <c r="G2" s="13"/>
    </row>
    <row r="3" spans="2:7" x14ac:dyDescent="0.45">
      <c r="B3" s="2897" t="s">
        <v>109</v>
      </c>
      <c r="C3" s="2898"/>
      <c r="D3" s="2898"/>
      <c r="E3" s="2898"/>
      <c r="F3" s="2898"/>
      <c r="G3" s="2899"/>
    </row>
    <row r="4" spans="2:7" x14ac:dyDescent="0.45">
      <c r="B4" s="2897"/>
      <c r="C4" s="2898"/>
      <c r="D4" s="2898"/>
      <c r="E4" s="2898"/>
      <c r="F4" s="2898"/>
      <c r="G4" s="2899"/>
    </row>
    <row r="5" spans="2:7" x14ac:dyDescent="0.45">
      <c r="B5" s="2897"/>
      <c r="C5" s="2898"/>
      <c r="D5" s="2898"/>
      <c r="E5" s="2898"/>
      <c r="F5" s="2898"/>
      <c r="G5" s="2899"/>
    </row>
    <row r="6" spans="2:7" x14ac:dyDescent="0.45">
      <c r="B6" s="2897"/>
      <c r="C6" s="2898"/>
      <c r="D6" s="2898"/>
      <c r="E6" s="2898"/>
      <c r="F6" s="2898"/>
      <c r="G6" s="2899"/>
    </row>
    <row r="7" spans="2:7" x14ac:dyDescent="0.45">
      <c r="B7" s="2897"/>
      <c r="C7" s="2898"/>
      <c r="D7" s="2898"/>
      <c r="E7" s="2898"/>
      <c r="F7" s="2898"/>
      <c r="G7" s="2899"/>
    </row>
    <row r="8" spans="2:7" ht="14.65" thickBot="1" x14ac:dyDescent="0.5">
      <c r="B8" s="2900"/>
      <c r="C8" s="2901"/>
      <c r="D8" s="2901"/>
      <c r="E8" s="2901"/>
      <c r="F8" s="2901"/>
      <c r="G8" s="2902"/>
    </row>
    <row r="10" spans="2:7" x14ac:dyDescent="0.45">
      <c r="B10" s="2903"/>
      <c r="C10" s="2903"/>
      <c r="D10" s="2903"/>
      <c r="E10" s="2903"/>
      <c r="F10" s="2903"/>
      <c r="G10" s="2903"/>
    </row>
    <row r="11" spans="2:7" x14ac:dyDescent="0.45">
      <c r="B11" s="2903"/>
      <c r="C11" s="2903"/>
      <c r="D11" s="2903"/>
      <c r="E11" s="2903"/>
      <c r="F11" s="2903"/>
      <c r="G11" s="2903"/>
    </row>
    <row r="12" spans="2:7" x14ac:dyDescent="0.45">
      <c r="B12" s="2903"/>
      <c r="C12" s="2903"/>
      <c r="D12" s="2903"/>
      <c r="E12" s="2903"/>
      <c r="F12" s="2903"/>
      <c r="G12" s="2903"/>
    </row>
    <row r="13" spans="2:7" x14ac:dyDescent="0.45">
      <c r="B13" s="2903"/>
      <c r="C13" s="2903"/>
      <c r="D13" s="2903"/>
      <c r="E13" s="2903"/>
      <c r="F13" s="2903"/>
      <c r="G13" s="2903"/>
    </row>
    <row r="14" spans="2:7" x14ac:dyDescent="0.45">
      <c r="B14" s="2903"/>
      <c r="C14" s="2903"/>
      <c r="D14" s="2903"/>
      <c r="E14" s="2903"/>
      <c r="F14" s="2903"/>
      <c r="G14" s="2903"/>
    </row>
    <row r="15" spans="2:7" x14ac:dyDescent="0.45">
      <c r="B15" s="2903"/>
      <c r="C15" s="2903"/>
      <c r="D15" s="2903"/>
      <c r="E15" s="2903"/>
      <c r="F15" s="2903"/>
      <c r="G15" s="2903"/>
    </row>
    <row r="16" spans="2:7" x14ac:dyDescent="0.45">
      <c r="B16" s="2903"/>
      <c r="C16" s="2903"/>
      <c r="D16" s="2903"/>
      <c r="E16" s="2903"/>
      <c r="F16" s="2903"/>
      <c r="G16" s="2903"/>
    </row>
    <row r="17" spans="2:7" x14ac:dyDescent="0.45">
      <c r="B17" s="2903"/>
      <c r="C17" s="2903"/>
      <c r="D17" s="2903"/>
      <c r="E17" s="2903"/>
      <c r="F17" s="2903"/>
      <c r="G17" s="2903"/>
    </row>
    <row r="18" spans="2:7" x14ac:dyDescent="0.45">
      <c r="B18" s="2903"/>
      <c r="C18" s="2903"/>
      <c r="D18" s="2903"/>
      <c r="E18" s="2903"/>
      <c r="F18" s="2903"/>
      <c r="G18" s="2903"/>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Munka11"/>
  <dimension ref="A1:C9"/>
  <sheetViews>
    <sheetView workbookViewId="0">
      <selection activeCell="A10" sqref="A10"/>
    </sheetView>
  </sheetViews>
  <sheetFormatPr defaultColWidth="9.1328125" defaultRowHeight="14.25" x14ac:dyDescent="0.45"/>
  <cols>
    <col min="1" max="1" width="14.1328125" bestFit="1" customWidth="1"/>
    <col min="2" max="2" width="4" bestFit="1" customWidth="1"/>
    <col min="3" max="3" width="12.86328125" bestFit="1" customWidth="1"/>
  </cols>
  <sheetData>
    <row r="1" spans="1:3" x14ac:dyDescent="0.45">
      <c r="A1" t="s">
        <v>107</v>
      </c>
      <c r="B1" s="9">
        <v>387</v>
      </c>
    </row>
    <row r="2" spans="1:3" x14ac:dyDescent="0.45">
      <c r="A2" t="s">
        <v>108</v>
      </c>
      <c r="B2" s="9">
        <v>441</v>
      </c>
    </row>
    <row r="3" spans="1:3" x14ac:dyDescent="0.45">
      <c r="A3" t="s">
        <v>110</v>
      </c>
      <c r="B3">
        <v>517</v>
      </c>
    </row>
    <row r="4" spans="1:3" x14ac:dyDescent="0.45">
      <c r="A4" t="s">
        <v>113</v>
      </c>
      <c r="B4">
        <v>444</v>
      </c>
    </row>
    <row r="5" spans="1:3" x14ac:dyDescent="0.45">
      <c r="A5" t="s">
        <v>120</v>
      </c>
      <c r="B5">
        <v>364</v>
      </c>
    </row>
    <row r="6" spans="1:3" x14ac:dyDescent="0.45">
      <c r="A6" t="s">
        <v>126</v>
      </c>
      <c r="B6">
        <v>418</v>
      </c>
    </row>
    <row r="7" spans="1:3" x14ac:dyDescent="0.45">
      <c r="A7" t="s">
        <v>127</v>
      </c>
      <c r="B7">
        <v>510</v>
      </c>
    </row>
    <row r="8" spans="1:3" x14ac:dyDescent="0.45">
      <c r="A8" t="s">
        <v>129</v>
      </c>
      <c r="B8">
        <v>452</v>
      </c>
      <c r="C8" t="s">
        <v>130</v>
      </c>
    </row>
    <row r="9" spans="1:3" x14ac:dyDescent="0.45">
      <c r="A9" t="s">
        <v>131</v>
      </c>
      <c r="B9">
        <v>611</v>
      </c>
      <c r="C9" t="s">
        <v>132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H124"/>
  <sheetViews>
    <sheetView showGridLines="0" workbookViewId="0"/>
  </sheetViews>
  <sheetFormatPr defaultColWidth="8.6640625" defaultRowHeight="14.25" x14ac:dyDescent="0.45"/>
  <cols>
    <col min="1" max="1" width="5.6640625" customWidth="1"/>
    <col min="2" max="2" width="51.19921875" customWidth="1"/>
    <col min="3" max="3" width="52" customWidth="1"/>
    <col min="4" max="4" width="71.19921875" style="975" customWidth="1"/>
    <col min="5" max="5" width="17.6640625" customWidth="1"/>
    <col min="6" max="6" width="9.19921875" customWidth="1"/>
    <col min="7" max="7" width="2.6640625" customWidth="1"/>
    <col min="8" max="8" width="56.6640625" style="14" customWidth="1"/>
  </cols>
  <sheetData>
    <row r="1" spans="1:8" s="742" customFormat="1" x14ac:dyDescent="0.45">
      <c r="D1" s="973"/>
    </row>
    <row r="2" spans="1:8" s="742" customFormat="1" ht="14.65" thickBot="1" x14ac:dyDescent="0.5">
      <c r="C2" s="947" t="s">
        <v>781</v>
      </c>
      <c r="D2" s="973"/>
    </row>
    <row r="3" spans="1:8" s="742" customFormat="1" ht="14.65" thickBot="1" x14ac:dyDescent="0.5">
      <c r="B3" s="948" t="s">
        <v>0</v>
      </c>
      <c r="C3" s="949" t="s">
        <v>1</v>
      </c>
      <c r="D3" s="974" t="s">
        <v>5</v>
      </c>
      <c r="E3" s="950" t="s">
        <v>116</v>
      </c>
      <c r="F3" s="950" t="s">
        <v>2</v>
      </c>
      <c r="H3" s="950" t="s">
        <v>4911</v>
      </c>
    </row>
    <row r="4" spans="1:8" s="742" customFormat="1" x14ac:dyDescent="0.45">
      <c r="B4" s="743" t="s">
        <v>165</v>
      </c>
      <c r="C4" s="744" t="s">
        <v>166</v>
      </c>
      <c r="D4" s="951" t="s">
        <v>167</v>
      </c>
      <c r="E4" s="745"/>
      <c r="F4" s="745"/>
      <c r="H4" s="746"/>
    </row>
    <row r="5" spans="1:8" s="742" customFormat="1" x14ac:dyDescent="0.45">
      <c r="B5" s="743" t="s">
        <v>168</v>
      </c>
      <c r="C5" s="744" t="s">
        <v>169</v>
      </c>
      <c r="D5" s="951" t="s">
        <v>170</v>
      </c>
      <c r="E5" s="745"/>
      <c r="F5" s="745"/>
      <c r="H5" s="746"/>
    </row>
    <row r="6" spans="1:8" s="742" customFormat="1" x14ac:dyDescent="0.45">
      <c r="B6" s="743" t="s">
        <v>268</v>
      </c>
      <c r="C6" s="744" t="s">
        <v>269</v>
      </c>
      <c r="D6" s="951" t="s">
        <v>775</v>
      </c>
      <c r="E6" s="745"/>
      <c r="F6" s="745"/>
      <c r="H6" s="746"/>
    </row>
    <row r="7" spans="1:8" s="742" customFormat="1" x14ac:dyDescent="0.45">
      <c r="B7" s="743" t="s">
        <v>270</v>
      </c>
      <c r="C7" s="744" t="s">
        <v>271</v>
      </c>
      <c r="D7" s="951" t="s">
        <v>1382</v>
      </c>
      <c r="E7" s="745"/>
      <c r="F7" s="745"/>
      <c r="H7" s="746"/>
    </row>
    <row r="8" spans="1:8" s="742" customFormat="1" x14ac:dyDescent="0.45">
      <c r="B8" s="743" t="s">
        <v>171</v>
      </c>
      <c r="C8" s="744" t="s">
        <v>172</v>
      </c>
      <c r="D8" s="951" t="s">
        <v>173</v>
      </c>
      <c r="E8" s="745"/>
      <c r="F8" s="745"/>
      <c r="H8" s="746"/>
    </row>
    <row r="9" spans="1:8" s="742" customFormat="1" x14ac:dyDescent="0.45">
      <c r="B9" s="743" t="s">
        <v>4976</v>
      </c>
      <c r="C9" s="744" t="s">
        <v>4977</v>
      </c>
      <c r="D9" s="951" t="s">
        <v>4978</v>
      </c>
      <c r="E9" s="745"/>
      <c r="F9" s="745"/>
      <c r="H9" s="746"/>
    </row>
    <row r="10" spans="1:8" s="2191" customFormat="1" x14ac:dyDescent="0.45">
      <c r="A10" s="742"/>
      <c r="B10" s="2187" t="s">
        <v>5086</v>
      </c>
      <c r="C10" s="2188" t="s">
        <v>5087</v>
      </c>
      <c r="D10" s="2189" t="s">
        <v>5088</v>
      </c>
      <c r="E10" s="2190"/>
      <c r="F10" s="2190"/>
      <c r="H10" s="2192"/>
    </row>
    <row r="11" spans="1:8" s="742" customFormat="1" x14ac:dyDescent="0.45">
      <c r="B11" s="743" t="s">
        <v>1383</v>
      </c>
      <c r="C11" s="744" t="s">
        <v>175</v>
      </c>
      <c r="D11" s="951" t="s">
        <v>5023</v>
      </c>
      <c r="E11" s="745"/>
      <c r="F11" s="745"/>
      <c r="H11" s="746"/>
    </row>
    <row r="12" spans="1:8" s="742" customFormat="1" x14ac:dyDescent="0.45">
      <c r="B12" s="743" t="s">
        <v>1384</v>
      </c>
      <c r="C12" s="744" t="s">
        <v>178</v>
      </c>
      <c r="D12" s="951" t="s">
        <v>5024</v>
      </c>
      <c r="E12" s="745"/>
      <c r="F12" s="745"/>
      <c r="H12" s="746"/>
    </row>
    <row r="13" spans="1:8" s="742" customFormat="1" x14ac:dyDescent="0.45">
      <c r="B13" s="743" t="s">
        <v>4979</v>
      </c>
      <c r="C13" s="744" t="s">
        <v>4980</v>
      </c>
      <c r="D13" s="951" t="s">
        <v>1137</v>
      </c>
      <c r="E13" s="745"/>
      <c r="F13" s="745"/>
      <c r="H13" s="746"/>
    </row>
    <row r="14" spans="1:8" s="742" customFormat="1" x14ac:dyDescent="0.45">
      <c r="B14" s="743" t="s">
        <v>4981</v>
      </c>
      <c r="C14" s="744" t="s">
        <v>4982</v>
      </c>
      <c r="D14" s="951" t="s">
        <v>1138</v>
      </c>
      <c r="E14" s="745"/>
      <c r="F14" s="745"/>
      <c r="H14" s="746"/>
    </row>
    <row r="15" spans="1:8" s="742" customFormat="1" x14ac:dyDescent="0.45">
      <c r="B15" s="743" t="s">
        <v>1230</v>
      </c>
      <c r="C15" s="744" t="s">
        <v>1139</v>
      </c>
      <c r="D15" s="951" t="s">
        <v>1231</v>
      </c>
      <c r="E15" s="745"/>
      <c r="F15" s="745"/>
      <c r="H15" s="746"/>
    </row>
    <row r="16" spans="1:8" s="742" customFormat="1" x14ac:dyDescent="0.45">
      <c r="B16" s="743" t="s">
        <v>1140</v>
      </c>
      <c r="C16" s="744" t="s">
        <v>1141</v>
      </c>
      <c r="D16" s="951" t="s">
        <v>1142</v>
      </c>
      <c r="E16" s="745"/>
      <c r="F16" s="745"/>
      <c r="H16" s="746"/>
    </row>
    <row r="17" spans="2:8" s="742" customFormat="1" x14ac:dyDescent="0.45">
      <c r="B17" s="743" t="s">
        <v>180</v>
      </c>
      <c r="C17" s="744" t="s">
        <v>181</v>
      </c>
      <c r="D17" s="951" t="s">
        <v>182</v>
      </c>
      <c r="E17" s="745"/>
      <c r="F17" s="745"/>
      <c r="H17" s="746"/>
    </row>
    <row r="18" spans="2:8" s="742" customFormat="1" x14ac:dyDescent="0.45">
      <c r="B18" s="743" t="s">
        <v>183</v>
      </c>
      <c r="C18" s="744" t="s">
        <v>184</v>
      </c>
      <c r="D18" s="951" t="s">
        <v>779</v>
      </c>
      <c r="E18" s="745"/>
      <c r="F18" s="745"/>
      <c r="H18" s="746"/>
    </row>
    <row r="19" spans="2:8" s="742" customFormat="1" x14ac:dyDescent="0.45">
      <c r="B19" s="743" t="s">
        <v>151</v>
      </c>
      <c r="C19" s="744" t="s">
        <v>149</v>
      </c>
      <c r="D19" s="951" t="s">
        <v>150</v>
      </c>
      <c r="E19" s="745"/>
      <c r="F19" s="745"/>
      <c r="H19" s="746"/>
    </row>
    <row r="20" spans="2:8" s="742" customFormat="1" x14ac:dyDescent="0.45">
      <c r="B20" s="743" t="s">
        <v>776</v>
      </c>
      <c r="C20" s="744" t="s">
        <v>777</v>
      </c>
      <c r="D20" s="951" t="s">
        <v>780</v>
      </c>
      <c r="E20" s="745"/>
      <c r="F20" s="745"/>
      <c r="H20" s="746" t="s">
        <v>782</v>
      </c>
    </row>
    <row r="21" spans="2:8" s="742" customFormat="1" x14ac:dyDescent="0.45">
      <c r="B21" s="743" t="s">
        <v>1412</v>
      </c>
      <c r="C21" s="744" t="s">
        <v>1413</v>
      </c>
      <c r="D21" s="951" t="s">
        <v>4912</v>
      </c>
      <c r="E21" s="745"/>
      <c r="F21" s="745"/>
      <c r="H21" s="746"/>
    </row>
    <row r="22" spans="2:8" s="742" customFormat="1" ht="15.75" x14ac:dyDescent="0.45">
      <c r="B22" s="743" t="s">
        <v>1387</v>
      </c>
      <c r="C22" s="744" t="s">
        <v>1388</v>
      </c>
      <c r="D22" s="951" t="s">
        <v>1389</v>
      </c>
      <c r="E22" s="745"/>
      <c r="F22" s="745"/>
      <c r="H22" s="746"/>
    </row>
    <row r="23" spans="2:8" s="742" customFormat="1" ht="15.75" x14ac:dyDescent="0.45">
      <c r="B23" s="743" t="s">
        <v>1390</v>
      </c>
      <c r="C23" s="744" t="s">
        <v>1391</v>
      </c>
      <c r="D23" s="951" t="s">
        <v>1392</v>
      </c>
      <c r="E23" s="745"/>
      <c r="F23" s="745"/>
      <c r="H23" s="746"/>
    </row>
    <row r="24" spans="2:8" s="742" customFormat="1" ht="15.75" x14ac:dyDescent="0.45">
      <c r="B24" s="743" t="s">
        <v>1393</v>
      </c>
      <c r="C24" s="744" t="s">
        <v>778</v>
      </c>
      <c r="D24" s="951" t="s">
        <v>1394</v>
      </c>
      <c r="E24" s="745"/>
      <c r="F24" s="745"/>
      <c r="H24" s="746"/>
    </row>
    <row r="25" spans="2:8" s="742" customFormat="1" ht="15.75" x14ac:dyDescent="0.45">
      <c r="B25" s="743" t="s">
        <v>1395</v>
      </c>
      <c r="C25" s="744" t="s">
        <v>1396</v>
      </c>
      <c r="D25" s="951" t="s">
        <v>1397</v>
      </c>
      <c r="E25" s="745"/>
      <c r="F25" s="745"/>
      <c r="H25" s="746"/>
    </row>
    <row r="26" spans="2:8" s="742" customFormat="1" ht="15.75" x14ac:dyDescent="0.45">
      <c r="B26" s="743" t="s">
        <v>1398</v>
      </c>
      <c r="C26" s="744" t="s">
        <v>1399</v>
      </c>
      <c r="D26" s="951" t="s">
        <v>1400</v>
      </c>
      <c r="E26" s="745"/>
      <c r="F26" s="745"/>
      <c r="H26" s="746"/>
    </row>
    <row r="27" spans="2:8" s="742" customFormat="1" ht="15.75" x14ac:dyDescent="0.45">
      <c r="B27" s="743" t="s">
        <v>1401</v>
      </c>
      <c r="C27" s="744" t="s">
        <v>1402</v>
      </c>
      <c r="D27" s="951" t="s">
        <v>1403</v>
      </c>
      <c r="E27" s="745"/>
      <c r="F27" s="745"/>
      <c r="H27" s="746"/>
    </row>
    <row r="28" spans="2:8" s="742" customFormat="1" ht="15.75" x14ac:dyDescent="0.45">
      <c r="B28" s="743" t="s">
        <v>1404</v>
      </c>
      <c r="C28" s="744" t="s">
        <v>1405</v>
      </c>
      <c r="D28" s="951" t="s">
        <v>1406</v>
      </c>
      <c r="E28" s="745"/>
      <c r="F28" s="745"/>
      <c r="H28" s="746"/>
    </row>
    <row r="29" spans="2:8" s="742" customFormat="1" ht="15.75" x14ac:dyDescent="0.45">
      <c r="B29" s="743" t="s">
        <v>4913</v>
      </c>
      <c r="C29" s="744" t="s">
        <v>4914</v>
      </c>
      <c r="D29" s="951" t="s">
        <v>4915</v>
      </c>
      <c r="E29" s="745"/>
      <c r="F29" s="745"/>
      <c r="H29" s="746"/>
    </row>
    <row r="30" spans="2:8" s="742" customFormat="1" ht="15.75" x14ac:dyDescent="0.45">
      <c r="B30" s="743" t="s">
        <v>4916</v>
      </c>
      <c r="C30" s="744" t="s">
        <v>4917</v>
      </c>
      <c r="D30" s="951" t="s">
        <v>4918</v>
      </c>
      <c r="E30" s="745"/>
      <c r="F30" s="745"/>
      <c r="H30" s="746"/>
    </row>
    <row r="31" spans="2:8" s="742" customFormat="1" x14ac:dyDescent="0.45">
      <c r="D31" s="973"/>
    </row>
    <row r="32" spans="2:8" s="742" customFormat="1" ht="14.65" thickBot="1" x14ac:dyDescent="0.5">
      <c r="C32" s="947" t="s">
        <v>1407</v>
      </c>
      <c r="D32" s="973"/>
    </row>
    <row r="33" spans="2:8" s="742" customFormat="1" ht="14.65" thickBot="1" x14ac:dyDescent="0.5">
      <c r="B33" s="948" t="s">
        <v>0</v>
      </c>
      <c r="C33" s="949" t="s">
        <v>1</v>
      </c>
      <c r="D33" s="974" t="s">
        <v>5</v>
      </c>
      <c r="E33" s="950" t="s">
        <v>116</v>
      </c>
      <c r="F33" s="950" t="s">
        <v>2</v>
      </c>
      <c r="H33" s="950" t="s">
        <v>1408</v>
      </c>
    </row>
    <row r="34" spans="2:8" s="742" customFormat="1" x14ac:dyDescent="0.45">
      <c r="B34" s="743" t="s">
        <v>1409</v>
      </c>
      <c r="C34" s="744" t="s">
        <v>1410</v>
      </c>
      <c r="D34" s="951" t="s">
        <v>1411</v>
      </c>
      <c r="E34" s="745"/>
      <c r="F34" s="745"/>
      <c r="H34" s="746"/>
    </row>
    <row r="35" spans="2:8" s="742" customFormat="1" ht="114" x14ac:dyDescent="0.45">
      <c r="B35" s="743" t="s">
        <v>1385</v>
      </c>
      <c r="C35" s="744" t="s">
        <v>1386</v>
      </c>
      <c r="D35" s="951" t="s">
        <v>4919</v>
      </c>
      <c r="E35" s="745"/>
      <c r="F35" s="745"/>
      <c r="H35" s="746"/>
    </row>
    <row r="36" spans="2:8" s="742" customFormat="1" x14ac:dyDescent="0.45">
      <c r="B36" s="743" t="s">
        <v>1414</v>
      </c>
      <c r="C36" s="744" t="s">
        <v>1415</v>
      </c>
      <c r="D36" s="951" t="s">
        <v>1416</v>
      </c>
      <c r="E36" s="745"/>
      <c r="F36" s="745"/>
      <c r="H36" s="746"/>
    </row>
    <row r="37" spans="2:8" s="742" customFormat="1" x14ac:dyDescent="0.45">
      <c r="B37" s="743" t="s">
        <v>1417</v>
      </c>
      <c r="C37" s="744" t="s">
        <v>1418</v>
      </c>
      <c r="D37" s="951" t="s">
        <v>1419</v>
      </c>
      <c r="E37" s="745"/>
      <c r="F37" s="745"/>
      <c r="H37" s="746"/>
    </row>
    <row r="38" spans="2:8" s="742" customFormat="1" x14ac:dyDescent="0.45">
      <c r="B38" s="743" t="s">
        <v>1420</v>
      </c>
      <c r="C38" s="744" t="s">
        <v>1421</v>
      </c>
      <c r="D38" s="951" t="s">
        <v>1422</v>
      </c>
      <c r="E38" s="745"/>
      <c r="F38" s="745"/>
      <c r="H38" s="746"/>
    </row>
    <row r="39" spans="2:8" s="742" customFormat="1" x14ac:dyDescent="0.45">
      <c r="B39" s="743" t="s">
        <v>1423</v>
      </c>
      <c r="C39" s="744" t="s">
        <v>1424</v>
      </c>
      <c r="D39" s="951" t="s">
        <v>1425</v>
      </c>
      <c r="E39" s="745"/>
      <c r="F39" s="745"/>
      <c r="H39" s="746"/>
    </row>
    <row r="40" spans="2:8" s="742" customFormat="1" x14ac:dyDescent="0.45">
      <c r="B40" s="743" t="s">
        <v>1426</v>
      </c>
      <c r="C40" s="744" t="s">
        <v>1427</v>
      </c>
      <c r="D40" s="951" t="s">
        <v>1428</v>
      </c>
      <c r="E40" s="745"/>
      <c r="F40" s="745"/>
      <c r="H40" s="746"/>
    </row>
    <row r="41" spans="2:8" s="742" customFormat="1" x14ac:dyDescent="0.45">
      <c r="B41" s="743" t="s">
        <v>4920</v>
      </c>
      <c r="C41" s="744" t="s">
        <v>4921</v>
      </c>
      <c r="D41" s="951" t="s">
        <v>4922</v>
      </c>
      <c r="E41" s="745"/>
      <c r="F41" s="745"/>
      <c r="H41" s="746"/>
    </row>
    <row r="42" spans="2:8" s="742" customFormat="1" ht="85.5" x14ac:dyDescent="0.45">
      <c r="B42" s="743" t="s">
        <v>1429</v>
      </c>
      <c r="C42" s="744" t="s">
        <v>1430</v>
      </c>
      <c r="D42" s="951" t="s">
        <v>4923</v>
      </c>
      <c r="E42" s="745"/>
      <c r="F42" s="745"/>
      <c r="H42" s="746"/>
    </row>
    <row r="43" spans="2:8" s="742" customFormat="1" x14ac:dyDescent="0.45">
      <c r="B43" s="743" t="s">
        <v>1431</v>
      </c>
      <c r="C43" s="744" t="s">
        <v>1432</v>
      </c>
      <c r="D43" s="951" t="s">
        <v>1433</v>
      </c>
      <c r="E43" s="745"/>
      <c r="F43" s="745"/>
      <c r="H43" s="746"/>
    </row>
    <row r="44" spans="2:8" s="742" customFormat="1" x14ac:dyDescent="0.45">
      <c r="B44" s="743" t="s">
        <v>4924</v>
      </c>
      <c r="C44" s="744"/>
      <c r="D44" s="951" t="s">
        <v>1433</v>
      </c>
      <c r="E44" s="745" t="s">
        <v>4925</v>
      </c>
      <c r="F44" s="745"/>
      <c r="H44" s="746"/>
    </row>
    <row r="45" spans="2:8" s="742" customFormat="1" ht="85.5" x14ac:dyDescent="0.45">
      <c r="B45" s="743" t="s">
        <v>1434</v>
      </c>
      <c r="C45" s="744" t="s">
        <v>1435</v>
      </c>
      <c r="D45" s="951" t="s">
        <v>4926</v>
      </c>
      <c r="E45" s="745"/>
      <c r="F45" s="745"/>
      <c r="H45" s="746"/>
    </row>
    <row r="46" spans="2:8" s="742" customFormat="1" ht="256.5" x14ac:dyDescent="0.45">
      <c r="B46" s="743" t="s">
        <v>4927</v>
      </c>
      <c r="C46" s="744" t="s">
        <v>4928</v>
      </c>
      <c r="D46" s="951" t="s">
        <v>4929</v>
      </c>
      <c r="E46" s="745"/>
      <c r="F46" s="745"/>
      <c r="H46" s="746"/>
    </row>
    <row r="47" spans="2:8" s="742" customFormat="1" ht="85.5" x14ac:dyDescent="0.45">
      <c r="B47" s="743" t="s">
        <v>1436</v>
      </c>
      <c r="C47" s="744" t="s">
        <v>1437</v>
      </c>
      <c r="D47" s="951" t="s">
        <v>4930</v>
      </c>
      <c r="E47" s="745"/>
      <c r="F47" s="745"/>
      <c r="H47" s="746"/>
    </row>
    <row r="48" spans="2:8" s="742" customFormat="1" ht="85.5" x14ac:dyDescent="0.45">
      <c r="B48" s="743" t="s">
        <v>1438</v>
      </c>
      <c r="C48" s="744" t="s">
        <v>1439</v>
      </c>
      <c r="D48" s="951" t="s">
        <v>4931</v>
      </c>
      <c r="E48" s="745"/>
      <c r="F48" s="745"/>
      <c r="H48" s="746"/>
    </row>
    <row r="49" spans="2:8" s="742" customFormat="1" ht="85.5" x14ac:dyDescent="0.45">
      <c r="B49" s="743" t="s">
        <v>1440</v>
      </c>
      <c r="C49" s="744" t="s">
        <v>1441</v>
      </c>
      <c r="D49" s="951" t="s">
        <v>4932</v>
      </c>
      <c r="E49" s="745"/>
      <c r="F49" s="745"/>
      <c r="H49" s="746"/>
    </row>
    <row r="50" spans="2:8" s="742" customFormat="1" ht="99.75" x14ac:dyDescent="0.45">
      <c r="B50" s="743" t="s">
        <v>4933</v>
      </c>
      <c r="C50" s="744" t="s">
        <v>4934</v>
      </c>
      <c r="D50" s="951" t="s">
        <v>4935</v>
      </c>
      <c r="E50" s="745"/>
      <c r="F50" s="745"/>
      <c r="H50" s="746"/>
    </row>
    <row r="51" spans="2:8" s="742" customFormat="1" ht="85.5" x14ac:dyDescent="0.45">
      <c r="B51" s="743" t="s">
        <v>4936</v>
      </c>
      <c r="C51" s="744" t="s">
        <v>4937</v>
      </c>
      <c r="D51" s="951" t="s">
        <v>4938</v>
      </c>
      <c r="E51" s="745"/>
      <c r="F51" s="745"/>
      <c r="H51" s="746"/>
    </row>
    <row r="52" spans="2:8" s="742" customFormat="1" x14ac:dyDescent="0.45">
      <c r="B52" s="743" t="s">
        <v>1442</v>
      </c>
      <c r="C52" s="744" t="s">
        <v>1443</v>
      </c>
      <c r="D52" s="951" t="s">
        <v>1444</v>
      </c>
      <c r="E52" s="745"/>
      <c r="F52" s="745"/>
      <c r="H52" s="746"/>
    </row>
    <row r="53" spans="2:8" s="742" customFormat="1" x14ac:dyDescent="0.45">
      <c r="B53" s="743" t="s">
        <v>1445</v>
      </c>
      <c r="C53" s="744" t="s">
        <v>1446</v>
      </c>
      <c r="D53" s="951" t="s">
        <v>1447</v>
      </c>
      <c r="E53" s="745"/>
      <c r="F53" s="745"/>
      <c r="H53" s="746"/>
    </row>
    <row r="54" spans="2:8" s="742" customFormat="1" x14ac:dyDescent="0.45">
      <c r="B54" s="743" t="s">
        <v>1448</v>
      </c>
      <c r="C54" s="744" t="s">
        <v>1449</v>
      </c>
      <c r="D54" s="951" t="s">
        <v>1450</v>
      </c>
      <c r="E54" s="745"/>
      <c r="F54" s="745"/>
      <c r="H54" s="746"/>
    </row>
    <row r="55" spans="2:8" s="742" customFormat="1" x14ac:dyDescent="0.45">
      <c r="B55" s="743" t="s">
        <v>1451</v>
      </c>
      <c r="C55" s="744" t="s">
        <v>1452</v>
      </c>
      <c r="D55" s="951" t="s">
        <v>1453</v>
      </c>
      <c r="E55" s="745"/>
      <c r="F55" s="745"/>
      <c r="H55" s="746"/>
    </row>
    <row r="56" spans="2:8" s="742" customFormat="1" x14ac:dyDescent="0.45">
      <c r="B56" s="743" t="s">
        <v>1454</v>
      </c>
      <c r="C56" s="744" t="s">
        <v>1455</v>
      </c>
      <c r="D56" s="951" t="s">
        <v>1456</v>
      </c>
      <c r="E56" s="745"/>
      <c r="F56" s="745"/>
      <c r="H56" s="746"/>
    </row>
    <row r="57" spans="2:8" s="742" customFormat="1" x14ac:dyDescent="0.45">
      <c r="B57" s="743" t="s">
        <v>1457</v>
      </c>
      <c r="C57" s="744" t="s">
        <v>1458</v>
      </c>
      <c r="D57" s="951" t="s">
        <v>1459</v>
      </c>
      <c r="E57" s="745"/>
      <c r="F57" s="745"/>
      <c r="H57" s="746"/>
    </row>
    <row r="58" spans="2:8" s="742" customFormat="1" x14ac:dyDescent="0.45">
      <c r="B58" s="743" t="s">
        <v>1460</v>
      </c>
      <c r="C58" s="744" t="s">
        <v>1461</v>
      </c>
      <c r="D58" s="951" t="s">
        <v>1462</v>
      </c>
      <c r="E58" s="745"/>
      <c r="F58" s="745"/>
      <c r="H58" s="746"/>
    </row>
    <row r="59" spans="2:8" s="742" customFormat="1" x14ac:dyDescent="0.45">
      <c r="B59" s="743" t="s">
        <v>1463</v>
      </c>
      <c r="C59" s="744" t="s">
        <v>1464</v>
      </c>
      <c r="D59" s="951" t="s">
        <v>1465</v>
      </c>
      <c r="E59" s="745"/>
      <c r="F59" s="745"/>
      <c r="H59" s="746"/>
    </row>
    <row r="60" spans="2:8" s="742" customFormat="1" x14ac:dyDescent="0.45">
      <c r="B60" s="743" t="s">
        <v>1466</v>
      </c>
      <c r="C60" s="744" t="s">
        <v>1467</v>
      </c>
      <c r="D60" s="951" t="s">
        <v>1468</v>
      </c>
      <c r="E60" s="745"/>
      <c r="F60" s="745"/>
      <c r="H60" s="746"/>
    </row>
    <row r="61" spans="2:8" s="742" customFormat="1" x14ac:dyDescent="0.45">
      <c r="B61" s="743" t="s">
        <v>1469</v>
      </c>
      <c r="C61" s="744" t="s">
        <v>1470</v>
      </c>
      <c r="D61" s="951" t="s">
        <v>1471</v>
      </c>
      <c r="E61" s="745"/>
      <c r="F61" s="745"/>
      <c r="H61" s="746"/>
    </row>
    <row r="62" spans="2:8" s="742" customFormat="1" x14ac:dyDescent="0.45">
      <c r="D62" s="973"/>
    </row>
    <row r="63" spans="2:8" s="742" customFormat="1" ht="14.65" thickBot="1" x14ac:dyDescent="0.5">
      <c r="C63" s="947"/>
      <c r="D63" s="973"/>
    </row>
    <row r="64" spans="2:8" s="742" customFormat="1" ht="14.65" thickBot="1" x14ac:dyDescent="0.5">
      <c r="B64" s="948"/>
      <c r="C64" s="949" t="s">
        <v>1472</v>
      </c>
      <c r="D64" s="974"/>
      <c r="E64" s="950"/>
      <c r="F64" s="950"/>
      <c r="H64" s="950"/>
    </row>
    <row r="65" spans="2:8" s="742" customFormat="1" x14ac:dyDescent="0.45">
      <c r="B65" s="743" t="s">
        <v>0</v>
      </c>
      <c r="C65" s="744" t="s">
        <v>1</v>
      </c>
      <c r="D65" s="951" t="s">
        <v>5</v>
      </c>
      <c r="E65" s="745" t="s">
        <v>116</v>
      </c>
      <c r="F65" s="745" t="s">
        <v>2</v>
      </c>
      <c r="H65" s="746" t="s">
        <v>1473</v>
      </c>
    </row>
    <row r="66" spans="2:8" s="742" customFormat="1" x14ac:dyDescent="0.45">
      <c r="B66" s="743" t="s">
        <v>1474</v>
      </c>
      <c r="C66" s="744" t="s">
        <v>375</v>
      </c>
      <c r="D66" s="951" t="s">
        <v>1475</v>
      </c>
      <c r="E66" s="745"/>
      <c r="F66" s="745"/>
      <c r="H66" s="746"/>
    </row>
    <row r="67" spans="2:8" s="742" customFormat="1" x14ac:dyDescent="0.45">
      <c r="B67" s="743" t="s">
        <v>190</v>
      </c>
      <c r="C67" s="744" t="s">
        <v>376</v>
      </c>
      <c r="D67" s="951" t="s">
        <v>192</v>
      </c>
      <c r="E67" s="745"/>
      <c r="F67" s="745"/>
      <c r="H67" s="746"/>
    </row>
    <row r="68" spans="2:8" s="742" customFormat="1" x14ac:dyDescent="0.45">
      <c r="B68" s="743" t="s">
        <v>1476</v>
      </c>
      <c r="C68" s="744" t="s">
        <v>376</v>
      </c>
      <c r="D68" s="951" t="s">
        <v>1477</v>
      </c>
      <c r="E68" s="745"/>
      <c r="F68" s="745"/>
      <c r="H68" s="746"/>
    </row>
    <row r="69" spans="2:8" s="742" customFormat="1" x14ac:dyDescent="0.45">
      <c r="B69" s="743" t="s">
        <v>1478</v>
      </c>
      <c r="C69" s="744" t="s">
        <v>376</v>
      </c>
      <c r="D69" s="951" t="s">
        <v>1479</v>
      </c>
      <c r="E69" s="745"/>
      <c r="F69" s="745"/>
      <c r="H69" s="746"/>
    </row>
    <row r="70" spans="2:8" s="742" customFormat="1" x14ac:dyDescent="0.45">
      <c r="B70" s="743" t="s">
        <v>1480</v>
      </c>
      <c r="C70" s="744" t="s">
        <v>376</v>
      </c>
      <c r="D70" s="951" t="s">
        <v>1481</v>
      </c>
      <c r="E70" s="745"/>
      <c r="F70" s="745"/>
      <c r="H70" s="746"/>
    </row>
    <row r="71" spans="2:8" s="742" customFormat="1" x14ac:dyDescent="0.45">
      <c r="B71" s="743" t="s">
        <v>1482</v>
      </c>
      <c r="C71" s="744" t="s">
        <v>376</v>
      </c>
      <c r="D71" s="951" t="s">
        <v>1483</v>
      </c>
      <c r="E71" s="745"/>
      <c r="F71" s="745"/>
      <c r="H71" s="746"/>
    </row>
    <row r="72" spans="2:8" s="742" customFormat="1" x14ac:dyDescent="0.45">
      <c r="B72" s="743" t="s">
        <v>1484</v>
      </c>
      <c r="C72" s="744" t="s">
        <v>376</v>
      </c>
      <c r="D72" s="951" t="s">
        <v>1485</v>
      </c>
      <c r="E72" s="745"/>
      <c r="F72" s="745"/>
      <c r="H72" s="746"/>
    </row>
    <row r="73" spans="2:8" s="742" customFormat="1" x14ac:dyDescent="0.45">
      <c r="B73" s="743" t="s">
        <v>1486</v>
      </c>
      <c r="C73" s="744" t="s">
        <v>376</v>
      </c>
      <c r="D73" s="951" t="s">
        <v>1487</v>
      </c>
      <c r="E73" s="745"/>
      <c r="F73" s="745"/>
      <c r="H73" s="746"/>
    </row>
    <row r="74" spans="2:8" s="742" customFormat="1" x14ac:dyDescent="0.45">
      <c r="B74" s="743" t="s">
        <v>1488</v>
      </c>
      <c r="C74" s="744" t="s">
        <v>376</v>
      </c>
      <c r="D74" s="951" t="s">
        <v>1489</v>
      </c>
      <c r="E74" s="745"/>
      <c r="F74" s="745"/>
      <c r="H74" s="746"/>
    </row>
    <row r="75" spans="2:8" s="742" customFormat="1" x14ac:dyDescent="0.45">
      <c r="B75" s="743" t="s">
        <v>1490</v>
      </c>
      <c r="C75" s="744" t="s">
        <v>376</v>
      </c>
      <c r="D75" s="951" t="s">
        <v>1491</v>
      </c>
      <c r="E75" s="745"/>
      <c r="F75" s="745"/>
      <c r="H75" s="746"/>
    </row>
    <row r="76" spans="2:8" s="742" customFormat="1" x14ac:dyDescent="0.45">
      <c r="B76" s="743" t="s">
        <v>1492</v>
      </c>
      <c r="C76" s="744" t="s">
        <v>376</v>
      </c>
      <c r="D76" s="951" t="s">
        <v>1493</v>
      </c>
      <c r="E76" s="745"/>
      <c r="F76" s="745"/>
      <c r="H76" s="746"/>
    </row>
    <row r="77" spans="2:8" s="742" customFormat="1" x14ac:dyDescent="0.45">
      <c r="B77" s="743" t="s">
        <v>1494</v>
      </c>
      <c r="C77" s="744" t="s">
        <v>376</v>
      </c>
      <c r="D77" s="951" t="s">
        <v>1495</v>
      </c>
      <c r="E77" s="745"/>
      <c r="F77" s="745"/>
      <c r="H77" s="746"/>
    </row>
    <row r="78" spans="2:8" s="742" customFormat="1" x14ac:dyDescent="0.45">
      <c r="B78" s="743" t="s">
        <v>1496</v>
      </c>
      <c r="C78" s="744" t="s">
        <v>376</v>
      </c>
      <c r="D78" s="951" t="s">
        <v>1497</v>
      </c>
      <c r="E78" s="745"/>
      <c r="F78" s="745"/>
      <c r="H78" s="746"/>
    </row>
    <row r="79" spans="2:8" s="742" customFormat="1" x14ac:dyDescent="0.45">
      <c r="B79" s="743" t="s">
        <v>1498</v>
      </c>
      <c r="C79" s="744" t="s">
        <v>376</v>
      </c>
      <c r="D79" s="951" t="s">
        <v>1499</v>
      </c>
      <c r="E79" s="745"/>
      <c r="F79" s="745"/>
      <c r="H79" s="746"/>
    </row>
    <row r="80" spans="2:8" s="742" customFormat="1" x14ac:dyDescent="0.45">
      <c r="B80" s="743" t="s">
        <v>1500</v>
      </c>
      <c r="C80" s="744" t="s">
        <v>376</v>
      </c>
      <c r="D80" s="951" t="s">
        <v>1501</v>
      </c>
      <c r="E80" s="745"/>
      <c r="F80" s="745"/>
      <c r="H80" s="746"/>
    </row>
    <row r="81" spans="2:8" s="742" customFormat="1" x14ac:dyDescent="0.45">
      <c r="B81" s="743" t="s">
        <v>1502</v>
      </c>
      <c r="C81" s="744" t="s">
        <v>376</v>
      </c>
      <c r="D81" s="951" t="s">
        <v>1503</v>
      </c>
      <c r="E81" s="745"/>
      <c r="F81" s="745"/>
      <c r="H81" s="746"/>
    </row>
    <row r="82" spans="2:8" s="742" customFormat="1" x14ac:dyDescent="0.45">
      <c r="B82" s="743" t="s">
        <v>1504</v>
      </c>
      <c r="C82" s="744" t="s">
        <v>376</v>
      </c>
      <c r="D82" s="951" t="s">
        <v>1505</v>
      </c>
      <c r="E82" s="745"/>
      <c r="F82" s="745"/>
      <c r="H82" s="746"/>
    </row>
    <row r="83" spans="2:8" s="742" customFormat="1" x14ac:dyDescent="0.45">
      <c r="B83" s="743" t="s">
        <v>1506</v>
      </c>
      <c r="C83" s="744" t="s">
        <v>376</v>
      </c>
      <c r="D83" s="951" t="s">
        <v>1507</v>
      </c>
      <c r="E83" s="745"/>
      <c r="F83" s="745"/>
      <c r="H83" s="746"/>
    </row>
    <row r="84" spans="2:8" s="742" customFormat="1" x14ac:dyDescent="0.45">
      <c r="B84" s="743" t="s">
        <v>1508</v>
      </c>
      <c r="C84" s="744" t="s">
        <v>376</v>
      </c>
      <c r="D84" s="951" t="s">
        <v>1509</v>
      </c>
      <c r="E84" s="745"/>
      <c r="F84" s="745"/>
      <c r="H84" s="746"/>
    </row>
    <row r="85" spans="2:8" s="742" customFormat="1" x14ac:dyDescent="0.45">
      <c r="B85" s="743" t="s">
        <v>1510</v>
      </c>
      <c r="C85" s="744" t="s">
        <v>376</v>
      </c>
      <c r="D85" s="951" t="s">
        <v>1511</v>
      </c>
      <c r="E85" s="745"/>
      <c r="F85" s="745"/>
      <c r="H85" s="746"/>
    </row>
    <row r="86" spans="2:8" s="742" customFormat="1" x14ac:dyDescent="0.45">
      <c r="B86" s="743" t="s">
        <v>193</v>
      </c>
      <c r="C86" s="744" t="s">
        <v>1512</v>
      </c>
      <c r="D86" s="951" t="s">
        <v>195</v>
      </c>
      <c r="E86" s="745"/>
      <c r="F86" s="745"/>
      <c r="H86" s="746"/>
    </row>
    <row r="87" spans="2:8" s="742" customFormat="1" x14ac:dyDescent="0.45">
      <c r="B87" s="743" t="s">
        <v>196</v>
      </c>
      <c r="C87" s="744" t="s">
        <v>1513</v>
      </c>
      <c r="D87" s="951" t="s">
        <v>198</v>
      </c>
      <c r="E87" s="745"/>
      <c r="F87" s="745"/>
      <c r="H87" s="746"/>
    </row>
    <row r="88" spans="2:8" s="742" customFormat="1" x14ac:dyDescent="0.45">
      <c r="B88" s="743" t="s">
        <v>199</v>
      </c>
      <c r="C88" s="744" t="s">
        <v>1514</v>
      </c>
      <c r="D88" s="951" t="s">
        <v>201</v>
      </c>
      <c r="E88" s="745"/>
      <c r="F88" s="745"/>
      <c r="H88" s="746"/>
    </row>
    <row r="89" spans="2:8" s="742" customFormat="1" x14ac:dyDescent="0.45">
      <c r="B89" s="743" t="s">
        <v>202</v>
      </c>
      <c r="C89" s="744" t="s">
        <v>203</v>
      </c>
      <c r="D89" s="951" t="s">
        <v>204</v>
      </c>
      <c r="E89" s="745"/>
      <c r="F89" s="745"/>
      <c r="H89" s="746" t="s">
        <v>782</v>
      </c>
    </row>
    <row r="90" spans="2:8" s="742" customFormat="1" x14ac:dyDescent="0.45">
      <c r="B90" s="743" t="s">
        <v>1515</v>
      </c>
      <c r="C90" s="744" t="s">
        <v>1516</v>
      </c>
      <c r="D90" s="951" t="s">
        <v>1517</v>
      </c>
      <c r="E90" s="745"/>
      <c r="F90" s="745"/>
      <c r="H90" s="746"/>
    </row>
    <row r="91" spans="2:8" s="742" customFormat="1" x14ac:dyDescent="0.45">
      <c r="B91" s="743" t="s">
        <v>205</v>
      </c>
      <c r="C91" s="744" t="s">
        <v>206</v>
      </c>
      <c r="D91" s="951" t="s">
        <v>207</v>
      </c>
      <c r="E91" s="745"/>
      <c r="F91" s="745"/>
      <c r="H91" s="746"/>
    </row>
    <row r="92" spans="2:8" s="742" customFormat="1" x14ac:dyDescent="0.45">
      <c r="B92" s="743" t="s">
        <v>1518</v>
      </c>
      <c r="C92" s="744" t="s">
        <v>1519</v>
      </c>
      <c r="D92" s="951" t="s">
        <v>1520</v>
      </c>
      <c r="E92" s="745"/>
      <c r="F92" s="745"/>
      <c r="H92" s="746"/>
    </row>
    <row r="93" spans="2:8" s="742" customFormat="1" x14ac:dyDescent="0.45">
      <c r="B93" s="743" t="s">
        <v>1521</v>
      </c>
      <c r="C93" s="744" t="s">
        <v>1522</v>
      </c>
      <c r="D93" s="951" t="s">
        <v>1523</v>
      </c>
      <c r="E93" s="745"/>
      <c r="F93" s="745"/>
      <c r="H93" s="746"/>
    </row>
    <row r="94" spans="2:8" s="742" customFormat="1" x14ac:dyDescent="0.45">
      <c r="B94" s="743" t="s">
        <v>1524</v>
      </c>
      <c r="C94" s="744" t="s">
        <v>1525</v>
      </c>
      <c r="D94" s="951" t="s">
        <v>1526</v>
      </c>
      <c r="E94" s="745"/>
      <c r="F94" s="745"/>
      <c r="H94" s="746"/>
    </row>
    <row r="95" spans="2:8" s="742" customFormat="1" x14ac:dyDescent="0.45">
      <c r="D95" s="973"/>
    </row>
    <row r="96" spans="2:8" s="742" customFormat="1" ht="14.65" thickBot="1" x14ac:dyDescent="0.5">
      <c r="C96" s="947" t="s">
        <v>1527</v>
      </c>
      <c r="D96" s="973" t="s">
        <v>1528</v>
      </c>
      <c r="H96" s="742" t="s">
        <v>1529</v>
      </c>
    </row>
    <row r="97" spans="2:8" s="742" customFormat="1" ht="14.65" thickBot="1" x14ac:dyDescent="0.5">
      <c r="B97" s="948" t="s">
        <v>0</v>
      </c>
      <c r="C97" s="949" t="s">
        <v>1</v>
      </c>
      <c r="D97" s="974" t="s">
        <v>5</v>
      </c>
      <c r="E97" s="950" t="s">
        <v>1530</v>
      </c>
      <c r="F97" s="950"/>
      <c r="H97" s="950"/>
    </row>
    <row r="98" spans="2:8" s="742" customFormat="1" x14ac:dyDescent="0.45">
      <c r="B98" s="743" t="s">
        <v>1531</v>
      </c>
      <c r="C98" s="744" t="s">
        <v>1532</v>
      </c>
      <c r="D98" s="951" t="s">
        <v>1531</v>
      </c>
      <c r="E98" s="745"/>
      <c r="F98" s="745"/>
      <c r="H98" s="746"/>
    </row>
    <row r="99" spans="2:8" s="742" customFormat="1" x14ac:dyDescent="0.45">
      <c r="B99" s="743" t="s">
        <v>1533</v>
      </c>
      <c r="C99" s="744" t="s">
        <v>1534</v>
      </c>
      <c r="D99" s="951" t="s">
        <v>1533</v>
      </c>
      <c r="E99" s="745"/>
      <c r="F99" s="745"/>
      <c r="H99" s="746"/>
    </row>
    <row r="100" spans="2:8" s="742" customFormat="1" x14ac:dyDescent="0.45">
      <c r="B100" s="743" t="s">
        <v>1535</v>
      </c>
      <c r="C100" s="744" t="s">
        <v>1536</v>
      </c>
      <c r="D100" s="951" t="s">
        <v>1535</v>
      </c>
      <c r="E100" s="745"/>
      <c r="F100" s="745"/>
      <c r="H100" s="746"/>
    </row>
    <row r="101" spans="2:8" s="742" customFormat="1" x14ac:dyDescent="0.45">
      <c r="B101" s="743" t="s">
        <v>1537</v>
      </c>
      <c r="C101" s="744" t="s">
        <v>1538</v>
      </c>
      <c r="D101" s="951" t="s">
        <v>1537</v>
      </c>
      <c r="E101" s="745"/>
      <c r="F101" s="745"/>
      <c r="H101" s="746"/>
    </row>
    <row r="102" spans="2:8" s="742" customFormat="1" x14ac:dyDescent="0.45">
      <c r="B102" s="743" t="s">
        <v>1539</v>
      </c>
      <c r="C102" s="744" t="s">
        <v>1540</v>
      </c>
      <c r="D102" s="951" t="s">
        <v>1539</v>
      </c>
      <c r="E102" s="745"/>
      <c r="F102" s="745"/>
      <c r="H102" s="746"/>
    </row>
    <row r="103" spans="2:8" s="742" customFormat="1" x14ac:dyDescent="0.45">
      <c r="B103" s="743" t="s">
        <v>1541</v>
      </c>
      <c r="C103" s="744" t="s">
        <v>1542</v>
      </c>
      <c r="D103" s="951" t="s">
        <v>1541</v>
      </c>
      <c r="E103" s="745"/>
      <c r="F103" s="745"/>
      <c r="H103" s="746"/>
    </row>
    <row r="104" spans="2:8" s="742" customFormat="1" x14ac:dyDescent="0.45">
      <c r="B104" s="743" t="s">
        <v>1543</v>
      </c>
      <c r="C104" s="744" t="s">
        <v>1544</v>
      </c>
      <c r="D104" s="951" t="s">
        <v>1543</v>
      </c>
      <c r="E104" s="745"/>
      <c r="F104" s="745"/>
      <c r="H104" s="746"/>
    </row>
    <row r="105" spans="2:8" s="742" customFormat="1" x14ac:dyDescent="0.45">
      <c r="B105" s="743" t="s">
        <v>1545</v>
      </c>
      <c r="C105" s="744" t="s">
        <v>1546</v>
      </c>
      <c r="D105" s="951" t="s">
        <v>1545</v>
      </c>
      <c r="E105" s="745"/>
      <c r="F105" s="745"/>
      <c r="H105" s="746"/>
    </row>
    <row r="106" spans="2:8" s="742" customFormat="1" x14ac:dyDescent="0.45">
      <c r="B106" s="743" t="s">
        <v>1547</v>
      </c>
      <c r="C106" s="744" t="s">
        <v>1548</v>
      </c>
      <c r="D106" s="951" t="s">
        <v>1547</v>
      </c>
      <c r="E106" s="745"/>
      <c r="F106" s="745"/>
      <c r="H106" s="746"/>
    </row>
    <row r="107" spans="2:8" s="742" customFormat="1" x14ac:dyDescent="0.45">
      <c r="B107" s="743" t="s">
        <v>1549</v>
      </c>
      <c r="C107" s="744" t="s">
        <v>1550</v>
      </c>
      <c r="D107" s="951" t="s">
        <v>1549</v>
      </c>
      <c r="E107" s="745"/>
      <c r="F107" s="745"/>
      <c r="H107" s="746"/>
    </row>
    <row r="108" spans="2:8" s="742" customFormat="1" x14ac:dyDescent="0.45">
      <c r="B108" s="743" t="s">
        <v>1551</v>
      </c>
      <c r="C108" s="744" t="s">
        <v>1552</v>
      </c>
      <c r="D108" s="951" t="s">
        <v>1551</v>
      </c>
      <c r="E108" s="745" t="s">
        <v>1553</v>
      </c>
      <c r="F108" s="745"/>
      <c r="H108" s="746"/>
    </row>
    <row r="109" spans="2:8" s="742" customFormat="1" x14ac:dyDescent="0.45">
      <c r="B109" s="743" t="s">
        <v>1554</v>
      </c>
      <c r="C109" s="744" t="s">
        <v>1555</v>
      </c>
      <c r="D109" s="951" t="s">
        <v>1554</v>
      </c>
      <c r="E109" s="745"/>
      <c r="F109" s="745"/>
      <c r="H109" s="746"/>
    </row>
    <row r="110" spans="2:8" s="742" customFormat="1" x14ac:dyDescent="0.45">
      <c r="B110" s="743" t="s">
        <v>1556</v>
      </c>
      <c r="C110" s="744" t="s">
        <v>1557</v>
      </c>
      <c r="D110" s="951" t="s">
        <v>1556</v>
      </c>
      <c r="E110" s="745"/>
      <c r="F110" s="745"/>
      <c r="H110" s="746"/>
    </row>
    <row r="111" spans="2:8" s="742" customFormat="1" x14ac:dyDescent="0.45">
      <c r="B111" s="743" t="s">
        <v>1558</v>
      </c>
      <c r="C111" s="744" t="s">
        <v>1559</v>
      </c>
      <c r="D111" s="951" t="s">
        <v>1558</v>
      </c>
      <c r="E111" s="745"/>
      <c r="F111" s="745"/>
      <c r="H111" s="746"/>
    </row>
    <row r="112" spans="2:8" s="742" customFormat="1" x14ac:dyDescent="0.45">
      <c r="B112" s="743" t="s">
        <v>1560</v>
      </c>
      <c r="C112" s="744" t="s">
        <v>1561</v>
      </c>
      <c r="D112" s="951" t="s">
        <v>1560</v>
      </c>
      <c r="E112" s="745"/>
      <c r="F112" s="745"/>
      <c r="H112" s="746"/>
    </row>
    <row r="113" spans="2:8" s="742" customFormat="1" x14ac:dyDescent="0.45">
      <c r="B113" s="743" t="s">
        <v>1562</v>
      </c>
      <c r="C113" s="744" t="s">
        <v>1563</v>
      </c>
      <c r="D113" s="951" t="s">
        <v>1562</v>
      </c>
      <c r="E113" s="745"/>
      <c r="F113" s="745"/>
      <c r="H113" s="746"/>
    </row>
    <row r="114" spans="2:8" s="742" customFormat="1" x14ac:dyDescent="0.45">
      <c r="B114" s="743" t="s">
        <v>1564</v>
      </c>
      <c r="C114" s="744" t="s">
        <v>1565</v>
      </c>
      <c r="D114" s="951" t="s">
        <v>1564</v>
      </c>
      <c r="E114" s="745"/>
      <c r="F114" s="745"/>
      <c r="H114" s="746"/>
    </row>
    <row r="115" spans="2:8" s="742" customFormat="1" x14ac:dyDescent="0.45">
      <c r="B115" s="743" t="s">
        <v>1566</v>
      </c>
      <c r="C115" s="744" t="s">
        <v>1567</v>
      </c>
      <c r="D115" s="951" t="s">
        <v>1566</v>
      </c>
      <c r="E115" s="745"/>
      <c r="F115" s="745"/>
      <c r="H115" s="746"/>
    </row>
    <row r="116" spans="2:8" s="742" customFormat="1" x14ac:dyDescent="0.45">
      <c r="B116" s="743" t="s">
        <v>1568</v>
      </c>
      <c r="C116" s="744" t="s">
        <v>1569</v>
      </c>
      <c r="D116" s="951" t="s">
        <v>1568</v>
      </c>
      <c r="E116" s="745"/>
      <c r="F116" s="745"/>
      <c r="H116" s="746"/>
    </row>
    <row r="117" spans="2:8" s="742" customFormat="1" x14ac:dyDescent="0.45">
      <c r="B117" s="743" t="s">
        <v>1570</v>
      </c>
      <c r="C117" s="744" t="s">
        <v>1571</v>
      </c>
      <c r="D117" s="951" t="s">
        <v>1570</v>
      </c>
      <c r="E117" s="745"/>
      <c r="F117" s="745"/>
      <c r="H117" s="746"/>
    </row>
    <row r="118" spans="2:8" s="742" customFormat="1" x14ac:dyDescent="0.45">
      <c r="B118" s="743" t="s">
        <v>1572</v>
      </c>
      <c r="C118" s="744" t="s">
        <v>1512</v>
      </c>
      <c r="D118" s="951" t="s">
        <v>1572</v>
      </c>
      <c r="E118" s="745" t="s">
        <v>1573</v>
      </c>
      <c r="F118" s="745"/>
      <c r="H118" s="746"/>
    </row>
    <row r="119" spans="2:8" s="742" customFormat="1" x14ac:dyDescent="0.45">
      <c r="B119" s="743" t="s">
        <v>197</v>
      </c>
      <c r="C119" s="744" t="s">
        <v>1574</v>
      </c>
      <c r="D119" s="951" t="s">
        <v>197</v>
      </c>
      <c r="E119" s="745"/>
      <c r="F119" s="745"/>
      <c r="H119" s="746"/>
    </row>
    <row r="120" spans="2:8" s="742" customFormat="1" x14ac:dyDescent="0.45">
      <c r="B120" s="743" t="s">
        <v>1575</v>
      </c>
      <c r="C120" s="744" t="s">
        <v>1576</v>
      </c>
      <c r="D120" s="951" t="s">
        <v>1575</v>
      </c>
      <c r="E120" s="745"/>
      <c r="F120" s="745"/>
      <c r="H120" s="746"/>
    </row>
    <row r="121" spans="2:8" s="742" customFormat="1" x14ac:dyDescent="0.45">
      <c r="B121" s="743" t="s">
        <v>1577</v>
      </c>
      <c r="C121" s="744" t="s">
        <v>1578</v>
      </c>
      <c r="D121" s="951" t="s">
        <v>1577</v>
      </c>
      <c r="E121" s="745"/>
      <c r="F121" s="745"/>
      <c r="H121" s="746"/>
    </row>
    <row r="122" spans="2:8" s="742" customFormat="1" x14ac:dyDescent="0.45">
      <c r="B122" s="743" t="s">
        <v>1579</v>
      </c>
      <c r="C122" s="744" t="s">
        <v>1580</v>
      </c>
      <c r="D122" s="951" t="s">
        <v>1579</v>
      </c>
      <c r="E122" s="745"/>
      <c r="F122" s="745"/>
      <c r="H122" s="746"/>
    </row>
    <row r="123" spans="2:8" s="742" customFormat="1" x14ac:dyDescent="0.45">
      <c r="B123" s="743" t="s">
        <v>1581</v>
      </c>
      <c r="C123" s="744" t="s">
        <v>1582</v>
      </c>
      <c r="D123" s="951" t="s">
        <v>1581</v>
      </c>
      <c r="E123" s="745"/>
      <c r="F123" s="745"/>
      <c r="H123" s="746"/>
    </row>
    <row r="124" spans="2:8" s="742" customFormat="1" x14ac:dyDescent="0.45">
      <c r="B124" s="743" t="s">
        <v>1583</v>
      </c>
      <c r="C124" s="744" t="s">
        <v>1584</v>
      </c>
      <c r="D124" s="951" t="s">
        <v>1583</v>
      </c>
      <c r="E124" s="745"/>
      <c r="F124" s="745"/>
      <c r="H124" s="746"/>
    </row>
  </sheetData>
  <conditionalFormatting sqref="E6:F8 E22:F30 E34:F61 E15:F20">
    <cfRule type="cellIs" dxfId="9" priority="10" stopIfTrue="1" operator="notEqual">
      <formula>INDIRECT("Dummy_for_Comparison3!"&amp;ADDRESS(ROW(),COLUMN()))</formula>
    </cfRule>
  </conditionalFormatting>
  <conditionalFormatting sqref="E5:F5">
    <cfRule type="cellIs" dxfId="8" priority="9" stopIfTrue="1" operator="notEqual">
      <formula>INDIRECT("Dummy_for_Comparison3!"&amp;ADDRESS(ROW(),COLUMN()))</formula>
    </cfRule>
  </conditionalFormatting>
  <conditionalFormatting sqref="E4:F4">
    <cfRule type="cellIs" dxfId="7" priority="8" stopIfTrue="1" operator="notEqual">
      <formula>INDIRECT("Dummy_for_Comparison3!"&amp;ADDRESS(ROW(),COLUMN()))</formula>
    </cfRule>
  </conditionalFormatting>
  <conditionalFormatting sqref="E66:F94 E99:F124">
    <cfRule type="cellIs" dxfId="6" priority="7" stopIfTrue="1" operator="notEqual">
      <formula>INDIRECT("Dummy_for_Comparison3!"&amp;ADDRESS(ROW(),COLUMN()))</formula>
    </cfRule>
  </conditionalFormatting>
  <conditionalFormatting sqref="E65:F65">
    <cfRule type="cellIs" dxfId="5" priority="6" stopIfTrue="1" operator="notEqual">
      <formula>INDIRECT("Dummy_for_Comparison3!"&amp;ADDRESS(ROW(),COLUMN()))</formula>
    </cfRule>
  </conditionalFormatting>
  <conditionalFormatting sqref="E98:F98">
    <cfRule type="cellIs" dxfId="4" priority="5" stopIfTrue="1" operator="notEqual">
      <formula>INDIRECT("Dummy_for_Comparison3!"&amp;ADDRESS(ROW(),COLUMN()))</formula>
    </cfRule>
  </conditionalFormatting>
  <conditionalFormatting sqref="E21:F21">
    <cfRule type="cellIs" dxfId="3" priority="4" stopIfTrue="1" operator="notEqual">
      <formula>INDIRECT("Dummy_for_Comparison3!"&amp;ADDRESS(ROW(),COLUMN()))</formula>
    </cfRule>
  </conditionalFormatting>
  <conditionalFormatting sqref="E11:F14">
    <cfRule type="cellIs" dxfId="2" priority="3" stopIfTrue="1" operator="notEqual">
      <formula>INDIRECT("Dummy_for_Comparison3!"&amp;ADDRESS(ROW(),COLUMN()))</formula>
    </cfRule>
  </conditionalFormatting>
  <conditionalFormatting sqref="E9:F9">
    <cfRule type="cellIs" dxfId="1" priority="2" stopIfTrue="1" operator="notEqual">
      <formula>INDIRECT("Dummy_for_Comparison3!"&amp;ADDRESS(ROW(),COLUMN()))</formula>
    </cfRule>
  </conditionalFormatting>
  <conditionalFormatting sqref="E10:F10">
    <cfRule type="cellIs" dxfId="0" priority="1" stopIfTrue="1" operator="notEqual">
      <formula>INDIRECT("Dummy_for_Comparison3!"&amp;ADDRESS(ROW(),COLUMN()))</formula>
    </cfRule>
  </conditionalFormatting>
  <hyperlinks>
    <hyperlink ref="B98" r:id="rId1" display="http://www.cplusplus.com/reference/cmath/cos/" xr:uid="{00000000-0004-0000-1000-000000000000}"/>
    <hyperlink ref="B99" r:id="rId2" display="http://www.cplusplus.com/reference/cmath/sin/" xr:uid="{00000000-0004-0000-1000-000001000000}"/>
    <hyperlink ref="B100" r:id="rId3" display="http://www.cplusplus.com/reference/cmath/tan/" xr:uid="{00000000-0004-0000-1000-000002000000}"/>
    <hyperlink ref="B101" r:id="rId4" display="http://www.cplusplus.com/reference/cmath/acos/" xr:uid="{00000000-0004-0000-1000-000003000000}"/>
    <hyperlink ref="B102" r:id="rId5" display="http://www.cplusplus.com/reference/cmath/asin/" xr:uid="{00000000-0004-0000-1000-000004000000}"/>
    <hyperlink ref="B103" r:id="rId6" display="http://www.cplusplus.com/reference/cmath/atan/" xr:uid="{00000000-0004-0000-1000-000005000000}"/>
    <hyperlink ref="B104" r:id="rId7" display="http://www.cplusplus.com/reference/cmath/atan2/" xr:uid="{00000000-0004-0000-1000-000006000000}"/>
    <hyperlink ref="B105" r:id="rId8" display="http://www.cplusplus.com/reference/cmath/cosh/" xr:uid="{00000000-0004-0000-1000-000007000000}"/>
    <hyperlink ref="B106" r:id="rId9" display="http://www.cplusplus.com/reference/cmath/sinh/" xr:uid="{00000000-0004-0000-1000-000008000000}"/>
    <hyperlink ref="B107" r:id="rId10" display="http://www.cplusplus.com/reference/cmath/tanh/" xr:uid="{00000000-0004-0000-1000-000009000000}"/>
    <hyperlink ref="B108" r:id="rId11" display="http://www.cplusplus.com/reference/cmath/exp/" xr:uid="{00000000-0004-0000-1000-00000A000000}"/>
    <hyperlink ref="B109" r:id="rId12" display="http://www.cplusplus.com/reference/cmath/ldexp/" xr:uid="{00000000-0004-0000-1000-00000B000000}"/>
    <hyperlink ref="B110" r:id="rId13" display="http://www.cplusplus.com/reference/cmath/log/" xr:uid="{00000000-0004-0000-1000-00000C000000}"/>
    <hyperlink ref="B111" r:id="rId14" display="http://www.cplusplus.com/reference/cmath/log10/" xr:uid="{00000000-0004-0000-1000-00000D000000}"/>
    <hyperlink ref="B112" r:id="rId15" display="http://www.cplusplus.com/reference/cmath/sqrt/" xr:uid="{00000000-0004-0000-1000-00000E000000}"/>
    <hyperlink ref="B113" r:id="rId16" display="http://www.cplusplus.com/reference/cmath/ceil/" xr:uid="{00000000-0004-0000-1000-00000F000000}"/>
    <hyperlink ref="B114" r:id="rId17" display="http://www.cplusplus.com/reference/cmath/fabs/" xr:uid="{00000000-0004-0000-1000-000010000000}"/>
    <hyperlink ref="B115" r:id="rId18" display="http://www.cplusplus.com/reference/cmath/floor/" xr:uid="{00000000-0004-0000-1000-000011000000}"/>
    <hyperlink ref="B117" r:id="rId19" display="http://www.cplusplus.com/reference/cmath/fmod/" xr:uid="{00000000-0004-0000-1000-000012000000}"/>
    <hyperlink ref="D98" r:id="rId20" display="http://www.cplusplus.com/reference/cmath/cos/" xr:uid="{00000000-0004-0000-1000-000013000000}"/>
    <hyperlink ref="D99" r:id="rId21" display="http://www.cplusplus.com/reference/cmath/sin/" xr:uid="{00000000-0004-0000-1000-000014000000}"/>
    <hyperlink ref="D100" r:id="rId22" display="http://www.cplusplus.com/reference/cmath/tan/" xr:uid="{00000000-0004-0000-1000-000015000000}"/>
    <hyperlink ref="D101" r:id="rId23" display="http://www.cplusplus.com/reference/cmath/acos/" xr:uid="{00000000-0004-0000-1000-000016000000}"/>
    <hyperlink ref="D102" r:id="rId24" display="http://www.cplusplus.com/reference/cmath/asin/" xr:uid="{00000000-0004-0000-1000-000017000000}"/>
    <hyperlink ref="D103" r:id="rId25" display="http://www.cplusplus.com/reference/cmath/atan/" xr:uid="{00000000-0004-0000-1000-000018000000}"/>
    <hyperlink ref="D104" r:id="rId26" display="http://www.cplusplus.com/reference/cmath/atan2/" xr:uid="{00000000-0004-0000-1000-000019000000}"/>
    <hyperlink ref="D105" r:id="rId27" display="http://www.cplusplus.com/reference/cmath/cosh/" xr:uid="{00000000-0004-0000-1000-00001A000000}"/>
    <hyperlink ref="D106" r:id="rId28" display="http://www.cplusplus.com/reference/cmath/sinh/" xr:uid="{00000000-0004-0000-1000-00001B000000}"/>
    <hyperlink ref="D107" r:id="rId29" display="http://www.cplusplus.com/reference/cmath/tanh/" xr:uid="{00000000-0004-0000-1000-00001C000000}"/>
    <hyperlink ref="D108" r:id="rId30" display="http://www.cplusplus.com/reference/cmath/exp/" xr:uid="{00000000-0004-0000-1000-00001D000000}"/>
    <hyperlink ref="D109" r:id="rId31" display="http://www.cplusplus.com/reference/cmath/ldexp/" xr:uid="{00000000-0004-0000-1000-00001E000000}"/>
    <hyperlink ref="D110" r:id="rId32" display="http://www.cplusplus.com/reference/cmath/log/" xr:uid="{00000000-0004-0000-1000-00001F000000}"/>
    <hyperlink ref="D111" r:id="rId33" display="http://www.cplusplus.com/reference/cmath/log10/" xr:uid="{00000000-0004-0000-1000-000020000000}"/>
    <hyperlink ref="D112" r:id="rId34" display="http://www.cplusplus.com/reference/cmath/sqrt/" xr:uid="{00000000-0004-0000-1000-000021000000}"/>
    <hyperlink ref="D113" r:id="rId35" display="http://www.cplusplus.com/reference/cmath/ceil/" xr:uid="{00000000-0004-0000-1000-000022000000}"/>
    <hyperlink ref="D114" r:id="rId36" display="http://www.cplusplus.com/reference/cmath/fabs/" xr:uid="{00000000-0004-0000-1000-000023000000}"/>
    <hyperlink ref="D115" r:id="rId37" display="http://www.cplusplus.com/reference/cmath/floor/" xr:uid="{00000000-0004-0000-1000-000024000000}"/>
    <hyperlink ref="D117" r:id="rId38" display="http://www.cplusplus.com/reference/cmath/fmod/" xr:uid="{00000000-0004-0000-1000-000025000000}"/>
  </hyperlinks>
  <pageMargins left="0.7" right="0.7" top="0.75" bottom="0.75" header="0.3" footer="0.3"/>
  <pageSetup paperSize="9" orientation="portrait" r:id="rId3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
  <dimension ref="A1:L80"/>
  <sheetViews>
    <sheetView workbookViewId="0">
      <selection activeCell="B3" sqref="B3:D80"/>
    </sheetView>
  </sheetViews>
  <sheetFormatPr defaultColWidth="9.1328125" defaultRowHeight="14.25" x14ac:dyDescent="0.45"/>
  <cols>
    <col min="2" max="2" width="19.46484375" style="4" bestFit="1" customWidth="1"/>
    <col min="3" max="3" width="51.19921875" style="4" bestFit="1" customWidth="1"/>
    <col min="4" max="4" width="8" style="3" bestFit="1" customWidth="1"/>
    <col min="5" max="5" width="9.1328125" style="3"/>
    <col min="6" max="6" width="17.86328125" style="3" customWidth="1"/>
    <col min="7" max="8" width="9.1328125" style="3"/>
    <col min="9" max="9" width="12.86328125" style="3" bestFit="1" customWidth="1"/>
  </cols>
  <sheetData>
    <row r="1" spans="2:10" ht="14.65" thickBot="1" x14ac:dyDescent="0.5">
      <c r="B1"/>
      <c r="C1"/>
      <c r="D1"/>
      <c r="E1"/>
      <c r="F1"/>
      <c r="G1"/>
      <c r="H1"/>
      <c r="I1"/>
    </row>
    <row r="2" spans="2:10" s="113" customFormat="1" ht="14.65" thickBot="1" x14ac:dyDescent="0.5">
      <c r="B2" s="114"/>
      <c r="C2" s="474" t="s">
        <v>1195</v>
      </c>
      <c r="D2" s="114"/>
      <c r="E2" s="114"/>
      <c r="F2" s="114"/>
      <c r="G2" s="114"/>
      <c r="H2" s="114"/>
      <c r="I2" s="114"/>
    </row>
    <row r="3" spans="2:10" s="113" customFormat="1" ht="28.9" thickBot="1" x14ac:dyDescent="0.5">
      <c r="B3" s="558" t="s">
        <v>0</v>
      </c>
      <c r="C3" s="559" t="s">
        <v>1</v>
      </c>
      <c r="D3" s="559" t="s">
        <v>841</v>
      </c>
      <c r="E3" s="559" t="s">
        <v>471</v>
      </c>
      <c r="F3" s="559" t="s">
        <v>472</v>
      </c>
      <c r="G3" s="559" t="s">
        <v>2</v>
      </c>
      <c r="H3" s="559" t="s">
        <v>300</v>
      </c>
      <c r="I3" s="559" t="s">
        <v>116</v>
      </c>
      <c r="J3" s="560" t="s">
        <v>117</v>
      </c>
    </row>
    <row r="4" spans="2:10" s="113" customFormat="1" ht="16.149999999999999" thickBot="1" x14ac:dyDescent="0.5">
      <c r="B4" s="561" t="s">
        <v>3531</v>
      </c>
      <c r="C4" s="552" t="s">
        <v>2642</v>
      </c>
      <c r="D4" s="562">
        <v>0.1</v>
      </c>
      <c r="E4" s="562">
        <v>0</v>
      </c>
      <c r="F4" s="562">
        <v>1</v>
      </c>
      <c r="G4" s="563" t="s">
        <v>2017</v>
      </c>
      <c r="H4" s="563">
        <v>2</v>
      </c>
      <c r="I4" s="562"/>
      <c r="J4" s="564"/>
    </row>
    <row r="5" spans="2:10" ht="14.65" thickBot="1" x14ac:dyDescent="0.5">
      <c r="B5"/>
      <c r="C5"/>
      <c r="D5"/>
      <c r="E5"/>
      <c r="F5"/>
      <c r="G5"/>
      <c r="H5"/>
      <c r="I5"/>
    </row>
    <row r="6" spans="2:10" ht="14.65" thickBot="1" x14ac:dyDescent="0.5">
      <c r="B6" s="165"/>
      <c r="C6" s="477" t="s">
        <v>3329</v>
      </c>
      <c r="D6" s="165"/>
      <c r="E6" s="165"/>
      <c r="F6" s="165"/>
      <c r="G6" s="165"/>
      <c r="H6" s="165"/>
      <c r="I6" s="165"/>
    </row>
    <row r="7" spans="2:10" ht="14.65" thickBot="1" x14ac:dyDescent="0.5">
      <c r="B7" s="697" t="s">
        <v>0</v>
      </c>
      <c r="C7" s="698" t="s">
        <v>1</v>
      </c>
      <c r="D7" s="698" t="s">
        <v>152</v>
      </c>
      <c r="E7" s="699" t="s">
        <v>471</v>
      </c>
      <c r="F7" s="699" t="s">
        <v>472</v>
      </c>
      <c r="G7" s="698" t="s">
        <v>2</v>
      </c>
      <c r="H7" s="698" t="s">
        <v>300</v>
      </c>
      <c r="I7" s="700" t="s">
        <v>116</v>
      </c>
    </row>
    <row r="8" spans="2:10" ht="16.5" x14ac:dyDescent="0.55000000000000004">
      <c r="B8" s="707" t="s">
        <v>3330</v>
      </c>
      <c r="C8" s="708" t="s">
        <v>3331</v>
      </c>
      <c r="D8" s="709">
        <v>76.402000000000001</v>
      </c>
      <c r="E8" s="708"/>
      <c r="F8" s="708"/>
      <c r="G8" s="708" t="s">
        <v>3332</v>
      </c>
      <c r="H8" s="708"/>
      <c r="I8" s="710"/>
    </row>
    <row r="9" spans="2:10" ht="16.5" x14ac:dyDescent="0.55000000000000004">
      <c r="B9" s="711" t="s">
        <v>3333</v>
      </c>
      <c r="C9" s="701" t="s">
        <v>3334</v>
      </c>
      <c r="D9" s="702">
        <v>100</v>
      </c>
      <c r="E9" s="701"/>
      <c r="F9" s="701"/>
      <c r="G9" s="701" t="s">
        <v>3332</v>
      </c>
      <c r="H9" s="701"/>
      <c r="I9" s="566"/>
    </row>
    <row r="10" spans="2:10" ht="16.5" x14ac:dyDescent="0.55000000000000004">
      <c r="B10" s="711" t="s">
        <v>3335</v>
      </c>
      <c r="C10" s="701" t="s">
        <v>3336</v>
      </c>
      <c r="D10" s="702">
        <v>88.852000000000004</v>
      </c>
      <c r="E10" s="701"/>
      <c r="F10" s="701"/>
      <c r="G10" s="701" t="s">
        <v>3332</v>
      </c>
      <c r="H10" s="701"/>
      <c r="I10" s="566"/>
    </row>
    <row r="11" spans="2:10" ht="16.5" x14ac:dyDescent="0.55000000000000004">
      <c r="B11" s="711" t="s">
        <v>3337</v>
      </c>
      <c r="C11" s="701" t="s">
        <v>3338</v>
      </c>
      <c r="D11" s="702">
        <v>84.435000000000002</v>
      </c>
      <c r="E11" s="701"/>
      <c r="F11" s="701"/>
      <c r="G11" s="701" t="s">
        <v>3332</v>
      </c>
      <c r="H11" s="701"/>
      <c r="I11" s="566"/>
    </row>
    <row r="12" spans="2:10" ht="16.5" x14ac:dyDescent="0.55000000000000004">
      <c r="B12" s="711" t="s">
        <v>3339</v>
      </c>
      <c r="C12" s="701" t="s">
        <v>3340</v>
      </c>
      <c r="D12" s="702">
        <v>146.73500000000001</v>
      </c>
      <c r="E12" s="701"/>
      <c r="F12" s="701"/>
      <c r="G12" s="701" t="s">
        <v>3332</v>
      </c>
      <c r="H12" s="701"/>
      <c r="I12" s="566"/>
    </row>
    <row r="13" spans="2:10" ht="16.5" x14ac:dyDescent="0.55000000000000004">
      <c r="B13" s="711" t="s">
        <v>3341</v>
      </c>
      <c r="C13" s="701" t="s">
        <v>3342</v>
      </c>
      <c r="D13" s="702">
        <v>0</v>
      </c>
      <c r="E13" s="701"/>
      <c r="F13" s="701"/>
      <c r="G13" s="701" t="s">
        <v>3332</v>
      </c>
      <c r="H13" s="701"/>
      <c r="I13" s="566"/>
    </row>
    <row r="14" spans="2:10" ht="16.5" x14ac:dyDescent="0.55000000000000004">
      <c r="B14" s="711" t="s">
        <v>3343</v>
      </c>
      <c r="C14" s="701" t="s">
        <v>3344</v>
      </c>
      <c r="D14" s="702">
        <v>90.980999999999995</v>
      </c>
      <c r="E14" s="701"/>
      <c r="F14" s="701"/>
      <c r="G14" s="701" t="s">
        <v>3332</v>
      </c>
      <c r="H14" s="701"/>
      <c r="I14" s="566"/>
    </row>
    <row r="15" spans="2:10" ht="16.5" x14ac:dyDescent="0.55000000000000004">
      <c r="B15" s="711" t="s">
        <v>3809</v>
      </c>
      <c r="C15" s="701" t="s">
        <v>3810</v>
      </c>
      <c r="D15" s="702">
        <v>90.980999999999995</v>
      </c>
      <c r="E15" s="701"/>
      <c r="F15" s="701"/>
      <c r="G15" s="701" t="s">
        <v>3332</v>
      </c>
      <c r="H15" s="701"/>
      <c r="I15" s="566"/>
    </row>
    <row r="16" spans="2:10" ht="16.5" x14ac:dyDescent="0.55000000000000004">
      <c r="B16" s="711" t="s">
        <v>3811</v>
      </c>
      <c r="C16" s="701" t="s">
        <v>3812</v>
      </c>
      <c r="D16" s="702">
        <v>90.980999999999995</v>
      </c>
      <c r="E16" s="701"/>
      <c r="F16" s="701"/>
      <c r="G16" s="701" t="s">
        <v>3332</v>
      </c>
      <c r="H16" s="701"/>
      <c r="I16" s="566"/>
    </row>
    <row r="17" spans="1:9" s="143" customFormat="1" ht="15.75" x14ac:dyDescent="0.55000000000000004">
      <c r="B17" s="712" t="s">
        <v>3345</v>
      </c>
      <c r="C17" s="703" t="s">
        <v>3346</v>
      </c>
      <c r="D17" s="704">
        <v>3748.91</v>
      </c>
      <c r="E17" s="704"/>
      <c r="F17" s="703"/>
      <c r="G17" s="705" t="s">
        <v>836</v>
      </c>
      <c r="H17" s="703"/>
      <c r="I17" s="713" t="s">
        <v>1179</v>
      </c>
    </row>
    <row r="18" spans="1:9" s="143" customFormat="1" ht="16.5" x14ac:dyDescent="0.55000000000000004">
      <c r="B18" s="712" t="s">
        <v>3347</v>
      </c>
      <c r="C18" s="703" t="s">
        <v>3348</v>
      </c>
      <c r="D18" s="704">
        <v>10</v>
      </c>
      <c r="E18" s="704"/>
      <c r="F18" s="703"/>
      <c r="G18" s="703" t="s">
        <v>836</v>
      </c>
      <c r="H18" s="703"/>
      <c r="I18" s="713" t="s">
        <v>1169</v>
      </c>
    </row>
    <row r="19" spans="1:9" s="143" customFormat="1" ht="16.5" x14ac:dyDescent="0.55000000000000004">
      <c r="B19" s="712" t="s">
        <v>3349</v>
      </c>
      <c r="C19" s="703" t="s">
        <v>3350</v>
      </c>
      <c r="D19" s="704">
        <v>40</v>
      </c>
      <c r="E19" s="704"/>
      <c r="F19" s="703"/>
      <c r="G19" s="703" t="s">
        <v>836</v>
      </c>
      <c r="H19" s="703"/>
      <c r="I19" s="713" t="s">
        <v>1170</v>
      </c>
    </row>
    <row r="20" spans="1:9" s="143" customFormat="1" ht="16.5" x14ac:dyDescent="0.55000000000000004">
      <c r="B20" s="712" t="s">
        <v>3351</v>
      </c>
      <c r="C20" s="703" t="s">
        <v>3352</v>
      </c>
      <c r="D20" s="704">
        <v>0</v>
      </c>
      <c r="E20" s="704"/>
      <c r="F20" s="703"/>
      <c r="G20" s="703" t="s">
        <v>836</v>
      </c>
      <c r="H20" s="703"/>
      <c r="I20" s="713" t="s">
        <v>1171</v>
      </c>
    </row>
    <row r="21" spans="1:9" s="143" customFormat="1" ht="16.5" x14ac:dyDescent="0.55000000000000004">
      <c r="B21" s="712" t="s">
        <v>3353</v>
      </c>
      <c r="C21" s="703" t="s">
        <v>3354</v>
      </c>
      <c r="D21" s="704">
        <v>0</v>
      </c>
      <c r="E21" s="704"/>
      <c r="F21" s="703"/>
      <c r="G21" s="703" t="s">
        <v>836</v>
      </c>
      <c r="H21" s="703"/>
      <c r="I21" s="713" t="s">
        <v>1172</v>
      </c>
    </row>
    <row r="22" spans="1:9" s="143" customFormat="1" ht="15.75" x14ac:dyDescent="0.45">
      <c r="B22" s="714" t="s">
        <v>3355</v>
      </c>
      <c r="C22" s="705" t="s">
        <v>3356</v>
      </c>
      <c r="D22" s="706">
        <v>0</v>
      </c>
      <c r="E22" s="706"/>
      <c r="F22" s="706"/>
      <c r="G22" s="705" t="s">
        <v>836</v>
      </c>
      <c r="H22" s="706"/>
      <c r="I22" s="715" t="s">
        <v>1180</v>
      </c>
    </row>
    <row r="23" spans="1:9" s="143" customFormat="1" ht="16.5" x14ac:dyDescent="0.55000000000000004">
      <c r="A23"/>
      <c r="B23" s="712" t="s">
        <v>3357</v>
      </c>
      <c r="C23" s="703" t="s">
        <v>3358</v>
      </c>
      <c r="D23" s="704">
        <v>15</v>
      </c>
      <c r="E23" s="704"/>
      <c r="F23" s="703"/>
      <c r="G23" s="703" t="s">
        <v>836</v>
      </c>
      <c r="H23" s="703"/>
      <c r="I23" s="713" t="s">
        <v>1173</v>
      </c>
    </row>
    <row r="24" spans="1:9" s="143" customFormat="1" ht="16.5" x14ac:dyDescent="0.55000000000000004">
      <c r="A24"/>
      <c r="B24" s="712" t="s">
        <v>3813</v>
      </c>
      <c r="C24" s="703" t="s">
        <v>3814</v>
      </c>
      <c r="D24" s="704">
        <v>15</v>
      </c>
      <c r="E24" s="704"/>
      <c r="F24" s="703"/>
      <c r="G24" s="703" t="s">
        <v>836</v>
      </c>
      <c r="H24" s="703"/>
      <c r="I24" s="713" t="s">
        <v>3817</v>
      </c>
    </row>
    <row r="25" spans="1:9" s="143" customFormat="1" ht="16.899999999999999" thickBot="1" x14ac:dyDescent="0.6">
      <c r="A25"/>
      <c r="B25" s="716" t="s">
        <v>3816</v>
      </c>
      <c r="C25" s="717" t="s">
        <v>3815</v>
      </c>
      <c r="D25" s="718">
        <v>15</v>
      </c>
      <c r="E25" s="718"/>
      <c r="F25" s="717"/>
      <c r="G25" s="717" t="s">
        <v>836</v>
      </c>
      <c r="H25" s="717"/>
      <c r="I25" s="719" t="s">
        <v>3818</v>
      </c>
    </row>
    <row r="26" spans="1:9" ht="14.65" thickBot="1" x14ac:dyDescent="0.5">
      <c r="B26"/>
      <c r="C26"/>
      <c r="D26"/>
      <c r="E26"/>
      <c r="F26"/>
      <c r="G26"/>
      <c r="H26"/>
      <c r="I26"/>
    </row>
    <row r="27" spans="1:9" ht="14.65" thickBot="1" x14ac:dyDescent="0.5">
      <c r="B27" s="165"/>
      <c r="C27" s="477" t="s">
        <v>3359</v>
      </c>
      <c r="D27" s="165"/>
      <c r="E27" s="165"/>
      <c r="F27" s="165"/>
      <c r="G27" s="165"/>
      <c r="H27" s="165"/>
      <c r="I27" s="165"/>
    </row>
    <row r="28" spans="1:9" ht="14.65" thickBot="1" x14ac:dyDescent="0.5">
      <c r="B28" s="697" t="s">
        <v>0</v>
      </c>
      <c r="C28" s="698" t="s">
        <v>1</v>
      </c>
      <c r="D28" s="698" t="s">
        <v>152</v>
      </c>
      <c r="E28" s="699" t="s">
        <v>471</v>
      </c>
      <c r="F28" s="699" t="s">
        <v>472</v>
      </c>
      <c r="G28" s="698" t="s">
        <v>2</v>
      </c>
      <c r="H28" s="698" t="s">
        <v>300</v>
      </c>
      <c r="I28" s="700" t="s">
        <v>116</v>
      </c>
    </row>
    <row r="29" spans="1:9" ht="16.5" x14ac:dyDescent="0.55000000000000004">
      <c r="B29" s="707" t="s">
        <v>3360</v>
      </c>
      <c r="C29" s="708" t="s">
        <v>3361</v>
      </c>
      <c r="D29" s="709">
        <v>2.2919999999999998</v>
      </c>
      <c r="E29" s="708"/>
      <c r="F29" s="708"/>
      <c r="G29" s="708" t="s">
        <v>3332</v>
      </c>
      <c r="H29" s="708"/>
      <c r="I29" s="710"/>
    </row>
    <row r="30" spans="1:9" ht="16.5" x14ac:dyDescent="0.55000000000000004">
      <c r="B30" s="711" t="s">
        <v>3362</v>
      </c>
      <c r="C30" s="701" t="s">
        <v>3363</v>
      </c>
      <c r="D30" s="702">
        <v>3</v>
      </c>
      <c r="E30" s="701"/>
      <c r="F30" s="701"/>
      <c r="G30" s="701" t="s">
        <v>3332</v>
      </c>
      <c r="H30" s="701"/>
      <c r="I30" s="566"/>
    </row>
    <row r="31" spans="1:9" ht="16.5" x14ac:dyDescent="0.55000000000000004">
      <c r="B31" s="711" t="s">
        <v>3364</v>
      </c>
      <c r="C31" s="701" t="s">
        <v>3365</v>
      </c>
      <c r="D31" s="702">
        <v>2.6659999999999999</v>
      </c>
      <c r="E31" s="701"/>
      <c r="F31" s="701"/>
      <c r="G31" s="701" t="s">
        <v>3332</v>
      </c>
      <c r="H31" s="701"/>
      <c r="I31" s="566"/>
    </row>
    <row r="32" spans="1:9" ht="16.5" x14ac:dyDescent="0.55000000000000004">
      <c r="B32" s="711" t="s">
        <v>3366</v>
      </c>
      <c r="C32" s="701" t="s">
        <v>3367</v>
      </c>
      <c r="D32" s="702">
        <v>2.5329999999999999</v>
      </c>
      <c r="E32" s="701"/>
      <c r="F32" s="701"/>
      <c r="G32" s="701" t="s">
        <v>3332</v>
      </c>
      <c r="H32" s="701"/>
      <c r="I32" s="566"/>
    </row>
    <row r="33" spans="1:9" ht="16.5" x14ac:dyDescent="0.55000000000000004">
      <c r="B33" s="711" t="s">
        <v>3368</v>
      </c>
      <c r="C33" s="701" t="s">
        <v>3369</v>
      </c>
      <c r="D33" s="702">
        <v>4.4020000000000001</v>
      </c>
      <c r="E33" s="701"/>
      <c r="F33" s="701"/>
      <c r="G33" s="701" t="s">
        <v>3332</v>
      </c>
      <c r="H33" s="701"/>
      <c r="I33" s="566"/>
    </row>
    <row r="34" spans="1:9" ht="16.5" x14ac:dyDescent="0.55000000000000004">
      <c r="B34" s="711" t="s">
        <v>3370</v>
      </c>
      <c r="C34" s="701" t="s">
        <v>3371</v>
      </c>
      <c r="D34" s="702">
        <v>0</v>
      </c>
      <c r="E34" s="701"/>
      <c r="F34" s="701"/>
      <c r="G34" s="701" t="s">
        <v>3332</v>
      </c>
      <c r="H34" s="701"/>
      <c r="I34" s="566"/>
    </row>
    <row r="35" spans="1:9" ht="16.5" x14ac:dyDescent="0.55000000000000004">
      <c r="B35" s="711" t="s">
        <v>3372</v>
      </c>
      <c r="C35" s="701" t="s">
        <v>3373</v>
      </c>
      <c r="D35" s="702">
        <v>2.73</v>
      </c>
      <c r="E35" s="701"/>
      <c r="F35" s="701"/>
      <c r="G35" s="701" t="s">
        <v>3332</v>
      </c>
      <c r="H35" s="701"/>
      <c r="I35" s="566"/>
    </row>
    <row r="36" spans="1:9" ht="16.5" x14ac:dyDescent="0.55000000000000004">
      <c r="B36" s="711" t="s">
        <v>3819</v>
      </c>
      <c r="C36" s="701" t="s">
        <v>3820</v>
      </c>
      <c r="D36" s="702">
        <v>2.73</v>
      </c>
      <c r="E36" s="701"/>
      <c r="F36" s="701"/>
      <c r="G36" s="701" t="s">
        <v>3332</v>
      </c>
      <c r="H36" s="701"/>
      <c r="I36" s="566"/>
    </row>
    <row r="37" spans="1:9" ht="16.5" x14ac:dyDescent="0.55000000000000004">
      <c r="B37" s="711" t="s">
        <v>3821</v>
      </c>
      <c r="C37" s="701" t="s">
        <v>3822</v>
      </c>
      <c r="D37" s="702">
        <v>2.73</v>
      </c>
      <c r="E37" s="701"/>
      <c r="F37" s="701"/>
      <c r="G37" s="701" t="s">
        <v>3332</v>
      </c>
      <c r="H37" s="701"/>
      <c r="I37" s="566"/>
    </row>
    <row r="38" spans="1:9" s="143" customFormat="1" ht="15.75" x14ac:dyDescent="0.55000000000000004">
      <c r="B38" s="712" t="s">
        <v>3374</v>
      </c>
      <c r="C38" s="703" t="s">
        <v>3375</v>
      </c>
      <c r="D38" s="704">
        <v>3748.91</v>
      </c>
      <c r="E38" s="704"/>
      <c r="F38" s="703"/>
      <c r="G38" s="705" t="s">
        <v>836</v>
      </c>
      <c r="H38" s="703"/>
      <c r="I38" s="713" t="s">
        <v>3376</v>
      </c>
    </row>
    <row r="39" spans="1:9" s="143" customFormat="1" ht="16.5" x14ac:dyDescent="0.55000000000000004">
      <c r="B39" s="712" t="s">
        <v>3377</v>
      </c>
      <c r="C39" s="703" t="s">
        <v>3378</v>
      </c>
      <c r="D39" s="704">
        <v>10</v>
      </c>
      <c r="E39" s="704"/>
      <c r="F39" s="703"/>
      <c r="G39" s="703" t="s">
        <v>836</v>
      </c>
      <c r="H39" s="703"/>
      <c r="I39" s="713" t="s">
        <v>3379</v>
      </c>
    </row>
    <row r="40" spans="1:9" s="143" customFormat="1" ht="16.5" x14ac:dyDescent="0.55000000000000004">
      <c r="B40" s="712" t="s">
        <v>3380</v>
      </c>
      <c r="C40" s="703" t="s">
        <v>3381</v>
      </c>
      <c r="D40" s="704">
        <v>40</v>
      </c>
      <c r="E40" s="704"/>
      <c r="F40" s="703"/>
      <c r="G40" s="703" t="s">
        <v>836</v>
      </c>
      <c r="H40" s="703"/>
      <c r="I40" s="713" t="s">
        <v>3382</v>
      </c>
    </row>
    <row r="41" spans="1:9" s="143" customFormat="1" ht="16.5" x14ac:dyDescent="0.55000000000000004">
      <c r="B41" s="712" t="s">
        <v>3383</v>
      </c>
      <c r="C41" s="703" t="s">
        <v>3384</v>
      </c>
      <c r="D41" s="704">
        <v>0</v>
      </c>
      <c r="E41" s="704"/>
      <c r="F41" s="703"/>
      <c r="G41" s="703" t="s">
        <v>836</v>
      </c>
      <c r="H41" s="703"/>
      <c r="I41" s="713" t="s">
        <v>3385</v>
      </c>
    </row>
    <row r="42" spans="1:9" s="143" customFormat="1" ht="16.5" x14ac:dyDescent="0.55000000000000004">
      <c r="B42" s="712" t="s">
        <v>3386</v>
      </c>
      <c r="C42" s="703" t="s">
        <v>3387</v>
      </c>
      <c r="D42" s="704">
        <v>0</v>
      </c>
      <c r="E42" s="704"/>
      <c r="F42" s="703"/>
      <c r="G42" s="703" t="s">
        <v>836</v>
      </c>
      <c r="H42" s="703"/>
      <c r="I42" s="713" t="s">
        <v>3388</v>
      </c>
    </row>
    <row r="43" spans="1:9" s="143" customFormat="1" ht="15.75" x14ac:dyDescent="0.45">
      <c r="B43" s="714" t="s">
        <v>3389</v>
      </c>
      <c r="C43" s="705" t="s">
        <v>3390</v>
      </c>
      <c r="D43" s="706">
        <v>0</v>
      </c>
      <c r="E43" s="706"/>
      <c r="F43" s="706"/>
      <c r="G43" s="705" t="s">
        <v>836</v>
      </c>
      <c r="H43" s="706"/>
      <c r="I43" s="715" t="s">
        <v>3391</v>
      </c>
    </row>
    <row r="44" spans="1:9" s="143" customFormat="1" ht="16.5" x14ac:dyDescent="0.55000000000000004">
      <c r="A44" s="128"/>
      <c r="B44" s="712" t="s">
        <v>3392</v>
      </c>
      <c r="C44" s="703" t="s">
        <v>3393</v>
      </c>
      <c r="D44" s="704">
        <v>15</v>
      </c>
      <c r="E44" s="704"/>
      <c r="F44" s="703"/>
      <c r="G44" s="703" t="s">
        <v>836</v>
      </c>
      <c r="H44" s="703"/>
      <c r="I44" s="713" t="s">
        <v>3394</v>
      </c>
    </row>
    <row r="45" spans="1:9" s="143" customFormat="1" ht="16.5" x14ac:dyDescent="0.55000000000000004">
      <c r="A45" s="128"/>
      <c r="B45" s="712" t="s">
        <v>3823</v>
      </c>
      <c r="C45" s="703" t="s">
        <v>3824</v>
      </c>
      <c r="D45" s="704">
        <v>15</v>
      </c>
      <c r="E45" s="704"/>
      <c r="F45" s="703"/>
      <c r="G45" s="703" t="s">
        <v>836</v>
      </c>
      <c r="H45" s="703"/>
      <c r="I45" s="713" t="s">
        <v>3827</v>
      </c>
    </row>
    <row r="46" spans="1:9" s="143" customFormat="1" ht="16.899999999999999" thickBot="1" x14ac:dyDescent="0.6">
      <c r="A46" s="128"/>
      <c r="B46" s="716" t="s">
        <v>3825</v>
      </c>
      <c r="C46" s="717" t="s">
        <v>3826</v>
      </c>
      <c r="D46" s="718">
        <v>15</v>
      </c>
      <c r="E46" s="718"/>
      <c r="F46" s="717"/>
      <c r="G46" s="717" t="s">
        <v>836</v>
      </c>
      <c r="H46" s="717"/>
      <c r="I46" s="719" t="s">
        <v>3828</v>
      </c>
    </row>
    <row r="47" spans="1:9" ht="14.65" thickBot="1" x14ac:dyDescent="0.5">
      <c r="B47"/>
      <c r="C47"/>
      <c r="D47"/>
      <c r="E47"/>
      <c r="F47"/>
      <c r="G47"/>
      <c r="H47"/>
      <c r="I47"/>
    </row>
    <row r="48" spans="1:9" ht="14.65" thickBot="1" x14ac:dyDescent="0.5">
      <c r="B48" s="165"/>
      <c r="C48" s="477" t="s">
        <v>786</v>
      </c>
      <c r="D48" s="165"/>
      <c r="E48" s="165"/>
      <c r="F48" s="165"/>
      <c r="G48" s="165"/>
      <c r="H48" s="165"/>
      <c r="I48" s="165"/>
    </row>
    <row r="49" spans="2:12" ht="14.65" thickBot="1" x14ac:dyDescent="0.5">
      <c r="B49" s="478" t="s">
        <v>0</v>
      </c>
      <c r="C49" s="479" t="s">
        <v>1</v>
      </c>
      <c r="D49" s="479" t="s">
        <v>152</v>
      </c>
      <c r="E49" s="480" t="s">
        <v>471</v>
      </c>
      <c r="F49" s="480" t="s">
        <v>472</v>
      </c>
      <c r="G49" s="479" t="s">
        <v>2</v>
      </c>
      <c r="H49" s="479" t="s">
        <v>300</v>
      </c>
      <c r="I49" s="481" t="s">
        <v>116</v>
      </c>
    </row>
    <row r="50" spans="2:12" s="113" customFormat="1" ht="28.5" x14ac:dyDescent="0.45">
      <c r="B50" s="513" t="s">
        <v>3429</v>
      </c>
      <c r="C50" s="514" t="s">
        <v>3431</v>
      </c>
      <c r="D50" s="515">
        <v>0</v>
      </c>
      <c r="E50" s="516">
        <v>0</v>
      </c>
      <c r="F50" s="516" t="s">
        <v>1256</v>
      </c>
      <c r="G50" s="506" t="s">
        <v>2037</v>
      </c>
      <c r="H50" s="516">
        <v>1</v>
      </c>
      <c r="I50" s="517" t="s">
        <v>3432</v>
      </c>
      <c r="J50" s="507" t="s">
        <v>3433</v>
      </c>
    </row>
    <row r="51" spans="2:12" s="113" customFormat="1" ht="28.5" x14ac:dyDescent="0.45">
      <c r="B51" s="513" t="s">
        <v>3430</v>
      </c>
      <c r="C51" s="514" t="s">
        <v>3434</v>
      </c>
      <c r="D51" s="515">
        <v>0</v>
      </c>
      <c r="E51" s="516">
        <v>0</v>
      </c>
      <c r="F51" s="516" t="s">
        <v>1256</v>
      </c>
      <c r="G51" s="506" t="s">
        <v>2037</v>
      </c>
      <c r="H51" s="516">
        <v>1</v>
      </c>
      <c r="I51" s="517" t="s">
        <v>3435</v>
      </c>
      <c r="J51" s="507" t="s">
        <v>3433</v>
      </c>
    </row>
    <row r="52" spans="2:12" ht="16.5" x14ac:dyDescent="0.55000000000000004">
      <c r="B52" s="483" t="s">
        <v>803</v>
      </c>
      <c r="C52" s="484" t="s">
        <v>802</v>
      </c>
      <c r="D52" s="448">
        <v>7.0000000000000001E-3</v>
      </c>
      <c r="E52" s="484"/>
      <c r="F52" s="484"/>
      <c r="G52" s="482" t="s">
        <v>1905</v>
      </c>
      <c r="H52" s="484"/>
      <c r="I52" s="420"/>
    </row>
    <row r="53" spans="2:12" s="128" customFormat="1" ht="15.75" x14ac:dyDescent="0.45">
      <c r="B53" s="372" t="s">
        <v>2498</v>
      </c>
      <c r="C53" s="485" t="s">
        <v>2499</v>
      </c>
      <c r="D53" s="486">
        <v>35</v>
      </c>
      <c r="E53" s="486"/>
      <c r="F53" s="486"/>
      <c r="G53" s="440" t="s">
        <v>1047</v>
      </c>
      <c r="H53" s="487"/>
      <c r="I53" s="373"/>
      <c r="J53" s="150"/>
      <c r="K53" s="150"/>
      <c r="L53" s="150"/>
    </row>
    <row r="54" spans="2:12" s="128" customFormat="1" ht="16.149999999999999" thickBot="1" x14ac:dyDescent="0.5">
      <c r="B54" s="374" t="s">
        <v>2500</v>
      </c>
      <c r="C54" s="488" t="s">
        <v>2501</v>
      </c>
      <c r="D54" s="423">
        <v>150</v>
      </c>
      <c r="E54" s="423"/>
      <c r="F54" s="423"/>
      <c r="G54" s="489" t="s">
        <v>1049</v>
      </c>
      <c r="H54" s="424"/>
      <c r="I54" s="125"/>
      <c r="J54" s="150"/>
      <c r="K54" s="150"/>
      <c r="L54" s="150"/>
    </row>
    <row r="55" spans="2:12" s="176" customFormat="1" ht="14.65" thickBot="1" x14ac:dyDescent="0.5">
      <c r="B55" s="148"/>
      <c r="C55" s="171"/>
      <c r="D55" s="172"/>
      <c r="E55" s="173"/>
      <c r="F55" s="174"/>
      <c r="G55" s="172"/>
      <c r="H55" s="172"/>
      <c r="I55" s="175"/>
    </row>
    <row r="56" spans="2:12" s="176" customFormat="1" ht="14.65" thickBot="1" x14ac:dyDescent="0.5">
      <c r="B56" s="148"/>
      <c r="C56" s="166" t="s">
        <v>1174</v>
      </c>
      <c r="D56" s="172"/>
      <c r="E56" s="173"/>
      <c r="F56" s="174"/>
      <c r="G56" s="172"/>
      <c r="H56" s="172"/>
      <c r="I56" s="175"/>
    </row>
    <row r="57" spans="2:12" s="176" customFormat="1" ht="14.65" thickBot="1" x14ac:dyDescent="0.5">
      <c r="B57" s="167" t="s">
        <v>0</v>
      </c>
      <c r="C57" s="168" t="s">
        <v>1</v>
      </c>
      <c r="D57" s="168" t="s">
        <v>152</v>
      </c>
      <c r="E57" s="169" t="s">
        <v>471</v>
      </c>
      <c r="F57" s="169" t="s">
        <v>472</v>
      </c>
      <c r="G57" s="168" t="s">
        <v>2</v>
      </c>
      <c r="H57" s="168" t="s">
        <v>300</v>
      </c>
      <c r="I57" s="170" t="s">
        <v>116</v>
      </c>
    </row>
    <row r="58" spans="2:12" s="176" customFormat="1" ht="14.65" thickBot="1" x14ac:dyDescent="0.5">
      <c r="B58" s="177" t="s">
        <v>792</v>
      </c>
      <c r="C58" s="178" t="s">
        <v>787</v>
      </c>
      <c r="D58" s="179" t="b">
        <v>0</v>
      </c>
      <c r="E58" s="178"/>
      <c r="F58" s="178"/>
      <c r="G58" s="178"/>
      <c r="H58" s="178"/>
      <c r="I58" s="180" t="s">
        <v>788</v>
      </c>
    </row>
    <row r="59" spans="2:12" s="176" customFormat="1" ht="14.65" thickBot="1" x14ac:dyDescent="0.5"/>
    <row r="60" spans="2:12" s="176" customFormat="1" ht="14.65" thickBot="1" x14ac:dyDescent="0.5">
      <c r="B60" s="181" t="s">
        <v>1175</v>
      </c>
      <c r="C60" s="166" t="s">
        <v>1176</v>
      </c>
      <c r="D60" s="165"/>
      <c r="E60" s="165"/>
      <c r="F60" s="165"/>
      <c r="G60" s="165"/>
      <c r="H60" s="165"/>
      <c r="I60" s="165"/>
    </row>
    <row r="61" spans="2:12" s="176" customFormat="1" ht="14.65" thickBot="1" x14ac:dyDescent="0.5">
      <c r="B61" s="258" t="s">
        <v>0</v>
      </c>
      <c r="C61" s="259" t="s">
        <v>1</v>
      </c>
      <c r="D61" s="259" t="s">
        <v>152</v>
      </c>
      <c r="E61" s="260" t="s">
        <v>471</v>
      </c>
      <c r="F61" s="260" t="s">
        <v>472</v>
      </c>
      <c r="G61" s="259" t="s">
        <v>2</v>
      </c>
      <c r="H61" s="259" t="s">
        <v>300</v>
      </c>
      <c r="I61" s="261" t="s">
        <v>116</v>
      </c>
    </row>
    <row r="62" spans="2:12" s="176" customFormat="1" x14ac:dyDescent="0.45">
      <c r="B62" s="2272" t="s">
        <v>1177</v>
      </c>
      <c r="C62" s="2273"/>
      <c r="D62" s="2273" t="b">
        <v>0</v>
      </c>
      <c r="E62" s="2273"/>
      <c r="F62" s="2273"/>
      <c r="G62" s="2273"/>
      <c r="H62" s="2273"/>
      <c r="I62" s="2274" t="s">
        <v>1178</v>
      </c>
    </row>
    <row r="63" spans="2:12" s="176" customFormat="1" x14ac:dyDescent="0.45">
      <c r="B63" s="2275" t="s">
        <v>1257</v>
      </c>
      <c r="C63" s="2276"/>
      <c r="D63" s="2276" t="b">
        <v>0</v>
      </c>
      <c r="E63" s="2276"/>
      <c r="F63" s="2276"/>
      <c r="G63" s="2276"/>
      <c r="H63" s="2276"/>
      <c r="I63" s="2277" t="s">
        <v>1178</v>
      </c>
    </row>
    <row r="64" spans="2:12" s="176" customFormat="1" x14ac:dyDescent="0.45">
      <c r="B64" s="2275" t="s">
        <v>11</v>
      </c>
      <c r="C64" s="2276"/>
      <c r="D64" s="2276" t="b">
        <v>1</v>
      </c>
      <c r="E64" s="2276"/>
      <c r="F64" s="2276"/>
      <c r="G64" s="2276"/>
      <c r="H64" s="2276"/>
      <c r="I64" s="2277" t="s">
        <v>1178</v>
      </c>
    </row>
    <row r="65" spans="2:9" s="176" customFormat="1" x14ac:dyDescent="0.45">
      <c r="B65" s="2275" t="s">
        <v>15</v>
      </c>
      <c r="C65" s="2276"/>
      <c r="D65" s="2276" t="b">
        <v>0</v>
      </c>
      <c r="E65" s="2276"/>
      <c r="F65" s="2276"/>
      <c r="G65" s="2276"/>
      <c r="H65" s="2276"/>
      <c r="I65" s="2277" t="s">
        <v>1178</v>
      </c>
    </row>
    <row r="66" spans="2:9" s="176" customFormat="1" x14ac:dyDescent="0.45">
      <c r="B66" s="2275" t="s">
        <v>5180</v>
      </c>
      <c r="C66" s="2276"/>
      <c r="D66" s="2276" t="b">
        <v>0</v>
      </c>
      <c r="E66" s="2276"/>
      <c r="F66" s="2276"/>
      <c r="G66" s="2276"/>
      <c r="H66" s="2276"/>
      <c r="I66" s="2277" t="s">
        <v>1178</v>
      </c>
    </row>
    <row r="67" spans="2:9" x14ac:dyDescent="0.45">
      <c r="B67" s="2275" t="s">
        <v>2135</v>
      </c>
      <c r="C67" s="2276"/>
      <c r="D67" s="2276" t="b">
        <v>1</v>
      </c>
      <c r="E67" s="2276"/>
      <c r="F67" s="2276"/>
      <c r="G67" s="2276"/>
      <c r="H67" s="2276"/>
      <c r="I67" s="2277" t="s">
        <v>1178</v>
      </c>
    </row>
    <row r="68" spans="2:9" x14ac:dyDescent="0.45">
      <c r="B68" s="2275" t="s">
        <v>331</v>
      </c>
      <c r="C68" s="2276"/>
      <c r="D68" s="2276" t="b">
        <v>1</v>
      </c>
      <c r="E68" s="2276"/>
      <c r="F68" s="2276"/>
      <c r="G68" s="2276"/>
      <c r="H68" s="2276"/>
      <c r="I68" s="2277" t="s">
        <v>1178</v>
      </c>
    </row>
    <row r="69" spans="2:9" x14ac:dyDescent="0.45">
      <c r="B69" s="2275" t="s">
        <v>1212</v>
      </c>
      <c r="C69" s="2278"/>
      <c r="D69" s="2276" t="b">
        <v>0</v>
      </c>
      <c r="E69" s="2278"/>
      <c r="F69" s="2278"/>
      <c r="G69" s="2278"/>
      <c r="H69" s="2278"/>
      <c r="I69" s="2277" t="s">
        <v>1178</v>
      </c>
    </row>
    <row r="70" spans="2:9" x14ac:dyDescent="0.45">
      <c r="B70" s="2275" t="s">
        <v>1611</v>
      </c>
      <c r="C70" s="2278"/>
      <c r="D70" s="2276" t="b">
        <v>0</v>
      </c>
      <c r="E70" s="2278"/>
      <c r="F70" s="2278"/>
      <c r="G70" s="2278"/>
      <c r="H70" s="2278"/>
      <c r="I70" s="2277" t="s">
        <v>1178</v>
      </c>
    </row>
    <row r="71" spans="2:9" x14ac:dyDescent="0.45">
      <c r="B71" s="2275" t="s">
        <v>1622</v>
      </c>
      <c r="C71" s="2276"/>
      <c r="D71" s="2276" t="b">
        <v>1</v>
      </c>
      <c r="E71" s="2276"/>
      <c r="F71" s="2276"/>
      <c r="G71" s="2276"/>
      <c r="H71" s="2276"/>
      <c r="I71" s="2277" t="s">
        <v>1178</v>
      </c>
    </row>
    <row r="72" spans="2:9" x14ac:dyDescent="0.45">
      <c r="B72" s="2275" t="s">
        <v>5181</v>
      </c>
      <c r="C72" s="2276"/>
      <c r="D72" s="2276" t="b">
        <v>1</v>
      </c>
      <c r="E72" s="2276"/>
      <c r="F72" s="2276"/>
      <c r="G72" s="2276"/>
      <c r="H72" s="2276"/>
      <c r="I72" s="2277" t="s">
        <v>1178</v>
      </c>
    </row>
    <row r="73" spans="2:9" x14ac:dyDescent="0.45">
      <c r="B73" s="2275" t="s">
        <v>5182</v>
      </c>
      <c r="C73" s="2276"/>
      <c r="D73" s="2276" t="b">
        <v>0</v>
      </c>
      <c r="E73" s="2276"/>
      <c r="F73" s="2276"/>
      <c r="G73" s="2276"/>
      <c r="H73" s="2276"/>
      <c r="I73" s="2277" t="s">
        <v>1178</v>
      </c>
    </row>
    <row r="74" spans="2:9" x14ac:dyDescent="0.45">
      <c r="B74" s="2275" t="s">
        <v>5183</v>
      </c>
      <c r="C74" s="2276"/>
      <c r="D74" s="2276" t="b">
        <v>0</v>
      </c>
      <c r="E74" s="2276"/>
      <c r="F74" s="2276"/>
      <c r="G74" s="2276"/>
      <c r="H74" s="2276"/>
      <c r="I74" s="2277" t="s">
        <v>1178</v>
      </c>
    </row>
    <row r="75" spans="2:9" x14ac:dyDescent="0.45">
      <c r="B75" s="2275" t="s">
        <v>5184</v>
      </c>
      <c r="C75" s="2276"/>
      <c r="D75" s="2276" t="b">
        <v>0</v>
      </c>
      <c r="E75" s="2276"/>
      <c r="F75" s="2276"/>
      <c r="G75" s="2276"/>
      <c r="H75" s="2276"/>
      <c r="I75" s="2277" t="s">
        <v>1178</v>
      </c>
    </row>
    <row r="76" spans="2:9" x14ac:dyDescent="0.45">
      <c r="B76" s="2275" t="s">
        <v>5185</v>
      </c>
      <c r="C76" s="2276"/>
      <c r="D76" s="2276" t="b">
        <v>0</v>
      </c>
      <c r="E76" s="2276"/>
      <c r="F76" s="2276"/>
      <c r="G76" s="2276"/>
      <c r="H76" s="2276"/>
      <c r="I76" s="2277" t="s">
        <v>1178</v>
      </c>
    </row>
    <row r="77" spans="2:9" x14ac:dyDescent="0.45">
      <c r="B77" s="2275" t="s">
        <v>4718</v>
      </c>
      <c r="C77" s="2276"/>
      <c r="D77" s="2276" t="b">
        <v>0</v>
      </c>
      <c r="E77" s="2276"/>
      <c r="F77" s="2276"/>
      <c r="G77" s="2276"/>
      <c r="H77" s="2276"/>
      <c r="I77" s="2277" t="s">
        <v>1178</v>
      </c>
    </row>
    <row r="78" spans="2:9" x14ac:dyDescent="0.45">
      <c r="B78" s="2275" t="s">
        <v>5186</v>
      </c>
      <c r="C78" s="2276"/>
      <c r="D78" s="2276" t="b">
        <v>0</v>
      </c>
      <c r="E78" s="2276"/>
      <c r="F78" s="2276"/>
      <c r="G78" s="2276"/>
      <c r="H78" s="2276"/>
      <c r="I78" s="2277" t="s">
        <v>1178</v>
      </c>
    </row>
    <row r="79" spans="2:9" x14ac:dyDescent="0.45">
      <c r="B79" s="2275" t="s">
        <v>4719</v>
      </c>
      <c r="C79" s="2276"/>
      <c r="D79" s="2276" t="b">
        <v>0</v>
      </c>
      <c r="E79" s="2276"/>
      <c r="F79" s="2276"/>
      <c r="G79" s="2276"/>
      <c r="H79" s="2276"/>
      <c r="I79" s="2277" t="s">
        <v>1178</v>
      </c>
    </row>
    <row r="80" spans="2:9" ht="14.65" thickBot="1" x14ac:dyDescent="0.5">
      <c r="B80" s="2279" t="s">
        <v>4721</v>
      </c>
      <c r="C80" s="2280"/>
      <c r="D80" s="2280" t="b">
        <v>0</v>
      </c>
      <c r="E80" s="2280"/>
      <c r="F80" s="2280"/>
      <c r="G80" s="2280"/>
      <c r="H80" s="2280"/>
      <c r="I80" s="2281" t="s">
        <v>1178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14656</vt:i4>
      </vt:variant>
    </vt:vector>
  </HeadingPairs>
  <TitlesOfParts>
    <vt:vector size="14672" baseType="lpstr">
      <vt:lpstr>Help</vt:lpstr>
      <vt:lpstr>Parameters</vt:lpstr>
      <vt:lpstr>PU parameters</vt:lpstr>
      <vt:lpstr>Model</vt:lpstr>
      <vt:lpstr>pH</vt:lpstr>
      <vt:lpstr>Species</vt:lpstr>
      <vt:lpstr>Tableau</vt:lpstr>
      <vt:lpstr>Components</vt:lpstr>
      <vt:lpstr>Algebraic model</vt:lpstr>
      <vt:lpstr>Expert knowledge</vt:lpstr>
      <vt:lpstr>Calculated variables</vt:lpstr>
      <vt:lpstr>systemcode_constants</vt:lpstr>
      <vt:lpstr>Functions</vt:lpstr>
      <vt:lpstr>Code</vt:lpstr>
      <vt:lpstr>systemcode_functions</vt:lpstr>
      <vt:lpstr>other parameters</vt:lpstr>
      <vt:lpstr>µ_AMETO</vt:lpstr>
      <vt:lpstr>µ_AMETO_T</vt:lpstr>
      <vt:lpstr>µ_AMX</vt:lpstr>
      <vt:lpstr>µ_AMX_T</vt:lpstr>
      <vt:lpstr>µ_AOB</vt:lpstr>
      <vt:lpstr>µ_AOB_T</vt:lpstr>
      <vt:lpstr>µ_ASRO</vt:lpstr>
      <vt:lpstr>µ_ASRO_T</vt:lpstr>
      <vt:lpstr>µ_CASTO</vt:lpstr>
      <vt:lpstr>µ_CASTO_T</vt:lpstr>
      <vt:lpstr>µ_FERM_OHO</vt:lpstr>
      <vt:lpstr>µ_FERM_OHO_T</vt:lpstr>
      <vt:lpstr>µ_FERM_PAO</vt:lpstr>
      <vt:lpstr>µ_FERM_PAO_T</vt:lpstr>
      <vt:lpstr>µ_HMETO</vt:lpstr>
      <vt:lpstr>µ_HMETO_T</vt:lpstr>
      <vt:lpstr>µ_HSRO</vt:lpstr>
      <vt:lpstr>µ_HSRO_T</vt:lpstr>
      <vt:lpstr>µ_MEOLO</vt:lpstr>
      <vt:lpstr>µ_MEOLO_T</vt:lpstr>
      <vt:lpstr>µ_MOB</vt:lpstr>
      <vt:lpstr>µ_MOB_T</vt:lpstr>
      <vt:lpstr>µ_NOB</vt:lpstr>
      <vt:lpstr>µ_NOB_T</vt:lpstr>
      <vt:lpstr>µ_OHO</vt:lpstr>
      <vt:lpstr>µ_OHO_T</vt:lpstr>
      <vt:lpstr>µ_PAO_lim</vt:lpstr>
      <vt:lpstr>µ_PAO_lim_T</vt:lpstr>
      <vt:lpstr>µ_SOO_H2S</vt:lpstr>
      <vt:lpstr>µ_SOO_H2S_T</vt:lpstr>
      <vt:lpstr>µ_SOO_S</vt:lpstr>
      <vt:lpstr>µ_SOO_S_T</vt:lpstr>
      <vt:lpstr>A_Davies</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A_MCs</vt:lpstr>
      <vt:lpstr>A_MCu</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A_SFHAO_H</vt:lpstr>
      <vt:lpstr>A_SFHAO_L</vt:lpstr>
      <vt:lpstr>A_SFHFO_H</vt:lpstr>
      <vt:lpstr>A_SFHFO_L</vt:lpstr>
      <vt:lpstr>A_UR</vt:lpstr>
      <vt:lpstr>actferm_PAO_ORP</vt:lpstr>
      <vt:lpstr>actGAO</vt:lpstr>
      <vt:lpstr>actPAO</vt:lpstr>
      <vt:lpstr>actsto_GAO_ORP</vt:lpstr>
      <vt:lpstr>actsto_PAO_ORP</vt:lpstr>
      <vt:lpstr>b_AMETO</vt:lpstr>
      <vt:lpstr>b_AMETO_T</vt:lpstr>
      <vt:lpstr>b_AMX</vt:lpstr>
      <vt:lpstr>b_AMX_T</vt:lpstr>
      <vt:lpstr>b_AOB</vt:lpstr>
      <vt:lpstr>b_AOB_T</vt:lpstr>
      <vt:lpstr>b_ASRO</vt:lpstr>
      <vt:lpstr>b_ASRO_T</vt:lpstr>
      <vt:lpstr>b_CASTO</vt:lpstr>
      <vt:lpstr>b_CASTO_T</vt:lpstr>
      <vt:lpstr>B_ellinhpH</vt:lpstr>
      <vt:lpstr>B_ellinhpH_AMETO</vt:lpstr>
      <vt:lpstr>B_ellinhpH_HMETO</vt:lpstr>
      <vt:lpstr>B_H2O</vt:lpstr>
      <vt:lpstr>b_HMETO</vt:lpstr>
      <vt:lpstr>b_HMETO_T</vt:lpstr>
      <vt:lpstr>b_HSRO</vt:lpstr>
      <vt:lpstr>b_HSRO_T</vt:lpstr>
      <vt:lpstr>b_MEOLO</vt:lpstr>
      <vt:lpstr>b_MEOLO_T</vt:lpstr>
      <vt:lpstr>b_MOB</vt:lpstr>
      <vt:lpstr>b_MOB_T</vt:lpstr>
      <vt:lpstr>b_NOB</vt:lpstr>
      <vt:lpstr>b_NOB_T</vt:lpstr>
      <vt:lpstr>b_OHO</vt:lpstr>
      <vt:lpstr>b_OHO_T</vt:lpstr>
      <vt:lpstr>b_PP_ana</vt:lpstr>
      <vt:lpstr>b_PP_ana_T</vt:lpstr>
      <vt:lpstr>b_SOO</vt:lpstr>
      <vt:lpstr>b_SOO_T</vt:lpstr>
      <vt:lpstr>b_STC</vt:lpstr>
      <vt:lpstr>b_STC_T</vt:lpstr>
      <vt:lpstr>C_B</vt:lpstr>
      <vt:lpstr>c_cm_m</vt:lpstr>
      <vt:lpstr>c_cm2_m2</vt:lpstr>
      <vt:lpstr>c_cm3_m3</vt:lpstr>
      <vt:lpstr>c_d_mon</vt:lpstr>
      <vt:lpstr>c_d_w</vt:lpstr>
      <vt:lpstr>c_d_y</vt:lpstr>
      <vt:lpstr>c_ft_m</vt:lpstr>
      <vt:lpstr>c_ft2_m2</vt:lpstr>
      <vt:lpstr>c_ft3_m3</vt:lpstr>
      <vt:lpstr>c_g_kg</vt:lpstr>
      <vt:lpstr>c_G_m3</vt:lpstr>
      <vt:lpstr>c_g_ton</vt:lpstr>
      <vt:lpstr>c_h_d</vt:lpstr>
      <vt:lpstr>C_H2O</vt:lpstr>
      <vt:lpstr>c_hargebalance</vt:lpstr>
      <vt:lpstr>c_hargebalanceerror</vt:lpstr>
      <vt:lpstr>c_kJ_MJ</vt:lpstr>
      <vt:lpstr>c_L_m3</vt:lpstr>
      <vt:lpstr>c_lbs_g</vt:lpstr>
      <vt:lpstr>c_mg_g</vt:lpstr>
      <vt:lpstr>c_MG_m3</vt:lpstr>
      <vt:lpstr>c_micron_m</vt:lpstr>
      <vt:lpstr>c_min_d</vt:lpstr>
      <vt:lpstr>c_min_h</vt:lpstr>
      <vt:lpstr>c_mm_m</vt:lpstr>
      <vt:lpstr>c_mmol_mol</vt:lpstr>
      <vt:lpstr>c_ms_d</vt:lpstr>
      <vt:lpstr>c_ms_h</vt:lpstr>
      <vt:lpstr>c_ms_min</vt:lpstr>
      <vt:lpstr>c_ms_s</vt:lpstr>
      <vt:lpstr>c_oeffdamp_ALPHA</vt:lpstr>
      <vt:lpstr>c_oefflead_TSS_α_mech</vt:lpstr>
      <vt:lpstr>c_oefflin_TSS_α_mech</vt:lpstr>
      <vt:lpstr>c_onstTSS_α_mech</vt:lpstr>
      <vt:lpstr>c_orrTSS_α</vt:lpstr>
      <vt:lpstr>C_OUR</vt:lpstr>
      <vt:lpstr>c_p_water</vt:lpstr>
      <vt:lpstr>c_Pa_bar</vt:lpstr>
      <vt:lpstr>c_Pa_Hgmm</vt:lpstr>
      <vt:lpstr>c_Pa_mbar</vt:lpstr>
      <vt:lpstr>c_Pa_MPa</vt:lpstr>
      <vt:lpstr>c_percent_fraction</vt:lpstr>
      <vt:lpstr>c_percent_Vconc</vt:lpstr>
      <vt:lpstr>c_ppm_Vconc</vt:lpstr>
      <vt:lpstr>c_s_d</vt:lpstr>
      <vt:lpstr>c_s_h</vt:lpstr>
      <vt:lpstr>c_s_min</vt:lpstr>
      <vt:lpstr>C_U</vt:lpstr>
      <vt:lpstr>c_W_kW</vt:lpstr>
      <vt:lpstr>conc_Acm_I</vt:lpstr>
      <vt:lpstr>conc_Acm_Ieq</vt:lpstr>
      <vt:lpstr>conc_ANm_I</vt:lpstr>
      <vt:lpstr>conc_Ca2p_I</vt:lpstr>
      <vt:lpstr>conc_CATp_I</vt:lpstr>
      <vt:lpstr>conc_CO32m_I</vt:lpstr>
      <vt:lpstr>conc_Fe2p_I</vt:lpstr>
      <vt:lpstr>conc_H2CO3_I</vt:lpstr>
      <vt:lpstr>conc_H2PO4m_I</vt:lpstr>
      <vt:lpstr>conc_H2PO4m_Ieq</vt:lpstr>
      <vt:lpstr>conc_H2S_I</vt:lpstr>
      <vt:lpstr>conc_H2SO4_I</vt:lpstr>
      <vt:lpstr>conc_H3PO4_I</vt:lpstr>
      <vt:lpstr>conc_HAc_I</vt:lpstr>
      <vt:lpstr>conc_HCO3m_I</vt:lpstr>
      <vt:lpstr>conc_HNO2_I</vt:lpstr>
      <vt:lpstr>conc_Hp_I</vt:lpstr>
      <vt:lpstr>conc_Hp_Ieq</vt:lpstr>
      <vt:lpstr>conc_HPO42m_I</vt:lpstr>
      <vt:lpstr>conc_HPO42m_Ieq</vt:lpstr>
      <vt:lpstr>conc_HSm_I</vt:lpstr>
      <vt:lpstr>conc_HSm_Ieq</vt:lpstr>
      <vt:lpstr>conc_HSO4m_I</vt:lpstr>
      <vt:lpstr>conc_Kp_I</vt:lpstr>
      <vt:lpstr>conc_Mg2p_I</vt:lpstr>
      <vt:lpstr>conc_NH3_I</vt:lpstr>
      <vt:lpstr>conc_NH4p_I</vt:lpstr>
      <vt:lpstr>conc_NO2m_I</vt:lpstr>
      <vt:lpstr>conc_NO2m_Ieq</vt:lpstr>
      <vt:lpstr>conc_NO3m_I</vt:lpstr>
      <vt:lpstr>conc_OHm_I</vt:lpstr>
      <vt:lpstr>conc_PO43m_I</vt:lpstr>
      <vt:lpstr>conc_S2m_I</vt:lpstr>
      <vt:lpstr>conc_SO42m_I</vt:lpstr>
      <vt:lpstr>d_ampALPHA</vt:lpstr>
      <vt:lpstr>D_CB</vt:lpstr>
      <vt:lpstr>D_CU</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d_Hdiss_But</vt:lpstr>
      <vt:lpstr>d_Hdiss_CO2_1</vt:lpstr>
      <vt:lpstr>d_Hdiss_CO2_2</vt:lpstr>
      <vt:lpstr>d_Hdiss_H2O</vt:lpstr>
      <vt:lpstr>d_Hdiss_NO2</vt:lpstr>
      <vt:lpstr>d_Hdiss_PO4_1</vt:lpstr>
      <vt:lpstr>d_Hdiss_PO4_2</vt:lpstr>
      <vt:lpstr>d_Hdiss_PO4_3</vt:lpstr>
      <vt:lpstr>d_Hdiss_Prop</vt:lpstr>
      <vt:lpstr>d_Hdiss_S_1</vt:lpstr>
      <vt:lpstr>d_Hdiss_S_2</vt:lpstr>
      <vt:lpstr>d_Hdiss_SO4_1</vt:lpstr>
      <vt:lpstr>d_Hdiss_SO4_2</vt:lpstr>
      <vt:lpstr>d_Hdiss_Val</vt:lpstr>
      <vt:lpstr>d_Hdiss_VFA</vt:lpstr>
      <vt:lpstr>d_Hion_amm</vt:lpstr>
      <vt:lpstr>d_HMgCO3</vt:lpstr>
      <vt:lpstr>d_HMgH2PO4p</vt:lpstr>
      <vt:lpstr>d_HMgHCO3p</vt:lpstr>
      <vt:lpstr>d_HMgHPO4</vt:lpstr>
      <vt:lpstr>d_HMgOHp</vt:lpstr>
      <vt:lpstr>d_HMgPO4m</vt:lpstr>
      <vt:lpstr>d_HNaHPO4m</vt:lpstr>
      <vt:lpstr>D_NBS</vt:lpstr>
      <vt:lpstr>D_NH3</vt:lpstr>
      <vt:lpstr>D_NO3</vt:lpstr>
      <vt:lpstr>D_NUS</vt:lpstr>
      <vt:lpstr>D_PO4</vt:lpstr>
      <vt:lpstr>D_SA</vt:lpstr>
      <vt:lpstr>D_SALK</vt:lpstr>
      <vt:lpstr>D_SALPHA</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D_SHCO</vt:lpstr>
      <vt:lpstr>D_SI</vt:lpstr>
      <vt:lpstr>D_SK</vt:lpstr>
      <vt:lpstr>D_SMEOL</vt:lpstr>
      <vt:lpstr>D_SMg</vt:lpstr>
      <vt:lpstr>D_SMM_index</vt:lpstr>
      <vt:lpstr>D_SN_B</vt:lpstr>
      <vt:lpstr>D_SN2</vt:lpstr>
      <vt:lpstr>D_SN2O</vt:lpstr>
      <vt:lpstr>D_SND</vt:lpstr>
      <vt:lpstr>D_SNH</vt:lpstr>
      <vt:lpstr>D_SNH2OH</vt:lpstr>
      <vt:lpstr>D_SNH4</vt:lpstr>
      <vt:lpstr>D_SNHx</vt:lpstr>
      <vt:lpstr>D_SNO</vt:lpstr>
      <vt:lpstr>D_SNO2</vt:lpstr>
      <vt:lpstr>D_SNO3</vt:lpstr>
      <vt:lpstr>D_SNOx</vt:lpstr>
      <vt:lpstr>D_SO</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E_EQNH2OH</vt:lpstr>
      <vt:lpstr>E_EQNH2OH_NO</vt:lpstr>
      <vt:lpstr>E_EQNO</vt:lpstr>
      <vt:lpstr>E_EQNO_NO2</vt:lpstr>
      <vt:lpstr>E_EQNO2</vt:lpstr>
      <vt:lpstr>E_EQNO2_NO3</vt:lpstr>
      <vt:lpstr>E_EQNO3</vt:lpstr>
      <vt:lpstr>E_EQS</vt:lpstr>
      <vt:lpstr>e_rrorNHx_NOx</vt:lpstr>
      <vt:lpstr>F__</vt:lpstr>
      <vt:lpstr>f_Ar_air</vt:lpstr>
      <vt:lpstr>f_bw_floc</vt:lpstr>
      <vt:lpstr>f_C_BOD5_BODult</vt:lpstr>
      <vt:lpstr>f_CO2_air</vt:lpstr>
      <vt:lpstr>f_di</vt:lpstr>
      <vt:lpstr>f_di_IS_an</vt:lpstr>
      <vt:lpstr>f_di_IS_cat</vt:lpstr>
      <vt:lpstr>f_di_ISlim</vt:lpstr>
      <vt:lpstr>f_E</vt:lpstr>
      <vt:lpstr>f_H2O_HAO_TSS</vt:lpstr>
      <vt:lpstr>f_H2O_HAO_VSS</vt:lpstr>
      <vt:lpstr>f_H2O_HFO_TSS</vt:lpstr>
      <vt:lpstr>f_H2O_HFO_VSS</vt:lpstr>
      <vt:lpstr>f_kL_GCH4</vt:lpstr>
      <vt:lpstr>f_kL_GCO2</vt:lpstr>
      <vt:lpstr>f_kL_GH2</vt:lpstr>
      <vt:lpstr>f_kL_GH2S</vt:lpstr>
      <vt:lpstr>f_kL_GN2</vt:lpstr>
      <vt:lpstr>f_kL_GN2O</vt:lpstr>
      <vt:lpstr>f_kL_GNH3</vt:lpstr>
      <vt:lpstr>f_kL_GNO</vt:lpstr>
      <vt:lpstr>f_KS</vt:lpstr>
      <vt:lpstr>f_KS_biofilm</vt:lpstr>
      <vt:lpstr>f_mono</vt:lpstr>
      <vt:lpstr>f_mono_IS_an</vt:lpstr>
      <vt:lpstr>f_mono_IS_cat</vt:lpstr>
      <vt:lpstr>f_mono_ISlim</vt:lpstr>
      <vt:lpstr>f_N2_air</vt:lpstr>
      <vt:lpstr>f_Na</vt:lpstr>
      <vt:lpstr>f_O2_air</vt:lpstr>
      <vt:lpstr>f_P_VFA</vt:lpstr>
      <vt:lpstr>f_S_BOD5_BODult</vt:lpstr>
      <vt:lpstr>f_SO2_max_ALPHA</vt:lpstr>
      <vt:lpstr>f_TOC_1</vt:lpstr>
      <vt:lpstr>f_TOC_2</vt:lpstr>
      <vt:lpstr>f_tri</vt:lpstr>
      <vt:lpstr>f_tri_IS_an</vt:lpstr>
      <vt:lpstr>f_tri_IS_cat</vt:lpstr>
      <vt:lpstr>f_tri_ISlim</vt:lpstr>
      <vt:lpstr>f_VFA_DM</vt:lpstr>
      <vt:lpstr>f_X_BOD5_BODult</vt:lpstr>
      <vt:lpstr>G_CH4</vt:lpstr>
      <vt:lpstr>G_CH4_atm</vt:lpstr>
      <vt:lpstr>G_CO2</vt:lpstr>
      <vt:lpstr>G_CO2_atm</vt:lpstr>
      <vt:lpstr>g_grav</vt:lpstr>
      <vt:lpstr>G_H2</vt:lpstr>
      <vt:lpstr>G_H2_atm</vt:lpstr>
      <vt:lpstr>G_H2S</vt:lpstr>
      <vt:lpstr>G_H2S_atm</vt:lpstr>
      <vt:lpstr>G_H2S_odor_lim</vt:lpstr>
      <vt:lpstr>G_N2</vt:lpstr>
      <vt:lpstr>G_N2_atm</vt:lpstr>
      <vt:lpstr>G_N2O</vt:lpstr>
      <vt:lpstr>G_N2O_atm</vt:lpstr>
      <vt:lpstr>G_NH3</vt:lpstr>
      <vt:lpstr>G_NH3_atm</vt:lpstr>
      <vt:lpstr>G_NO</vt:lpstr>
      <vt:lpstr>G_NO_atm</vt:lpstr>
      <vt:lpstr>G_O2</vt:lpstr>
      <vt:lpstr>G_O2_atm</vt:lpstr>
      <vt:lpstr>H__</vt:lpstr>
      <vt:lpstr>H_Acm</vt:lpstr>
      <vt:lpstr>H_Ca2p</vt:lpstr>
      <vt:lpstr>H_CO32m</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H_OHm</vt:lpstr>
      <vt:lpstr>H_PO43m</vt:lpstr>
      <vt:lpstr>H_S2m</vt:lpstr>
      <vt:lpstr>H_satSH2S_KH2S_SOO</vt:lpstr>
      <vt:lpstr>H_satSNO_KNO_OHO</vt:lpstr>
      <vt:lpstr>H_satSVFA_AMETO</vt:lpstr>
      <vt:lpstr>H_SO42m</vt:lpstr>
      <vt:lpstr>H_STP</vt:lpstr>
      <vt:lpstr>i_Ca_INORG</vt:lpstr>
      <vt:lpstr>i_Ca_PP</vt:lpstr>
      <vt:lpstr>i_CIT_BIO</vt:lpstr>
      <vt:lpstr>i_CIT_CH4</vt:lpstr>
      <vt:lpstr>i_CIT_GLY</vt:lpstr>
      <vt:lpstr>i_CIT_MEOL</vt:lpstr>
      <vt:lpstr>i_CIT_PHA</vt:lpstr>
      <vt:lpstr>i_CIT_SB</vt:lpstr>
      <vt:lpstr>i_CIT_STC</vt:lpstr>
      <vt:lpstr>i_CIT_VFA</vt:lpstr>
      <vt:lpstr>i_CV_BIO</vt:lpstr>
      <vt:lpstr>i_CV_CB</vt:lpstr>
      <vt:lpstr>i_CV_CU</vt:lpstr>
      <vt:lpstr>i_CV_GLY</vt:lpstr>
      <vt:lpstr>i_CV_MEOL</vt:lpstr>
      <vt:lpstr>i_CV_PHA</vt:lpstr>
      <vt:lpstr>i_CV_SB</vt:lpstr>
      <vt:lpstr>i_CV_SU</vt:lpstr>
      <vt:lpstr>i_CV_VFA</vt:lpstr>
      <vt:lpstr>i_CV_XB</vt:lpstr>
      <vt:lpstr>i_CV_XE</vt:lpstr>
      <vt:lpstr>i_CV_XU</vt:lpstr>
      <vt:lpstr>i_INORG</vt:lpstr>
      <vt:lpstr>i_iw_BIO</vt:lpstr>
      <vt:lpstr>i_K_PP</vt:lpstr>
      <vt:lpstr>i_Mg_INORG</vt:lpstr>
      <vt:lpstr>i_Mg_PP</vt:lpstr>
      <vt:lpstr>i_N_BIO</vt:lpstr>
      <vt:lpstr>i_N_CB</vt:lpstr>
      <vt:lpstr>i_N_CU</vt:lpstr>
      <vt:lpstr>i_N_SU</vt:lpstr>
      <vt:lpstr>i_N_XE</vt:lpstr>
      <vt:lpstr>i_N_XSTR</vt:lpstr>
      <vt:lpstr>i_P_BIO</vt:lpstr>
      <vt:lpstr>i_P_CB</vt:lpstr>
      <vt:lpstr>i_P_CU</vt:lpstr>
      <vt:lpstr>i_P_SU</vt:lpstr>
      <vt:lpstr>i_P_XACP</vt:lpstr>
      <vt:lpstr>i_P_XBSH</vt:lpstr>
      <vt:lpstr>i_P_XSTR</vt:lpstr>
      <vt:lpstr>i_P_XVivi</vt:lpstr>
      <vt:lpstr>I_S</vt:lpstr>
      <vt:lpstr>i_S_BIO</vt:lpstr>
      <vt:lpstr>i_S_CB</vt:lpstr>
      <vt:lpstr>i_S_CU</vt:lpstr>
      <vt:lpstr>i_S_FeS</vt:lpstr>
      <vt:lpstr>i_S_SB</vt:lpstr>
      <vt:lpstr>i_S_SU</vt:lpstr>
      <vt:lpstr>i_S_XB</vt:lpstr>
      <vt:lpstr>i_S_XU</vt:lpstr>
      <vt:lpstr>I_Scalc</vt:lpstr>
      <vt:lpstr>I_Serror</vt:lpstr>
      <vt:lpstr>I_Sinput_AS</vt:lpstr>
      <vt:lpstr>I_Sinput_DIG</vt:lpstr>
      <vt:lpstr>I_Sinput_sidestream</vt:lpstr>
      <vt:lpstr>I_Slim</vt:lpstr>
      <vt:lpstr>i_TSS_PP</vt:lpstr>
      <vt:lpstr>i_vw_BIO</vt:lpstr>
      <vt:lpstr>i_vw_CB</vt:lpstr>
      <vt:lpstr>i_vw_CU</vt:lpstr>
      <vt:lpstr>i_vw_EPS</vt:lpstr>
      <vt:lpstr>i_vw_GLY</vt:lpstr>
      <vt:lpstr>i_vw_PHA</vt:lpstr>
      <vt:lpstr>i_vw_XB</vt:lpstr>
      <vt:lpstr>i_vw_XE</vt:lpstr>
      <vt:lpstr>i_vw_XU</vt:lpstr>
      <vt:lpstr>i_wh_BIO</vt:lpstr>
      <vt:lpstr>i_wh_EPS</vt:lpstr>
      <vt:lpstr>i_wh_GLY</vt:lpstr>
      <vt:lpstr>i_wh_PHA</vt:lpstr>
      <vt:lpstr>i_wh_XB</vt:lpstr>
      <vt:lpstr>i_wh_XE</vt:lpstr>
      <vt:lpstr>i_wh_XU</vt:lpstr>
      <vt:lpstr>K_Ac</vt:lpstr>
      <vt:lpstr>K_Ac_param</vt:lpstr>
      <vt:lpstr>K_Ac_T</vt:lpstr>
      <vt:lpstr>K_ACP_DISS</vt:lpstr>
      <vt:lpstr>K_AN</vt:lpstr>
      <vt:lpstr>K_AN_AS</vt:lpstr>
      <vt:lpstr>K_BSH_DISS</vt:lpstr>
      <vt:lpstr>K_But_param</vt:lpstr>
      <vt:lpstr>K_C1</vt:lpstr>
      <vt:lpstr>K_C1_param</vt:lpstr>
      <vt:lpstr>K_C1_T</vt:lpstr>
      <vt:lpstr>K_C2</vt:lpstr>
      <vt:lpstr>K_C2_param</vt:lpstr>
      <vt:lpstr>K_C2_T</vt:lpstr>
      <vt:lpstr>K_Ca_BIO</vt:lpstr>
      <vt:lpstr>K_Ca_BIO_AS</vt:lpstr>
      <vt:lpstr>K_Ca_PAO</vt:lpstr>
      <vt:lpstr>K_Ca_PAO_AS</vt:lpstr>
      <vt:lpstr>K_CaCO3_DISS</vt:lpstr>
      <vt:lpstr>K_CAT</vt:lpstr>
      <vt:lpstr>K_CAT_AS</vt:lpstr>
      <vt:lpstr>K_CH4_MOB</vt:lpstr>
      <vt:lpstr>K_CO2_AMX_AS</vt:lpstr>
      <vt:lpstr>K_CO2_AMX_pH</vt:lpstr>
      <vt:lpstr>K_CO2_AMX_pH_AS</vt:lpstr>
      <vt:lpstr>K_CO2_AOB_AS</vt:lpstr>
      <vt:lpstr>K_CO2_AOB_pH</vt:lpstr>
      <vt:lpstr>K_CO2_AOB_pH_AS</vt:lpstr>
      <vt:lpstr>K_CO2_AOB_pH_sidestream</vt:lpstr>
      <vt:lpstr>K_CO2_AOB_sidestream</vt:lpstr>
      <vt:lpstr>K_CO2_BIO</vt:lpstr>
      <vt:lpstr>K_CO2_BIO_AS</vt:lpstr>
      <vt:lpstr>K_CO2_NOB_AS</vt:lpstr>
      <vt:lpstr>K_CO2_NOB_pH</vt:lpstr>
      <vt:lpstr>K_CO2_NOB_pH_AS</vt:lpstr>
      <vt:lpstr>K_FeS_DISS</vt:lpstr>
      <vt:lpstr>K_FLOC</vt:lpstr>
      <vt:lpstr>K_FLOC_AS</vt:lpstr>
      <vt:lpstr>K_GLY</vt:lpstr>
      <vt:lpstr>K_H2_HMETO</vt:lpstr>
      <vt:lpstr>K_H2_HMETO_AS</vt:lpstr>
      <vt:lpstr>K_H2_HSRO</vt:lpstr>
      <vt:lpstr>K_H2_HSRO_AS</vt:lpstr>
      <vt:lpstr>K_H2S_ASSIM</vt:lpstr>
      <vt:lpstr>K_H2S_ASSIM_AS</vt:lpstr>
      <vt:lpstr>K_H2S_param</vt:lpstr>
      <vt:lpstr>K_H2S_SOO</vt:lpstr>
      <vt:lpstr>K_H2S_SOO_AS</vt:lpstr>
      <vt:lpstr>K_HNO2_AOB</vt:lpstr>
      <vt:lpstr>K_HNO2_AOB_AS</vt:lpstr>
      <vt:lpstr>K_HYD</vt:lpstr>
      <vt:lpstr>K_HYD_AS</vt:lpstr>
      <vt:lpstr>K_iGLY_GAO_max</vt:lpstr>
      <vt:lpstr>K_iH2S_ASRO</vt:lpstr>
      <vt:lpstr>K_iH2S_ASRO_AS</vt:lpstr>
      <vt:lpstr>K_iH2S_HSRO</vt:lpstr>
      <vt:lpstr>K_iH2S_HSRO_AS</vt:lpstr>
      <vt:lpstr>K_iH2S_SOO</vt:lpstr>
      <vt:lpstr>K_iH2S_SOO_AS</vt:lpstr>
      <vt:lpstr>K_iHNO2_AMX_pH</vt:lpstr>
      <vt:lpstr>K_iHNO2_AMX_pH_AS</vt:lpstr>
      <vt:lpstr>K_iHNO2_AOB_pH</vt:lpstr>
      <vt:lpstr>K_iHNO2_AOB_pH_AS</vt:lpstr>
      <vt:lpstr>K_iNH3_AMETO_pH</vt:lpstr>
      <vt:lpstr>K_iNH3_AMETO_pH_AS</vt:lpstr>
      <vt:lpstr>K_iNH3_NOB_pH</vt:lpstr>
      <vt:lpstr>K_iNH3_NOB_pH_AS</vt:lpstr>
      <vt:lpstr>K_iNHx_AMETO</vt:lpstr>
      <vt:lpstr>K_iNHx_AMETO_AS</vt:lpstr>
      <vt:lpstr>K_iNHx_ASSIM</vt:lpstr>
      <vt:lpstr>K_iNHx_ASSIM_AS</vt:lpstr>
      <vt:lpstr>K_iNO_OHO_N2O</vt:lpstr>
      <vt:lpstr>K_iNO_OHO_N2O_AS</vt:lpstr>
      <vt:lpstr>K_iNO_OHO_NO</vt:lpstr>
      <vt:lpstr>K_iNO_OHO_NO_AS</vt:lpstr>
      <vt:lpstr>K_iNO_OHO_NO2</vt:lpstr>
      <vt:lpstr>K_iNO_OHO_NO2_AS</vt:lpstr>
      <vt:lpstr>K_iO2_AMETO</vt:lpstr>
      <vt:lpstr>K_iO2_AMETO_AS</vt:lpstr>
      <vt:lpstr>K_iO2_AMX</vt:lpstr>
      <vt:lpstr>K_iO2_AMX_AS</vt:lpstr>
      <vt:lpstr>K_iO2_AOB</vt:lpstr>
      <vt:lpstr>K_iO2_AOB_AS</vt:lpstr>
      <vt:lpstr>K_iO2_ASRO</vt:lpstr>
      <vt:lpstr>K_iO2_ASRO_AS</vt:lpstr>
      <vt:lpstr>K_iO2_HMETO</vt:lpstr>
      <vt:lpstr>K_iO2_HMETO_AS</vt:lpstr>
      <vt:lpstr>K_iO2_HSRO</vt:lpstr>
      <vt:lpstr>K_iO2_HSRO_AS</vt:lpstr>
      <vt:lpstr>K_iO2_MEOLO</vt:lpstr>
      <vt:lpstr>K_iO2_MEOLO_AS</vt:lpstr>
      <vt:lpstr>K_iP_DESORP</vt:lpstr>
      <vt:lpstr>K_iP_HAO_DESORP</vt:lpstr>
      <vt:lpstr>K_iP_HAO_DISS</vt:lpstr>
      <vt:lpstr>K_iP_HFO_DISS</vt:lpstr>
      <vt:lpstr>K_iPHA_PAO_max</vt:lpstr>
      <vt:lpstr>K_iPO4_lim</vt:lpstr>
      <vt:lpstr>K_iPO4_lim_AS</vt:lpstr>
      <vt:lpstr>K_iPP_PAO_max</vt:lpstr>
      <vt:lpstr>K_iSO4_ASSIM</vt:lpstr>
      <vt:lpstr>K_iSO4_ASSIM_AS</vt:lpstr>
      <vt:lpstr>K_iSO4_RED</vt:lpstr>
      <vt:lpstr>K_iVFA_AMETO</vt:lpstr>
      <vt:lpstr>K_iVFA_AMETO_AS</vt:lpstr>
      <vt:lpstr>K_K_PAO</vt:lpstr>
      <vt:lpstr>K_K_PAO_AS</vt:lpstr>
      <vt:lpstr>k_L_GCH4_bub</vt:lpstr>
      <vt:lpstr>k_L_GCH4_sur</vt:lpstr>
      <vt:lpstr>k_L_GCO2_bub</vt:lpstr>
      <vt:lpstr>k_L_GCO2_sur</vt:lpstr>
      <vt:lpstr>k_L_GH2_bub</vt:lpstr>
      <vt:lpstr>k_L_GH2_sur</vt:lpstr>
      <vt:lpstr>k_L_GH2S_bub</vt:lpstr>
      <vt:lpstr>k_L_GH2S_sur</vt:lpstr>
      <vt:lpstr>k_L_GN2_bub</vt:lpstr>
      <vt:lpstr>k_L_GN2_sur</vt:lpstr>
      <vt:lpstr>k_L_GN2O_bub</vt:lpstr>
      <vt:lpstr>k_L_GN2O_sur</vt:lpstr>
      <vt:lpstr>k_L_GNH3_bub</vt:lpstr>
      <vt:lpstr>k_L_GNH3_sur</vt:lpstr>
      <vt:lpstr>k_L_GNO_bub</vt:lpstr>
      <vt:lpstr>k_L_GNO_sur</vt:lpstr>
      <vt:lpstr>k_L_GO2_bub</vt:lpstr>
      <vt:lpstr>k_L_GO2_sur</vt:lpstr>
      <vt:lpstr>k_LaGCH4_bub</vt:lpstr>
      <vt:lpstr>k_LaGCH4_sur</vt:lpstr>
      <vt:lpstr>k_LaGCO2_bub</vt:lpstr>
      <vt:lpstr>k_LaGCO2_sur</vt:lpstr>
      <vt:lpstr>k_LaGH2_bub</vt:lpstr>
      <vt:lpstr>k_LaGH2_sur</vt:lpstr>
      <vt:lpstr>k_LaGH2S_bub</vt:lpstr>
      <vt:lpstr>k_LaGH2S_sur</vt:lpstr>
      <vt:lpstr>k_LaGN2_bub</vt:lpstr>
      <vt:lpstr>k_LaGN2_sur</vt:lpstr>
      <vt:lpstr>k_LaGN2O_bub</vt:lpstr>
      <vt:lpstr>k_LaGN2O_sur</vt:lpstr>
      <vt:lpstr>k_LaGNH3_bub</vt:lpstr>
      <vt:lpstr>k_LaGNH3_sur</vt:lpstr>
      <vt:lpstr>k_LaGNO_bub</vt:lpstr>
      <vt:lpstr>k_LaGNO_sur</vt:lpstr>
      <vt:lpstr>k_LaGO2_bub</vt:lpstr>
      <vt:lpstr>k_LaGO2_sur</vt:lpstr>
      <vt:lpstr>K_MEOL</vt:lpstr>
      <vt:lpstr>K_MEOL_AS</vt:lpstr>
      <vt:lpstr>K_MEOL_OHO</vt:lpstr>
      <vt:lpstr>K_MEOL_OHO_AS</vt:lpstr>
      <vt:lpstr>K_Mg_BIO</vt:lpstr>
      <vt:lpstr>K_Mg_BIO_AS</vt:lpstr>
      <vt:lpstr>K_Mg_PAO</vt:lpstr>
      <vt:lpstr>K_Mg_PAO_AS</vt:lpstr>
      <vt:lpstr>K_N2O_OHO</vt:lpstr>
      <vt:lpstr>K_N2O_OHO_AS</vt:lpstr>
      <vt:lpstr>K_NH2OH_AOB</vt:lpstr>
      <vt:lpstr>K_NH2OH_AOB_AS</vt:lpstr>
      <vt:lpstr>K_NH3</vt:lpstr>
      <vt:lpstr>K_NH3_param</vt:lpstr>
      <vt:lpstr>K_NH3_T</vt:lpstr>
      <vt:lpstr>K_NHx_AMX</vt:lpstr>
      <vt:lpstr>K_NHx_AMX_AS</vt:lpstr>
      <vt:lpstr>K_NHx_AOB</vt:lpstr>
      <vt:lpstr>K_NHx_AOB_AS</vt:lpstr>
      <vt:lpstr>K_NHx_BIO</vt:lpstr>
      <vt:lpstr>K_NHx_BIO_AS</vt:lpstr>
      <vt:lpstr>K_NHx_NH2OH_AOB</vt:lpstr>
      <vt:lpstr>K_NHx_NH2OH_AOB_AS</vt:lpstr>
      <vt:lpstr>K_NO_N2O_AOB</vt:lpstr>
      <vt:lpstr>K_NO_N2O_AOB_AS</vt:lpstr>
      <vt:lpstr>K_NO_NO2_AOB</vt:lpstr>
      <vt:lpstr>K_NO_NO2_AOB_AS</vt:lpstr>
      <vt:lpstr>K_NO_OHO</vt:lpstr>
      <vt:lpstr>K_NO_OHO_AS</vt:lpstr>
      <vt:lpstr>K_NO2</vt:lpstr>
      <vt:lpstr>K_NO2_AMX</vt:lpstr>
      <vt:lpstr>K_NO2_AMX_AS</vt:lpstr>
      <vt:lpstr>K_NO2_ASSIM</vt:lpstr>
      <vt:lpstr>K_NO2_ASSIM_AS</vt:lpstr>
      <vt:lpstr>K_NO2_CASTO</vt:lpstr>
      <vt:lpstr>K_NO2_CASTO_AS</vt:lpstr>
      <vt:lpstr>K_NO2_H2S_SOO</vt:lpstr>
      <vt:lpstr>K_NO2_H2S_SOO_AS</vt:lpstr>
      <vt:lpstr>K_NO2_MEOLO</vt:lpstr>
      <vt:lpstr>K_NO2_MEOLO_AS</vt:lpstr>
      <vt:lpstr>K_NO2_NOB</vt:lpstr>
      <vt:lpstr>K_NO2_NOB_AS</vt:lpstr>
      <vt:lpstr>K_NO2_OHO</vt:lpstr>
      <vt:lpstr>K_NO2_OHO_AS</vt:lpstr>
      <vt:lpstr>K_NO2_param</vt:lpstr>
      <vt:lpstr>K_NO2_S_SOO</vt:lpstr>
      <vt:lpstr>K_NO2_S_SOO_AS</vt:lpstr>
      <vt:lpstr>K_NO2_T</vt:lpstr>
      <vt:lpstr>K_NO3_ASSIM</vt:lpstr>
      <vt:lpstr>K_NO3_ASSIM_AS</vt:lpstr>
      <vt:lpstr>K_NO3_CASTO</vt:lpstr>
      <vt:lpstr>K_NO3_CASTO_AS</vt:lpstr>
      <vt:lpstr>K_NO3_H2S_SOO</vt:lpstr>
      <vt:lpstr>K_NO3_H2S_SOO_AS</vt:lpstr>
      <vt:lpstr>K_NO3_MEOLO</vt:lpstr>
      <vt:lpstr>K_NO3_MEOLO_AS</vt:lpstr>
      <vt:lpstr>K_NO3_OHO</vt:lpstr>
      <vt:lpstr>K_NO3_OHO_AS</vt:lpstr>
      <vt:lpstr>K_NO3_S_SOO</vt:lpstr>
      <vt:lpstr>K_NO3_S_SOO_AS</vt:lpstr>
      <vt:lpstr>K_NOx_AMETO</vt:lpstr>
      <vt:lpstr>K_NOx_AMETO_AS</vt:lpstr>
      <vt:lpstr>K_NOx_AMX</vt:lpstr>
      <vt:lpstr>K_NOx_AMX_AS</vt:lpstr>
      <vt:lpstr>K_NOx_AOB</vt:lpstr>
      <vt:lpstr>K_NOx_AOB_AS</vt:lpstr>
      <vt:lpstr>K_NOx_ASRO</vt:lpstr>
      <vt:lpstr>K_NOx_ASRO_AS</vt:lpstr>
      <vt:lpstr>K_NOx_HMETO</vt:lpstr>
      <vt:lpstr>K_NOx_HMETO_AS</vt:lpstr>
      <vt:lpstr>K_NOx_HSRO</vt:lpstr>
      <vt:lpstr>K_NOx_HSRO_AS</vt:lpstr>
      <vt:lpstr>K_NOx_NOB</vt:lpstr>
      <vt:lpstr>K_NOx_NOB_AS</vt:lpstr>
      <vt:lpstr>K_O2_AOB</vt:lpstr>
      <vt:lpstr>K_O2_AOB_AS</vt:lpstr>
      <vt:lpstr>K_O2_AOB_sidestream</vt:lpstr>
      <vt:lpstr>K_O2_CASTO</vt:lpstr>
      <vt:lpstr>K_O2_CASTO_AS</vt:lpstr>
      <vt:lpstr>K_O2_H2S_SOO</vt:lpstr>
      <vt:lpstr>K_O2_H2S_SOO_AS</vt:lpstr>
      <vt:lpstr>K_O2_MOB</vt:lpstr>
      <vt:lpstr>K_O2_NH2OH_AOB</vt:lpstr>
      <vt:lpstr>K_O2_NH2OH_AOB_AS</vt:lpstr>
      <vt:lpstr>K_O2_NH2OH_AOB_sidestream</vt:lpstr>
      <vt:lpstr>K_O2_NHx_AOB</vt:lpstr>
      <vt:lpstr>K_O2_NHx_AOB_AS</vt:lpstr>
      <vt:lpstr>K_O2_NHx_AOB_sidestream</vt:lpstr>
      <vt:lpstr>K_O2_NOB</vt:lpstr>
      <vt:lpstr>K_O2_NOB_AS</vt:lpstr>
      <vt:lpstr>K_O2_NOB_sidestream</vt:lpstr>
      <vt:lpstr>K_O2_OHO</vt:lpstr>
      <vt:lpstr>K_O2_OHO_AS</vt:lpstr>
      <vt:lpstr>K_O2_OHO_N2O</vt:lpstr>
      <vt:lpstr>K_O2_OHO_N2O_AS</vt:lpstr>
      <vt:lpstr>K_O2_OHO_NO</vt:lpstr>
      <vt:lpstr>K_O2_OHO_NO_AS</vt:lpstr>
      <vt:lpstr>K_O2_OHO_NO2</vt:lpstr>
      <vt:lpstr>K_O2_OHO_NO2_AS</vt:lpstr>
      <vt:lpstr>K_O2_OHO_NO3</vt:lpstr>
      <vt:lpstr>K_O2_OHO_NO3_AS</vt:lpstr>
      <vt:lpstr>K_O2_S_SOO</vt:lpstr>
      <vt:lpstr>K_O2_S_SOO_AS</vt:lpstr>
      <vt:lpstr>K_ORP_H2_CH4_H2S</vt:lpstr>
      <vt:lpstr>K_ORP_SNOx</vt:lpstr>
      <vt:lpstr>K_ORP_SO2</vt:lpstr>
      <vt:lpstr>K_P_BIND</vt:lpstr>
      <vt:lpstr>K_P_HAO_BIND</vt:lpstr>
      <vt:lpstr>K_P1</vt:lpstr>
      <vt:lpstr>K_P1_param</vt:lpstr>
      <vt:lpstr>K_P1_T</vt:lpstr>
      <vt:lpstr>K_P2</vt:lpstr>
      <vt:lpstr>K_P2_param</vt:lpstr>
      <vt:lpstr>K_P2_T</vt:lpstr>
      <vt:lpstr>K_P3</vt:lpstr>
      <vt:lpstr>K_P3_param</vt:lpstr>
      <vt:lpstr>K_P3_T</vt:lpstr>
      <vt:lpstr>K_PHA</vt:lpstr>
      <vt:lpstr>K_PHA_cle</vt:lpstr>
      <vt:lpstr>K_PO4_BIO</vt:lpstr>
      <vt:lpstr>K_PO4_BIO_AS</vt:lpstr>
      <vt:lpstr>K_PO4_PAO</vt:lpstr>
      <vt:lpstr>K_PO4_PAO_AS</vt:lpstr>
      <vt:lpstr>K_PP</vt:lpstr>
      <vt:lpstr>K_PP_lim</vt:lpstr>
      <vt:lpstr>K_Prop_param</vt:lpstr>
      <vt:lpstr>K_S_SOO</vt:lpstr>
      <vt:lpstr>K_S_SOO_AS</vt:lpstr>
      <vt:lpstr>K_S1</vt:lpstr>
      <vt:lpstr>K_S1_param</vt:lpstr>
      <vt:lpstr>K_S1_T</vt:lpstr>
      <vt:lpstr>K_S2</vt:lpstr>
      <vt:lpstr>K_S2_param</vt:lpstr>
      <vt:lpstr>K_S2_T</vt:lpstr>
      <vt:lpstr>K_SB</vt:lpstr>
      <vt:lpstr>K_SB_ana</vt:lpstr>
      <vt:lpstr>K_SB_ana_AS</vt:lpstr>
      <vt:lpstr>K_SB_ana_DIG</vt:lpstr>
      <vt:lpstr>K_SB_AS</vt:lpstr>
      <vt:lpstr>K_SB_N2O</vt:lpstr>
      <vt:lpstr>K_SB_N2O_AS</vt:lpstr>
      <vt:lpstr>K_SB_NO</vt:lpstr>
      <vt:lpstr>K_SB_NO_AS</vt:lpstr>
      <vt:lpstr>K_SB_NO2</vt:lpstr>
      <vt:lpstr>K_SB_NO2_AS</vt:lpstr>
      <vt:lpstr>K_SB_NO3</vt:lpstr>
      <vt:lpstr>K_SB_NO3_AS</vt:lpstr>
      <vt:lpstr>K_scaling</vt:lpstr>
      <vt:lpstr>K_SO2_ALPHA</vt:lpstr>
      <vt:lpstr>K_SO4_ASRO</vt:lpstr>
      <vt:lpstr>K_SO4_ASRO_AS</vt:lpstr>
      <vt:lpstr>K_SO4_BIO</vt:lpstr>
      <vt:lpstr>K_SO4_BIO_AS</vt:lpstr>
      <vt:lpstr>K_SO4_HSRO</vt:lpstr>
      <vt:lpstr>K_SO4_HSRO_AS</vt:lpstr>
      <vt:lpstr>K_SO41</vt:lpstr>
      <vt:lpstr>K_SO41_param</vt:lpstr>
      <vt:lpstr>K_SO41_T</vt:lpstr>
      <vt:lpstr>K_SO42</vt:lpstr>
      <vt:lpstr>K_SO42_param</vt:lpstr>
      <vt:lpstr>K_SO42_T</vt:lpstr>
      <vt:lpstr>K_sp_ACP</vt:lpstr>
      <vt:lpstr>K_sp_ACP_param</vt:lpstr>
      <vt:lpstr>K_sp_BSH</vt:lpstr>
      <vt:lpstr>K_sp_BSH_param</vt:lpstr>
      <vt:lpstr>K_sp_CaCO3</vt:lpstr>
      <vt:lpstr>K_sp_CaCO3_param</vt:lpstr>
      <vt:lpstr>K_sp_FeS</vt:lpstr>
      <vt:lpstr>K_sp_FeS_param</vt:lpstr>
      <vt:lpstr>K_sp_HDP_param</vt:lpstr>
      <vt:lpstr>K_sp_MKP_param</vt:lpstr>
      <vt:lpstr>K_sp_STR</vt:lpstr>
      <vt:lpstr>K_sp_STR_param</vt:lpstr>
      <vt:lpstr>K_sp_Vivi</vt:lpstr>
      <vt:lpstr>K_sp_Vivi_param</vt:lpstr>
      <vt:lpstr>K_STC</vt:lpstr>
      <vt:lpstr>K_STR_DISS</vt:lpstr>
      <vt:lpstr>K_TKN_B</vt:lpstr>
      <vt:lpstr>k_transfer_GCO2_bub</vt:lpstr>
      <vt:lpstr>k_transfer_GCO2_sur</vt:lpstr>
      <vt:lpstr>k_transfer_GH2S_bub</vt:lpstr>
      <vt:lpstr>k_transfer_GH2S_sur</vt:lpstr>
      <vt:lpstr>k_transfer_GNH3_bub</vt:lpstr>
      <vt:lpstr>k_transfer_GNH3_sur</vt:lpstr>
      <vt:lpstr>k_transfer_MM</vt:lpstr>
      <vt:lpstr>K_Val_param</vt:lpstr>
      <vt:lpstr>K_VFA</vt:lpstr>
      <vt:lpstr>K_VFA_AMETO</vt:lpstr>
      <vt:lpstr>K_VFA_AMETO_AS</vt:lpstr>
      <vt:lpstr>K_VFA_AS</vt:lpstr>
      <vt:lpstr>K_VFA_ASRO</vt:lpstr>
      <vt:lpstr>K_VFA_ASRO_AS</vt:lpstr>
      <vt:lpstr>K_VFA_CASTO</vt:lpstr>
      <vt:lpstr>K_VFA_CASTO_AS</vt:lpstr>
      <vt:lpstr>K_VFA_FERM</vt:lpstr>
      <vt:lpstr>K_VFA_FERM_AS</vt:lpstr>
      <vt:lpstr>K_VFA_N2O</vt:lpstr>
      <vt:lpstr>K_VFA_N2O_AS</vt:lpstr>
      <vt:lpstr>K_VFA_NO</vt:lpstr>
      <vt:lpstr>K_VFA_NO_AS</vt:lpstr>
      <vt:lpstr>K_VFA_NO2</vt:lpstr>
      <vt:lpstr>K_VFA_NO2_AS</vt:lpstr>
      <vt:lpstr>K_VFA_NO3</vt:lpstr>
      <vt:lpstr>K_VFA_NO3_AS</vt:lpstr>
      <vt:lpstr>K_Vivi_DISS</vt:lpstr>
      <vt:lpstr>K_W</vt:lpstr>
      <vt:lpstr>K_W_param</vt:lpstr>
      <vt:lpstr>K_W_T</vt:lpstr>
      <vt:lpstr>L_oginhORP_HFO</vt:lpstr>
      <vt:lpstr>L_oginhORP_MM</vt:lpstr>
      <vt:lpstr>L_oginhORP_PAO</vt:lpstr>
      <vt:lpstr>L_oginhpHNH3_AMETO</vt:lpstr>
      <vt:lpstr>L_oginhSPO4_KiP_HAO_DISS</vt:lpstr>
      <vt:lpstr>L_oginhSPO4_KiP_HFO_DISS</vt:lpstr>
      <vt:lpstr>L_oginhSVFA_KVFA_FERM</vt:lpstr>
      <vt:lpstr>L_oginhXGLY_XGAO_max</vt:lpstr>
      <vt:lpstr>L_oginhXPHA_XPAO_max</vt:lpstr>
      <vt:lpstr>L_oginhXPP_XPAO_max</vt:lpstr>
      <vt:lpstr>L_ograngeCO2_AMX_AS</vt:lpstr>
      <vt:lpstr>L_ograngeCO2_AMX_pH_AS</vt:lpstr>
      <vt:lpstr>L_ograngeCO2_AOB_AS</vt:lpstr>
      <vt:lpstr>L_ograngeCO2_AOB_pH_AS</vt:lpstr>
      <vt:lpstr>L_ograngeCO2_AOB_pH_sidestream</vt:lpstr>
      <vt:lpstr>L_ograngeCO2_AOB_sidestream</vt:lpstr>
      <vt:lpstr>L_ograngeCO2_NOB_AS</vt:lpstr>
      <vt:lpstr>L_ograngeCO2_NOB_pH_AS</vt:lpstr>
      <vt:lpstr>L_ograngeGLY_GAO_inh</vt:lpstr>
      <vt:lpstr>L_ograngeNH3_AMETO</vt:lpstr>
      <vt:lpstr>L_ograngeP_HAO_DISS</vt:lpstr>
      <vt:lpstr>L_ograngeP_HFO_DISS</vt:lpstr>
      <vt:lpstr>L_ograngePHA_PAO_inh</vt:lpstr>
      <vt:lpstr>L_ograngePO4_PAO_AS_sat</vt:lpstr>
      <vt:lpstr>L_ograngePP_PAO_AS_sat</vt:lpstr>
      <vt:lpstr>L_ograngePP_PAO_inh</vt:lpstr>
      <vt:lpstr>L_ograngeVFA_FERM_AS</vt:lpstr>
      <vt:lpstr>L_ogsatORP_GAO_Half_15</vt:lpstr>
      <vt:lpstr>L_ogsatORP_GAO_Half_25</vt:lpstr>
      <vt:lpstr>L_ogsatORP_GAO_Half_T</vt:lpstr>
      <vt:lpstr>L_ogsatORP_GAO_Slope</vt:lpstr>
      <vt:lpstr>L_ogsatORP_GAO_T</vt:lpstr>
      <vt:lpstr>L_ogsatORP_HFO_Half</vt:lpstr>
      <vt:lpstr>L_ogsatORP_HFO_Slope</vt:lpstr>
      <vt:lpstr>L_ogsatORP_MM_Half</vt:lpstr>
      <vt:lpstr>L_ogsatORP_MM_Slope</vt:lpstr>
      <vt:lpstr>L_ogsatORP_PAO_Half</vt:lpstr>
      <vt:lpstr>L_ogsatORP_PAO_Slope</vt:lpstr>
      <vt:lpstr>L_ogsatpHCO2_AMX</vt:lpstr>
      <vt:lpstr>L_ogsatpHCO2_AOB</vt:lpstr>
      <vt:lpstr>L_ogsatpHCO2_NOB</vt:lpstr>
      <vt:lpstr>L_ogsatSPO4_KPO4_PAO</vt:lpstr>
      <vt:lpstr>L_ogsatSVFA_KVFA_FERM</vt:lpstr>
      <vt:lpstr>L_ogsatXPP_KPO4_PAO</vt:lpstr>
      <vt:lpstr>L_ogslopeCO2_AMX_pH</vt:lpstr>
      <vt:lpstr>L_ogslopeCO2_AOB_pH</vt:lpstr>
      <vt:lpstr>L_ogslopeCO2_NOB_pH</vt:lpstr>
      <vt:lpstr>L_ogslopeGLY_GAO_inh</vt:lpstr>
      <vt:lpstr>L_ogslopeNH3_AMETO_pH</vt:lpstr>
      <vt:lpstr>L_ogslopeP_HAO_DISS</vt:lpstr>
      <vt:lpstr>L_ogslopeP_HFO_DISS</vt:lpstr>
      <vt:lpstr>L_ogslopePHA_PAO_inh</vt:lpstr>
      <vt:lpstr>L_ogslopePO4_PAO_sat</vt:lpstr>
      <vt:lpstr>L_ogslopePP_PAO_inh</vt:lpstr>
      <vt:lpstr>L_ogslopePP_PAO_sat</vt:lpstr>
      <vt:lpstr>L_ogslopeVFA_FERM</vt:lpstr>
      <vt:lpstr>M_inhH2S_KiH2S_ASRO</vt:lpstr>
      <vt:lpstr>M_inhH2S_KiH2S_HSRO</vt:lpstr>
      <vt:lpstr>M_inhpHHNO2_AMX</vt:lpstr>
      <vt:lpstr>M_inhpHHNO2_AOB</vt:lpstr>
      <vt:lpstr>M_inhpHNH3_NOB</vt:lpstr>
      <vt:lpstr>M_inhSH2S_KiH2S_SOO</vt:lpstr>
      <vt:lpstr>M_inhSNHx_KiNHx_ASSIM</vt:lpstr>
      <vt:lpstr>M_inhSNO_KiNO_OHO_N2O</vt:lpstr>
      <vt:lpstr>M_inhSNO_KiNO_OHO_NO2</vt:lpstr>
      <vt:lpstr>M_inhSNO2_KNO2_ASSIM</vt:lpstr>
      <vt:lpstr>M_inhSNO2_KNO2_CASTO</vt:lpstr>
      <vt:lpstr>M_inhSNO2_KNO2_H2S_SOO</vt:lpstr>
      <vt:lpstr>M_inhSNO2_KNO2_MEOLO</vt:lpstr>
      <vt:lpstr>M_inhSNO2_KNO2_OHO</vt:lpstr>
      <vt:lpstr>M_inhSNO2_KNO2_S_SOO</vt:lpstr>
      <vt:lpstr>M_inhSNO3_KNO3_CASTO</vt:lpstr>
      <vt:lpstr>M_inhSNO3_KNO3_H2S_SOO</vt:lpstr>
      <vt:lpstr>M_inhSNO3_KNO3_MEOLO</vt:lpstr>
      <vt:lpstr>M_inhSNO3_KNO3_OHO</vt:lpstr>
      <vt:lpstr>M_inhSNOx_KNO3_AMETO</vt:lpstr>
      <vt:lpstr>M_inhSNOx_KNO3_HMETO</vt:lpstr>
      <vt:lpstr>M_inhSNOx_KNOx_AMX</vt:lpstr>
      <vt:lpstr>M_inhSNOx_KNOx_AOB</vt:lpstr>
      <vt:lpstr>M_inhSNOx_KNOx_ASRO</vt:lpstr>
      <vt:lpstr>M_inhSNOx_KNOx_HSRO</vt:lpstr>
      <vt:lpstr>M_inhSNOx_KNOx_NOB</vt:lpstr>
      <vt:lpstr>M_inhSO2_KiO2_AMETO</vt:lpstr>
      <vt:lpstr>M_inhSO2_KiO2_AMX</vt:lpstr>
      <vt:lpstr>M_inhSO2_KiO2_AOB</vt:lpstr>
      <vt:lpstr>M_inhSO2_KiO2_ASRO</vt:lpstr>
      <vt:lpstr>M_inhSO2_KiO2_HMETO</vt:lpstr>
      <vt:lpstr>M_inhSO2_KiO2_HSRO</vt:lpstr>
      <vt:lpstr>M_inhSO2_KiO2_MEOLO</vt:lpstr>
      <vt:lpstr>M_inhSO2_KO2_AOB</vt:lpstr>
      <vt:lpstr>M_inhSO2_KO2_CASTO</vt:lpstr>
      <vt:lpstr>M_inhSO2_KO2_H2S_SOO</vt:lpstr>
      <vt:lpstr>M_inhSO2_KO2_NOB</vt:lpstr>
      <vt:lpstr>M_inhSO2_KO2_OHO</vt:lpstr>
      <vt:lpstr>M_inhSO2_KO2_OHO_N2O</vt:lpstr>
      <vt:lpstr>M_inhSO2_KO2_OHO_NO</vt:lpstr>
      <vt:lpstr>M_inhSO2_KO2_OHO_NO2</vt:lpstr>
      <vt:lpstr>M_inhSO2_KO2_OHO_NO3</vt:lpstr>
      <vt:lpstr>M_inhSO2_KO2_S_SOO</vt:lpstr>
      <vt:lpstr>M_inhSPO4_KiP_DESORP</vt:lpstr>
      <vt:lpstr>M_inhSPO4_KiP_HAO_DESORP</vt:lpstr>
      <vt:lpstr>M_inhSPO4_KiPO4_lim</vt:lpstr>
      <vt:lpstr>M_inhSSO4_KiSO4_ASSIM</vt:lpstr>
      <vt:lpstr>M_inhSSO4_KiSO4_RED</vt:lpstr>
      <vt:lpstr>M_inhSVFA_KVFA</vt:lpstr>
      <vt:lpstr>M_MACP</vt:lpstr>
      <vt:lpstr>M_Mair</vt:lpstr>
      <vt:lpstr>M_MAl2SO43</vt:lpstr>
      <vt:lpstr>M_MAlCl3</vt:lpstr>
      <vt:lpstr>M_MAlOH3</vt:lpstr>
      <vt:lpstr>M_MAlPO4</vt:lpstr>
      <vt:lpstr>M_MBSH</vt:lpstr>
      <vt:lpstr>M_MCaCl2</vt:lpstr>
      <vt:lpstr>M_MCaCO3</vt:lpstr>
      <vt:lpstr>M_MCaH2PO4</vt:lpstr>
      <vt:lpstr>M_MCaHCO3</vt:lpstr>
      <vt:lpstr>M_MCaHPO4</vt:lpstr>
      <vt:lpstr>M_MCaOH</vt:lpstr>
      <vt:lpstr>M_MCaOH2</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M_MFe2SO43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M_MH3PO4</vt:lpstr>
      <vt:lpstr>M_MHAP</vt:lpstr>
      <vt:lpstr>M_MHCl</vt:lpstr>
      <vt:lpstr>M_MHCO3</vt:lpstr>
      <vt:lpstr>M_MHDP</vt:lpstr>
      <vt:lpstr>M_MHNO3</vt:lpstr>
      <vt:lpstr>M_MHSO4</vt:lpstr>
      <vt:lpstr>M_MKNO2</vt:lpstr>
      <vt:lpstr>M_MKNO3</vt:lpstr>
      <vt:lpstr>M_MMgCO3</vt:lpstr>
      <vt:lpstr>M_MMgH2PO4</vt:lpstr>
      <vt:lpstr>M_MMgHCO3</vt:lpstr>
      <vt:lpstr>M_MMgHPO4</vt:lpstr>
      <vt:lpstr>M_MMgOH</vt:lpstr>
      <vt:lpstr>M_MMgOH2</vt:lpstr>
      <vt:lpstr>M_MMgPO4</vt:lpstr>
      <vt:lpstr>M_MMKP</vt:lpstr>
      <vt:lpstr>M_MMMC</vt:lpstr>
      <vt:lpstr>M_MN2</vt:lpstr>
      <vt:lpstr>M_MN2O</vt:lpstr>
      <vt:lpstr>M_MNa2CO3</vt:lpstr>
      <vt:lpstr>M_MNaCl</vt:lpstr>
      <vt:lpstr>M_MNaHCO3</vt:lpstr>
      <vt:lpstr>M_MNaHPO4</vt:lpstr>
      <vt:lpstr>M_MNaOH</vt:lpstr>
      <vt:lpstr>M_MNH3</vt:lpstr>
      <vt:lpstr>M_MNH4</vt:lpstr>
      <vt:lpstr>M_MNH4HCO3</vt:lpstr>
      <vt:lpstr>M_MNO</vt:lpstr>
      <vt:lpstr>M_MNO2</vt:lpstr>
      <vt:lpstr>M_MNO3</vt:lpstr>
      <vt:lpstr>M_MO2</vt:lpstr>
      <vt:lpstr>M_MPO4</vt:lpstr>
      <vt:lpstr>M_MSiO2</vt:lpstr>
      <vt:lpstr>M_MSO4</vt:lpstr>
      <vt:lpstr>M_MSTR</vt:lpstr>
      <vt:lpstr>M_MVivi</vt:lpstr>
      <vt:lpstr>M_RinhXGLY_XGAO_KGLY</vt:lpstr>
      <vt:lpstr>M_RinhXPHA_XPAO_KPHA_cle</vt:lpstr>
      <vt:lpstr>M_RinhXPP_XPAO_KPP</vt:lpstr>
      <vt:lpstr>M_RinhXSTC_XCASTO_KSTC</vt:lpstr>
      <vt:lpstr>M_RsatCB_XBIO_KFLOC</vt:lpstr>
      <vt:lpstr>M_RsatCU_XBIO_KFLOC</vt:lpstr>
      <vt:lpstr>M_RsatXB_XBIO_KHYD</vt:lpstr>
      <vt:lpstr>M_RsatXEana_XBIO_KHYD</vt:lpstr>
      <vt:lpstr>M_RsatXGLY_XGAO_KGLY</vt:lpstr>
      <vt:lpstr>M_RsatXPHA_XPAO_KPHA</vt:lpstr>
      <vt:lpstr>M_RsatXPP_XPAO_KPP</vt:lpstr>
      <vt:lpstr>M_RsatXSTC_XCASTO_KSTC</vt:lpstr>
      <vt:lpstr>M_satSAN_KAN</vt:lpstr>
      <vt:lpstr>M_satSB_KSB</vt:lpstr>
      <vt:lpstr>M_satSB_KSB_ana</vt:lpstr>
      <vt:lpstr>M_satSB_KSB_N2O</vt:lpstr>
      <vt:lpstr>M_satSB_KSB_NO</vt:lpstr>
      <vt:lpstr>M_satSB_KSB_NO2</vt:lpstr>
      <vt:lpstr>M_satSB_KSB_NO3</vt:lpstr>
      <vt:lpstr>M_satSCa_KCa</vt:lpstr>
      <vt:lpstr>M_satSCa_KCa_PAO</vt:lpstr>
      <vt:lpstr>M_satSCAT_KCAT</vt:lpstr>
      <vt:lpstr>M_satSCH4_MOB</vt:lpstr>
      <vt:lpstr>M_satSCO2_KCO2_BIO</vt:lpstr>
      <vt:lpstr>M_satSH2_KH2_HMETO</vt:lpstr>
      <vt:lpstr>M_satSH2_KH2_HSRO</vt:lpstr>
      <vt:lpstr>M_satSH2S_KH2S_ASSIM</vt:lpstr>
      <vt:lpstr>M_satSHNO2_KHNO2_AOB</vt:lpstr>
      <vt:lpstr>M_satSK_KK_PAO</vt:lpstr>
      <vt:lpstr>M_satSMEOL_KMEOL</vt:lpstr>
      <vt:lpstr>M_satSMEOL_KMEOL_OHO</vt:lpstr>
      <vt:lpstr>M_satSMg_KMg</vt:lpstr>
      <vt:lpstr>M_satSMg_KMg_PAO</vt:lpstr>
      <vt:lpstr>M_satSN2O_KN2O_OHO</vt:lpstr>
      <vt:lpstr>M_satSNH2OH_KNH2OH_AOB</vt:lpstr>
      <vt:lpstr>M_satSNHx_KNHx_AMX</vt:lpstr>
      <vt:lpstr>M_satSNHx_KNHx_AOB</vt:lpstr>
      <vt:lpstr>M_satSNHx_KNHx_BIO</vt:lpstr>
      <vt:lpstr>M_satSNHx_KNHx_NH2OH_AOB</vt:lpstr>
      <vt:lpstr>M_satSNO_KNO_N2O_AOB</vt:lpstr>
      <vt:lpstr>M_satSNO_KNO_NO2_AOB</vt:lpstr>
      <vt:lpstr>M_satSNO2_KNO2_AMX</vt:lpstr>
      <vt:lpstr>M_satSNO2_KNO2_ASSIM</vt:lpstr>
      <vt:lpstr>M_satSNO2_KNO2_CASTO</vt:lpstr>
      <vt:lpstr>M_satSNO2_KNO2_H2S_SOO</vt:lpstr>
      <vt:lpstr>M_satSNO2_KNO2_MEOLO</vt:lpstr>
      <vt:lpstr>M_satSNO2_KNO2_NOB</vt:lpstr>
      <vt:lpstr>M_satSNO2_KNO2_OHO</vt:lpstr>
      <vt:lpstr>M_satSNO2_KNO2_S_SOO</vt:lpstr>
      <vt:lpstr>M_satSNO3_KNO3_ASSIM</vt:lpstr>
      <vt:lpstr>M_satSNO3_KNO3_CASTO</vt:lpstr>
      <vt:lpstr>M_satSNO3_KNO3_H2S_SOO</vt:lpstr>
      <vt:lpstr>M_satSNO3_KNO3_MEOLO</vt:lpstr>
      <vt:lpstr>M_satSNO3_KNO3_OHO</vt:lpstr>
      <vt:lpstr>M_satSNO3_KNO3_S_SOO</vt:lpstr>
      <vt:lpstr>M_satSNOx_KNO3_AMETO</vt:lpstr>
      <vt:lpstr>M_satSNOx_KNO3_HMETO</vt:lpstr>
      <vt:lpstr>M_satSNOx_KNOx_AMX</vt:lpstr>
      <vt:lpstr>M_satSNOx_KNOx_AOB</vt:lpstr>
      <vt:lpstr>M_satSNOx_KNOx_ASRO</vt:lpstr>
      <vt:lpstr>M_satSNOx_KNOx_HSRO</vt:lpstr>
      <vt:lpstr>M_satSNOx_KNOx_NOB</vt:lpstr>
      <vt:lpstr>M_satSO2_KiO2_AMETO</vt:lpstr>
      <vt:lpstr>M_satSO2_KiO2_AMX</vt:lpstr>
      <vt:lpstr>M_satSO2_KiO2_ASRO</vt:lpstr>
      <vt:lpstr>M_satSO2_KiO2_HMETO</vt:lpstr>
      <vt:lpstr>M_satSO2_KiO2_HSRO</vt:lpstr>
      <vt:lpstr>M_satSO2_KiO2_MEOLO</vt:lpstr>
      <vt:lpstr>M_satSO2_KO2_AOB</vt:lpstr>
      <vt:lpstr>M_satSO2_KO2_CASTO</vt:lpstr>
      <vt:lpstr>M_satSO2_KO2_H2S_SOO</vt:lpstr>
      <vt:lpstr>M_satSO2_KO2_MOB</vt:lpstr>
      <vt:lpstr>M_satSO2_KO2_NH2OH_AOB</vt:lpstr>
      <vt:lpstr>M_satSO2_KO2_NHx_AOB</vt:lpstr>
      <vt:lpstr>M_satSO2_KO2_NOB</vt:lpstr>
      <vt:lpstr>M_satSO2_KO2_OHO</vt:lpstr>
      <vt:lpstr>M_satSO2_KO2_S_SOO</vt:lpstr>
      <vt:lpstr>M_satSO4_KSO4_ASRO</vt:lpstr>
      <vt:lpstr>M_satSO4_KSO4_HSRO</vt:lpstr>
      <vt:lpstr>M_satSPO4_KP_BIND</vt:lpstr>
      <vt:lpstr>M_satSPO4_KP_HAO_BIND</vt:lpstr>
      <vt:lpstr>M_satSPO4_KPO4_BIO</vt:lpstr>
      <vt:lpstr>M_satSPO4_KPO4_PAO</vt:lpstr>
      <vt:lpstr>M_satSSO4_KSO4_BIO</vt:lpstr>
      <vt:lpstr>M_satSVFA_KVFA</vt:lpstr>
      <vt:lpstr>M_satSVFA_KVFA_ASRO</vt:lpstr>
      <vt:lpstr>M_satSVFA_KVFA_CASTO</vt:lpstr>
      <vt:lpstr>M_satSVFA_KVFA_N2O</vt:lpstr>
      <vt:lpstr>M_satSVFA_KVFA_NO</vt:lpstr>
      <vt:lpstr>M_satSVFA_KVFA_NO2</vt:lpstr>
      <vt:lpstr>M_satSVFA_KVFA_NO3</vt:lpstr>
      <vt:lpstr>M_satTKNB_KTKNB</vt:lpstr>
      <vt:lpstr>M_satXACP_KACP_DISS</vt:lpstr>
      <vt:lpstr>M_satXBSH_KBSH_DISS</vt:lpstr>
      <vt:lpstr>M_satXCaCO3_KCaCO3_DISS</vt:lpstr>
      <vt:lpstr>M_satXFeS_KFeS_DISS</vt:lpstr>
      <vt:lpstr>M_satXPP_KPP_lim</vt:lpstr>
      <vt:lpstr>M_satXS_KS_SOO</vt:lpstr>
      <vt:lpstr>M_satXSTR_KSTR_DISS</vt:lpstr>
      <vt:lpstr>M_satXVivi_KVivi_DISS</vt:lpstr>
      <vt:lpstr>m_tox_aer</vt:lpstr>
      <vt:lpstr>m_tox_ana</vt:lpstr>
      <vt:lpstr>m_tox_ana_max</vt:lpstr>
      <vt:lpstr>m_tox_anox</vt:lpstr>
      <vt:lpstr>N_2OPR</vt:lpstr>
      <vt:lpstr>N_2OPR_denit</vt:lpstr>
      <vt:lpstr>N_2OPR_ND</vt:lpstr>
      <vt:lpstr>N_2OPR_nit</vt:lpstr>
      <vt:lpstr>N_2OPR_NN</vt:lpstr>
      <vt:lpstr>N_2OUR_denit</vt:lpstr>
      <vt:lpstr>N_2UR</vt:lpstr>
      <vt:lpstr>N_3UR</vt:lpstr>
      <vt:lpstr>ƞ_AOB_NO_N2O</vt:lpstr>
      <vt:lpstr>ƞ_AOB_NO2_N2O</vt:lpstr>
      <vt:lpstr>n_H2S_odor</vt:lpstr>
      <vt:lpstr>N_OUR</vt:lpstr>
      <vt:lpstr>O_dorH2S</vt:lpstr>
      <vt:lpstr>O_dorindex</vt:lpstr>
      <vt:lpstr>O_dorMM</vt:lpstr>
      <vt:lpstr>O_RP</vt:lpstr>
      <vt:lpstr>O_RPbase</vt:lpstr>
      <vt:lpstr>O_RPH2_CH4_H2S</vt:lpstr>
      <vt:lpstr>O_RPmax_SNOx</vt:lpstr>
      <vt:lpstr>O_RPmax_SO2</vt:lpstr>
      <vt:lpstr>O_RPNOx</vt:lpstr>
      <vt:lpstr>O_RPO2</vt:lpstr>
      <vt:lpstr>O_UR</vt:lpstr>
      <vt:lpstr>p_H</vt:lpstr>
      <vt:lpstr>p_Hhigh</vt:lpstr>
      <vt:lpstr>p_Hhigh_AMETO</vt:lpstr>
      <vt:lpstr>p_Hhigh_HMETO</vt:lpstr>
      <vt:lpstr>p_Hlow</vt:lpstr>
      <vt:lpstr>p_Hlow_AMETO</vt:lpstr>
      <vt:lpstr>p_Hlow_HMETO</vt:lpstr>
      <vt:lpstr>p_i</vt:lpstr>
      <vt:lpstr>p_NTP</vt:lpstr>
      <vt:lpstr>p_owdamp_ALPHA</vt:lpstr>
      <vt:lpstr>P_recipDrivingForceACP</vt:lpstr>
      <vt:lpstr>P_recipDrivingForceBSH</vt:lpstr>
      <vt:lpstr>P_recipDrivingForceCaCO3</vt:lpstr>
      <vt:lpstr>P_recipDrivingForceFeS</vt:lpstr>
      <vt:lpstr>P_recipDrivingForceSTR</vt:lpstr>
      <vt:lpstr>P_recipDrivingForceVivi</vt:lpstr>
      <vt:lpstr>P_RR</vt:lpstr>
      <vt:lpstr>p_STP</vt:lpstr>
      <vt:lpstr>P_UR</vt:lpstr>
      <vt:lpstr>P_URBIO</vt:lpstr>
      <vt:lpstr>P_URCHEM</vt:lpstr>
      <vt:lpstr>q_ACP</vt:lpstr>
      <vt:lpstr>q_ACP_DISS</vt:lpstr>
      <vt:lpstr>q_ACP_PREC</vt:lpstr>
      <vt:lpstr>q_ALPHA</vt:lpstr>
      <vt:lpstr>q_ALPHA_SO2</vt:lpstr>
      <vt:lpstr>q_AMMON</vt:lpstr>
      <vt:lpstr>q_AMMON_T</vt:lpstr>
      <vt:lpstr>q_ASSIM</vt:lpstr>
      <vt:lpstr>q_ASSIM_T</vt:lpstr>
      <vt:lpstr>q_BSH</vt:lpstr>
      <vt:lpstr>q_BSH_DISS</vt:lpstr>
      <vt:lpstr>q_BSH_PREC</vt:lpstr>
      <vt:lpstr>q_CaCO3</vt:lpstr>
      <vt:lpstr>q_CaCO3_DISS</vt:lpstr>
      <vt:lpstr>q_CaCO3_PREC</vt:lpstr>
      <vt:lpstr>q_Fe2_OX</vt:lpstr>
      <vt:lpstr>q_Fe2_OX_T</vt:lpstr>
      <vt:lpstr>q_FeS</vt:lpstr>
      <vt:lpstr>q_FeS_DISS</vt:lpstr>
      <vt:lpstr>q_FeS_OX</vt:lpstr>
      <vt:lpstr>q_FeS_OX_T</vt:lpstr>
      <vt:lpstr>q_FeS_PREC</vt:lpstr>
      <vt:lpstr>q_FLOC</vt:lpstr>
      <vt:lpstr>q_FLOC_T</vt:lpstr>
      <vt:lpstr>q_GAO_GLY</vt:lpstr>
      <vt:lpstr>q_GAO_GLY_T</vt:lpstr>
      <vt:lpstr>q_H2S_OX</vt:lpstr>
      <vt:lpstr>q_HAO_DISS</vt:lpstr>
      <vt:lpstr>q_HAOH_AGING</vt:lpstr>
      <vt:lpstr>q_HAOH_DESORP</vt:lpstr>
      <vt:lpstr>q_HAOL_AGING</vt:lpstr>
      <vt:lpstr>q_HAOL_DESORP</vt:lpstr>
      <vt:lpstr>q_HFO_DISS</vt:lpstr>
      <vt:lpstr>q_HFO_H2S_RED</vt:lpstr>
      <vt:lpstr>q_HFO_H2S_RED_T</vt:lpstr>
      <vt:lpstr>q_HFO_RED</vt:lpstr>
      <vt:lpstr>q_HFO_RED_T</vt:lpstr>
      <vt:lpstr>q_HFOH_AGING</vt:lpstr>
      <vt:lpstr>q_HFOH_DESORP</vt:lpstr>
      <vt:lpstr>q_HFOL_AGING</vt:lpstr>
      <vt:lpstr>q_HFOL_DESORP</vt:lpstr>
      <vt:lpstr>q_HYD</vt:lpstr>
      <vt:lpstr>q_HYD_T</vt:lpstr>
      <vt:lpstr>q_MEOL</vt:lpstr>
      <vt:lpstr>q_MM_DEGR</vt:lpstr>
      <vt:lpstr>q_MM_PROD</vt:lpstr>
      <vt:lpstr>q_P_BIND</vt:lpstr>
      <vt:lpstr>q_P_COPREC</vt:lpstr>
      <vt:lpstr>q_P_HAO_BIND</vt:lpstr>
      <vt:lpstr>q_P_HAO_COPREC</vt:lpstr>
      <vt:lpstr>q_PAO_PHA</vt:lpstr>
      <vt:lpstr>q_PAO_PHA_T</vt:lpstr>
      <vt:lpstr>q_PAO_PP</vt:lpstr>
      <vt:lpstr>q_PAO_PP_T</vt:lpstr>
      <vt:lpstr>q_S_OX</vt:lpstr>
      <vt:lpstr>q_SPB</vt:lpstr>
      <vt:lpstr>q_SPB_T</vt:lpstr>
      <vt:lpstr>q_STR</vt:lpstr>
      <vt:lpstr>q_STR_DISS</vt:lpstr>
      <vt:lpstr>q_STR_PREC</vt:lpstr>
      <vt:lpstr>q_Vivi</vt:lpstr>
      <vt:lpstr>q_Vivi_DISS</vt:lpstr>
      <vt:lpstr>q_Vivi_PREC</vt:lpstr>
      <vt:lpstr>q_XE</vt:lpstr>
      <vt:lpstr>q_XE_T</vt:lpstr>
      <vt:lpstr>R__</vt:lpstr>
      <vt:lpstr>r_1</vt:lpstr>
      <vt:lpstr>r_10</vt:lpstr>
      <vt:lpstr>r_100</vt:lpstr>
      <vt:lpstr>r_101</vt:lpstr>
      <vt:lpstr>r_102</vt:lpstr>
      <vt:lpstr>r_103</vt:lpstr>
      <vt:lpstr>r_104</vt:lpstr>
      <vt:lpstr>r_105</vt:lpstr>
      <vt:lpstr>r_106</vt:lpstr>
      <vt:lpstr>r_107</vt:lpstr>
      <vt:lpstr>r_108</vt:lpstr>
      <vt:lpstr>r_109</vt:lpstr>
      <vt:lpstr>r_11</vt:lpstr>
      <vt:lpstr>r_110</vt:lpstr>
      <vt:lpstr>r_111</vt:lpstr>
      <vt:lpstr>r_112</vt:lpstr>
      <vt:lpstr>r_113</vt:lpstr>
      <vt:lpstr>r_114</vt:lpstr>
      <vt:lpstr>r_115</vt:lpstr>
      <vt:lpstr>r_116</vt:lpstr>
      <vt:lpstr>r_117</vt:lpstr>
      <vt:lpstr>r_118</vt:lpstr>
      <vt:lpstr>r_119</vt:lpstr>
      <vt:lpstr>r_12</vt:lpstr>
      <vt:lpstr>r_120</vt:lpstr>
      <vt:lpstr>r_121</vt:lpstr>
      <vt:lpstr>r_122</vt:lpstr>
      <vt:lpstr>r_123</vt:lpstr>
      <vt:lpstr>r_124</vt:lpstr>
      <vt:lpstr>r_125</vt:lpstr>
      <vt:lpstr>r_126</vt:lpstr>
      <vt:lpstr>r_127</vt:lpstr>
      <vt:lpstr>r_128</vt:lpstr>
      <vt:lpstr>r_129</vt:lpstr>
      <vt:lpstr>r_13</vt:lpstr>
      <vt:lpstr>r_130</vt:lpstr>
      <vt:lpstr>r_131</vt:lpstr>
      <vt:lpstr>r_132</vt:lpstr>
      <vt:lpstr>r_133</vt:lpstr>
      <vt:lpstr>r_134</vt:lpstr>
      <vt:lpstr>r_135</vt:lpstr>
      <vt:lpstr>r_136</vt:lpstr>
      <vt:lpstr>r_14</vt:lpstr>
      <vt:lpstr>r_15</vt:lpstr>
      <vt:lpstr>r_16</vt:lpstr>
      <vt:lpstr>r_17</vt:lpstr>
      <vt:lpstr>r_18</vt:lpstr>
      <vt:lpstr>r_19</vt:lpstr>
      <vt:lpstr>r_2</vt:lpstr>
      <vt:lpstr>r_20</vt:lpstr>
      <vt:lpstr>r_21</vt:lpstr>
      <vt:lpstr>r_22</vt:lpstr>
      <vt:lpstr>r_23</vt:lpstr>
      <vt:lpstr>r_24</vt:lpstr>
      <vt:lpstr>r_25</vt:lpstr>
      <vt:lpstr>r_26</vt:lpstr>
      <vt:lpstr>r_27</vt:lpstr>
      <vt:lpstr>r_28</vt:lpstr>
      <vt:lpstr>r_29</vt:lpstr>
      <vt:lpstr>r_3</vt:lpstr>
      <vt:lpstr>r_30</vt:lpstr>
      <vt:lpstr>r_31</vt:lpstr>
      <vt:lpstr>r_32</vt:lpstr>
      <vt:lpstr>r_33</vt:lpstr>
      <vt:lpstr>r_34</vt:lpstr>
      <vt:lpstr>r_35</vt:lpstr>
      <vt:lpstr>r_36</vt:lpstr>
      <vt:lpstr>r_37</vt:lpstr>
      <vt:lpstr>r_38</vt:lpstr>
      <vt:lpstr>r_39</vt:lpstr>
      <vt:lpstr>r_4</vt:lpstr>
      <vt:lpstr>r_40</vt:lpstr>
      <vt:lpstr>r_41</vt:lpstr>
      <vt:lpstr>r_42</vt:lpstr>
      <vt:lpstr>r_43</vt:lpstr>
      <vt:lpstr>r_44</vt:lpstr>
      <vt:lpstr>r_45</vt:lpstr>
      <vt:lpstr>r_46</vt:lpstr>
      <vt:lpstr>r_47</vt:lpstr>
      <vt:lpstr>r_48</vt:lpstr>
      <vt:lpstr>r_49</vt:lpstr>
      <vt:lpstr>r_5</vt:lpstr>
      <vt:lpstr>r_50</vt:lpstr>
      <vt:lpstr>r_51</vt:lpstr>
      <vt:lpstr>r_52</vt:lpstr>
      <vt:lpstr>r_53</vt:lpstr>
      <vt:lpstr>r_54</vt:lpstr>
      <vt:lpstr>r_55</vt:lpstr>
      <vt:lpstr>r_56</vt:lpstr>
      <vt:lpstr>r_57</vt:lpstr>
      <vt:lpstr>r_58</vt:lpstr>
      <vt:lpstr>r_59</vt:lpstr>
      <vt:lpstr>r_6</vt:lpstr>
      <vt:lpstr>r_60</vt:lpstr>
      <vt:lpstr>r_61</vt:lpstr>
      <vt:lpstr>r_62</vt:lpstr>
      <vt:lpstr>r_63</vt:lpstr>
      <vt:lpstr>r_64</vt:lpstr>
      <vt:lpstr>r_65</vt:lpstr>
      <vt:lpstr>r_66</vt:lpstr>
      <vt:lpstr>r_67</vt:lpstr>
      <vt:lpstr>r_68</vt:lpstr>
      <vt:lpstr>r_69</vt:lpstr>
      <vt:lpstr>r_7</vt:lpstr>
      <vt:lpstr>r_70</vt:lpstr>
      <vt:lpstr>r_71</vt:lpstr>
      <vt:lpstr>r_72</vt:lpstr>
      <vt:lpstr>r_73</vt:lpstr>
      <vt:lpstr>r_74</vt:lpstr>
      <vt:lpstr>r_75</vt:lpstr>
      <vt:lpstr>r_76</vt:lpstr>
      <vt:lpstr>r_77</vt:lpstr>
      <vt:lpstr>r_78</vt:lpstr>
      <vt:lpstr>r_79</vt:lpstr>
      <vt:lpstr>r_8</vt:lpstr>
      <vt:lpstr>r_80</vt:lpstr>
      <vt:lpstr>r_81</vt:lpstr>
      <vt:lpstr>r_82</vt:lpstr>
      <vt:lpstr>r_83</vt:lpstr>
      <vt:lpstr>r_84</vt:lpstr>
      <vt:lpstr>r_85</vt:lpstr>
      <vt:lpstr>r_86</vt:lpstr>
      <vt:lpstr>r_87</vt:lpstr>
      <vt:lpstr>r_88</vt:lpstr>
      <vt:lpstr>r_89</vt:lpstr>
      <vt:lpstr>r_9</vt:lpstr>
      <vt:lpstr>r_90</vt:lpstr>
      <vt:lpstr>r_91</vt:lpstr>
      <vt:lpstr>r_92</vt:lpstr>
      <vt:lpstr>r_93</vt:lpstr>
      <vt:lpstr>r_94</vt:lpstr>
      <vt:lpstr>r_95</vt:lpstr>
      <vt:lpstr>r_96</vt:lpstr>
      <vt:lpstr>r_97</vt:lpstr>
      <vt:lpstr>r_98</vt:lpstr>
      <vt:lpstr>r_99</vt:lpstr>
      <vt:lpstr>R_air</vt:lpstr>
      <vt:lpstr>r_ateFLOC_CB_polymer</vt:lpstr>
      <vt:lpstr>r_ateFLOC_CU_polymer</vt:lpstr>
      <vt:lpstr>r_atioVSS_TSS</vt:lpstr>
      <vt:lpstr>r_transfer_MM_lim</vt:lpstr>
      <vt:lpstr>S_ALK</vt:lpstr>
      <vt:lpstr>S_ALK_calc</vt:lpstr>
      <vt:lpstr>S_ALK_input</vt:lpstr>
      <vt:lpstr>S_ALPHA</vt:lpstr>
      <vt:lpstr>S_ALPHA_sat</vt:lpstr>
      <vt:lpstr>S_AN</vt:lpstr>
      <vt:lpstr>S_AN_ini</vt:lpstr>
      <vt:lpstr>S_B</vt:lpstr>
      <vt:lpstr>S_BOD_5</vt:lpstr>
      <vt:lpstr>S_BOD_ult</vt:lpstr>
      <vt:lpstr>S_Ca</vt:lpstr>
      <vt:lpstr>S_CAT</vt:lpstr>
      <vt:lpstr>S_CAT_ini</vt:lpstr>
      <vt:lpstr>S_CCOD</vt:lpstr>
      <vt:lpstr>S_CH4</vt:lpstr>
      <vt:lpstr>S_CO2</vt:lpstr>
      <vt:lpstr>S_COD</vt:lpstr>
      <vt:lpstr>S_Fe2</vt:lpstr>
      <vt:lpstr>S_GCH4_bub_sat</vt:lpstr>
      <vt:lpstr>S_GCH4_sur_sat</vt:lpstr>
      <vt:lpstr>S_GCO2_bub_sat</vt:lpstr>
      <vt:lpstr>S_GCO2_sur_sat</vt:lpstr>
      <vt:lpstr>S_GH2_bub_sat</vt:lpstr>
      <vt:lpstr>S_GH2_sur_sat</vt:lpstr>
      <vt:lpstr>S_GH2S_bub_sat</vt:lpstr>
      <vt:lpstr>S_GH2S_sur_sat</vt:lpstr>
      <vt:lpstr>S_GN2_bub_sat</vt:lpstr>
      <vt:lpstr>S_GN2_sur_sat</vt:lpstr>
      <vt:lpstr>S_GN2O_bub_sat</vt:lpstr>
      <vt:lpstr>S_GN2O_sur_sat</vt:lpstr>
      <vt:lpstr>S_GNH3_bub_sat</vt:lpstr>
      <vt:lpstr>S_GNH3_sur_sat</vt:lpstr>
      <vt:lpstr>S_GNO_bub_sat</vt:lpstr>
      <vt:lpstr>S_GNO_sur_sat</vt:lpstr>
      <vt:lpstr>S_GO2_bub_sat</vt:lpstr>
      <vt:lpstr>S_GO2_sur_sat</vt:lpstr>
      <vt:lpstr>S_H2</vt:lpstr>
      <vt:lpstr>S_H2_CH4_H2S</vt:lpstr>
      <vt:lpstr>S_H2S</vt:lpstr>
      <vt:lpstr>S_HNO2</vt:lpstr>
      <vt:lpstr>S_K</vt:lpstr>
      <vt:lpstr>S_KN</vt:lpstr>
      <vt:lpstr>S_lopeIS_corr</vt:lpstr>
      <vt:lpstr>s_lORP_GAO_Half_T</vt:lpstr>
      <vt:lpstr>s_lTSS_α_coarse</vt:lpstr>
      <vt:lpstr>s_lTSS_α_def</vt:lpstr>
      <vt:lpstr>S_MEOL</vt:lpstr>
      <vt:lpstr>S_Mg</vt:lpstr>
      <vt:lpstr>S_MM_index</vt:lpstr>
      <vt:lpstr>S_N_B</vt:lpstr>
      <vt:lpstr>S_N2</vt:lpstr>
      <vt:lpstr>S_N2O</vt:lpstr>
      <vt:lpstr>S_NH2OH</vt:lpstr>
      <vt:lpstr>S_NH3</vt:lpstr>
      <vt:lpstr>S_NHx</vt:lpstr>
      <vt:lpstr>S_NO</vt:lpstr>
      <vt:lpstr>S_NO_AOB</vt:lpstr>
      <vt:lpstr>S_NO_OHO</vt:lpstr>
      <vt:lpstr>S_NO2</vt:lpstr>
      <vt:lpstr>S_NO3</vt:lpstr>
      <vt:lpstr>S_NOx</vt:lpstr>
      <vt:lpstr>S_O2</vt:lpstr>
      <vt:lpstr>S_OxR</vt:lpstr>
      <vt:lpstr>S_P</vt:lpstr>
      <vt:lpstr>S_P_B</vt:lpstr>
      <vt:lpstr>S_PO4</vt:lpstr>
      <vt:lpstr>S_rbCOD</vt:lpstr>
      <vt:lpstr>S_RR</vt:lpstr>
      <vt:lpstr>S_SO4</vt:lpstr>
      <vt:lpstr>S_U</vt:lpstr>
      <vt:lpstr>S_U_N</vt:lpstr>
      <vt:lpstr>S_umo__pHEffects</vt:lpstr>
      <vt:lpstr>S_VFA</vt:lpstr>
      <vt:lpstr>T__</vt:lpstr>
      <vt:lpstr>T_Al</vt:lpstr>
      <vt:lpstr>T_base</vt:lpstr>
      <vt:lpstr>T_BOD_5</vt:lpstr>
      <vt:lpstr>T_BOD_ult</vt:lpstr>
      <vt:lpstr>T_Ca</vt:lpstr>
      <vt:lpstr>T_COD</vt:lpstr>
      <vt:lpstr>T_COD_Th</vt:lpstr>
      <vt:lpstr>T_Fe</vt:lpstr>
      <vt:lpstr>T_IN</vt:lpstr>
      <vt:lpstr>T_K</vt:lpstr>
      <vt:lpstr>T_KN</vt:lpstr>
      <vt:lpstr>T_KN_B</vt:lpstr>
      <vt:lpstr>T_Mg</vt:lpstr>
      <vt:lpstr>T_N</vt:lpstr>
      <vt:lpstr>T_NTP_K</vt:lpstr>
      <vt:lpstr>T_OC</vt:lpstr>
      <vt:lpstr>T_P</vt:lpstr>
      <vt:lpstr>T_S</vt:lpstr>
      <vt:lpstr>T_st_K</vt:lpstr>
      <vt:lpstr>T_STP_K</vt:lpstr>
      <vt:lpstr>v_1_CB</vt:lpstr>
      <vt:lpstr>v_1_CU</vt:lpstr>
      <vt:lpstr>v_1_GCH4</vt:lpstr>
      <vt:lpstr>v_1_GCH4_atm</vt:lpstr>
      <vt:lpstr>v_1_GCO2</vt:lpstr>
      <vt:lpstr>v_1_GCO2_atm</vt:lpstr>
      <vt:lpstr>v_1_GH2</vt:lpstr>
      <vt:lpstr>v_1_GH2_atm</vt:lpstr>
      <vt:lpstr>v_1_GH2S</vt:lpstr>
      <vt:lpstr>v_1_GH2S_atm</vt:lpstr>
      <vt:lpstr>v_1_GN2</vt:lpstr>
      <vt:lpstr>v_1_GN2_atm</vt:lpstr>
      <vt:lpstr>v_1_GN2O</vt:lpstr>
      <vt:lpstr>v_1_GN2O_atm</vt:lpstr>
      <vt:lpstr>v_1_GNH3</vt:lpstr>
      <vt:lpstr>v_1_GNH3_atm</vt:lpstr>
      <vt:lpstr>v_1_GNO</vt:lpstr>
      <vt:lpstr>v_1_GNO_atm</vt:lpstr>
      <vt:lpstr>v_1_GO2</vt:lpstr>
      <vt:lpstr>v_1_GO2_atm</vt:lpstr>
      <vt:lpstr>v_1_H</vt:lpstr>
      <vt:lpstr>v_1_SALPHA</vt:lpstr>
      <vt:lpstr>v_1_SAN</vt:lpstr>
      <vt:lpstr>v_1_SB</vt:lpstr>
      <vt:lpstr>v_1_SCa</vt:lpstr>
      <vt:lpstr>v_1_SCAT</vt:lpstr>
      <vt:lpstr>v_1_SCH4</vt:lpstr>
      <vt:lpstr>v_1_SCO2</vt:lpstr>
      <vt:lpstr>v_1_SFe2</vt:lpstr>
      <vt:lpstr>v_1_SH2</vt:lpstr>
      <vt:lpstr>v_1_SH2S</vt:lpstr>
      <vt:lpstr>v_1_SK</vt:lpstr>
      <vt:lpstr>v_1_SMEOL</vt:lpstr>
      <vt:lpstr>v_1_SMg</vt:lpstr>
      <vt:lpstr>v_1_SMM_index</vt:lpstr>
      <vt:lpstr>v_1_SN_B</vt:lpstr>
      <vt:lpstr>v_1_SN2</vt:lpstr>
      <vt:lpstr>v_1_SN2O</vt:lpstr>
      <vt:lpstr>v_1_SNH2OH</vt:lpstr>
      <vt:lpstr>v_1_SNHx</vt:lpstr>
      <vt:lpstr>v_1_SNO_AOB</vt:lpstr>
      <vt:lpstr>v_1_SNO_OHO</vt:lpstr>
      <vt:lpstr>v_1_SNO2</vt:lpstr>
      <vt:lpstr>v_1_SNO3</vt:lpstr>
      <vt:lpstr>v_1_SO2</vt:lpstr>
      <vt:lpstr>v_1_SP_B</vt:lpstr>
      <vt:lpstr>v_1_SPO4</vt:lpstr>
      <vt:lpstr>v_1_SSO4</vt:lpstr>
      <vt:lpstr>v_1_SU</vt:lpstr>
      <vt:lpstr>v_1_SVFA</vt:lpstr>
      <vt:lpstr>v_1_XACP</vt:lpstr>
      <vt:lpstr>v_1_XAMETO</vt:lpstr>
      <vt:lpstr>v_1_XAMX</vt:lpstr>
      <vt:lpstr>v_1_XAOB</vt:lpstr>
      <vt:lpstr>v_1_XASRO</vt:lpstr>
      <vt:lpstr>v_1_XB</vt:lpstr>
      <vt:lpstr>v_1_XBSH</vt:lpstr>
      <vt:lpstr>v_1_XCaCO3</vt:lpstr>
      <vt:lpstr>v_1_XCASTO</vt:lpstr>
      <vt:lpstr>v_1_XE</vt:lpstr>
      <vt:lpstr>v_1_XE_ana</vt:lpstr>
      <vt:lpstr>v_1_XFeS</vt:lpstr>
      <vt:lpstr>v_1_XGLY</vt:lpstr>
      <vt:lpstr>v_1_XHAO_H</vt:lpstr>
      <vt:lpstr>v_1_XHAO_H_P</vt:lpstr>
      <vt:lpstr>v_1_XHAO_H_P_old</vt:lpstr>
      <vt:lpstr>v_1_XHAO_L</vt:lpstr>
      <vt:lpstr>v_1_XHAO_L_P</vt:lpstr>
      <vt:lpstr>v_1_XHAO_L_P_old</vt:lpstr>
      <vt:lpstr>v_1_XHAO_old</vt:lpstr>
      <vt:lpstr>v_1_XHFO_H</vt:lpstr>
      <vt:lpstr>v_1_XHFO_H_P</vt:lpstr>
      <vt:lpstr>v_1_XHFO_H_P_old</vt:lpstr>
      <vt:lpstr>v_1_XHFO_L</vt:lpstr>
      <vt:lpstr>v_1_XHFO_L_P</vt:lpstr>
      <vt:lpstr>v_1_XHFO_L_P_old</vt:lpstr>
      <vt:lpstr>v_1_XHFO_old</vt:lpstr>
      <vt:lpstr>v_1_XHMETO</vt:lpstr>
      <vt:lpstr>v_1_XHSRO</vt:lpstr>
      <vt:lpstr>v_1_XINORG</vt:lpstr>
      <vt:lpstr>v_1_XMEOLO</vt:lpstr>
      <vt:lpstr>v_1_XMOB</vt:lpstr>
      <vt:lpstr>v_1_XN_B</vt:lpstr>
      <vt:lpstr>v_1_XN_U</vt:lpstr>
      <vt:lpstr>v_1_XNOB</vt:lpstr>
      <vt:lpstr>v_1_XOHO</vt:lpstr>
      <vt:lpstr>v_1_XP_B</vt:lpstr>
      <vt:lpstr>v_1_XP_U</vt:lpstr>
      <vt:lpstr>v_1_XPHA</vt:lpstr>
      <vt:lpstr>v_1_XPP</vt:lpstr>
      <vt:lpstr>v_1_XS</vt:lpstr>
      <vt:lpstr>v_1_XSOO</vt:lpstr>
      <vt:lpstr>v_1_XSTR</vt:lpstr>
      <vt:lpstr>v_1_XU</vt:lpstr>
      <vt:lpstr>v_1_XVivi</vt:lpstr>
      <vt:lpstr>v_10_CB</vt:lpstr>
      <vt:lpstr>v_10_CU</vt:lpstr>
      <vt:lpstr>v_10_GCH4</vt:lpstr>
      <vt:lpstr>v_10_GCH4_atm</vt:lpstr>
      <vt:lpstr>v_10_GCO2</vt:lpstr>
      <vt:lpstr>v_10_GCO2_atm</vt:lpstr>
      <vt:lpstr>v_10_GH2</vt:lpstr>
      <vt:lpstr>v_10_GH2_atm</vt:lpstr>
      <vt:lpstr>v_10_GH2S</vt:lpstr>
      <vt:lpstr>v_10_GH2S_atm</vt:lpstr>
      <vt:lpstr>v_10_GN2</vt:lpstr>
      <vt:lpstr>v_10_GN2_atm</vt:lpstr>
      <vt:lpstr>v_10_GN2O</vt:lpstr>
      <vt:lpstr>v_10_GN2O_atm</vt:lpstr>
      <vt:lpstr>v_10_GNH3</vt:lpstr>
      <vt:lpstr>v_10_GNH3_atm</vt:lpstr>
      <vt:lpstr>v_10_GNO</vt:lpstr>
      <vt:lpstr>v_10_GNO_atm</vt:lpstr>
      <vt:lpstr>v_10_GO2</vt:lpstr>
      <vt:lpstr>v_10_GO2_atm</vt:lpstr>
      <vt:lpstr>v_10_H</vt:lpstr>
      <vt:lpstr>v_10_SALPHA</vt:lpstr>
      <vt:lpstr>v_10_SAN</vt:lpstr>
      <vt:lpstr>v_10_SB</vt:lpstr>
      <vt:lpstr>v_10_SCa</vt:lpstr>
      <vt:lpstr>v_10_SCAT</vt:lpstr>
      <vt:lpstr>v_10_SCH4</vt:lpstr>
      <vt:lpstr>v_10_SCO2</vt:lpstr>
      <vt:lpstr>v_10_SFe2</vt:lpstr>
      <vt:lpstr>v_10_SH2</vt:lpstr>
      <vt:lpstr>v_10_SH2S</vt:lpstr>
      <vt:lpstr>v_10_SK</vt:lpstr>
      <vt:lpstr>v_10_SMEOL</vt:lpstr>
      <vt:lpstr>v_10_SMg</vt:lpstr>
      <vt:lpstr>v_10_SMM_index</vt:lpstr>
      <vt:lpstr>v_10_SN_B</vt:lpstr>
      <vt:lpstr>v_10_SN2</vt:lpstr>
      <vt:lpstr>v_10_SN2O</vt:lpstr>
      <vt:lpstr>v_10_SNH2OH</vt:lpstr>
      <vt:lpstr>v_10_SNHx</vt:lpstr>
      <vt:lpstr>v_10_SNO_AOB</vt:lpstr>
      <vt:lpstr>v_10_SNO_OHO</vt:lpstr>
      <vt:lpstr>v_10_SNO2</vt:lpstr>
      <vt:lpstr>v_10_SNO3</vt:lpstr>
      <vt:lpstr>v_10_SO2</vt:lpstr>
      <vt:lpstr>v_10_SP_B</vt:lpstr>
      <vt:lpstr>v_10_SPO4</vt:lpstr>
      <vt:lpstr>v_10_SSO4</vt:lpstr>
      <vt:lpstr>v_10_SU</vt:lpstr>
      <vt:lpstr>v_10_SVFA</vt:lpstr>
      <vt:lpstr>v_10_XACP</vt:lpstr>
      <vt:lpstr>v_10_XAMETO</vt:lpstr>
      <vt:lpstr>v_10_XAMX</vt:lpstr>
      <vt:lpstr>v_10_XAOB</vt:lpstr>
      <vt:lpstr>v_10_XASRO</vt:lpstr>
      <vt:lpstr>v_10_XB</vt:lpstr>
      <vt:lpstr>v_10_XBSH</vt:lpstr>
      <vt:lpstr>v_10_XCaCO3</vt:lpstr>
      <vt:lpstr>v_10_XCASTO</vt:lpstr>
      <vt:lpstr>v_10_XE</vt:lpstr>
      <vt:lpstr>v_10_XE_ana</vt:lpstr>
      <vt:lpstr>v_10_XFeS</vt:lpstr>
      <vt:lpstr>v_10_XGLY</vt:lpstr>
      <vt:lpstr>v_10_XHAO_H</vt:lpstr>
      <vt:lpstr>v_10_XHAO_H_P</vt:lpstr>
      <vt:lpstr>v_10_XHAO_H_P_old</vt:lpstr>
      <vt:lpstr>v_10_XHAO_L</vt:lpstr>
      <vt:lpstr>v_10_XHAO_L_P</vt:lpstr>
      <vt:lpstr>v_10_XHAO_L_P_old</vt:lpstr>
      <vt:lpstr>v_10_XHAO_old</vt:lpstr>
      <vt:lpstr>v_10_XHFO_H</vt:lpstr>
      <vt:lpstr>v_10_XHFO_H_P</vt:lpstr>
      <vt:lpstr>v_10_XHFO_H_P_old</vt:lpstr>
      <vt:lpstr>v_10_XHFO_L</vt:lpstr>
      <vt:lpstr>v_10_XHFO_L_P</vt:lpstr>
      <vt:lpstr>v_10_XHFO_L_P_old</vt:lpstr>
      <vt:lpstr>v_10_XHFO_old</vt:lpstr>
      <vt:lpstr>v_10_XHMETO</vt:lpstr>
      <vt:lpstr>v_10_XHSRO</vt:lpstr>
      <vt:lpstr>v_10_XINORG</vt:lpstr>
      <vt:lpstr>v_10_XMEOLO</vt:lpstr>
      <vt:lpstr>v_10_XMOB</vt:lpstr>
      <vt:lpstr>v_10_XN_B</vt:lpstr>
      <vt:lpstr>v_10_XN_U</vt:lpstr>
      <vt:lpstr>v_10_XNOB</vt:lpstr>
      <vt:lpstr>v_10_XOHO</vt:lpstr>
      <vt:lpstr>v_10_XP_B</vt:lpstr>
      <vt:lpstr>v_10_XP_U</vt:lpstr>
      <vt:lpstr>v_10_XPHA</vt:lpstr>
      <vt:lpstr>v_10_XPP</vt:lpstr>
      <vt:lpstr>v_10_XS</vt:lpstr>
      <vt:lpstr>v_10_XSOO</vt:lpstr>
      <vt:lpstr>v_10_XSTR</vt:lpstr>
      <vt:lpstr>v_10_XU</vt:lpstr>
      <vt:lpstr>v_10_XVivi</vt:lpstr>
      <vt:lpstr>v_100_CB</vt:lpstr>
      <vt:lpstr>v_100_CU</vt:lpstr>
      <vt:lpstr>v_100_GCH4</vt:lpstr>
      <vt:lpstr>v_100_GCH4_atm</vt:lpstr>
      <vt:lpstr>v_100_GCO2</vt:lpstr>
      <vt:lpstr>v_100_GCO2_atm</vt:lpstr>
      <vt:lpstr>v_100_GH2</vt:lpstr>
      <vt:lpstr>v_100_GH2_atm</vt:lpstr>
      <vt:lpstr>v_100_GH2S</vt:lpstr>
      <vt:lpstr>v_100_GH2S_atm</vt:lpstr>
      <vt:lpstr>v_100_GN2</vt:lpstr>
      <vt:lpstr>v_100_GN2_atm</vt:lpstr>
      <vt:lpstr>v_100_GN2O</vt:lpstr>
      <vt:lpstr>v_100_GN2O_atm</vt:lpstr>
      <vt:lpstr>v_100_GNH3</vt:lpstr>
      <vt:lpstr>v_100_GNH3_atm</vt:lpstr>
      <vt:lpstr>v_100_GNO</vt:lpstr>
      <vt:lpstr>v_100_GNO_atm</vt:lpstr>
      <vt:lpstr>v_100_GO2</vt:lpstr>
      <vt:lpstr>v_100_GO2_atm</vt:lpstr>
      <vt:lpstr>v_100_H</vt:lpstr>
      <vt:lpstr>v_100_SALPHA</vt:lpstr>
      <vt:lpstr>v_100_SAN</vt:lpstr>
      <vt:lpstr>v_100_SB</vt:lpstr>
      <vt:lpstr>v_100_SCa</vt:lpstr>
      <vt:lpstr>v_100_SCAT</vt:lpstr>
      <vt:lpstr>v_100_SCH4</vt:lpstr>
      <vt:lpstr>v_100_SCO2</vt:lpstr>
      <vt:lpstr>v_100_SFe2</vt:lpstr>
      <vt:lpstr>v_100_SH2</vt:lpstr>
      <vt:lpstr>v_100_SH2S</vt:lpstr>
      <vt:lpstr>v_100_SK</vt:lpstr>
      <vt:lpstr>v_100_SMEOL</vt:lpstr>
      <vt:lpstr>v_100_SMg</vt:lpstr>
      <vt:lpstr>v_100_SMM_index</vt:lpstr>
      <vt:lpstr>v_100_SN_B</vt:lpstr>
      <vt:lpstr>v_100_SN2</vt:lpstr>
      <vt:lpstr>v_100_SN2O</vt:lpstr>
      <vt:lpstr>v_100_SNH2OH</vt:lpstr>
      <vt:lpstr>v_100_SNHx</vt:lpstr>
      <vt:lpstr>v_100_SNO_AOB</vt:lpstr>
      <vt:lpstr>v_100_SNO_OHO</vt:lpstr>
      <vt:lpstr>v_100_SNO2</vt:lpstr>
      <vt:lpstr>v_100_SNO3</vt:lpstr>
      <vt:lpstr>v_100_SO2</vt:lpstr>
      <vt:lpstr>v_100_SP_B</vt:lpstr>
      <vt:lpstr>v_100_SPO4</vt:lpstr>
      <vt:lpstr>v_100_SSO4</vt:lpstr>
      <vt:lpstr>v_100_SU</vt:lpstr>
      <vt:lpstr>v_100_SVFA</vt:lpstr>
      <vt:lpstr>v_100_XACP</vt:lpstr>
      <vt:lpstr>v_100_XAMETO</vt:lpstr>
      <vt:lpstr>v_100_XAMX</vt:lpstr>
      <vt:lpstr>v_100_XAOB</vt:lpstr>
      <vt:lpstr>v_100_XASRO</vt:lpstr>
      <vt:lpstr>v_100_XB</vt:lpstr>
      <vt:lpstr>v_100_XBSH</vt:lpstr>
      <vt:lpstr>v_100_XCaCO3</vt:lpstr>
      <vt:lpstr>v_100_XCASTO</vt:lpstr>
      <vt:lpstr>v_100_XE</vt:lpstr>
      <vt:lpstr>v_100_XE_ana</vt:lpstr>
      <vt:lpstr>v_100_XFeS</vt:lpstr>
      <vt:lpstr>v_100_XGLY</vt:lpstr>
      <vt:lpstr>v_100_XHAO_H</vt:lpstr>
      <vt:lpstr>v_100_XHAO_H_P</vt:lpstr>
      <vt:lpstr>v_100_XHAO_H_P_old</vt:lpstr>
      <vt:lpstr>v_100_XHAO_L</vt:lpstr>
      <vt:lpstr>v_100_XHAO_L_P</vt:lpstr>
      <vt:lpstr>v_100_XHAO_L_P_old</vt:lpstr>
      <vt:lpstr>v_100_XHAO_old</vt:lpstr>
      <vt:lpstr>v_100_XHFO_H</vt:lpstr>
      <vt:lpstr>v_100_XHFO_H_P</vt:lpstr>
      <vt:lpstr>v_100_XHFO_H_P_old</vt:lpstr>
      <vt:lpstr>v_100_XHFO_L</vt:lpstr>
      <vt:lpstr>v_100_XHFO_L_P</vt:lpstr>
      <vt:lpstr>v_100_XHFO_L_P_old</vt:lpstr>
      <vt:lpstr>v_100_XHFO_old</vt:lpstr>
      <vt:lpstr>v_100_XHMETO</vt:lpstr>
      <vt:lpstr>v_100_XHSRO</vt:lpstr>
      <vt:lpstr>v_100_XINORG</vt:lpstr>
      <vt:lpstr>v_100_XMEOLO</vt:lpstr>
      <vt:lpstr>v_100_XMOB</vt:lpstr>
      <vt:lpstr>v_100_XN_B</vt:lpstr>
      <vt:lpstr>v_100_XN_U</vt:lpstr>
      <vt:lpstr>v_100_XNOB</vt:lpstr>
      <vt:lpstr>v_100_XOHO</vt:lpstr>
      <vt:lpstr>v_100_XP_B</vt:lpstr>
      <vt:lpstr>v_100_XP_U</vt:lpstr>
      <vt:lpstr>v_100_XPHA</vt:lpstr>
      <vt:lpstr>v_100_XPP</vt:lpstr>
      <vt:lpstr>v_100_XS</vt:lpstr>
      <vt:lpstr>v_100_XSOO</vt:lpstr>
      <vt:lpstr>v_100_XSTR</vt:lpstr>
      <vt:lpstr>v_100_XU</vt:lpstr>
      <vt:lpstr>v_100_XVivi</vt:lpstr>
      <vt:lpstr>v_101_CB</vt:lpstr>
      <vt:lpstr>v_101_CU</vt:lpstr>
      <vt:lpstr>v_101_GCH4</vt:lpstr>
      <vt:lpstr>v_101_GCH4_atm</vt:lpstr>
      <vt:lpstr>v_101_GCO2</vt:lpstr>
      <vt:lpstr>v_101_GCO2_atm</vt:lpstr>
      <vt:lpstr>v_101_GH2</vt:lpstr>
      <vt:lpstr>v_101_GH2_atm</vt:lpstr>
      <vt:lpstr>v_101_GH2S</vt:lpstr>
      <vt:lpstr>v_101_GH2S_atm</vt:lpstr>
      <vt:lpstr>v_101_GN2</vt:lpstr>
      <vt:lpstr>v_101_GN2_atm</vt:lpstr>
      <vt:lpstr>v_101_GN2O</vt:lpstr>
      <vt:lpstr>v_101_GN2O_atm</vt:lpstr>
      <vt:lpstr>v_101_GNH3</vt:lpstr>
      <vt:lpstr>v_101_GNH3_atm</vt:lpstr>
      <vt:lpstr>v_101_GNO</vt:lpstr>
      <vt:lpstr>v_101_GNO_atm</vt:lpstr>
      <vt:lpstr>v_101_GO2</vt:lpstr>
      <vt:lpstr>v_101_GO2_atm</vt:lpstr>
      <vt:lpstr>v_101_H</vt:lpstr>
      <vt:lpstr>v_101_SALPHA</vt:lpstr>
      <vt:lpstr>v_101_SAN</vt:lpstr>
      <vt:lpstr>v_101_SB</vt:lpstr>
      <vt:lpstr>v_101_SCa</vt:lpstr>
      <vt:lpstr>v_101_SCAT</vt:lpstr>
      <vt:lpstr>v_101_SCH4</vt:lpstr>
      <vt:lpstr>v_101_SCO2</vt:lpstr>
      <vt:lpstr>v_101_SFe2</vt:lpstr>
      <vt:lpstr>v_101_SH2</vt:lpstr>
      <vt:lpstr>v_101_SH2S</vt:lpstr>
      <vt:lpstr>v_101_SK</vt:lpstr>
      <vt:lpstr>v_101_SMEOL</vt:lpstr>
      <vt:lpstr>v_101_SMg</vt:lpstr>
      <vt:lpstr>v_101_SMM_index</vt:lpstr>
      <vt:lpstr>v_101_SN_B</vt:lpstr>
      <vt:lpstr>v_101_SN2</vt:lpstr>
      <vt:lpstr>v_101_SN2O</vt:lpstr>
      <vt:lpstr>v_101_SNH2OH</vt:lpstr>
      <vt:lpstr>v_101_SNHx</vt:lpstr>
      <vt:lpstr>v_101_SNO_AOB</vt:lpstr>
      <vt:lpstr>v_101_SNO_OHO</vt:lpstr>
      <vt:lpstr>v_101_SNO2</vt:lpstr>
      <vt:lpstr>v_101_SNO3</vt:lpstr>
      <vt:lpstr>v_101_SO2</vt:lpstr>
      <vt:lpstr>v_101_SP_B</vt:lpstr>
      <vt:lpstr>v_101_SPO4</vt:lpstr>
      <vt:lpstr>v_101_SSO4</vt:lpstr>
      <vt:lpstr>v_101_SU</vt:lpstr>
      <vt:lpstr>v_101_SVFA</vt:lpstr>
      <vt:lpstr>v_101_XACP</vt:lpstr>
      <vt:lpstr>v_101_XAMETO</vt:lpstr>
      <vt:lpstr>v_101_XAMX</vt:lpstr>
      <vt:lpstr>v_101_XAOB</vt:lpstr>
      <vt:lpstr>v_101_XASRO</vt:lpstr>
      <vt:lpstr>v_101_XB</vt:lpstr>
      <vt:lpstr>v_101_XBSH</vt:lpstr>
      <vt:lpstr>v_101_XCaCO3</vt:lpstr>
      <vt:lpstr>v_101_XCASTO</vt:lpstr>
      <vt:lpstr>v_101_XE</vt:lpstr>
      <vt:lpstr>v_101_XE_ana</vt:lpstr>
      <vt:lpstr>v_101_XFeS</vt:lpstr>
      <vt:lpstr>v_101_XGLY</vt:lpstr>
      <vt:lpstr>v_101_XHAO_H</vt:lpstr>
      <vt:lpstr>v_101_XHAO_H_P</vt:lpstr>
      <vt:lpstr>v_101_XHAO_H_P_old</vt:lpstr>
      <vt:lpstr>v_101_XHAO_L</vt:lpstr>
      <vt:lpstr>v_101_XHAO_L_P</vt:lpstr>
      <vt:lpstr>v_101_XHAO_L_P_old</vt:lpstr>
      <vt:lpstr>v_101_XHAO_old</vt:lpstr>
      <vt:lpstr>v_101_XHFO_H</vt:lpstr>
      <vt:lpstr>v_101_XHFO_H_P</vt:lpstr>
      <vt:lpstr>v_101_XHFO_H_P_old</vt:lpstr>
      <vt:lpstr>v_101_XHFO_L</vt:lpstr>
      <vt:lpstr>v_101_XHFO_L_P</vt:lpstr>
      <vt:lpstr>v_101_XHFO_L_P_old</vt:lpstr>
      <vt:lpstr>v_101_XHFO_old</vt:lpstr>
      <vt:lpstr>v_101_XHMETO</vt:lpstr>
      <vt:lpstr>v_101_XHSRO</vt:lpstr>
      <vt:lpstr>v_101_XINORG</vt:lpstr>
      <vt:lpstr>v_101_XMEOLO</vt:lpstr>
      <vt:lpstr>v_101_XMOB</vt:lpstr>
      <vt:lpstr>v_101_XN_B</vt:lpstr>
      <vt:lpstr>v_101_XN_U</vt:lpstr>
      <vt:lpstr>v_101_XNOB</vt:lpstr>
      <vt:lpstr>v_101_XOHO</vt:lpstr>
      <vt:lpstr>v_101_XP_B</vt:lpstr>
      <vt:lpstr>v_101_XP_U</vt:lpstr>
      <vt:lpstr>v_101_XPHA</vt:lpstr>
      <vt:lpstr>v_101_XPP</vt:lpstr>
      <vt:lpstr>v_101_XS</vt:lpstr>
      <vt:lpstr>v_101_XSOO</vt:lpstr>
      <vt:lpstr>v_101_XSTR</vt:lpstr>
      <vt:lpstr>v_101_XU</vt:lpstr>
      <vt:lpstr>v_101_XVivi</vt:lpstr>
      <vt:lpstr>v_102_CB</vt:lpstr>
      <vt:lpstr>v_102_CU</vt:lpstr>
      <vt:lpstr>v_102_GCH4</vt:lpstr>
      <vt:lpstr>v_102_GCH4_atm</vt:lpstr>
      <vt:lpstr>v_102_GCO2</vt:lpstr>
      <vt:lpstr>v_102_GCO2_atm</vt:lpstr>
      <vt:lpstr>v_102_GH2</vt:lpstr>
      <vt:lpstr>v_102_GH2_atm</vt:lpstr>
      <vt:lpstr>v_102_GH2S</vt:lpstr>
      <vt:lpstr>v_102_GH2S_atm</vt:lpstr>
      <vt:lpstr>v_102_GN2</vt:lpstr>
      <vt:lpstr>v_102_GN2_atm</vt:lpstr>
      <vt:lpstr>v_102_GN2O</vt:lpstr>
      <vt:lpstr>v_102_GN2O_atm</vt:lpstr>
      <vt:lpstr>v_102_GNH3</vt:lpstr>
      <vt:lpstr>v_102_GNH3_atm</vt:lpstr>
      <vt:lpstr>v_102_GNO</vt:lpstr>
      <vt:lpstr>v_102_GNO_atm</vt:lpstr>
      <vt:lpstr>v_102_GO2</vt:lpstr>
      <vt:lpstr>v_102_GO2_atm</vt:lpstr>
      <vt:lpstr>v_102_H</vt:lpstr>
      <vt:lpstr>v_102_SALPHA</vt:lpstr>
      <vt:lpstr>v_102_SAN</vt:lpstr>
      <vt:lpstr>v_102_SB</vt:lpstr>
      <vt:lpstr>v_102_SCa</vt:lpstr>
      <vt:lpstr>v_102_SCAT</vt:lpstr>
      <vt:lpstr>v_102_SCH4</vt:lpstr>
      <vt:lpstr>v_102_SCO2</vt:lpstr>
      <vt:lpstr>v_102_SFe2</vt:lpstr>
      <vt:lpstr>v_102_SH2</vt:lpstr>
      <vt:lpstr>v_102_SH2S</vt:lpstr>
      <vt:lpstr>v_102_SK</vt:lpstr>
      <vt:lpstr>v_102_SMEOL</vt:lpstr>
      <vt:lpstr>v_102_SMg</vt:lpstr>
      <vt:lpstr>v_102_SMM_index</vt:lpstr>
      <vt:lpstr>v_102_SN_B</vt:lpstr>
      <vt:lpstr>v_102_SN2</vt:lpstr>
      <vt:lpstr>v_102_SN2O</vt:lpstr>
      <vt:lpstr>v_102_SNH2OH</vt:lpstr>
      <vt:lpstr>v_102_SNHx</vt:lpstr>
      <vt:lpstr>v_102_SNO_AOB</vt:lpstr>
      <vt:lpstr>v_102_SNO_OHO</vt:lpstr>
      <vt:lpstr>v_102_SNO2</vt:lpstr>
      <vt:lpstr>v_102_SNO3</vt:lpstr>
      <vt:lpstr>v_102_SO2</vt:lpstr>
      <vt:lpstr>v_102_SP_B</vt:lpstr>
      <vt:lpstr>v_102_SPO4</vt:lpstr>
      <vt:lpstr>v_102_SSO4</vt:lpstr>
      <vt:lpstr>v_102_SU</vt:lpstr>
      <vt:lpstr>v_102_SVFA</vt:lpstr>
      <vt:lpstr>v_102_XACP</vt:lpstr>
      <vt:lpstr>v_102_XAMETO</vt:lpstr>
      <vt:lpstr>v_102_XAMX</vt:lpstr>
      <vt:lpstr>v_102_XAOB</vt:lpstr>
      <vt:lpstr>v_102_XASRO</vt:lpstr>
      <vt:lpstr>v_102_XB</vt:lpstr>
      <vt:lpstr>v_102_XBSH</vt:lpstr>
      <vt:lpstr>v_102_XCaCO3</vt:lpstr>
      <vt:lpstr>v_102_XCASTO</vt:lpstr>
      <vt:lpstr>v_102_XE</vt:lpstr>
      <vt:lpstr>v_102_XE_ana</vt:lpstr>
      <vt:lpstr>v_102_XFeS</vt:lpstr>
      <vt:lpstr>v_102_XGLY</vt:lpstr>
      <vt:lpstr>v_102_XHAO_H</vt:lpstr>
      <vt:lpstr>v_102_XHAO_H_P</vt:lpstr>
      <vt:lpstr>v_102_XHAO_H_P_old</vt:lpstr>
      <vt:lpstr>v_102_XHAO_L</vt:lpstr>
      <vt:lpstr>v_102_XHAO_L_P</vt:lpstr>
      <vt:lpstr>v_102_XHAO_L_P_old</vt:lpstr>
      <vt:lpstr>v_102_XHAO_old</vt:lpstr>
      <vt:lpstr>v_102_XHFO_H</vt:lpstr>
      <vt:lpstr>v_102_XHFO_H_P</vt:lpstr>
      <vt:lpstr>v_102_XHFO_H_P_old</vt:lpstr>
      <vt:lpstr>v_102_XHFO_L</vt:lpstr>
      <vt:lpstr>v_102_XHFO_L_P</vt:lpstr>
      <vt:lpstr>v_102_XHFO_L_P_old</vt:lpstr>
      <vt:lpstr>v_102_XHFO_old</vt:lpstr>
      <vt:lpstr>v_102_XHMETO</vt:lpstr>
      <vt:lpstr>v_102_XHSRO</vt:lpstr>
      <vt:lpstr>v_102_XINORG</vt:lpstr>
      <vt:lpstr>v_102_XMEOLO</vt:lpstr>
      <vt:lpstr>v_102_XMOB</vt:lpstr>
      <vt:lpstr>v_102_XN_B</vt:lpstr>
      <vt:lpstr>v_102_XN_U</vt:lpstr>
      <vt:lpstr>v_102_XNOB</vt:lpstr>
      <vt:lpstr>v_102_XOHO</vt:lpstr>
      <vt:lpstr>v_102_XP_B</vt:lpstr>
      <vt:lpstr>v_102_XP_U</vt:lpstr>
      <vt:lpstr>v_102_XPHA</vt:lpstr>
      <vt:lpstr>v_102_XPP</vt:lpstr>
      <vt:lpstr>v_102_XS</vt:lpstr>
      <vt:lpstr>v_102_XSOO</vt:lpstr>
      <vt:lpstr>v_102_XSTR</vt:lpstr>
      <vt:lpstr>v_102_XU</vt:lpstr>
      <vt:lpstr>v_102_XVivi</vt:lpstr>
      <vt:lpstr>v_103_CB</vt:lpstr>
      <vt:lpstr>v_103_CU</vt:lpstr>
      <vt:lpstr>v_103_GCH4</vt:lpstr>
      <vt:lpstr>v_103_GCH4_atm</vt:lpstr>
      <vt:lpstr>v_103_GCO2</vt:lpstr>
      <vt:lpstr>v_103_GCO2_atm</vt:lpstr>
      <vt:lpstr>v_103_GH2</vt:lpstr>
      <vt:lpstr>v_103_GH2_atm</vt:lpstr>
      <vt:lpstr>v_103_GH2S</vt:lpstr>
      <vt:lpstr>v_103_GH2S_atm</vt:lpstr>
      <vt:lpstr>v_103_GN2</vt:lpstr>
      <vt:lpstr>v_103_GN2_atm</vt:lpstr>
      <vt:lpstr>v_103_GN2O</vt:lpstr>
      <vt:lpstr>v_103_GN2O_atm</vt:lpstr>
      <vt:lpstr>v_103_GNH3</vt:lpstr>
      <vt:lpstr>v_103_GNH3_atm</vt:lpstr>
      <vt:lpstr>v_103_GNO</vt:lpstr>
      <vt:lpstr>v_103_GNO_atm</vt:lpstr>
      <vt:lpstr>v_103_GO2</vt:lpstr>
      <vt:lpstr>v_103_GO2_atm</vt:lpstr>
      <vt:lpstr>v_103_H</vt:lpstr>
      <vt:lpstr>v_103_SALPHA</vt:lpstr>
      <vt:lpstr>v_103_SAN</vt:lpstr>
      <vt:lpstr>v_103_SB</vt:lpstr>
      <vt:lpstr>v_103_SCa</vt:lpstr>
      <vt:lpstr>v_103_SCAT</vt:lpstr>
      <vt:lpstr>v_103_SCH4</vt:lpstr>
      <vt:lpstr>v_103_SCO2</vt:lpstr>
      <vt:lpstr>v_103_SFe2</vt:lpstr>
      <vt:lpstr>v_103_SH2</vt:lpstr>
      <vt:lpstr>v_103_SH2S</vt:lpstr>
      <vt:lpstr>v_103_SK</vt:lpstr>
      <vt:lpstr>v_103_SMEOL</vt:lpstr>
      <vt:lpstr>v_103_SMg</vt:lpstr>
      <vt:lpstr>v_103_SMM_index</vt:lpstr>
      <vt:lpstr>v_103_SN_B</vt:lpstr>
      <vt:lpstr>v_103_SN2</vt:lpstr>
      <vt:lpstr>v_103_SN2O</vt:lpstr>
      <vt:lpstr>v_103_SNH2OH</vt:lpstr>
      <vt:lpstr>v_103_SNHx</vt:lpstr>
      <vt:lpstr>v_103_SNO_AOB</vt:lpstr>
      <vt:lpstr>v_103_SNO_OHO</vt:lpstr>
      <vt:lpstr>v_103_SNO2</vt:lpstr>
      <vt:lpstr>v_103_SNO3</vt:lpstr>
      <vt:lpstr>v_103_SO2</vt:lpstr>
      <vt:lpstr>v_103_SP_B</vt:lpstr>
      <vt:lpstr>v_103_SPO4</vt:lpstr>
      <vt:lpstr>v_103_SSO4</vt:lpstr>
      <vt:lpstr>v_103_SU</vt:lpstr>
      <vt:lpstr>v_103_SVFA</vt:lpstr>
      <vt:lpstr>v_103_XACP</vt:lpstr>
      <vt:lpstr>v_103_XAMETO</vt:lpstr>
      <vt:lpstr>v_103_XAMX</vt:lpstr>
      <vt:lpstr>v_103_XAOB</vt:lpstr>
      <vt:lpstr>v_103_XASRO</vt:lpstr>
      <vt:lpstr>v_103_XB</vt:lpstr>
      <vt:lpstr>v_103_XBSH</vt:lpstr>
      <vt:lpstr>v_103_XCaCO3</vt:lpstr>
      <vt:lpstr>v_103_XCASTO</vt:lpstr>
      <vt:lpstr>v_103_XE</vt:lpstr>
      <vt:lpstr>v_103_XE_ana</vt:lpstr>
      <vt:lpstr>v_103_XFeS</vt:lpstr>
      <vt:lpstr>v_103_XGLY</vt:lpstr>
      <vt:lpstr>v_103_XHAO_H</vt:lpstr>
      <vt:lpstr>v_103_XHAO_H_P</vt:lpstr>
      <vt:lpstr>v_103_XHAO_H_P_old</vt:lpstr>
      <vt:lpstr>v_103_XHAO_L</vt:lpstr>
      <vt:lpstr>v_103_XHAO_L_P</vt:lpstr>
      <vt:lpstr>v_103_XHAO_L_P_old</vt:lpstr>
      <vt:lpstr>v_103_XHAO_old</vt:lpstr>
      <vt:lpstr>v_103_XHFO_H</vt:lpstr>
      <vt:lpstr>v_103_XHFO_H_P</vt:lpstr>
      <vt:lpstr>v_103_XHFO_H_P_old</vt:lpstr>
      <vt:lpstr>v_103_XHFO_L</vt:lpstr>
      <vt:lpstr>v_103_XHFO_L_P</vt:lpstr>
      <vt:lpstr>v_103_XHFO_L_P_old</vt:lpstr>
      <vt:lpstr>v_103_XHFO_old</vt:lpstr>
      <vt:lpstr>v_103_XHMETO</vt:lpstr>
      <vt:lpstr>v_103_XHSRO</vt:lpstr>
      <vt:lpstr>v_103_XINORG</vt:lpstr>
      <vt:lpstr>v_103_XMEOLO</vt:lpstr>
      <vt:lpstr>v_103_XMOB</vt:lpstr>
      <vt:lpstr>v_103_XN_B</vt:lpstr>
      <vt:lpstr>v_103_XN_U</vt:lpstr>
      <vt:lpstr>v_103_XNOB</vt:lpstr>
      <vt:lpstr>v_103_XOHO</vt:lpstr>
      <vt:lpstr>v_103_XP_B</vt:lpstr>
      <vt:lpstr>v_103_XP_U</vt:lpstr>
      <vt:lpstr>v_103_XPHA</vt:lpstr>
      <vt:lpstr>v_103_XPP</vt:lpstr>
      <vt:lpstr>v_103_XS</vt:lpstr>
      <vt:lpstr>v_103_XSOO</vt:lpstr>
      <vt:lpstr>v_103_XSTR</vt:lpstr>
      <vt:lpstr>v_103_XU</vt:lpstr>
      <vt:lpstr>v_103_XVivi</vt:lpstr>
      <vt:lpstr>v_104_CB</vt:lpstr>
      <vt:lpstr>v_104_CU</vt:lpstr>
      <vt:lpstr>v_104_GCH4</vt:lpstr>
      <vt:lpstr>v_104_GCH4_atm</vt:lpstr>
      <vt:lpstr>v_104_GCO2</vt:lpstr>
      <vt:lpstr>v_104_GCO2_atm</vt:lpstr>
      <vt:lpstr>v_104_GH2</vt:lpstr>
      <vt:lpstr>v_104_GH2_atm</vt:lpstr>
      <vt:lpstr>v_104_GH2S</vt:lpstr>
      <vt:lpstr>v_104_GH2S_atm</vt:lpstr>
      <vt:lpstr>v_104_GN2</vt:lpstr>
      <vt:lpstr>v_104_GN2_atm</vt:lpstr>
      <vt:lpstr>v_104_GN2O</vt:lpstr>
      <vt:lpstr>v_104_GN2O_atm</vt:lpstr>
      <vt:lpstr>v_104_GNH3</vt:lpstr>
      <vt:lpstr>v_104_GNH3_atm</vt:lpstr>
      <vt:lpstr>v_104_GNO</vt:lpstr>
      <vt:lpstr>v_104_GNO_atm</vt:lpstr>
      <vt:lpstr>v_104_GO2</vt:lpstr>
      <vt:lpstr>v_104_GO2_atm</vt:lpstr>
      <vt:lpstr>v_104_H</vt:lpstr>
      <vt:lpstr>v_104_SALPHA</vt:lpstr>
      <vt:lpstr>v_104_SAN</vt:lpstr>
      <vt:lpstr>v_104_SB</vt:lpstr>
      <vt:lpstr>v_104_SCa</vt:lpstr>
      <vt:lpstr>v_104_SCAT</vt:lpstr>
      <vt:lpstr>v_104_SCH4</vt:lpstr>
      <vt:lpstr>v_104_SCO2</vt:lpstr>
      <vt:lpstr>v_104_SFe2</vt:lpstr>
      <vt:lpstr>v_104_SH2</vt:lpstr>
      <vt:lpstr>v_104_SH2S</vt:lpstr>
      <vt:lpstr>v_104_SK</vt:lpstr>
      <vt:lpstr>v_104_SMEOL</vt:lpstr>
      <vt:lpstr>v_104_SMg</vt:lpstr>
      <vt:lpstr>v_104_SMM_index</vt:lpstr>
      <vt:lpstr>v_104_SN_B</vt:lpstr>
      <vt:lpstr>v_104_SN2</vt:lpstr>
      <vt:lpstr>v_104_SN2O</vt:lpstr>
      <vt:lpstr>v_104_SNH2OH</vt:lpstr>
      <vt:lpstr>v_104_SNHx</vt:lpstr>
      <vt:lpstr>v_104_SNO_AOB</vt:lpstr>
      <vt:lpstr>v_104_SNO_OHO</vt:lpstr>
      <vt:lpstr>v_104_SNO2</vt:lpstr>
      <vt:lpstr>v_104_SNO3</vt:lpstr>
      <vt:lpstr>v_104_SO2</vt:lpstr>
      <vt:lpstr>v_104_SP_B</vt:lpstr>
      <vt:lpstr>v_104_SPO4</vt:lpstr>
      <vt:lpstr>v_104_SSO4</vt:lpstr>
      <vt:lpstr>v_104_SU</vt:lpstr>
      <vt:lpstr>v_104_SVFA</vt:lpstr>
      <vt:lpstr>v_104_XACP</vt:lpstr>
      <vt:lpstr>v_104_XAMETO</vt:lpstr>
      <vt:lpstr>v_104_XAMX</vt:lpstr>
      <vt:lpstr>v_104_XAOB</vt:lpstr>
      <vt:lpstr>v_104_XASRO</vt:lpstr>
      <vt:lpstr>v_104_XB</vt:lpstr>
      <vt:lpstr>v_104_XBSH</vt:lpstr>
      <vt:lpstr>v_104_XCaCO3</vt:lpstr>
      <vt:lpstr>v_104_XCASTO</vt:lpstr>
      <vt:lpstr>v_104_XE</vt:lpstr>
      <vt:lpstr>v_104_XE_ana</vt:lpstr>
      <vt:lpstr>v_104_XFeS</vt:lpstr>
      <vt:lpstr>v_104_XGLY</vt:lpstr>
      <vt:lpstr>v_104_XHAO_H</vt:lpstr>
      <vt:lpstr>v_104_XHAO_H_P</vt:lpstr>
      <vt:lpstr>v_104_XHAO_H_P_old</vt:lpstr>
      <vt:lpstr>v_104_XHAO_L</vt:lpstr>
      <vt:lpstr>v_104_XHAO_L_P</vt:lpstr>
      <vt:lpstr>v_104_XHAO_L_P_old</vt:lpstr>
      <vt:lpstr>v_104_XHAO_old</vt:lpstr>
      <vt:lpstr>v_104_XHFO_H</vt:lpstr>
      <vt:lpstr>v_104_XHFO_H_P</vt:lpstr>
      <vt:lpstr>v_104_XHFO_H_P_old</vt:lpstr>
      <vt:lpstr>v_104_XHFO_L</vt:lpstr>
      <vt:lpstr>v_104_XHFO_L_P</vt:lpstr>
      <vt:lpstr>v_104_XHFO_L_P_old</vt:lpstr>
      <vt:lpstr>v_104_XHFO_old</vt:lpstr>
      <vt:lpstr>v_104_XHMETO</vt:lpstr>
      <vt:lpstr>v_104_XHSRO</vt:lpstr>
      <vt:lpstr>v_104_XINORG</vt:lpstr>
      <vt:lpstr>v_104_XMEOLO</vt:lpstr>
      <vt:lpstr>v_104_XMOB</vt:lpstr>
      <vt:lpstr>v_104_XN_B</vt:lpstr>
      <vt:lpstr>v_104_XN_U</vt:lpstr>
      <vt:lpstr>v_104_XNOB</vt:lpstr>
      <vt:lpstr>v_104_XOHO</vt:lpstr>
      <vt:lpstr>v_104_XP_B</vt:lpstr>
      <vt:lpstr>v_104_XP_U</vt:lpstr>
      <vt:lpstr>v_104_XPHA</vt:lpstr>
      <vt:lpstr>v_104_XPP</vt:lpstr>
      <vt:lpstr>v_104_XS</vt:lpstr>
      <vt:lpstr>v_104_XSOO</vt:lpstr>
      <vt:lpstr>v_104_XSTR</vt:lpstr>
      <vt:lpstr>v_104_XU</vt:lpstr>
      <vt:lpstr>v_104_XVivi</vt:lpstr>
      <vt:lpstr>v_105_CB</vt:lpstr>
      <vt:lpstr>v_105_CU</vt:lpstr>
      <vt:lpstr>v_105_GCH4</vt:lpstr>
      <vt:lpstr>v_105_GCH4_atm</vt:lpstr>
      <vt:lpstr>v_105_GCO2</vt:lpstr>
      <vt:lpstr>v_105_GCO2_atm</vt:lpstr>
      <vt:lpstr>v_105_GH2</vt:lpstr>
      <vt:lpstr>v_105_GH2_atm</vt:lpstr>
      <vt:lpstr>v_105_GH2S</vt:lpstr>
      <vt:lpstr>v_105_GH2S_atm</vt:lpstr>
      <vt:lpstr>v_105_GN2</vt:lpstr>
      <vt:lpstr>v_105_GN2_atm</vt:lpstr>
      <vt:lpstr>v_105_GN2O</vt:lpstr>
      <vt:lpstr>v_105_GN2O_atm</vt:lpstr>
      <vt:lpstr>v_105_GNH3</vt:lpstr>
      <vt:lpstr>v_105_GNH3_atm</vt:lpstr>
      <vt:lpstr>v_105_GNO</vt:lpstr>
      <vt:lpstr>v_105_GNO_atm</vt:lpstr>
      <vt:lpstr>v_105_GO2</vt:lpstr>
      <vt:lpstr>v_105_GO2_atm</vt:lpstr>
      <vt:lpstr>v_105_H</vt:lpstr>
      <vt:lpstr>v_105_SALPHA</vt:lpstr>
      <vt:lpstr>v_105_SAN</vt:lpstr>
      <vt:lpstr>v_105_SB</vt:lpstr>
      <vt:lpstr>v_105_SCa</vt:lpstr>
      <vt:lpstr>v_105_SCAT</vt:lpstr>
      <vt:lpstr>v_105_SCH4</vt:lpstr>
      <vt:lpstr>v_105_SCO2</vt:lpstr>
      <vt:lpstr>v_105_SFe2</vt:lpstr>
      <vt:lpstr>v_105_SH2</vt:lpstr>
      <vt:lpstr>v_105_SH2S</vt:lpstr>
      <vt:lpstr>v_105_SK</vt:lpstr>
      <vt:lpstr>v_105_SMEOL</vt:lpstr>
      <vt:lpstr>v_105_SMg</vt:lpstr>
      <vt:lpstr>v_105_SMM_index</vt:lpstr>
      <vt:lpstr>v_105_SN_B</vt:lpstr>
      <vt:lpstr>v_105_SN2</vt:lpstr>
      <vt:lpstr>v_105_SN2O</vt:lpstr>
      <vt:lpstr>v_105_SNH2OH</vt:lpstr>
      <vt:lpstr>v_105_SNHx</vt:lpstr>
      <vt:lpstr>v_105_SNO_AOB</vt:lpstr>
      <vt:lpstr>v_105_SNO_OHO</vt:lpstr>
      <vt:lpstr>v_105_SNO2</vt:lpstr>
      <vt:lpstr>v_105_SNO3</vt:lpstr>
      <vt:lpstr>v_105_SO2</vt:lpstr>
      <vt:lpstr>v_105_SP_B</vt:lpstr>
      <vt:lpstr>v_105_SPO4</vt:lpstr>
      <vt:lpstr>v_105_SSO4</vt:lpstr>
      <vt:lpstr>v_105_SU</vt:lpstr>
      <vt:lpstr>v_105_SVFA</vt:lpstr>
      <vt:lpstr>v_105_XACP</vt:lpstr>
      <vt:lpstr>v_105_XAMETO</vt:lpstr>
      <vt:lpstr>v_105_XAMX</vt:lpstr>
      <vt:lpstr>v_105_XAOB</vt:lpstr>
      <vt:lpstr>v_105_XASRO</vt:lpstr>
      <vt:lpstr>v_105_XB</vt:lpstr>
      <vt:lpstr>v_105_XBSH</vt:lpstr>
      <vt:lpstr>v_105_XCaCO3</vt:lpstr>
      <vt:lpstr>v_105_XCASTO</vt:lpstr>
      <vt:lpstr>v_105_XE</vt:lpstr>
      <vt:lpstr>v_105_XE_ana</vt:lpstr>
      <vt:lpstr>v_105_XFeS</vt:lpstr>
      <vt:lpstr>v_105_XGLY</vt:lpstr>
      <vt:lpstr>v_105_XHAO_H</vt:lpstr>
      <vt:lpstr>v_105_XHAO_H_P</vt:lpstr>
      <vt:lpstr>v_105_XHAO_H_P_old</vt:lpstr>
      <vt:lpstr>v_105_XHAO_L</vt:lpstr>
      <vt:lpstr>v_105_XHAO_L_P</vt:lpstr>
      <vt:lpstr>v_105_XHAO_L_P_old</vt:lpstr>
      <vt:lpstr>v_105_XHAO_old</vt:lpstr>
      <vt:lpstr>v_105_XHFO_H</vt:lpstr>
      <vt:lpstr>v_105_XHFO_H_P</vt:lpstr>
      <vt:lpstr>v_105_XHFO_H_P_old</vt:lpstr>
      <vt:lpstr>v_105_XHFO_L</vt:lpstr>
      <vt:lpstr>v_105_XHFO_L_P</vt:lpstr>
      <vt:lpstr>v_105_XHFO_L_P_old</vt:lpstr>
      <vt:lpstr>v_105_XHFO_old</vt:lpstr>
      <vt:lpstr>v_105_XHMETO</vt:lpstr>
      <vt:lpstr>v_105_XHSRO</vt:lpstr>
      <vt:lpstr>v_105_XINORG</vt:lpstr>
      <vt:lpstr>v_105_XMEOLO</vt:lpstr>
      <vt:lpstr>v_105_XMOB</vt:lpstr>
      <vt:lpstr>v_105_XN_B</vt:lpstr>
      <vt:lpstr>v_105_XN_U</vt:lpstr>
      <vt:lpstr>v_105_XNOB</vt:lpstr>
      <vt:lpstr>v_105_XOHO</vt:lpstr>
      <vt:lpstr>v_105_XP_B</vt:lpstr>
      <vt:lpstr>v_105_XP_U</vt:lpstr>
      <vt:lpstr>v_105_XPHA</vt:lpstr>
      <vt:lpstr>v_105_XPP</vt:lpstr>
      <vt:lpstr>v_105_XS</vt:lpstr>
      <vt:lpstr>v_105_XSOO</vt:lpstr>
      <vt:lpstr>v_105_XSTR</vt:lpstr>
      <vt:lpstr>v_105_XU</vt:lpstr>
      <vt:lpstr>v_105_XVivi</vt:lpstr>
      <vt:lpstr>v_106_CB</vt:lpstr>
      <vt:lpstr>v_106_CU</vt:lpstr>
      <vt:lpstr>v_106_GCH4</vt:lpstr>
      <vt:lpstr>v_106_GCH4_atm</vt:lpstr>
      <vt:lpstr>v_106_GCO2</vt:lpstr>
      <vt:lpstr>v_106_GCO2_atm</vt:lpstr>
      <vt:lpstr>v_106_GH2</vt:lpstr>
      <vt:lpstr>v_106_GH2_atm</vt:lpstr>
      <vt:lpstr>v_106_GH2S</vt:lpstr>
      <vt:lpstr>v_106_GH2S_atm</vt:lpstr>
      <vt:lpstr>v_106_GN2</vt:lpstr>
      <vt:lpstr>v_106_GN2_atm</vt:lpstr>
      <vt:lpstr>v_106_GN2O</vt:lpstr>
      <vt:lpstr>v_106_GN2O_atm</vt:lpstr>
      <vt:lpstr>v_106_GNH3</vt:lpstr>
      <vt:lpstr>v_106_GNH3_atm</vt:lpstr>
      <vt:lpstr>v_106_GNO</vt:lpstr>
      <vt:lpstr>v_106_GNO_atm</vt:lpstr>
      <vt:lpstr>v_106_GO2</vt:lpstr>
      <vt:lpstr>v_106_GO2_atm</vt:lpstr>
      <vt:lpstr>v_106_H</vt:lpstr>
      <vt:lpstr>v_106_SALPHA</vt:lpstr>
      <vt:lpstr>v_106_SAN</vt:lpstr>
      <vt:lpstr>v_106_SB</vt:lpstr>
      <vt:lpstr>v_106_SCa</vt:lpstr>
      <vt:lpstr>v_106_SCAT</vt:lpstr>
      <vt:lpstr>v_106_SCH4</vt:lpstr>
      <vt:lpstr>v_106_SCO2</vt:lpstr>
      <vt:lpstr>v_106_SFe2</vt:lpstr>
      <vt:lpstr>v_106_SH2</vt:lpstr>
      <vt:lpstr>v_106_SH2S</vt:lpstr>
      <vt:lpstr>v_106_SK</vt:lpstr>
      <vt:lpstr>v_106_SMEOL</vt:lpstr>
      <vt:lpstr>v_106_SMg</vt:lpstr>
      <vt:lpstr>v_106_SMM_index</vt:lpstr>
      <vt:lpstr>v_106_SN_B</vt:lpstr>
      <vt:lpstr>v_106_SN2</vt:lpstr>
      <vt:lpstr>v_106_SN2O</vt:lpstr>
      <vt:lpstr>v_106_SNH2OH</vt:lpstr>
      <vt:lpstr>v_106_SNHx</vt:lpstr>
      <vt:lpstr>v_106_SNO_AOB</vt:lpstr>
      <vt:lpstr>v_106_SNO_OHO</vt:lpstr>
      <vt:lpstr>v_106_SNO2</vt:lpstr>
      <vt:lpstr>v_106_SNO3</vt:lpstr>
      <vt:lpstr>v_106_SO2</vt:lpstr>
      <vt:lpstr>v_106_SP_B</vt:lpstr>
      <vt:lpstr>v_106_SPO4</vt:lpstr>
      <vt:lpstr>v_106_SSO4</vt:lpstr>
      <vt:lpstr>v_106_SU</vt:lpstr>
      <vt:lpstr>v_106_SVFA</vt:lpstr>
      <vt:lpstr>v_106_XACP</vt:lpstr>
      <vt:lpstr>v_106_XAMETO</vt:lpstr>
      <vt:lpstr>v_106_XAMX</vt:lpstr>
      <vt:lpstr>v_106_XAOB</vt:lpstr>
      <vt:lpstr>v_106_XASRO</vt:lpstr>
      <vt:lpstr>v_106_XB</vt:lpstr>
      <vt:lpstr>v_106_XBSH</vt:lpstr>
      <vt:lpstr>v_106_XCaCO3</vt:lpstr>
      <vt:lpstr>v_106_XCASTO</vt:lpstr>
      <vt:lpstr>v_106_XE</vt:lpstr>
      <vt:lpstr>v_106_XE_ana</vt:lpstr>
      <vt:lpstr>v_106_XFeS</vt:lpstr>
      <vt:lpstr>v_106_XGLY</vt:lpstr>
      <vt:lpstr>v_106_XHAO_H</vt:lpstr>
      <vt:lpstr>v_106_XHAO_H_P</vt:lpstr>
      <vt:lpstr>v_106_XHAO_H_P_old</vt:lpstr>
      <vt:lpstr>v_106_XHAO_L</vt:lpstr>
      <vt:lpstr>v_106_XHAO_L_P</vt:lpstr>
      <vt:lpstr>v_106_XHAO_L_P_old</vt:lpstr>
      <vt:lpstr>v_106_XHAO_old</vt:lpstr>
      <vt:lpstr>v_106_XHFO_H</vt:lpstr>
      <vt:lpstr>v_106_XHFO_H_P</vt:lpstr>
      <vt:lpstr>v_106_XHFO_H_P_old</vt:lpstr>
      <vt:lpstr>v_106_XHFO_L</vt:lpstr>
      <vt:lpstr>v_106_XHFO_L_P</vt:lpstr>
      <vt:lpstr>v_106_XHFO_L_P_old</vt:lpstr>
      <vt:lpstr>v_106_XHFO_old</vt:lpstr>
      <vt:lpstr>v_106_XHMETO</vt:lpstr>
      <vt:lpstr>v_106_XHSRO</vt:lpstr>
      <vt:lpstr>v_106_XINORG</vt:lpstr>
      <vt:lpstr>v_106_XMEOLO</vt:lpstr>
      <vt:lpstr>v_106_XMOB</vt:lpstr>
      <vt:lpstr>v_106_XN_B</vt:lpstr>
      <vt:lpstr>v_106_XN_U</vt:lpstr>
      <vt:lpstr>v_106_XNOB</vt:lpstr>
      <vt:lpstr>v_106_XOHO</vt:lpstr>
      <vt:lpstr>v_106_XP_B</vt:lpstr>
      <vt:lpstr>v_106_XP_U</vt:lpstr>
      <vt:lpstr>v_106_XPHA</vt:lpstr>
      <vt:lpstr>v_106_XPP</vt:lpstr>
      <vt:lpstr>v_106_XS</vt:lpstr>
      <vt:lpstr>v_106_XSOO</vt:lpstr>
      <vt:lpstr>v_106_XSTR</vt:lpstr>
      <vt:lpstr>v_106_XU</vt:lpstr>
      <vt:lpstr>v_106_XVivi</vt:lpstr>
      <vt:lpstr>v_107_CB</vt:lpstr>
      <vt:lpstr>v_107_CU</vt:lpstr>
      <vt:lpstr>v_107_GCH4</vt:lpstr>
      <vt:lpstr>v_107_GCH4_atm</vt:lpstr>
      <vt:lpstr>v_107_GCO2</vt:lpstr>
      <vt:lpstr>v_107_GCO2_atm</vt:lpstr>
      <vt:lpstr>v_107_GH2</vt:lpstr>
      <vt:lpstr>v_107_GH2_atm</vt:lpstr>
      <vt:lpstr>v_107_GH2S</vt:lpstr>
      <vt:lpstr>v_107_GH2S_atm</vt:lpstr>
      <vt:lpstr>v_107_GN2</vt:lpstr>
      <vt:lpstr>v_107_GN2_atm</vt:lpstr>
      <vt:lpstr>v_107_GN2O</vt:lpstr>
      <vt:lpstr>v_107_GN2O_atm</vt:lpstr>
      <vt:lpstr>v_107_GNH3</vt:lpstr>
      <vt:lpstr>v_107_GNH3_atm</vt:lpstr>
      <vt:lpstr>v_107_GNO</vt:lpstr>
      <vt:lpstr>v_107_GNO_atm</vt:lpstr>
      <vt:lpstr>v_107_GO2</vt:lpstr>
      <vt:lpstr>v_107_GO2_atm</vt:lpstr>
      <vt:lpstr>v_107_H</vt:lpstr>
      <vt:lpstr>v_107_SALPHA</vt:lpstr>
      <vt:lpstr>v_107_SAN</vt:lpstr>
      <vt:lpstr>v_107_SB</vt:lpstr>
      <vt:lpstr>v_107_SCa</vt:lpstr>
      <vt:lpstr>v_107_SCAT</vt:lpstr>
      <vt:lpstr>v_107_SCH4</vt:lpstr>
      <vt:lpstr>v_107_SCO2</vt:lpstr>
      <vt:lpstr>v_107_SFe2</vt:lpstr>
      <vt:lpstr>v_107_SH2</vt:lpstr>
      <vt:lpstr>v_107_SH2S</vt:lpstr>
      <vt:lpstr>v_107_SK</vt:lpstr>
      <vt:lpstr>v_107_SMEOL</vt:lpstr>
      <vt:lpstr>v_107_SMg</vt:lpstr>
      <vt:lpstr>v_107_SMM_index</vt:lpstr>
      <vt:lpstr>v_107_SN_B</vt:lpstr>
      <vt:lpstr>v_107_SN2</vt:lpstr>
      <vt:lpstr>v_107_SN2O</vt:lpstr>
      <vt:lpstr>v_107_SNH2OH</vt:lpstr>
      <vt:lpstr>v_107_SNHx</vt:lpstr>
      <vt:lpstr>v_107_SNO_AOB</vt:lpstr>
      <vt:lpstr>v_107_SNO_OHO</vt:lpstr>
      <vt:lpstr>v_107_SNO2</vt:lpstr>
      <vt:lpstr>v_107_SNO3</vt:lpstr>
      <vt:lpstr>v_107_SO2</vt:lpstr>
      <vt:lpstr>v_107_SP_B</vt:lpstr>
      <vt:lpstr>v_107_SPO4</vt:lpstr>
      <vt:lpstr>v_107_SSO4</vt:lpstr>
      <vt:lpstr>v_107_SU</vt:lpstr>
      <vt:lpstr>v_107_SVFA</vt:lpstr>
      <vt:lpstr>v_107_XACP</vt:lpstr>
      <vt:lpstr>v_107_XAMETO</vt:lpstr>
      <vt:lpstr>v_107_XAMX</vt:lpstr>
      <vt:lpstr>v_107_XAOB</vt:lpstr>
      <vt:lpstr>v_107_XASRO</vt:lpstr>
      <vt:lpstr>v_107_XB</vt:lpstr>
      <vt:lpstr>v_107_XBSH</vt:lpstr>
      <vt:lpstr>v_107_XCaCO3</vt:lpstr>
      <vt:lpstr>v_107_XCASTO</vt:lpstr>
      <vt:lpstr>v_107_XE</vt:lpstr>
      <vt:lpstr>v_107_XE_ana</vt:lpstr>
      <vt:lpstr>v_107_XFeS</vt:lpstr>
      <vt:lpstr>v_107_XGLY</vt:lpstr>
      <vt:lpstr>v_107_XHAO_H</vt:lpstr>
      <vt:lpstr>v_107_XHAO_H_P</vt:lpstr>
      <vt:lpstr>v_107_XHAO_H_P_old</vt:lpstr>
      <vt:lpstr>v_107_XHAO_L</vt:lpstr>
      <vt:lpstr>v_107_XHAO_L_P</vt:lpstr>
      <vt:lpstr>v_107_XHAO_L_P_old</vt:lpstr>
      <vt:lpstr>v_107_XHAO_old</vt:lpstr>
      <vt:lpstr>v_107_XHFO_H</vt:lpstr>
      <vt:lpstr>v_107_XHFO_H_P</vt:lpstr>
      <vt:lpstr>v_107_XHFO_H_P_old</vt:lpstr>
      <vt:lpstr>v_107_XHFO_L</vt:lpstr>
      <vt:lpstr>v_107_XHFO_L_P</vt:lpstr>
      <vt:lpstr>v_107_XHFO_L_P_old</vt:lpstr>
      <vt:lpstr>v_107_XHFO_old</vt:lpstr>
      <vt:lpstr>v_107_XHMETO</vt:lpstr>
      <vt:lpstr>v_107_XHSRO</vt:lpstr>
      <vt:lpstr>v_107_XINORG</vt:lpstr>
      <vt:lpstr>v_107_XMEOLO</vt:lpstr>
      <vt:lpstr>v_107_XMOB</vt:lpstr>
      <vt:lpstr>v_107_XN_B</vt:lpstr>
      <vt:lpstr>v_107_XN_U</vt:lpstr>
      <vt:lpstr>v_107_XNOB</vt:lpstr>
      <vt:lpstr>v_107_XOHO</vt:lpstr>
      <vt:lpstr>v_107_XP_B</vt:lpstr>
      <vt:lpstr>v_107_XP_U</vt:lpstr>
      <vt:lpstr>v_107_XPHA</vt:lpstr>
      <vt:lpstr>v_107_XPP</vt:lpstr>
      <vt:lpstr>v_107_XS</vt:lpstr>
      <vt:lpstr>v_107_XSOO</vt:lpstr>
      <vt:lpstr>v_107_XSTR</vt:lpstr>
      <vt:lpstr>v_107_XU</vt:lpstr>
      <vt:lpstr>v_107_XVivi</vt:lpstr>
      <vt:lpstr>v_108_CB</vt:lpstr>
      <vt:lpstr>v_108_CU</vt:lpstr>
      <vt:lpstr>v_108_GCH4</vt:lpstr>
      <vt:lpstr>v_108_GCH4_atm</vt:lpstr>
      <vt:lpstr>v_108_GCO2</vt:lpstr>
      <vt:lpstr>v_108_GCO2_atm</vt:lpstr>
      <vt:lpstr>v_108_GH2</vt:lpstr>
      <vt:lpstr>v_108_GH2_atm</vt:lpstr>
      <vt:lpstr>v_108_GH2S</vt:lpstr>
      <vt:lpstr>v_108_GH2S_atm</vt:lpstr>
      <vt:lpstr>v_108_GN2</vt:lpstr>
      <vt:lpstr>v_108_GN2_atm</vt:lpstr>
      <vt:lpstr>v_108_GN2O</vt:lpstr>
      <vt:lpstr>v_108_GN2O_atm</vt:lpstr>
      <vt:lpstr>v_108_GNH3</vt:lpstr>
      <vt:lpstr>v_108_GNH3_atm</vt:lpstr>
      <vt:lpstr>v_108_GNO</vt:lpstr>
      <vt:lpstr>v_108_GNO_atm</vt:lpstr>
      <vt:lpstr>v_108_GO2</vt:lpstr>
      <vt:lpstr>v_108_GO2_atm</vt:lpstr>
      <vt:lpstr>v_108_H</vt:lpstr>
      <vt:lpstr>v_108_SALPHA</vt:lpstr>
      <vt:lpstr>v_108_SAN</vt:lpstr>
      <vt:lpstr>v_108_SB</vt:lpstr>
      <vt:lpstr>v_108_SCa</vt:lpstr>
      <vt:lpstr>v_108_SCAT</vt:lpstr>
      <vt:lpstr>v_108_SCH4</vt:lpstr>
      <vt:lpstr>v_108_SCO2</vt:lpstr>
      <vt:lpstr>v_108_SFe2</vt:lpstr>
      <vt:lpstr>v_108_SH2</vt:lpstr>
      <vt:lpstr>v_108_SH2S</vt:lpstr>
      <vt:lpstr>v_108_SK</vt:lpstr>
      <vt:lpstr>v_108_SMEOL</vt:lpstr>
      <vt:lpstr>v_108_SMg</vt:lpstr>
      <vt:lpstr>v_108_SMM_index</vt:lpstr>
      <vt:lpstr>v_108_SN_B</vt:lpstr>
      <vt:lpstr>v_108_SN2</vt:lpstr>
      <vt:lpstr>v_108_SN2O</vt:lpstr>
      <vt:lpstr>v_108_SNH2OH</vt:lpstr>
      <vt:lpstr>v_108_SNHx</vt:lpstr>
      <vt:lpstr>v_108_SNO_AOB</vt:lpstr>
      <vt:lpstr>v_108_SNO_OHO</vt:lpstr>
      <vt:lpstr>v_108_SNO2</vt:lpstr>
      <vt:lpstr>v_108_SNO3</vt:lpstr>
      <vt:lpstr>v_108_SO2</vt:lpstr>
      <vt:lpstr>v_108_SP_B</vt:lpstr>
      <vt:lpstr>v_108_SPO4</vt:lpstr>
      <vt:lpstr>v_108_SSO4</vt:lpstr>
      <vt:lpstr>v_108_SU</vt:lpstr>
      <vt:lpstr>v_108_SVFA</vt:lpstr>
      <vt:lpstr>v_108_XACP</vt:lpstr>
      <vt:lpstr>v_108_XAMETO</vt:lpstr>
      <vt:lpstr>v_108_XAMX</vt:lpstr>
      <vt:lpstr>v_108_XAOB</vt:lpstr>
      <vt:lpstr>v_108_XASRO</vt:lpstr>
      <vt:lpstr>v_108_XB</vt:lpstr>
      <vt:lpstr>v_108_XBSH</vt:lpstr>
      <vt:lpstr>v_108_XCaCO3</vt:lpstr>
      <vt:lpstr>v_108_XCASTO</vt:lpstr>
      <vt:lpstr>v_108_XE</vt:lpstr>
      <vt:lpstr>v_108_XE_ana</vt:lpstr>
      <vt:lpstr>v_108_XFeS</vt:lpstr>
      <vt:lpstr>v_108_XGLY</vt:lpstr>
      <vt:lpstr>v_108_XHAO_H</vt:lpstr>
      <vt:lpstr>v_108_XHAO_H_P</vt:lpstr>
      <vt:lpstr>v_108_XHAO_H_P_old</vt:lpstr>
      <vt:lpstr>v_108_XHAO_L</vt:lpstr>
      <vt:lpstr>v_108_XHAO_L_P</vt:lpstr>
      <vt:lpstr>v_108_XHAO_L_P_old</vt:lpstr>
      <vt:lpstr>v_108_XHAO_old</vt:lpstr>
      <vt:lpstr>v_108_XHFO_H</vt:lpstr>
      <vt:lpstr>v_108_XHFO_H_P</vt:lpstr>
      <vt:lpstr>v_108_XHFO_H_P_old</vt:lpstr>
      <vt:lpstr>v_108_XHFO_L</vt:lpstr>
      <vt:lpstr>v_108_XHFO_L_P</vt:lpstr>
      <vt:lpstr>v_108_XHFO_L_P_old</vt:lpstr>
      <vt:lpstr>v_108_XHFO_old</vt:lpstr>
      <vt:lpstr>v_108_XHMETO</vt:lpstr>
      <vt:lpstr>v_108_XHSRO</vt:lpstr>
      <vt:lpstr>v_108_XINORG</vt:lpstr>
      <vt:lpstr>v_108_XMEOLO</vt:lpstr>
      <vt:lpstr>v_108_XMOB</vt:lpstr>
      <vt:lpstr>v_108_XN_B</vt:lpstr>
      <vt:lpstr>v_108_XN_U</vt:lpstr>
      <vt:lpstr>v_108_XNOB</vt:lpstr>
      <vt:lpstr>v_108_XOHO</vt:lpstr>
      <vt:lpstr>v_108_XP_B</vt:lpstr>
      <vt:lpstr>v_108_XP_U</vt:lpstr>
      <vt:lpstr>v_108_XPHA</vt:lpstr>
      <vt:lpstr>v_108_XPP</vt:lpstr>
      <vt:lpstr>v_108_XS</vt:lpstr>
      <vt:lpstr>v_108_XSOO</vt:lpstr>
      <vt:lpstr>v_108_XSTR</vt:lpstr>
      <vt:lpstr>v_108_XU</vt:lpstr>
      <vt:lpstr>v_108_XVivi</vt:lpstr>
      <vt:lpstr>v_109_CB</vt:lpstr>
      <vt:lpstr>v_109_CU</vt:lpstr>
      <vt:lpstr>v_109_GCH4</vt:lpstr>
      <vt:lpstr>v_109_GCH4_atm</vt:lpstr>
      <vt:lpstr>v_109_GCO2</vt:lpstr>
      <vt:lpstr>v_109_GCO2_atm</vt:lpstr>
      <vt:lpstr>v_109_GH2</vt:lpstr>
      <vt:lpstr>v_109_GH2_atm</vt:lpstr>
      <vt:lpstr>v_109_GH2S</vt:lpstr>
      <vt:lpstr>v_109_GH2S_atm</vt:lpstr>
      <vt:lpstr>v_109_GN2</vt:lpstr>
      <vt:lpstr>v_109_GN2_atm</vt:lpstr>
      <vt:lpstr>v_109_GN2O</vt:lpstr>
      <vt:lpstr>v_109_GN2O_atm</vt:lpstr>
      <vt:lpstr>v_109_GNH3</vt:lpstr>
      <vt:lpstr>v_109_GNH3_atm</vt:lpstr>
      <vt:lpstr>v_109_GNO</vt:lpstr>
      <vt:lpstr>v_109_GNO_atm</vt:lpstr>
      <vt:lpstr>v_109_GO2</vt:lpstr>
      <vt:lpstr>v_109_GO2_atm</vt:lpstr>
      <vt:lpstr>v_109_H</vt:lpstr>
      <vt:lpstr>v_109_SALPHA</vt:lpstr>
      <vt:lpstr>v_109_SAN</vt:lpstr>
      <vt:lpstr>v_109_SB</vt:lpstr>
      <vt:lpstr>v_109_SCa</vt:lpstr>
      <vt:lpstr>v_109_SCAT</vt:lpstr>
      <vt:lpstr>v_109_SCH4</vt:lpstr>
      <vt:lpstr>v_109_SCO2</vt:lpstr>
      <vt:lpstr>v_109_SFe2</vt:lpstr>
      <vt:lpstr>v_109_SH2</vt:lpstr>
      <vt:lpstr>v_109_SH2S</vt:lpstr>
      <vt:lpstr>v_109_SK</vt:lpstr>
      <vt:lpstr>v_109_SMEOL</vt:lpstr>
      <vt:lpstr>v_109_SMg</vt:lpstr>
      <vt:lpstr>v_109_SMM_index</vt:lpstr>
      <vt:lpstr>v_109_SN_B</vt:lpstr>
      <vt:lpstr>v_109_SN2</vt:lpstr>
      <vt:lpstr>v_109_SN2O</vt:lpstr>
      <vt:lpstr>v_109_SNH2OH</vt:lpstr>
      <vt:lpstr>v_109_SNHx</vt:lpstr>
      <vt:lpstr>v_109_SNO_AOB</vt:lpstr>
      <vt:lpstr>v_109_SNO_OHO</vt:lpstr>
      <vt:lpstr>v_109_SNO2</vt:lpstr>
      <vt:lpstr>v_109_SNO3</vt:lpstr>
      <vt:lpstr>v_109_SO2</vt:lpstr>
      <vt:lpstr>v_109_SP_B</vt:lpstr>
      <vt:lpstr>v_109_SPO4</vt:lpstr>
      <vt:lpstr>v_109_SSO4</vt:lpstr>
      <vt:lpstr>v_109_SU</vt:lpstr>
      <vt:lpstr>v_109_SVFA</vt:lpstr>
      <vt:lpstr>v_109_XACP</vt:lpstr>
      <vt:lpstr>v_109_XAMETO</vt:lpstr>
      <vt:lpstr>v_109_XAMX</vt:lpstr>
      <vt:lpstr>v_109_XAOB</vt:lpstr>
      <vt:lpstr>v_109_XASRO</vt:lpstr>
      <vt:lpstr>v_109_XB</vt:lpstr>
      <vt:lpstr>v_109_XBSH</vt:lpstr>
      <vt:lpstr>v_109_XCaCO3</vt:lpstr>
      <vt:lpstr>v_109_XCASTO</vt:lpstr>
      <vt:lpstr>v_109_XE</vt:lpstr>
      <vt:lpstr>v_109_XE_ana</vt:lpstr>
      <vt:lpstr>v_109_XFeS</vt:lpstr>
      <vt:lpstr>v_109_XGLY</vt:lpstr>
      <vt:lpstr>v_109_XHAO_H</vt:lpstr>
      <vt:lpstr>v_109_XHAO_H_P</vt:lpstr>
      <vt:lpstr>v_109_XHAO_H_P_old</vt:lpstr>
      <vt:lpstr>v_109_XHAO_L</vt:lpstr>
      <vt:lpstr>v_109_XHAO_L_P</vt:lpstr>
      <vt:lpstr>v_109_XHAO_L_P_old</vt:lpstr>
      <vt:lpstr>v_109_XHAO_old</vt:lpstr>
      <vt:lpstr>v_109_XHFO_H</vt:lpstr>
      <vt:lpstr>v_109_XHFO_H_P</vt:lpstr>
      <vt:lpstr>v_109_XHFO_H_P_old</vt:lpstr>
      <vt:lpstr>v_109_XHFO_L</vt:lpstr>
      <vt:lpstr>v_109_XHFO_L_P</vt:lpstr>
      <vt:lpstr>v_109_XHFO_L_P_old</vt:lpstr>
      <vt:lpstr>v_109_XHFO_old</vt:lpstr>
      <vt:lpstr>v_109_XHMETO</vt:lpstr>
      <vt:lpstr>v_109_XHSRO</vt:lpstr>
      <vt:lpstr>v_109_XINORG</vt:lpstr>
      <vt:lpstr>v_109_XMEOLO</vt:lpstr>
      <vt:lpstr>v_109_XMOB</vt:lpstr>
      <vt:lpstr>v_109_XN_B</vt:lpstr>
      <vt:lpstr>v_109_XN_U</vt:lpstr>
      <vt:lpstr>v_109_XNOB</vt:lpstr>
      <vt:lpstr>v_109_XOHO</vt:lpstr>
      <vt:lpstr>v_109_XP_B</vt:lpstr>
      <vt:lpstr>v_109_XP_U</vt:lpstr>
      <vt:lpstr>v_109_XPHA</vt:lpstr>
      <vt:lpstr>v_109_XPP</vt:lpstr>
      <vt:lpstr>v_109_XS</vt:lpstr>
      <vt:lpstr>v_109_XSOO</vt:lpstr>
      <vt:lpstr>v_109_XSTR</vt:lpstr>
      <vt:lpstr>v_109_XU</vt:lpstr>
      <vt:lpstr>v_109_XVivi</vt:lpstr>
      <vt:lpstr>v_11_CB</vt:lpstr>
      <vt:lpstr>v_11_CU</vt:lpstr>
      <vt:lpstr>v_11_GCH4</vt:lpstr>
      <vt:lpstr>v_11_GCH4_atm</vt:lpstr>
      <vt:lpstr>v_11_GCO2</vt:lpstr>
      <vt:lpstr>v_11_GCO2_atm</vt:lpstr>
      <vt:lpstr>v_11_GH2</vt:lpstr>
      <vt:lpstr>v_11_GH2_atm</vt:lpstr>
      <vt:lpstr>v_11_GH2S</vt:lpstr>
      <vt:lpstr>v_11_GH2S_atm</vt:lpstr>
      <vt:lpstr>v_11_GN2</vt:lpstr>
      <vt:lpstr>v_11_GN2_atm</vt:lpstr>
      <vt:lpstr>v_11_GN2O</vt:lpstr>
      <vt:lpstr>v_11_GN2O_atm</vt:lpstr>
      <vt:lpstr>v_11_GNH3</vt:lpstr>
      <vt:lpstr>v_11_GNH3_atm</vt:lpstr>
      <vt:lpstr>v_11_GNO</vt:lpstr>
      <vt:lpstr>v_11_GNO_atm</vt:lpstr>
      <vt:lpstr>v_11_GO2</vt:lpstr>
      <vt:lpstr>v_11_GO2_atm</vt:lpstr>
      <vt:lpstr>v_11_H</vt:lpstr>
      <vt:lpstr>v_11_SALPHA</vt:lpstr>
      <vt:lpstr>v_11_SAN</vt:lpstr>
      <vt:lpstr>v_11_SB</vt:lpstr>
      <vt:lpstr>v_11_SCa</vt:lpstr>
      <vt:lpstr>v_11_SCAT</vt:lpstr>
      <vt:lpstr>v_11_SCH4</vt:lpstr>
      <vt:lpstr>v_11_SCO2</vt:lpstr>
      <vt:lpstr>v_11_SFe2</vt:lpstr>
      <vt:lpstr>v_11_SH2</vt:lpstr>
      <vt:lpstr>v_11_SH2S</vt:lpstr>
      <vt:lpstr>v_11_SK</vt:lpstr>
      <vt:lpstr>v_11_SMEOL</vt:lpstr>
      <vt:lpstr>v_11_SMg</vt:lpstr>
      <vt:lpstr>v_11_SMM_index</vt:lpstr>
      <vt:lpstr>v_11_SN_B</vt:lpstr>
      <vt:lpstr>v_11_SN2</vt:lpstr>
      <vt:lpstr>v_11_SN2O</vt:lpstr>
      <vt:lpstr>v_11_SNH2OH</vt:lpstr>
      <vt:lpstr>v_11_SNHx</vt:lpstr>
      <vt:lpstr>v_11_SNO_AOB</vt:lpstr>
      <vt:lpstr>v_11_SNO_OHO</vt:lpstr>
      <vt:lpstr>v_11_SNO2</vt:lpstr>
      <vt:lpstr>v_11_SNO3</vt:lpstr>
      <vt:lpstr>v_11_SO2</vt:lpstr>
      <vt:lpstr>v_11_SP_B</vt:lpstr>
      <vt:lpstr>v_11_SPO4</vt:lpstr>
      <vt:lpstr>v_11_SSO4</vt:lpstr>
      <vt:lpstr>v_11_SU</vt:lpstr>
      <vt:lpstr>v_11_SVFA</vt:lpstr>
      <vt:lpstr>v_11_XACP</vt:lpstr>
      <vt:lpstr>v_11_XAMETO</vt:lpstr>
      <vt:lpstr>v_11_XAMX</vt:lpstr>
      <vt:lpstr>v_11_XAOB</vt:lpstr>
      <vt:lpstr>v_11_XASRO</vt:lpstr>
      <vt:lpstr>v_11_XB</vt:lpstr>
      <vt:lpstr>v_11_XBSH</vt:lpstr>
      <vt:lpstr>v_11_XCaCO3</vt:lpstr>
      <vt:lpstr>v_11_XCASTO</vt:lpstr>
      <vt:lpstr>v_11_XE</vt:lpstr>
      <vt:lpstr>v_11_XE_ana</vt:lpstr>
      <vt:lpstr>v_11_XFeS</vt:lpstr>
      <vt:lpstr>v_11_XGLY</vt:lpstr>
      <vt:lpstr>v_11_XHAO_H</vt:lpstr>
      <vt:lpstr>v_11_XHAO_H_P</vt:lpstr>
      <vt:lpstr>v_11_XHAO_H_P_old</vt:lpstr>
      <vt:lpstr>v_11_XHAO_L</vt:lpstr>
      <vt:lpstr>v_11_XHAO_L_P</vt:lpstr>
      <vt:lpstr>v_11_XHAO_L_P_old</vt:lpstr>
      <vt:lpstr>v_11_XHAO_old</vt:lpstr>
      <vt:lpstr>v_11_XHFO_H</vt:lpstr>
      <vt:lpstr>v_11_XHFO_H_P</vt:lpstr>
      <vt:lpstr>v_11_XHFO_H_P_old</vt:lpstr>
      <vt:lpstr>v_11_XHFO_L</vt:lpstr>
      <vt:lpstr>v_11_XHFO_L_P</vt:lpstr>
      <vt:lpstr>v_11_XHFO_L_P_old</vt:lpstr>
      <vt:lpstr>v_11_XHFO_old</vt:lpstr>
      <vt:lpstr>v_11_XHMETO</vt:lpstr>
      <vt:lpstr>v_11_XHSRO</vt:lpstr>
      <vt:lpstr>v_11_XINORG</vt:lpstr>
      <vt:lpstr>v_11_XMEOLO</vt:lpstr>
      <vt:lpstr>v_11_XMOB</vt:lpstr>
      <vt:lpstr>v_11_XN_B</vt:lpstr>
      <vt:lpstr>v_11_XN_U</vt:lpstr>
      <vt:lpstr>v_11_XNOB</vt:lpstr>
      <vt:lpstr>v_11_XOHO</vt:lpstr>
      <vt:lpstr>v_11_XP_B</vt:lpstr>
      <vt:lpstr>v_11_XP_U</vt:lpstr>
      <vt:lpstr>v_11_XPHA</vt:lpstr>
      <vt:lpstr>v_11_XPP</vt:lpstr>
      <vt:lpstr>v_11_XS</vt:lpstr>
      <vt:lpstr>v_11_XSOO</vt:lpstr>
      <vt:lpstr>v_11_XSTR</vt:lpstr>
      <vt:lpstr>v_11_XU</vt:lpstr>
      <vt:lpstr>v_11_XVivi</vt:lpstr>
      <vt:lpstr>v_110_CB</vt:lpstr>
      <vt:lpstr>v_110_CU</vt:lpstr>
      <vt:lpstr>v_110_GCH4</vt:lpstr>
      <vt:lpstr>v_110_GCH4_atm</vt:lpstr>
      <vt:lpstr>v_110_GCO2</vt:lpstr>
      <vt:lpstr>v_110_GCO2_atm</vt:lpstr>
      <vt:lpstr>v_110_GH2</vt:lpstr>
      <vt:lpstr>v_110_GH2_atm</vt:lpstr>
      <vt:lpstr>v_110_GH2S</vt:lpstr>
      <vt:lpstr>v_110_GH2S_atm</vt:lpstr>
      <vt:lpstr>v_110_GN2</vt:lpstr>
      <vt:lpstr>v_110_GN2_atm</vt:lpstr>
      <vt:lpstr>v_110_GN2O</vt:lpstr>
      <vt:lpstr>v_110_GN2O_atm</vt:lpstr>
      <vt:lpstr>v_110_GNH3</vt:lpstr>
      <vt:lpstr>v_110_GNH3_atm</vt:lpstr>
      <vt:lpstr>v_110_GNO</vt:lpstr>
      <vt:lpstr>v_110_GNO_atm</vt:lpstr>
      <vt:lpstr>v_110_GO2</vt:lpstr>
      <vt:lpstr>v_110_GO2_atm</vt:lpstr>
      <vt:lpstr>v_110_H</vt:lpstr>
      <vt:lpstr>v_110_SALPHA</vt:lpstr>
      <vt:lpstr>v_110_SAN</vt:lpstr>
      <vt:lpstr>v_110_SB</vt:lpstr>
      <vt:lpstr>v_110_SCa</vt:lpstr>
      <vt:lpstr>v_110_SCAT</vt:lpstr>
      <vt:lpstr>v_110_SCH4</vt:lpstr>
      <vt:lpstr>v_110_SCO2</vt:lpstr>
      <vt:lpstr>v_110_SFe2</vt:lpstr>
      <vt:lpstr>v_110_SH2</vt:lpstr>
      <vt:lpstr>v_110_SH2S</vt:lpstr>
      <vt:lpstr>v_110_SK</vt:lpstr>
      <vt:lpstr>v_110_SMEOL</vt:lpstr>
      <vt:lpstr>v_110_SMg</vt:lpstr>
      <vt:lpstr>v_110_SMM_index</vt:lpstr>
      <vt:lpstr>v_110_SN_B</vt:lpstr>
      <vt:lpstr>v_110_SN2</vt:lpstr>
      <vt:lpstr>v_110_SN2O</vt:lpstr>
      <vt:lpstr>v_110_SNH2OH</vt:lpstr>
      <vt:lpstr>v_110_SNHx</vt:lpstr>
      <vt:lpstr>v_110_SNO_AOB</vt:lpstr>
      <vt:lpstr>v_110_SNO_OHO</vt:lpstr>
      <vt:lpstr>v_110_SNO2</vt:lpstr>
      <vt:lpstr>v_110_SNO3</vt:lpstr>
      <vt:lpstr>v_110_SO2</vt:lpstr>
      <vt:lpstr>v_110_SP_B</vt:lpstr>
      <vt:lpstr>v_110_SPO4</vt:lpstr>
      <vt:lpstr>v_110_SSO4</vt:lpstr>
      <vt:lpstr>v_110_SU</vt:lpstr>
      <vt:lpstr>v_110_SVFA</vt:lpstr>
      <vt:lpstr>v_110_XACP</vt:lpstr>
      <vt:lpstr>v_110_XAMETO</vt:lpstr>
      <vt:lpstr>v_110_XAMX</vt:lpstr>
      <vt:lpstr>v_110_XAOB</vt:lpstr>
      <vt:lpstr>v_110_XASRO</vt:lpstr>
      <vt:lpstr>v_110_XB</vt:lpstr>
      <vt:lpstr>v_110_XBSH</vt:lpstr>
      <vt:lpstr>v_110_XCaCO3</vt:lpstr>
      <vt:lpstr>v_110_XCASTO</vt:lpstr>
      <vt:lpstr>v_110_XE</vt:lpstr>
      <vt:lpstr>v_110_XE_ana</vt:lpstr>
      <vt:lpstr>v_110_XFeS</vt:lpstr>
      <vt:lpstr>v_110_XGLY</vt:lpstr>
      <vt:lpstr>v_110_XHAO_H</vt:lpstr>
      <vt:lpstr>v_110_XHAO_H_P</vt:lpstr>
      <vt:lpstr>v_110_XHAO_H_P_old</vt:lpstr>
      <vt:lpstr>v_110_XHAO_L</vt:lpstr>
      <vt:lpstr>v_110_XHAO_L_P</vt:lpstr>
      <vt:lpstr>v_110_XHAO_L_P_old</vt:lpstr>
      <vt:lpstr>v_110_XHAO_old</vt:lpstr>
      <vt:lpstr>v_110_XHFO_H</vt:lpstr>
      <vt:lpstr>v_110_XHFO_H_P</vt:lpstr>
      <vt:lpstr>v_110_XHFO_H_P_old</vt:lpstr>
      <vt:lpstr>v_110_XHFO_L</vt:lpstr>
      <vt:lpstr>v_110_XHFO_L_P</vt:lpstr>
      <vt:lpstr>v_110_XHFO_L_P_old</vt:lpstr>
      <vt:lpstr>v_110_XHFO_old</vt:lpstr>
      <vt:lpstr>v_110_XHMETO</vt:lpstr>
      <vt:lpstr>v_110_XHSRO</vt:lpstr>
      <vt:lpstr>v_110_XINORG</vt:lpstr>
      <vt:lpstr>v_110_XMEOLO</vt:lpstr>
      <vt:lpstr>v_110_XMOB</vt:lpstr>
      <vt:lpstr>v_110_XN_B</vt:lpstr>
      <vt:lpstr>v_110_XN_U</vt:lpstr>
      <vt:lpstr>v_110_XNOB</vt:lpstr>
      <vt:lpstr>v_110_XOHO</vt:lpstr>
      <vt:lpstr>v_110_XP_B</vt:lpstr>
      <vt:lpstr>v_110_XP_U</vt:lpstr>
      <vt:lpstr>v_110_XPHA</vt:lpstr>
      <vt:lpstr>v_110_XPP</vt:lpstr>
      <vt:lpstr>v_110_XS</vt:lpstr>
      <vt:lpstr>v_110_XSOO</vt:lpstr>
      <vt:lpstr>v_110_XSTR</vt:lpstr>
      <vt:lpstr>v_110_XU</vt:lpstr>
      <vt:lpstr>v_110_XVivi</vt:lpstr>
      <vt:lpstr>v_111_CB</vt:lpstr>
      <vt:lpstr>v_111_CU</vt:lpstr>
      <vt:lpstr>v_111_GCH4</vt:lpstr>
      <vt:lpstr>v_111_GCH4_atm</vt:lpstr>
      <vt:lpstr>v_111_GCO2</vt:lpstr>
      <vt:lpstr>v_111_GCO2_atm</vt:lpstr>
      <vt:lpstr>v_111_GH2</vt:lpstr>
      <vt:lpstr>v_111_GH2_atm</vt:lpstr>
      <vt:lpstr>v_111_GH2S</vt:lpstr>
      <vt:lpstr>v_111_GH2S_atm</vt:lpstr>
      <vt:lpstr>v_111_GN2</vt:lpstr>
      <vt:lpstr>v_111_GN2_atm</vt:lpstr>
      <vt:lpstr>v_111_GN2O</vt:lpstr>
      <vt:lpstr>v_111_GN2O_atm</vt:lpstr>
      <vt:lpstr>v_111_GNH3</vt:lpstr>
      <vt:lpstr>v_111_GNH3_atm</vt:lpstr>
      <vt:lpstr>v_111_GNO</vt:lpstr>
      <vt:lpstr>v_111_GNO_atm</vt:lpstr>
      <vt:lpstr>v_111_GO2</vt:lpstr>
      <vt:lpstr>v_111_GO2_atm</vt:lpstr>
      <vt:lpstr>v_111_H</vt:lpstr>
      <vt:lpstr>v_111_SALPHA</vt:lpstr>
      <vt:lpstr>v_111_SAN</vt:lpstr>
      <vt:lpstr>v_111_SB</vt:lpstr>
      <vt:lpstr>v_111_SCa</vt:lpstr>
      <vt:lpstr>v_111_SCAT</vt:lpstr>
      <vt:lpstr>v_111_SCH4</vt:lpstr>
      <vt:lpstr>v_111_SCO2</vt:lpstr>
      <vt:lpstr>v_111_SFe2</vt:lpstr>
      <vt:lpstr>v_111_SH2</vt:lpstr>
      <vt:lpstr>v_111_SH2S</vt:lpstr>
      <vt:lpstr>v_111_SK</vt:lpstr>
      <vt:lpstr>v_111_SMEOL</vt:lpstr>
      <vt:lpstr>v_111_SMg</vt:lpstr>
      <vt:lpstr>v_111_SMM_index</vt:lpstr>
      <vt:lpstr>v_111_SN_B</vt:lpstr>
      <vt:lpstr>v_111_SN2</vt:lpstr>
      <vt:lpstr>v_111_SN2O</vt:lpstr>
      <vt:lpstr>v_111_SNH2OH</vt:lpstr>
      <vt:lpstr>v_111_SNHx</vt:lpstr>
      <vt:lpstr>v_111_SNO_AOB</vt:lpstr>
      <vt:lpstr>v_111_SNO_OHO</vt:lpstr>
      <vt:lpstr>v_111_SNO2</vt:lpstr>
      <vt:lpstr>v_111_SNO3</vt:lpstr>
      <vt:lpstr>v_111_SO2</vt:lpstr>
      <vt:lpstr>v_111_SP_B</vt:lpstr>
      <vt:lpstr>v_111_SPO4</vt:lpstr>
      <vt:lpstr>v_111_SSO4</vt:lpstr>
      <vt:lpstr>v_111_SU</vt:lpstr>
      <vt:lpstr>v_111_SVFA</vt:lpstr>
      <vt:lpstr>v_111_XACP</vt:lpstr>
      <vt:lpstr>v_111_XAMETO</vt:lpstr>
      <vt:lpstr>v_111_XAMX</vt:lpstr>
      <vt:lpstr>v_111_XAOB</vt:lpstr>
      <vt:lpstr>v_111_XASRO</vt:lpstr>
      <vt:lpstr>v_111_XB</vt:lpstr>
      <vt:lpstr>v_111_XBSH</vt:lpstr>
      <vt:lpstr>v_111_XCaCO3</vt:lpstr>
      <vt:lpstr>v_111_XCASTO</vt:lpstr>
      <vt:lpstr>v_111_XE</vt:lpstr>
      <vt:lpstr>v_111_XE_ana</vt:lpstr>
      <vt:lpstr>v_111_XFeS</vt:lpstr>
      <vt:lpstr>v_111_XGLY</vt:lpstr>
      <vt:lpstr>v_111_XHAO_H</vt:lpstr>
      <vt:lpstr>v_111_XHAO_H_P</vt:lpstr>
      <vt:lpstr>v_111_XHAO_H_P_old</vt:lpstr>
      <vt:lpstr>v_111_XHAO_L</vt:lpstr>
      <vt:lpstr>v_111_XHAO_L_P</vt:lpstr>
      <vt:lpstr>v_111_XHAO_L_P_old</vt:lpstr>
      <vt:lpstr>v_111_XHAO_old</vt:lpstr>
      <vt:lpstr>v_111_XHFO_H</vt:lpstr>
      <vt:lpstr>v_111_XHFO_H_P</vt:lpstr>
      <vt:lpstr>v_111_XHFO_H_P_old</vt:lpstr>
      <vt:lpstr>v_111_XHFO_L</vt:lpstr>
      <vt:lpstr>v_111_XHFO_L_P</vt:lpstr>
      <vt:lpstr>v_111_XHFO_L_P_old</vt:lpstr>
      <vt:lpstr>v_111_XHFO_old</vt:lpstr>
      <vt:lpstr>v_111_XHMETO</vt:lpstr>
      <vt:lpstr>v_111_XHSRO</vt:lpstr>
      <vt:lpstr>v_111_XINORG</vt:lpstr>
      <vt:lpstr>v_111_XMEOLO</vt:lpstr>
      <vt:lpstr>v_111_XMOB</vt:lpstr>
      <vt:lpstr>v_111_XN_B</vt:lpstr>
      <vt:lpstr>v_111_XN_U</vt:lpstr>
      <vt:lpstr>v_111_XNOB</vt:lpstr>
      <vt:lpstr>v_111_XOHO</vt:lpstr>
      <vt:lpstr>v_111_XP_B</vt:lpstr>
      <vt:lpstr>v_111_XP_U</vt:lpstr>
      <vt:lpstr>v_111_XPHA</vt:lpstr>
      <vt:lpstr>v_111_XPP</vt:lpstr>
      <vt:lpstr>v_111_XS</vt:lpstr>
      <vt:lpstr>v_111_XSOO</vt:lpstr>
      <vt:lpstr>v_111_XSTR</vt:lpstr>
      <vt:lpstr>v_111_XU</vt:lpstr>
      <vt:lpstr>v_111_XVivi</vt:lpstr>
      <vt:lpstr>v_112_CB</vt:lpstr>
      <vt:lpstr>v_112_CU</vt:lpstr>
      <vt:lpstr>v_112_GCH4</vt:lpstr>
      <vt:lpstr>v_112_GCH4_atm</vt:lpstr>
      <vt:lpstr>v_112_GCO2</vt:lpstr>
      <vt:lpstr>v_112_GCO2_atm</vt:lpstr>
      <vt:lpstr>v_112_GH2</vt:lpstr>
      <vt:lpstr>v_112_GH2_atm</vt:lpstr>
      <vt:lpstr>v_112_GH2S</vt:lpstr>
      <vt:lpstr>v_112_GH2S_atm</vt:lpstr>
      <vt:lpstr>v_112_GN2</vt:lpstr>
      <vt:lpstr>v_112_GN2_atm</vt:lpstr>
      <vt:lpstr>v_112_GN2O</vt:lpstr>
      <vt:lpstr>v_112_GN2O_atm</vt:lpstr>
      <vt:lpstr>v_112_GNH3</vt:lpstr>
      <vt:lpstr>v_112_GNH3_atm</vt:lpstr>
      <vt:lpstr>v_112_GNO</vt:lpstr>
      <vt:lpstr>v_112_GNO_atm</vt:lpstr>
      <vt:lpstr>v_112_GO2</vt:lpstr>
      <vt:lpstr>v_112_GO2_atm</vt:lpstr>
      <vt:lpstr>v_112_H</vt:lpstr>
      <vt:lpstr>v_112_SALPHA</vt:lpstr>
      <vt:lpstr>v_112_SAN</vt:lpstr>
      <vt:lpstr>v_112_SB</vt:lpstr>
      <vt:lpstr>v_112_SCa</vt:lpstr>
      <vt:lpstr>v_112_SCAT</vt:lpstr>
      <vt:lpstr>v_112_SCH4</vt:lpstr>
      <vt:lpstr>v_112_SCO2</vt:lpstr>
      <vt:lpstr>v_112_SFe2</vt:lpstr>
      <vt:lpstr>v_112_SH2</vt:lpstr>
      <vt:lpstr>v_112_SH2S</vt:lpstr>
      <vt:lpstr>v_112_SK</vt:lpstr>
      <vt:lpstr>v_112_SMEOL</vt:lpstr>
      <vt:lpstr>v_112_SMg</vt:lpstr>
      <vt:lpstr>v_112_SMM_index</vt:lpstr>
      <vt:lpstr>v_112_SN_B</vt:lpstr>
      <vt:lpstr>v_112_SN2</vt:lpstr>
      <vt:lpstr>v_112_SN2O</vt:lpstr>
      <vt:lpstr>v_112_SNH2OH</vt:lpstr>
      <vt:lpstr>v_112_SNHx</vt:lpstr>
      <vt:lpstr>v_112_SNO_AOB</vt:lpstr>
      <vt:lpstr>v_112_SNO_OHO</vt:lpstr>
      <vt:lpstr>v_112_SNO2</vt:lpstr>
      <vt:lpstr>v_112_SNO3</vt:lpstr>
      <vt:lpstr>v_112_SO2</vt:lpstr>
      <vt:lpstr>v_112_SP_B</vt:lpstr>
      <vt:lpstr>v_112_SPO4</vt:lpstr>
      <vt:lpstr>v_112_SSO4</vt:lpstr>
      <vt:lpstr>v_112_SU</vt:lpstr>
      <vt:lpstr>v_112_SVFA</vt:lpstr>
      <vt:lpstr>v_112_XACP</vt:lpstr>
      <vt:lpstr>v_112_XAMETO</vt:lpstr>
      <vt:lpstr>v_112_XAMX</vt:lpstr>
      <vt:lpstr>v_112_XAOB</vt:lpstr>
      <vt:lpstr>v_112_XASRO</vt:lpstr>
      <vt:lpstr>v_112_XB</vt:lpstr>
      <vt:lpstr>v_112_XBSH</vt:lpstr>
      <vt:lpstr>v_112_XCaCO3</vt:lpstr>
      <vt:lpstr>v_112_XCASTO</vt:lpstr>
      <vt:lpstr>v_112_XE</vt:lpstr>
      <vt:lpstr>v_112_XE_ana</vt:lpstr>
      <vt:lpstr>v_112_XFeS</vt:lpstr>
      <vt:lpstr>v_112_XGLY</vt:lpstr>
      <vt:lpstr>v_112_XHAO_H</vt:lpstr>
      <vt:lpstr>v_112_XHAO_H_P</vt:lpstr>
      <vt:lpstr>v_112_XHAO_H_P_old</vt:lpstr>
      <vt:lpstr>v_112_XHAO_L</vt:lpstr>
      <vt:lpstr>v_112_XHAO_L_P</vt:lpstr>
      <vt:lpstr>v_112_XHAO_L_P_old</vt:lpstr>
      <vt:lpstr>v_112_XHAO_old</vt:lpstr>
      <vt:lpstr>v_112_XHFO_H</vt:lpstr>
      <vt:lpstr>v_112_XHFO_H_P</vt:lpstr>
      <vt:lpstr>v_112_XHFO_H_P_old</vt:lpstr>
      <vt:lpstr>v_112_XHFO_L</vt:lpstr>
      <vt:lpstr>v_112_XHFO_L_P</vt:lpstr>
      <vt:lpstr>v_112_XHFO_L_P_old</vt:lpstr>
      <vt:lpstr>v_112_XHFO_old</vt:lpstr>
      <vt:lpstr>v_112_XHMETO</vt:lpstr>
      <vt:lpstr>v_112_XHSRO</vt:lpstr>
      <vt:lpstr>v_112_XINORG</vt:lpstr>
      <vt:lpstr>v_112_XMEOLO</vt:lpstr>
      <vt:lpstr>v_112_XMOB</vt:lpstr>
      <vt:lpstr>v_112_XN_B</vt:lpstr>
      <vt:lpstr>v_112_XN_U</vt:lpstr>
      <vt:lpstr>v_112_XNOB</vt:lpstr>
      <vt:lpstr>v_112_XOHO</vt:lpstr>
      <vt:lpstr>v_112_XP_B</vt:lpstr>
      <vt:lpstr>v_112_XP_U</vt:lpstr>
      <vt:lpstr>v_112_XPHA</vt:lpstr>
      <vt:lpstr>v_112_XPP</vt:lpstr>
      <vt:lpstr>v_112_XS</vt:lpstr>
      <vt:lpstr>v_112_XSOO</vt:lpstr>
      <vt:lpstr>v_112_XSTR</vt:lpstr>
      <vt:lpstr>v_112_XU</vt:lpstr>
      <vt:lpstr>v_112_XVivi</vt:lpstr>
      <vt:lpstr>v_113_CB</vt:lpstr>
      <vt:lpstr>v_113_CU</vt:lpstr>
      <vt:lpstr>v_113_GCH4</vt:lpstr>
      <vt:lpstr>v_113_GCH4_atm</vt:lpstr>
      <vt:lpstr>v_113_GCO2</vt:lpstr>
      <vt:lpstr>v_113_GCO2_atm</vt:lpstr>
      <vt:lpstr>v_113_GH2</vt:lpstr>
      <vt:lpstr>v_113_GH2_atm</vt:lpstr>
      <vt:lpstr>v_113_GH2S</vt:lpstr>
      <vt:lpstr>v_113_GH2S_atm</vt:lpstr>
      <vt:lpstr>v_113_GN2</vt:lpstr>
      <vt:lpstr>v_113_GN2_atm</vt:lpstr>
      <vt:lpstr>v_113_GN2O</vt:lpstr>
      <vt:lpstr>v_113_GN2O_atm</vt:lpstr>
      <vt:lpstr>v_113_GNH3</vt:lpstr>
      <vt:lpstr>v_113_GNH3_atm</vt:lpstr>
      <vt:lpstr>v_113_GNO</vt:lpstr>
      <vt:lpstr>v_113_GNO_atm</vt:lpstr>
      <vt:lpstr>v_113_GO2</vt:lpstr>
      <vt:lpstr>v_113_GO2_atm</vt:lpstr>
      <vt:lpstr>v_113_H</vt:lpstr>
      <vt:lpstr>v_113_SALPHA</vt:lpstr>
      <vt:lpstr>v_113_SAN</vt:lpstr>
      <vt:lpstr>v_113_SB</vt:lpstr>
      <vt:lpstr>v_113_SCa</vt:lpstr>
      <vt:lpstr>v_113_SCAT</vt:lpstr>
      <vt:lpstr>v_113_SCH4</vt:lpstr>
      <vt:lpstr>v_113_SCO2</vt:lpstr>
      <vt:lpstr>v_113_SFe2</vt:lpstr>
      <vt:lpstr>v_113_SH2</vt:lpstr>
      <vt:lpstr>v_113_SH2S</vt:lpstr>
      <vt:lpstr>v_113_SK</vt:lpstr>
      <vt:lpstr>v_113_SMEOL</vt:lpstr>
      <vt:lpstr>v_113_SMg</vt:lpstr>
      <vt:lpstr>v_113_SMM_index</vt:lpstr>
      <vt:lpstr>v_113_SN_B</vt:lpstr>
      <vt:lpstr>v_113_SN2</vt:lpstr>
      <vt:lpstr>v_113_SN2O</vt:lpstr>
      <vt:lpstr>v_113_SNH2OH</vt:lpstr>
      <vt:lpstr>v_113_SNHx</vt:lpstr>
      <vt:lpstr>v_113_SNO_AOB</vt:lpstr>
      <vt:lpstr>v_113_SNO_OHO</vt:lpstr>
      <vt:lpstr>v_113_SNO2</vt:lpstr>
      <vt:lpstr>v_113_SNO3</vt:lpstr>
      <vt:lpstr>v_113_SO2</vt:lpstr>
      <vt:lpstr>v_113_SP_B</vt:lpstr>
      <vt:lpstr>v_113_SPO4</vt:lpstr>
      <vt:lpstr>v_113_SSO4</vt:lpstr>
      <vt:lpstr>v_113_SU</vt:lpstr>
      <vt:lpstr>v_113_SVFA</vt:lpstr>
      <vt:lpstr>v_113_XACP</vt:lpstr>
      <vt:lpstr>v_113_XAMETO</vt:lpstr>
      <vt:lpstr>v_113_XAMX</vt:lpstr>
      <vt:lpstr>v_113_XAOB</vt:lpstr>
      <vt:lpstr>v_113_XASRO</vt:lpstr>
      <vt:lpstr>v_113_XB</vt:lpstr>
      <vt:lpstr>v_113_XBSH</vt:lpstr>
      <vt:lpstr>v_113_XCaCO3</vt:lpstr>
      <vt:lpstr>v_113_XCASTO</vt:lpstr>
      <vt:lpstr>v_113_XE</vt:lpstr>
      <vt:lpstr>v_113_XE_ana</vt:lpstr>
      <vt:lpstr>v_113_XFeS</vt:lpstr>
      <vt:lpstr>v_113_XGLY</vt:lpstr>
      <vt:lpstr>v_113_XHAO_H</vt:lpstr>
      <vt:lpstr>v_113_XHAO_H_P</vt:lpstr>
      <vt:lpstr>v_113_XHAO_H_P_old</vt:lpstr>
      <vt:lpstr>v_113_XHAO_L</vt:lpstr>
      <vt:lpstr>v_113_XHAO_L_P</vt:lpstr>
      <vt:lpstr>v_113_XHAO_L_P_old</vt:lpstr>
      <vt:lpstr>v_113_XHAO_old</vt:lpstr>
      <vt:lpstr>v_113_XHFO_H</vt:lpstr>
      <vt:lpstr>v_113_XHFO_H_P</vt:lpstr>
      <vt:lpstr>v_113_XHFO_H_P_old</vt:lpstr>
      <vt:lpstr>v_113_XHFO_L</vt:lpstr>
      <vt:lpstr>v_113_XHFO_L_P</vt:lpstr>
      <vt:lpstr>v_113_XHFO_L_P_old</vt:lpstr>
      <vt:lpstr>v_113_XHFO_old</vt:lpstr>
      <vt:lpstr>v_113_XHMETO</vt:lpstr>
      <vt:lpstr>v_113_XHSRO</vt:lpstr>
      <vt:lpstr>v_113_XINORG</vt:lpstr>
      <vt:lpstr>v_113_XMEOLO</vt:lpstr>
      <vt:lpstr>v_113_XMOB</vt:lpstr>
      <vt:lpstr>v_113_XN_B</vt:lpstr>
      <vt:lpstr>v_113_XN_U</vt:lpstr>
      <vt:lpstr>v_113_XNOB</vt:lpstr>
      <vt:lpstr>v_113_XOHO</vt:lpstr>
      <vt:lpstr>v_113_XP_B</vt:lpstr>
      <vt:lpstr>v_113_XP_U</vt:lpstr>
      <vt:lpstr>v_113_XPHA</vt:lpstr>
      <vt:lpstr>v_113_XPP</vt:lpstr>
      <vt:lpstr>v_113_XS</vt:lpstr>
      <vt:lpstr>v_113_XSOO</vt:lpstr>
      <vt:lpstr>v_113_XSTR</vt:lpstr>
      <vt:lpstr>v_113_XU</vt:lpstr>
      <vt:lpstr>v_113_XVivi</vt:lpstr>
      <vt:lpstr>v_114_CB</vt:lpstr>
      <vt:lpstr>v_114_CU</vt:lpstr>
      <vt:lpstr>v_114_GCH4</vt:lpstr>
      <vt:lpstr>v_114_GCH4_atm</vt:lpstr>
      <vt:lpstr>v_114_GCO2</vt:lpstr>
      <vt:lpstr>v_114_GCO2_atm</vt:lpstr>
      <vt:lpstr>v_114_GH2</vt:lpstr>
      <vt:lpstr>v_114_GH2_atm</vt:lpstr>
      <vt:lpstr>v_114_GH2S</vt:lpstr>
      <vt:lpstr>v_114_GH2S_atm</vt:lpstr>
      <vt:lpstr>v_114_GN2</vt:lpstr>
      <vt:lpstr>v_114_GN2_atm</vt:lpstr>
      <vt:lpstr>v_114_GN2O</vt:lpstr>
      <vt:lpstr>v_114_GN2O_atm</vt:lpstr>
      <vt:lpstr>v_114_GNH3</vt:lpstr>
      <vt:lpstr>v_114_GNH3_atm</vt:lpstr>
      <vt:lpstr>v_114_GNO</vt:lpstr>
      <vt:lpstr>v_114_GNO_atm</vt:lpstr>
      <vt:lpstr>v_114_GO2</vt:lpstr>
      <vt:lpstr>v_114_GO2_atm</vt:lpstr>
      <vt:lpstr>v_114_H</vt:lpstr>
      <vt:lpstr>v_114_SALPHA</vt:lpstr>
      <vt:lpstr>v_114_SAN</vt:lpstr>
      <vt:lpstr>v_114_SB</vt:lpstr>
      <vt:lpstr>v_114_SCa</vt:lpstr>
      <vt:lpstr>v_114_SCAT</vt:lpstr>
      <vt:lpstr>v_114_SCH4</vt:lpstr>
      <vt:lpstr>v_114_SCO2</vt:lpstr>
      <vt:lpstr>v_114_SFe2</vt:lpstr>
      <vt:lpstr>v_114_SH2</vt:lpstr>
      <vt:lpstr>v_114_SH2S</vt:lpstr>
      <vt:lpstr>v_114_SK</vt:lpstr>
      <vt:lpstr>v_114_SMEOL</vt:lpstr>
      <vt:lpstr>v_114_SMg</vt:lpstr>
      <vt:lpstr>v_114_SMM_index</vt:lpstr>
      <vt:lpstr>v_114_SN_B</vt:lpstr>
      <vt:lpstr>v_114_SN2</vt:lpstr>
      <vt:lpstr>v_114_SN2O</vt:lpstr>
      <vt:lpstr>v_114_SNH2OH</vt:lpstr>
      <vt:lpstr>v_114_SNHx</vt:lpstr>
      <vt:lpstr>v_114_SNO_AOB</vt:lpstr>
      <vt:lpstr>v_114_SNO_OHO</vt:lpstr>
      <vt:lpstr>v_114_SNO2</vt:lpstr>
      <vt:lpstr>v_114_SNO3</vt:lpstr>
      <vt:lpstr>v_114_SO2</vt:lpstr>
      <vt:lpstr>v_114_SP_B</vt:lpstr>
      <vt:lpstr>v_114_SPO4</vt:lpstr>
      <vt:lpstr>v_114_SSO4</vt:lpstr>
      <vt:lpstr>v_114_SU</vt:lpstr>
      <vt:lpstr>v_114_SVFA</vt:lpstr>
      <vt:lpstr>v_114_XACP</vt:lpstr>
      <vt:lpstr>v_114_XAMETO</vt:lpstr>
      <vt:lpstr>v_114_XAMX</vt:lpstr>
      <vt:lpstr>v_114_XAOB</vt:lpstr>
      <vt:lpstr>v_114_XASRO</vt:lpstr>
      <vt:lpstr>v_114_XB</vt:lpstr>
      <vt:lpstr>v_114_XBSH</vt:lpstr>
      <vt:lpstr>v_114_XCaCO3</vt:lpstr>
      <vt:lpstr>v_114_XCASTO</vt:lpstr>
      <vt:lpstr>v_114_XE</vt:lpstr>
      <vt:lpstr>v_114_XE_ana</vt:lpstr>
      <vt:lpstr>v_114_XFeS</vt:lpstr>
      <vt:lpstr>v_114_XGLY</vt:lpstr>
      <vt:lpstr>v_114_XHAO_H</vt:lpstr>
      <vt:lpstr>v_114_XHAO_H_P</vt:lpstr>
      <vt:lpstr>v_114_XHAO_H_P_old</vt:lpstr>
      <vt:lpstr>v_114_XHAO_L</vt:lpstr>
      <vt:lpstr>v_114_XHAO_L_P</vt:lpstr>
      <vt:lpstr>v_114_XHAO_L_P_old</vt:lpstr>
      <vt:lpstr>v_114_XHAO_old</vt:lpstr>
      <vt:lpstr>v_114_XHFO_H</vt:lpstr>
      <vt:lpstr>v_114_XHFO_H_P</vt:lpstr>
      <vt:lpstr>v_114_XHFO_H_P_old</vt:lpstr>
      <vt:lpstr>v_114_XHFO_L</vt:lpstr>
      <vt:lpstr>v_114_XHFO_L_P</vt:lpstr>
      <vt:lpstr>v_114_XHFO_L_P_old</vt:lpstr>
      <vt:lpstr>v_114_XHFO_old</vt:lpstr>
      <vt:lpstr>v_114_XHMETO</vt:lpstr>
      <vt:lpstr>v_114_XHSRO</vt:lpstr>
      <vt:lpstr>v_114_XINORG</vt:lpstr>
      <vt:lpstr>v_114_XMEOLO</vt:lpstr>
      <vt:lpstr>v_114_XMOB</vt:lpstr>
      <vt:lpstr>v_114_XN_B</vt:lpstr>
      <vt:lpstr>v_114_XN_U</vt:lpstr>
      <vt:lpstr>v_114_XNOB</vt:lpstr>
      <vt:lpstr>v_114_XOHO</vt:lpstr>
      <vt:lpstr>v_114_XP_B</vt:lpstr>
      <vt:lpstr>v_114_XP_U</vt:lpstr>
      <vt:lpstr>v_114_XPHA</vt:lpstr>
      <vt:lpstr>v_114_XPP</vt:lpstr>
      <vt:lpstr>v_114_XS</vt:lpstr>
      <vt:lpstr>v_114_XSOO</vt:lpstr>
      <vt:lpstr>v_114_XSTR</vt:lpstr>
      <vt:lpstr>v_114_XU</vt:lpstr>
      <vt:lpstr>v_114_XVivi</vt:lpstr>
      <vt:lpstr>v_115_CB</vt:lpstr>
      <vt:lpstr>v_115_CU</vt:lpstr>
      <vt:lpstr>v_115_GCH4</vt:lpstr>
      <vt:lpstr>v_115_GCH4_atm</vt:lpstr>
      <vt:lpstr>v_115_GCO2</vt:lpstr>
      <vt:lpstr>v_115_GCO2_atm</vt:lpstr>
      <vt:lpstr>v_115_GH2</vt:lpstr>
      <vt:lpstr>v_115_GH2_atm</vt:lpstr>
      <vt:lpstr>v_115_GH2S</vt:lpstr>
      <vt:lpstr>v_115_GH2S_atm</vt:lpstr>
      <vt:lpstr>v_115_GN2</vt:lpstr>
      <vt:lpstr>v_115_GN2_atm</vt:lpstr>
      <vt:lpstr>v_115_GN2O</vt:lpstr>
      <vt:lpstr>v_115_GN2O_atm</vt:lpstr>
      <vt:lpstr>v_115_GNH3</vt:lpstr>
      <vt:lpstr>v_115_GNH3_atm</vt:lpstr>
      <vt:lpstr>v_115_GNO</vt:lpstr>
      <vt:lpstr>v_115_GNO_atm</vt:lpstr>
      <vt:lpstr>v_115_GO2</vt:lpstr>
      <vt:lpstr>v_115_GO2_atm</vt:lpstr>
      <vt:lpstr>v_115_H</vt:lpstr>
      <vt:lpstr>v_115_SALPHA</vt:lpstr>
      <vt:lpstr>v_115_SAN</vt:lpstr>
      <vt:lpstr>v_115_SB</vt:lpstr>
      <vt:lpstr>v_115_SCa</vt:lpstr>
      <vt:lpstr>v_115_SCAT</vt:lpstr>
      <vt:lpstr>v_115_SCH4</vt:lpstr>
      <vt:lpstr>v_115_SCO2</vt:lpstr>
      <vt:lpstr>v_115_SFe2</vt:lpstr>
      <vt:lpstr>v_115_SH2</vt:lpstr>
      <vt:lpstr>v_115_SH2S</vt:lpstr>
      <vt:lpstr>v_115_SK</vt:lpstr>
      <vt:lpstr>v_115_SMEOL</vt:lpstr>
      <vt:lpstr>v_115_SMg</vt:lpstr>
      <vt:lpstr>v_115_SMM_index</vt:lpstr>
      <vt:lpstr>v_115_SN_B</vt:lpstr>
      <vt:lpstr>v_115_SN2</vt:lpstr>
      <vt:lpstr>v_115_SN2O</vt:lpstr>
      <vt:lpstr>v_115_SNH2OH</vt:lpstr>
      <vt:lpstr>v_115_SNHx</vt:lpstr>
      <vt:lpstr>v_115_SNO_AOB</vt:lpstr>
      <vt:lpstr>v_115_SNO_OHO</vt:lpstr>
      <vt:lpstr>v_115_SNO2</vt:lpstr>
      <vt:lpstr>v_115_SNO3</vt:lpstr>
      <vt:lpstr>v_115_SO2</vt:lpstr>
      <vt:lpstr>v_115_SP_B</vt:lpstr>
      <vt:lpstr>v_115_SPO4</vt:lpstr>
      <vt:lpstr>v_115_SSO4</vt:lpstr>
      <vt:lpstr>v_115_SU</vt:lpstr>
      <vt:lpstr>v_115_SVFA</vt:lpstr>
      <vt:lpstr>v_115_XACP</vt:lpstr>
      <vt:lpstr>v_115_XAMETO</vt:lpstr>
      <vt:lpstr>v_115_XAMX</vt:lpstr>
      <vt:lpstr>v_115_XAOB</vt:lpstr>
      <vt:lpstr>v_115_XASRO</vt:lpstr>
      <vt:lpstr>v_115_XB</vt:lpstr>
      <vt:lpstr>v_115_XBSH</vt:lpstr>
      <vt:lpstr>v_115_XCaCO3</vt:lpstr>
      <vt:lpstr>v_115_XCASTO</vt:lpstr>
      <vt:lpstr>v_115_XE</vt:lpstr>
      <vt:lpstr>v_115_XE_ana</vt:lpstr>
      <vt:lpstr>v_115_XFeS</vt:lpstr>
      <vt:lpstr>v_115_XGLY</vt:lpstr>
      <vt:lpstr>v_115_XHAO_H</vt:lpstr>
      <vt:lpstr>v_115_XHAO_H_P</vt:lpstr>
      <vt:lpstr>v_115_XHAO_H_P_old</vt:lpstr>
      <vt:lpstr>v_115_XHAO_L</vt:lpstr>
      <vt:lpstr>v_115_XHAO_L_P</vt:lpstr>
      <vt:lpstr>v_115_XHAO_L_P_old</vt:lpstr>
      <vt:lpstr>v_115_XHAO_old</vt:lpstr>
      <vt:lpstr>v_115_XHFO_H</vt:lpstr>
      <vt:lpstr>v_115_XHFO_H_P</vt:lpstr>
      <vt:lpstr>v_115_XHFO_H_P_old</vt:lpstr>
      <vt:lpstr>v_115_XHFO_L</vt:lpstr>
      <vt:lpstr>v_115_XHFO_L_P</vt:lpstr>
      <vt:lpstr>v_115_XHFO_L_P_old</vt:lpstr>
      <vt:lpstr>v_115_XHFO_old</vt:lpstr>
      <vt:lpstr>v_115_XHMETO</vt:lpstr>
      <vt:lpstr>v_115_XHSRO</vt:lpstr>
      <vt:lpstr>v_115_XINORG</vt:lpstr>
      <vt:lpstr>v_115_XMEOLO</vt:lpstr>
      <vt:lpstr>v_115_XMOB</vt:lpstr>
      <vt:lpstr>v_115_XN_B</vt:lpstr>
      <vt:lpstr>v_115_XN_U</vt:lpstr>
      <vt:lpstr>v_115_XNOB</vt:lpstr>
      <vt:lpstr>v_115_XOHO</vt:lpstr>
      <vt:lpstr>v_115_XP_B</vt:lpstr>
      <vt:lpstr>v_115_XP_U</vt:lpstr>
      <vt:lpstr>v_115_XPHA</vt:lpstr>
      <vt:lpstr>v_115_XPP</vt:lpstr>
      <vt:lpstr>v_115_XS</vt:lpstr>
      <vt:lpstr>v_115_XSOO</vt:lpstr>
      <vt:lpstr>v_115_XSTR</vt:lpstr>
      <vt:lpstr>v_115_XU</vt:lpstr>
      <vt:lpstr>v_115_XVivi</vt:lpstr>
      <vt:lpstr>v_116_CB</vt:lpstr>
      <vt:lpstr>v_116_CU</vt:lpstr>
      <vt:lpstr>v_116_GCH4</vt:lpstr>
      <vt:lpstr>v_116_GCH4_atm</vt:lpstr>
      <vt:lpstr>v_116_GCO2</vt:lpstr>
      <vt:lpstr>v_116_GCO2_atm</vt:lpstr>
      <vt:lpstr>v_116_GH2</vt:lpstr>
      <vt:lpstr>v_116_GH2_atm</vt:lpstr>
      <vt:lpstr>v_116_GH2S</vt:lpstr>
      <vt:lpstr>v_116_GH2S_atm</vt:lpstr>
      <vt:lpstr>v_116_GN2</vt:lpstr>
      <vt:lpstr>v_116_GN2_atm</vt:lpstr>
      <vt:lpstr>v_116_GN2O</vt:lpstr>
      <vt:lpstr>v_116_GN2O_atm</vt:lpstr>
      <vt:lpstr>v_116_GNH3</vt:lpstr>
      <vt:lpstr>v_116_GNH3_atm</vt:lpstr>
      <vt:lpstr>v_116_GNO</vt:lpstr>
      <vt:lpstr>v_116_GNO_atm</vt:lpstr>
      <vt:lpstr>v_116_GO2</vt:lpstr>
      <vt:lpstr>v_116_GO2_atm</vt:lpstr>
      <vt:lpstr>v_116_H</vt:lpstr>
      <vt:lpstr>v_116_SALPHA</vt:lpstr>
      <vt:lpstr>v_116_SAN</vt:lpstr>
      <vt:lpstr>v_116_SB</vt:lpstr>
      <vt:lpstr>v_116_SCa</vt:lpstr>
      <vt:lpstr>v_116_SCAT</vt:lpstr>
      <vt:lpstr>v_116_SCH4</vt:lpstr>
      <vt:lpstr>v_116_SCO2</vt:lpstr>
      <vt:lpstr>v_116_SFe2</vt:lpstr>
      <vt:lpstr>v_116_SH2</vt:lpstr>
      <vt:lpstr>v_116_SH2S</vt:lpstr>
      <vt:lpstr>v_116_SK</vt:lpstr>
      <vt:lpstr>v_116_SMEOL</vt:lpstr>
      <vt:lpstr>v_116_SMg</vt:lpstr>
      <vt:lpstr>v_116_SMM_index</vt:lpstr>
      <vt:lpstr>v_116_SN_B</vt:lpstr>
      <vt:lpstr>v_116_SN2</vt:lpstr>
      <vt:lpstr>v_116_SN2O</vt:lpstr>
      <vt:lpstr>v_116_SNH2OH</vt:lpstr>
      <vt:lpstr>v_116_SNHx</vt:lpstr>
      <vt:lpstr>v_116_SNO_AOB</vt:lpstr>
      <vt:lpstr>v_116_SNO_OHO</vt:lpstr>
      <vt:lpstr>v_116_SNO2</vt:lpstr>
      <vt:lpstr>v_116_SNO3</vt:lpstr>
      <vt:lpstr>v_116_SO2</vt:lpstr>
      <vt:lpstr>v_116_SP_B</vt:lpstr>
      <vt:lpstr>v_116_SPO4</vt:lpstr>
      <vt:lpstr>v_116_SSO4</vt:lpstr>
      <vt:lpstr>v_116_SU</vt:lpstr>
      <vt:lpstr>v_116_SVFA</vt:lpstr>
      <vt:lpstr>v_116_XACP</vt:lpstr>
      <vt:lpstr>v_116_XAMETO</vt:lpstr>
      <vt:lpstr>v_116_XAMX</vt:lpstr>
      <vt:lpstr>v_116_XAOB</vt:lpstr>
      <vt:lpstr>v_116_XASRO</vt:lpstr>
      <vt:lpstr>v_116_XB</vt:lpstr>
      <vt:lpstr>v_116_XBSH</vt:lpstr>
      <vt:lpstr>v_116_XCaCO3</vt:lpstr>
      <vt:lpstr>v_116_XCASTO</vt:lpstr>
      <vt:lpstr>v_116_XE</vt:lpstr>
      <vt:lpstr>v_116_XE_ana</vt:lpstr>
      <vt:lpstr>v_116_XFeS</vt:lpstr>
      <vt:lpstr>v_116_XGLY</vt:lpstr>
      <vt:lpstr>v_116_XHAO_H</vt:lpstr>
      <vt:lpstr>v_116_XHAO_H_P</vt:lpstr>
      <vt:lpstr>v_116_XHAO_H_P_old</vt:lpstr>
      <vt:lpstr>v_116_XHAO_L</vt:lpstr>
      <vt:lpstr>v_116_XHAO_L_P</vt:lpstr>
      <vt:lpstr>v_116_XHAO_L_P_old</vt:lpstr>
      <vt:lpstr>v_116_XHAO_old</vt:lpstr>
      <vt:lpstr>v_116_XHFO_H</vt:lpstr>
      <vt:lpstr>v_116_XHFO_H_P</vt:lpstr>
      <vt:lpstr>v_116_XHFO_H_P_old</vt:lpstr>
      <vt:lpstr>v_116_XHFO_L</vt:lpstr>
      <vt:lpstr>v_116_XHFO_L_P</vt:lpstr>
      <vt:lpstr>v_116_XHFO_L_P_old</vt:lpstr>
      <vt:lpstr>v_116_XHFO_old</vt:lpstr>
      <vt:lpstr>v_116_XHMETO</vt:lpstr>
      <vt:lpstr>v_116_XHSRO</vt:lpstr>
      <vt:lpstr>v_116_XINORG</vt:lpstr>
      <vt:lpstr>v_116_XMEOLO</vt:lpstr>
      <vt:lpstr>v_116_XMOB</vt:lpstr>
      <vt:lpstr>v_116_XN_B</vt:lpstr>
      <vt:lpstr>v_116_XN_U</vt:lpstr>
      <vt:lpstr>v_116_XNOB</vt:lpstr>
      <vt:lpstr>v_116_XOHO</vt:lpstr>
      <vt:lpstr>v_116_XP_B</vt:lpstr>
      <vt:lpstr>v_116_XP_U</vt:lpstr>
      <vt:lpstr>v_116_XPHA</vt:lpstr>
      <vt:lpstr>v_116_XPP</vt:lpstr>
      <vt:lpstr>v_116_XS</vt:lpstr>
      <vt:lpstr>v_116_XSOO</vt:lpstr>
      <vt:lpstr>v_116_XSTR</vt:lpstr>
      <vt:lpstr>v_116_XU</vt:lpstr>
      <vt:lpstr>v_116_XVivi</vt:lpstr>
      <vt:lpstr>v_117_CB</vt:lpstr>
      <vt:lpstr>v_117_CU</vt:lpstr>
      <vt:lpstr>v_117_GCH4</vt:lpstr>
      <vt:lpstr>v_117_GCH4_atm</vt:lpstr>
      <vt:lpstr>v_117_GCO2</vt:lpstr>
      <vt:lpstr>v_117_GCO2_atm</vt:lpstr>
      <vt:lpstr>v_117_GH2</vt:lpstr>
      <vt:lpstr>v_117_GH2_atm</vt:lpstr>
      <vt:lpstr>v_117_GH2S</vt:lpstr>
      <vt:lpstr>v_117_GH2S_atm</vt:lpstr>
      <vt:lpstr>v_117_GN2</vt:lpstr>
      <vt:lpstr>v_117_GN2_atm</vt:lpstr>
      <vt:lpstr>v_117_GN2O</vt:lpstr>
      <vt:lpstr>v_117_GN2O_atm</vt:lpstr>
      <vt:lpstr>v_117_GNH3</vt:lpstr>
      <vt:lpstr>v_117_GNH3_atm</vt:lpstr>
      <vt:lpstr>v_117_GNO</vt:lpstr>
      <vt:lpstr>v_117_GNO_atm</vt:lpstr>
      <vt:lpstr>v_117_GO2</vt:lpstr>
      <vt:lpstr>v_117_GO2_atm</vt:lpstr>
      <vt:lpstr>v_117_H</vt:lpstr>
      <vt:lpstr>v_117_SALPHA</vt:lpstr>
      <vt:lpstr>v_117_SAN</vt:lpstr>
      <vt:lpstr>v_117_SB</vt:lpstr>
      <vt:lpstr>v_117_SCa</vt:lpstr>
      <vt:lpstr>v_117_SCAT</vt:lpstr>
      <vt:lpstr>v_117_SCH4</vt:lpstr>
      <vt:lpstr>v_117_SCO2</vt:lpstr>
      <vt:lpstr>v_117_SFe2</vt:lpstr>
      <vt:lpstr>v_117_SH2</vt:lpstr>
      <vt:lpstr>v_117_SH2S</vt:lpstr>
      <vt:lpstr>v_117_SK</vt:lpstr>
      <vt:lpstr>v_117_SMEOL</vt:lpstr>
      <vt:lpstr>v_117_SMg</vt:lpstr>
      <vt:lpstr>v_117_SMM_index</vt:lpstr>
      <vt:lpstr>v_117_SN_B</vt:lpstr>
      <vt:lpstr>v_117_SN2</vt:lpstr>
      <vt:lpstr>v_117_SN2O</vt:lpstr>
      <vt:lpstr>v_117_SNH2OH</vt:lpstr>
      <vt:lpstr>v_117_SNHx</vt:lpstr>
      <vt:lpstr>v_117_SNO_AOB</vt:lpstr>
      <vt:lpstr>v_117_SNO_OHO</vt:lpstr>
      <vt:lpstr>v_117_SNO2</vt:lpstr>
      <vt:lpstr>v_117_SNO3</vt:lpstr>
      <vt:lpstr>v_117_SO2</vt:lpstr>
      <vt:lpstr>v_117_SP_B</vt:lpstr>
      <vt:lpstr>v_117_SPO4</vt:lpstr>
      <vt:lpstr>v_117_SSO4</vt:lpstr>
      <vt:lpstr>v_117_SU</vt:lpstr>
      <vt:lpstr>v_117_SVFA</vt:lpstr>
      <vt:lpstr>v_117_XACP</vt:lpstr>
      <vt:lpstr>v_117_XAMETO</vt:lpstr>
      <vt:lpstr>v_117_XAMX</vt:lpstr>
      <vt:lpstr>v_117_XAOB</vt:lpstr>
      <vt:lpstr>v_117_XASRO</vt:lpstr>
      <vt:lpstr>v_117_XB</vt:lpstr>
      <vt:lpstr>v_117_XBSH</vt:lpstr>
      <vt:lpstr>v_117_XCaCO3</vt:lpstr>
      <vt:lpstr>v_117_XCASTO</vt:lpstr>
      <vt:lpstr>v_117_XE</vt:lpstr>
      <vt:lpstr>v_117_XE_ana</vt:lpstr>
      <vt:lpstr>v_117_XFeS</vt:lpstr>
      <vt:lpstr>v_117_XGLY</vt:lpstr>
      <vt:lpstr>v_117_XHAO_H</vt:lpstr>
      <vt:lpstr>v_117_XHAO_H_P</vt:lpstr>
      <vt:lpstr>v_117_XHAO_H_P_old</vt:lpstr>
      <vt:lpstr>v_117_XHAO_L</vt:lpstr>
      <vt:lpstr>v_117_XHAO_L_P</vt:lpstr>
      <vt:lpstr>v_117_XHAO_L_P_old</vt:lpstr>
      <vt:lpstr>v_117_XHAO_old</vt:lpstr>
      <vt:lpstr>v_117_XHFO_H</vt:lpstr>
      <vt:lpstr>v_117_XHFO_H_P</vt:lpstr>
      <vt:lpstr>v_117_XHFO_H_P_old</vt:lpstr>
      <vt:lpstr>v_117_XHFO_L</vt:lpstr>
      <vt:lpstr>v_117_XHFO_L_P</vt:lpstr>
      <vt:lpstr>v_117_XHFO_L_P_old</vt:lpstr>
      <vt:lpstr>v_117_XHFO_old</vt:lpstr>
      <vt:lpstr>v_117_XHMETO</vt:lpstr>
      <vt:lpstr>v_117_XHSRO</vt:lpstr>
      <vt:lpstr>v_117_XINORG</vt:lpstr>
      <vt:lpstr>v_117_XMEOLO</vt:lpstr>
      <vt:lpstr>v_117_XMOB</vt:lpstr>
      <vt:lpstr>v_117_XN_B</vt:lpstr>
      <vt:lpstr>v_117_XN_U</vt:lpstr>
      <vt:lpstr>v_117_XNOB</vt:lpstr>
      <vt:lpstr>v_117_XOHO</vt:lpstr>
      <vt:lpstr>v_117_XP_B</vt:lpstr>
      <vt:lpstr>v_117_XP_U</vt:lpstr>
      <vt:lpstr>v_117_XPHA</vt:lpstr>
      <vt:lpstr>v_117_XPP</vt:lpstr>
      <vt:lpstr>v_117_XS</vt:lpstr>
      <vt:lpstr>v_117_XSOO</vt:lpstr>
      <vt:lpstr>v_117_XSTR</vt:lpstr>
      <vt:lpstr>v_117_XU</vt:lpstr>
      <vt:lpstr>v_117_XVivi</vt:lpstr>
      <vt:lpstr>v_118_CB</vt:lpstr>
      <vt:lpstr>v_118_CU</vt:lpstr>
      <vt:lpstr>v_118_GCH4</vt:lpstr>
      <vt:lpstr>v_118_GCH4_atm</vt:lpstr>
      <vt:lpstr>v_118_GCO2</vt:lpstr>
      <vt:lpstr>v_118_GCO2_atm</vt:lpstr>
      <vt:lpstr>v_118_GH2</vt:lpstr>
      <vt:lpstr>v_118_GH2_atm</vt:lpstr>
      <vt:lpstr>v_118_GH2S</vt:lpstr>
      <vt:lpstr>v_118_GH2S_atm</vt:lpstr>
      <vt:lpstr>v_118_GN2</vt:lpstr>
      <vt:lpstr>v_118_GN2_atm</vt:lpstr>
      <vt:lpstr>v_118_GN2O</vt:lpstr>
      <vt:lpstr>v_118_GN2O_atm</vt:lpstr>
      <vt:lpstr>v_118_GNH3</vt:lpstr>
      <vt:lpstr>v_118_GNH3_atm</vt:lpstr>
      <vt:lpstr>v_118_GNO</vt:lpstr>
      <vt:lpstr>v_118_GNO_atm</vt:lpstr>
      <vt:lpstr>v_118_GO2</vt:lpstr>
      <vt:lpstr>v_118_GO2_atm</vt:lpstr>
      <vt:lpstr>v_118_H</vt:lpstr>
      <vt:lpstr>v_118_SALPHA</vt:lpstr>
      <vt:lpstr>v_118_SAN</vt:lpstr>
      <vt:lpstr>v_118_SB</vt:lpstr>
      <vt:lpstr>v_118_SCa</vt:lpstr>
      <vt:lpstr>v_118_SCAT</vt:lpstr>
      <vt:lpstr>v_118_SCH4</vt:lpstr>
      <vt:lpstr>v_118_SCO2</vt:lpstr>
      <vt:lpstr>v_118_SFe2</vt:lpstr>
      <vt:lpstr>v_118_SH2</vt:lpstr>
      <vt:lpstr>v_118_SH2S</vt:lpstr>
      <vt:lpstr>v_118_SK</vt:lpstr>
      <vt:lpstr>v_118_SMEOL</vt:lpstr>
      <vt:lpstr>v_118_SMg</vt:lpstr>
      <vt:lpstr>v_118_SMM_index</vt:lpstr>
      <vt:lpstr>v_118_SN_B</vt:lpstr>
      <vt:lpstr>v_118_SN2</vt:lpstr>
      <vt:lpstr>v_118_SN2O</vt:lpstr>
      <vt:lpstr>v_118_SNH2OH</vt:lpstr>
      <vt:lpstr>v_118_SNHx</vt:lpstr>
      <vt:lpstr>v_118_SNO_AOB</vt:lpstr>
      <vt:lpstr>v_118_SNO_OHO</vt:lpstr>
      <vt:lpstr>v_118_SNO2</vt:lpstr>
      <vt:lpstr>v_118_SNO3</vt:lpstr>
      <vt:lpstr>v_118_SO2</vt:lpstr>
      <vt:lpstr>v_118_SP_B</vt:lpstr>
      <vt:lpstr>v_118_SPO4</vt:lpstr>
      <vt:lpstr>v_118_SSO4</vt:lpstr>
      <vt:lpstr>v_118_SU</vt:lpstr>
      <vt:lpstr>v_118_SVFA</vt:lpstr>
      <vt:lpstr>v_118_XACP</vt:lpstr>
      <vt:lpstr>v_118_XAMETO</vt:lpstr>
      <vt:lpstr>v_118_XAMX</vt:lpstr>
      <vt:lpstr>v_118_XAOB</vt:lpstr>
      <vt:lpstr>v_118_XASRO</vt:lpstr>
      <vt:lpstr>v_118_XB</vt:lpstr>
      <vt:lpstr>v_118_XBSH</vt:lpstr>
      <vt:lpstr>v_118_XCaCO3</vt:lpstr>
      <vt:lpstr>v_118_XCASTO</vt:lpstr>
      <vt:lpstr>v_118_XE</vt:lpstr>
      <vt:lpstr>v_118_XE_ana</vt:lpstr>
      <vt:lpstr>v_118_XFeS</vt:lpstr>
      <vt:lpstr>v_118_XGLY</vt:lpstr>
      <vt:lpstr>v_118_XHAO_H</vt:lpstr>
      <vt:lpstr>v_118_XHAO_H_P</vt:lpstr>
      <vt:lpstr>v_118_XHAO_H_P_old</vt:lpstr>
      <vt:lpstr>v_118_XHAO_L</vt:lpstr>
      <vt:lpstr>v_118_XHAO_L_P</vt:lpstr>
      <vt:lpstr>v_118_XHAO_L_P_old</vt:lpstr>
      <vt:lpstr>v_118_XHAO_old</vt:lpstr>
      <vt:lpstr>v_118_XHFO_H</vt:lpstr>
      <vt:lpstr>v_118_XHFO_H_P</vt:lpstr>
      <vt:lpstr>v_118_XHFO_H_P_old</vt:lpstr>
      <vt:lpstr>v_118_XHFO_L</vt:lpstr>
      <vt:lpstr>v_118_XHFO_L_P</vt:lpstr>
      <vt:lpstr>v_118_XHFO_L_P_old</vt:lpstr>
      <vt:lpstr>v_118_XHFO_old</vt:lpstr>
      <vt:lpstr>v_118_XHMETO</vt:lpstr>
      <vt:lpstr>v_118_XHSRO</vt:lpstr>
      <vt:lpstr>v_118_XINORG</vt:lpstr>
      <vt:lpstr>v_118_XMEOLO</vt:lpstr>
      <vt:lpstr>v_118_XMOB</vt:lpstr>
      <vt:lpstr>v_118_XN_B</vt:lpstr>
      <vt:lpstr>v_118_XN_U</vt:lpstr>
      <vt:lpstr>v_118_XNOB</vt:lpstr>
      <vt:lpstr>v_118_XOHO</vt:lpstr>
      <vt:lpstr>v_118_XP_B</vt:lpstr>
      <vt:lpstr>v_118_XP_U</vt:lpstr>
      <vt:lpstr>v_118_XPHA</vt:lpstr>
      <vt:lpstr>v_118_XPP</vt:lpstr>
      <vt:lpstr>v_118_XS</vt:lpstr>
      <vt:lpstr>v_118_XSOO</vt:lpstr>
      <vt:lpstr>v_118_XSTR</vt:lpstr>
      <vt:lpstr>v_118_XU</vt:lpstr>
      <vt:lpstr>v_118_XVivi</vt:lpstr>
      <vt:lpstr>v_119_CB</vt:lpstr>
      <vt:lpstr>v_119_CU</vt:lpstr>
      <vt:lpstr>v_119_GCH4</vt:lpstr>
      <vt:lpstr>v_119_GCH4_atm</vt:lpstr>
      <vt:lpstr>v_119_GCO2</vt:lpstr>
      <vt:lpstr>v_119_GCO2_atm</vt:lpstr>
      <vt:lpstr>v_119_GH2</vt:lpstr>
      <vt:lpstr>v_119_GH2_atm</vt:lpstr>
      <vt:lpstr>v_119_GH2S</vt:lpstr>
      <vt:lpstr>v_119_GH2S_atm</vt:lpstr>
      <vt:lpstr>v_119_GN2</vt:lpstr>
      <vt:lpstr>v_119_GN2_atm</vt:lpstr>
      <vt:lpstr>v_119_GN2O</vt:lpstr>
      <vt:lpstr>v_119_GN2O_atm</vt:lpstr>
      <vt:lpstr>v_119_GNH3</vt:lpstr>
      <vt:lpstr>v_119_GNH3_atm</vt:lpstr>
      <vt:lpstr>v_119_GNO</vt:lpstr>
      <vt:lpstr>v_119_GNO_atm</vt:lpstr>
      <vt:lpstr>v_119_GO2</vt:lpstr>
      <vt:lpstr>v_119_GO2_atm</vt:lpstr>
      <vt:lpstr>v_119_H</vt:lpstr>
      <vt:lpstr>v_119_SALPHA</vt:lpstr>
      <vt:lpstr>v_119_SAN</vt:lpstr>
      <vt:lpstr>v_119_SB</vt:lpstr>
      <vt:lpstr>v_119_SCa</vt:lpstr>
      <vt:lpstr>v_119_SCAT</vt:lpstr>
      <vt:lpstr>v_119_SCH4</vt:lpstr>
      <vt:lpstr>v_119_SCO2</vt:lpstr>
      <vt:lpstr>v_119_SFe2</vt:lpstr>
      <vt:lpstr>v_119_SH2</vt:lpstr>
      <vt:lpstr>v_119_SH2S</vt:lpstr>
      <vt:lpstr>v_119_SK</vt:lpstr>
      <vt:lpstr>v_119_SMEOL</vt:lpstr>
      <vt:lpstr>v_119_SMg</vt:lpstr>
      <vt:lpstr>v_119_SMM_index</vt:lpstr>
      <vt:lpstr>v_119_SN_B</vt:lpstr>
      <vt:lpstr>v_119_SN2</vt:lpstr>
      <vt:lpstr>v_119_SN2O</vt:lpstr>
      <vt:lpstr>v_119_SNH2OH</vt:lpstr>
      <vt:lpstr>v_119_SNHx</vt:lpstr>
      <vt:lpstr>v_119_SNO_AOB</vt:lpstr>
      <vt:lpstr>v_119_SNO_OHO</vt:lpstr>
      <vt:lpstr>v_119_SNO2</vt:lpstr>
      <vt:lpstr>v_119_SNO3</vt:lpstr>
      <vt:lpstr>v_119_SO2</vt:lpstr>
      <vt:lpstr>v_119_SP_B</vt:lpstr>
      <vt:lpstr>v_119_SPO4</vt:lpstr>
      <vt:lpstr>v_119_SSO4</vt:lpstr>
      <vt:lpstr>v_119_SU</vt:lpstr>
      <vt:lpstr>v_119_SVFA</vt:lpstr>
      <vt:lpstr>v_119_XACP</vt:lpstr>
      <vt:lpstr>v_119_XAMETO</vt:lpstr>
      <vt:lpstr>v_119_XAMX</vt:lpstr>
      <vt:lpstr>v_119_XAOB</vt:lpstr>
      <vt:lpstr>v_119_XASRO</vt:lpstr>
      <vt:lpstr>v_119_XB</vt:lpstr>
      <vt:lpstr>v_119_XBSH</vt:lpstr>
      <vt:lpstr>v_119_XCaCO3</vt:lpstr>
      <vt:lpstr>v_119_XCASTO</vt:lpstr>
      <vt:lpstr>v_119_XE</vt:lpstr>
      <vt:lpstr>v_119_XE_ana</vt:lpstr>
      <vt:lpstr>v_119_XFeS</vt:lpstr>
      <vt:lpstr>v_119_XGLY</vt:lpstr>
      <vt:lpstr>v_119_XHAO_H</vt:lpstr>
      <vt:lpstr>v_119_XHAO_H_P</vt:lpstr>
      <vt:lpstr>v_119_XHAO_H_P_old</vt:lpstr>
      <vt:lpstr>v_119_XHAO_L</vt:lpstr>
      <vt:lpstr>v_119_XHAO_L_P</vt:lpstr>
      <vt:lpstr>v_119_XHAO_L_P_old</vt:lpstr>
      <vt:lpstr>v_119_XHAO_old</vt:lpstr>
      <vt:lpstr>v_119_XHFO_H</vt:lpstr>
      <vt:lpstr>v_119_XHFO_H_P</vt:lpstr>
      <vt:lpstr>v_119_XHFO_H_P_old</vt:lpstr>
      <vt:lpstr>v_119_XHFO_L</vt:lpstr>
      <vt:lpstr>v_119_XHFO_L_P</vt:lpstr>
      <vt:lpstr>v_119_XHFO_L_P_old</vt:lpstr>
      <vt:lpstr>v_119_XHFO_old</vt:lpstr>
      <vt:lpstr>v_119_XHMETO</vt:lpstr>
      <vt:lpstr>v_119_XHSRO</vt:lpstr>
      <vt:lpstr>v_119_XINORG</vt:lpstr>
      <vt:lpstr>v_119_XMEOLO</vt:lpstr>
      <vt:lpstr>v_119_XMOB</vt:lpstr>
      <vt:lpstr>v_119_XN_B</vt:lpstr>
      <vt:lpstr>v_119_XN_U</vt:lpstr>
      <vt:lpstr>v_119_XNOB</vt:lpstr>
      <vt:lpstr>v_119_XOHO</vt:lpstr>
      <vt:lpstr>v_119_XP_B</vt:lpstr>
      <vt:lpstr>v_119_XP_U</vt:lpstr>
      <vt:lpstr>v_119_XPHA</vt:lpstr>
      <vt:lpstr>v_119_XPP</vt:lpstr>
      <vt:lpstr>v_119_XS</vt:lpstr>
      <vt:lpstr>v_119_XSOO</vt:lpstr>
      <vt:lpstr>v_119_XSTR</vt:lpstr>
      <vt:lpstr>v_119_XU</vt:lpstr>
      <vt:lpstr>v_119_XVivi</vt:lpstr>
      <vt:lpstr>v_12_CB</vt:lpstr>
      <vt:lpstr>v_12_CU</vt:lpstr>
      <vt:lpstr>v_12_GCH4</vt:lpstr>
      <vt:lpstr>v_12_GCH4_atm</vt:lpstr>
      <vt:lpstr>v_12_GCO2</vt:lpstr>
      <vt:lpstr>v_12_GCO2_atm</vt:lpstr>
      <vt:lpstr>v_12_GH2</vt:lpstr>
      <vt:lpstr>v_12_GH2_atm</vt:lpstr>
      <vt:lpstr>v_12_GH2S</vt:lpstr>
      <vt:lpstr>v_12_GH2S_atm</vt:lpstr>
      <vt:lpstr>v_12_GN2</vt:lpstr>
      <vt:lpstr>v_12_GN2_atm</vt:lpstr>
      <vt:lpstr>v_12_GN2O</vt:lpstr>
      <vt:lpstr>v_12_GN2O_atm</vt:lpstr>
      <vt:lpstr>v_12_GNH3</vt:lpstr>
      <vt:lpstr>v_12_GNH3_atm</vt:lpstr>
      <vt:lpstr>v_12_GNO</vt:lpstr>
      <vt:lpstr>v_12_GNO_atm</vt:lpstr>
      <vt:lpstr>v_12_GO2</vt:lpstr>
      <vt:lpstr>v_12_GO2_atm</vt:lpstr>
      <vt:lpstr>v_12_H</vt:lpstr>
      <vt:lpstr>v_12_SALPHA</vt:lpstr>
      <vt:lpstr>v_12_SAN</vt:lpstr>
      <vt:lpstr>v_12_SB</vt:lpstr>
      <vt:lpstr>v_12_SCa</vt:lpstr>
      <vt:lpstr>v_12_SCAT</vt:lpstr>
      <vt:lpstr>v_12_SCH4</vt:lpstr>
      <vt:lpstr>v_12_SCO2</vt:lpstr>
      <vt:lpstr>v_12_SFe2</vt:lpstr>
      <vt:lpstr>v_12_SH2</vt:lpstr>
      <vt:lpstr>v_12_SH2S</vt:lpstr>
      <vt:lpstr>v_12_SK</vt:lpstr>
      <vt:lpstr>v_12_SMEOL</vt:lpstr>
      <vt:lpstr>v_12_SMg</vt:lpstr>
      <vt:lpstr>v_12_SMM_index</vt:lpstr>
      <vt:lpstr>v_12_SN_B</vt:lpstr>
      <vt:lpstr>v_12_SN2</vt:lpstr>
      <vt:lpstr>v_12_SN2O</vt:lpstr>
      <vt:lpstr>v_12_SNH2OH</vt:lpstr>
      <vt:lpstr>v_12_SNHx</vt:lpstr>
      <vt:lpstr>v_12_SNO_AOB</vt:lpstr>
      <vt:lpstr>v_12_SNO_OHO</vt:lpstr>
      <vt:lpstr>v_12_SNO2</vt:lpstr>
      <vt:lpstr>v_12_SNO3</vt:lpstr>
      <vt:lpstr>v_12_SO2</vt:lpstr>
      <vt:lpstr>v_12_SP_B</vt:lpstr>
      <vt:lpstr>v_12_SPO4</vt:lpstr>
      <vt:lpstr>v_12_SSO4</vt:lpstr>
      <vt:lpstr>v_12_SU</vt:lpstr>
      <vt:lpstr>v_12_SVFA</vt:lpstr>
      <vt:lpstr>v_12_XACP</vt:lpstr>
      <vt:lpstr>v_12_XAMETO</vt:lpstr>
      <vt:lpstr>v_12_XAMX</vt:lpstr>
      <vt:lpstr>v_12_XAOB</vt:lpstr>
      <vt:lpstr>v_12_XASRO</vt:lpstr>
      <vt:lpstr>v_12_XB</vt:lpstr>
      <vt:lpstr>v_12_XBSH</vt:lpstr>
      <vt:lpstr>v_12_XCaCO3</vt:lpstr>
      <vt:lpstr>v_12_XCASTO</vt:lpstr>
      <vt:lpstr>v_12_XE</vt:lpstr>
      <vt:lpstr>v_12_XE_ana</vt:lpstr>
      <vt:lpstr>v_12_XFeS</vt:lpstr>
      <vt:lpstr>v_12_XGLY</vt:lpstr>
      <vt:lpstr>v_12_XHAO_H</vt:lpstr>
      <vt:lpstr>v_12_XHAO_H_P</vt:lpstr>
      <vt:lpstr>v_12_XHAO_H_P_old</vt:lpstr>
      <vt:lpstr>v_12_XHAO_L</vt:lpstr>
      <vt:lpstr>v_12_XHAO_L_P</vt:lpstr>
      <vt:lpstr>v_12_XHAO_L_P_old</vt:lpstr>
      <vt:lpstr>v_12_XHAO_old</vt:lpstr>
      <vt:lpstr>v_12_XHFO_H</vt:lpstr>
      <vt:lpstr>v_12_XHFO_H_P</vt:lpstr>
      <vt:lpstr>v_12_XHFO_H_P_old</vt:lpstr>
      <vt:lpstr>v_12_XHFO_L</vt:lpstr>
      <vt:lpstr>v_12_XHFO_L_P</vt:lpstr>
      <vt:lpstr>v_12_XHFO_L_P_old</vt:lpstr>
      <vt:lpstr>v_12_XHFO_old</vt:lpstr>
      <vt:lpstr>v_12_XHMETO</vt:lpstr>
      <vt:lpstr>v_12_XHSRO</vt:lpstr>
      <vt:lpstr>v_12_XINORG</vt:lpstr>
      <vt:lpstr>v_12_XMEOLO</vt:lpstr>
      <vt:lpstr>v_12_XMOB</vt:lpstr>
      <vt:lpstr>v_12_XN_B</vt:lpstr>
      <vt:lpstr>v_12_XN_U</vt:lpstr>
      <vt:lpstr>v_12_XNOB</vt:lpstr>
      <vt:lpstr>v_12_XOHO</vt:lpstr>
      <vt:lpstr>v_12_XP_B</vt:lpstr>
      <vt:lpstr>v_12_XP_U</vt:lpstr>
      <vt:lpstr>v_12_XPHA</vt:lpstr>
      <vt:lpstr>v_12_XPP</vt:lpstr>
      <vt:lpstr>v_12_XS</vt:lpstr>
      <vt:lpstr>v_12_XSOO</vt:lpstr>
      <vt:lpstr>v_12_XSTR</vt:lpstr>
      <vt:lpstr>v_12_XU</vt:lpstr>
      <vt:lpstr>v_12_XVivi</vt:lpstr>
      <vt:lpstr>v_120_CB</vt:lpstr>
      <vt:lpstr>v_120_CU</vt:lpstr>
      <vt:lpstr>v_120_GCH4</vt:lpstr>
      <vt:lpstr>v_120_GCH4_atm</vt:lpstr>
      <vt:lpstr>v_120_GCO2</vt:lpstr>
      <vt:lpstr>v_120_GCO2_atm</vt:lpstr>
      <vt:lpstr>v_120_GH2</vt:lpstr>
      <vt:lpstr>v_120_GH2_atm</vt:lpstr>
      <vt:lpstr>v_120_GH2S</vt:lpstr>
      <vt:lpstr>v_120_GH2S_atm</vt:lpstr>
      <vt:lpstr>v_120_GN2</vt:lpstr>
      <vt:lpstr>v_120_GN2_atm</vt:lpstr>
      <vt:lpstr>v_120_GN2O</vt:lpstr>
      <vt:lpstr>v_120_GN2O_atm</vt:lpstr>
      <vt:lpstr>v_120_GNH3</vt:lpstr>
      <vt:lpstr>v_120_GNH3_atm</vt:lpstr>
      <vt:lpstr>v_120_GNO</vt:lpstr>
      <vt:lpstr>v_120_GNO_atm</vt:lpstr>
      <vt:lpstr>v_120_GO2</vt:lpstr>
      <vt:lpstr>v_120_GO2_atm</vt:lpstr>
      <vt:lpstr>v_120_H</vt:lpstr>
      <vt:lpstr>v_120_SALPHA</vt:lpstr>
      <vt:lpstr>v_120_SAN</vt:lpstr>
      <vt:lpstr>v_120_SB</vt:lpstr>
      <vt:lpstr>v_120_SCa</vt:lpstr>
      <vt:lpstr>v_120_SCAT</vt:lpstr>
      <vt:lpstr>v_120_SCH4</vt:lpstr>
      <vt:lpstr>v_120_SCO2</vt:lpstr>
      <vt:lpstr>v_120_SFe2</vt:lpstr>
      <vt:lpstr>v_120_SH2</vt:lpstr>
      <vt:lpstr>v_120_SH2S</vt:lpstr>
      <vt:lpstr>v_120_SK</vt:lpstr>
      <vt:lpstr>v_120_SMEOL</vt:lpstr>
      <vt:lpstr>v_120_SMg</vt:lpstr>
      <vt:lpstr>v_120_SMM_index</vt:lpstr>
      <vt:lpstr>v_120_SN_B</vt:lpstr>
      <vt:lpstr>v_120_SN2</vt:lpstr>
      <vt:lpstr>v_120_SN2O</vt:lpstr>
      <vt:lpstr>v_120_SNH2OH</vt:lpstr>
      <vt:lpstr>v_120_SNHx</vt:lpstr>
      <vt:lpstr>v_120_SNO_AOB</vt:lpstr>
      <vt:lpstr>v_120_SNO_OHO</vt:lpstr>
      <vt:lpstr>v_120_SNO2</vt:lpstr>
      <vt:lpstr>v_120_SNO3</vt:lpstr>
      <vt:lpstr>v_120_SO2</vt:lpstr>
      <vt:lpstr>v_120_SP_B</vt:lpstr>
      <vt:lpstr>v_120_SPO4</vt:lpstr>
      <vt:lpstr>v_120_SSO4</vt:lpstr>
      <vt:lpstr>v_120_SU</vt:lpstr>
      <vt:lpstr>v_120_SVFA</vt:lpstr>
      <vt:lpstr>v_120_XACP</vt:lpstr>
      <vt:lpstr>v_120_XAMETO</vt:lpstr>
      <vt:lpstr>v_120_XAMX</vt:lpstr>
      <vt:lpstr>v_120_XAOB</vt:lpstr>
      <vt:lpstr>v_120_XASRO</vt:lpstr>
      <vt:lpstr>v_120_XB</vt:lpstr>
      <vt:lpstr>v_120_XBSH</vt:lpstr>
      <vt:lpstr>v_120_XCaCO3</vt:lpstr>
      <vt:lpstr>v_120_XCASTO</vt:lpstr>
      <vt:lpstr>v_120_XE</vt:lpstr>
      <vt:lpstr>v_120_XE_ana</vt:lpstr>
      <vt:lpstr>v_120_XFeS</vt:lpstr>
      <vt:lpstr>v_120_XGLY</vt:lpstr>
      <vt:lpstr>v_120_XHAO_H</vt:lpstr>
      <vt:lpstr>v_120_XHAO_H_P</vt:lpstr>
      <vt:lpstr>v_120_XHAO_H_P_old</vt:lpstr>
      <vt:lpstr>v_120_XHAO_L</vt:lpstr>
      <vt:lpstr>v_120_XHAO_L_P</vt:lpstr>
      <vt:lpstr>v_120_XHAO_L_P_old</vt:lpstr>
      <vt:lpstr>v_120_XHAO_old</vt:lpstr>
      <vt:lpstr>v_120_XHFO_H</vt:lpstr>
      <vt:lpstr>v_120_XHFO_H_P</vt:lpstr>
      <vt:lpstr>v_120_XHFO_H_P_old</vt:lpstr>
      <vt:lpstr>v_120_XHFO_L</vt:lpstr>
      <vt:lpstr>v_120_XHFO_L_P</vt:lpstr>
      <vt:lpstr>v_120_XHFO_L_P_old</vt:lpstr>
      <vt:lpstr>v_120_XHFO_old</vt:lpstr>
      <vt:lpstr>v_120_XHMETO</vt:lpstr>
      <vt:lpstr>v_120_XHSRO</vt:lpstr>
      <vt:lpstr>v_120_XINORG</vt:lpstr>
      <vt:lpstr>v_120_XMEOLO</vt:lpstr>
      <vt:lpstr>v_120_XMOB</vt:lpstr>
      <vt:lpstr>v_120_XN_B</vt:lpstr>
      <vt:lpstr>v_120_XN_U</vt:lpstr>
      <vt:lpstr>v_120_XNOB</vt:lpstr>
      <vt:lpstr>v_120_XOHO</vt:lpstr>
      <vt:lpstr>v_120_XP_B</vt:lpstr>
      <vt:lpstr>v_120_XP_U</vt:lpstr>
      <vt:lpstr>v_120_XPHA</vt:lpstr>
      <vt:lpstr>v_120_XPP</vt:lpstr>
      <vt:lpstr>v_120_XS</vt:lpstr>
      <vt:lpstr>v_120_XSOO</vt:lpstr>
      <vt:lpstr>v_120_XSTR</vt:lpstr>
      <vt:lpstr>v_120_XU</vt:lpstr>
      <vt:lpstr>v_120_XVivi</vt:lpstr>
      <vt:lpstr>v_121_CB</vt:lpstr>
      <vt:lpstr>v_121_CU</vt:lpstr>
      <vt:lpstr>v_121_GCH4</vt:lpstr>
      <vt:lpstr>v_121_GCH4_atm</vt:lpstr>
      <vt:lpstr>v_121_GCO2</vt:lpstr>
      <vt:lpstr>v_121_GCO2_atm</vt:lpstr>
      <vt:lpstr>v_121_GH2</vt:lpstr>
      <vt:lpstr>v_121_GH2_atm</vt:lpstr>
      <vt:lpstr>v_121_GH2S</vt:lpstr>
      <vt:lpstr>v_121_GH2S_atm</vt:lpstr>
      <vt:lpstr>v_121_GN2</vt:lpstr>
      <vt:lpstr>v_121_GN2_atm</vt:lpstr>
      <vt:lpstr>v_121_GN2O</vt:lpstr>
      <vt:lpstr>v_121_GN2O_atm</vt:lpstr>
      <vt:lpstr>v_121_GNH3</vt:lpstr>
      <vt:lpstr>v_121_GNH3_atm</vt:lpstr>
      <vt:lpstr>v_121_GNO</vt:lpstr>
      <vt:lpstr>v_121_GNO_atm</vt:lpstr>
      <vt:lpstr>v_121_GO2</vt:lpstr>
      <vt:lpstr>v_121_GO2_atm</vt:lpstr>
      <vt:lpstr>v_121_H</vt:lpstr>
      <vt:lpstr>v_121_SALPHA</vt:lpstr>
      <vt:lpstr>v_121_SAN</vt:lpstr>
      <vt:lpstr>v_121_SB</vt:lpstr>
      <vt:lpstr>v_121_SCa</vt:lpstr>
      <vt:lpstr>v_121_SCAT</vt:lpstr>
      <vt:lpstr>v_121_SCH4</vt:lpstr>
      <vt:lpstr>v_121_SCO2</vt:lpstr>
      <vt:lpstr>v_121_SFe2</vt:lpstr>
      <vt:lpstr>v_121_SH2</vt:lpstr>
      <vt:lpstr>v_121_SH2S</vt:lpstr>
      <vt:lpstr>v_121_SK</vt:lpstr>
      <vt:lpstr>v_121_SMEOL</vt:lpstr>
      <vt:lpstr>v_121_SMg</vt:lpstr>
      <vt:lpstr>v_121_SMM_index</vt:lpstr>
      <vt:lpstr>v_121_SN_B</vt:lpstr>
      <vt:lpstr>v_121_SN2</vt:lpstr>
      <vt:lpstr>v_121_SN2O</vt:lpstr>
      <vt:lpstr>v_121_SNH2OH</vt:lpstr>
      <vt:lpstr>v_121_SNHx</vt:lpstr>
      <vt:lpstr>v_121_SNO_AOB</vt:lpstr>
      <vt:lpstr>v_121_SNO_OHO</vt:lpstr>
      <vt:lpstr>v_121_SNO2</vt:lpstr>
      <vt:lpstr>v_121_SNO3</vt:lpstr>
      <vt:lpstr>v_121_SO2</vt:lpstr>
      <vt:lpstr>v_121_SP_B</vt:lpstr>
      <vt:lpstr>v_121_SPO4</vt:lpstr>
      <vt:lpstr>v_121_SSO4</vt:lpstr>
      <vt:lpstr>v_121_SU</vt:lpstr>
      <vt:lpstr>v_121_SVFA</vt:lpstr>
      <vt:lpstr>v_121_XACP</vt:lpstr>
      <vt:lpstr>v_121_XAMETO</vt:lpstr>
      <vt:lpstr>v_121_XAMX</vt:lpstr>
      <vt:lpstr>v_121_XAOB</vt:lpstr>
      <vt:lpstr>v_121_XASRO</vt:lpstr>
      <vt:lpstr>v_121_XB</vt:lpstr>
      <vt:lpstr>v_121_XBSH</vt:lpstr>
      <vt:lpstr>v_121_XCaCO3</vt:lpstr>
      <vt:lpstr>v_121_XCASTO</vt:lpstr>
      <vt:lpstr>v_121_XE</vt:lpstr>
      <vt:lpstr>v_121_XE_ana</vt:lpstr>
      <vt:lpstr>v_121_XFeS</vt:lpstr>
      <vt:lpstr>v_121_XGLY</vt:lpstr>
      <vt:lpstr>v_121_XHAO_H</vt:lpstr>
      <vt:lpstr>v_121_XHAO_H_P</vt:lpstr>
      <vt:lpstr>v_121_XHAO_H_P_old</vt:lpstr>
      <vt:lpstr>v_121_XHAO_L</vt:lpstr>
      <vt:lpstr>v_121_XHAO_L_P</vt:lpstr>
      <vt:lpstr>v_121_XHAO_L_P_old</vt:lpstr>
      <vt:lpstr>v_121_XHAO_old</vt:lpstr>
      <vt:lpstr>v_121_XHFO_H</vt:lpstr>
      <vt:lpstr>v_121_XHFO_H_P</vt:lpstr>
      <vt:lpstr>v_121_XHFO_H_P_old</vt:lpstr>
      <vt:lpstr>v_121_XHFO_L</vt:lpstr>
      <vt:lpstr>v_121_XHFO_L_P</vt:lpstr>
      <vt:lpstr>v_121_XHFO_L_P_old</vt:lpstr>
      <vt:lpstr>v_121_XHFO_old</vt:lpstr>
      <vt:lpstr>v_121_XHMETO</vt:lpstr>
      <vt:lpstr>v_121_XHSRO</vt:lpstr>
      <vt:lpstr>v_121_XINORG</vt:lpstr>
      <vt:lpstr>v_121_XMEOLO</vt:lpstr>
      <vt:lpstr>v_121_XMOB</vt:lpstr>
      <vt:lpstr>v_121_XN_B</vt:lpstr>
      <vt:lpstr>v_121_XN_U</vt:lpstr>
      <vt:lpstr>v_121_XNOB</vt:lpstr>
      <vt:lpstr>v_121_XOHO</vt:lpstr>
      <vt:lpstr>v_121_XP_B</vt:lpstr>
      <vt:lpstr>v_121_XP_U</vt:lpstr>
      <vt:lpstr>v_121_XPHA</vt:lpstr>
      <vt:lpstr>v_121_XPP</vt:lpstr>
      <vt:lpstr>v_121_XS</vt:lpstr>
      <vt:lpstr>v_121_XSOO</vt:lpstr>
      <vt:lpstr>v_121_XSTR</vt:lpstr>
      <vt:lpstr>v_121_XU</vt:lpstr>
      <vt:lpstr>v_121_XVivi</vt:lpstr>
      <vt:lpstr>v_122_CB</vt:lpstr>
      <vt:lpstr>v_122_CU</vt:lpstr>
      <vt:lpstr>v_122_GCH4</vt:lpstr>
      <vt:lpstr>v_122_GCH4_atm</vt:lpstr>
      <vt:lpstr>v_122_GCO2</vt:lpstr>
      <vt:lpstr>v_122_GCO2_atm</vt:lpstr>
      <vt:lpstr>v_122_GH2</vt:lpstr>
      <vt:lpstr>v_122_GH2_atm</vt:lpstr>
      <vt:lpstr>v_122_GH2S</vt:lpstr>
      <vt:lpstr>v_122_GH2S_atm</vt:lpstr>
      <vt:lpstr>v_122_GN2</vt:lpstr>
      <vt:lpstr>v_122_GN2_atm</vt:lpstr>
      <vt:lpstr>v_122_GN2O</vt:lpstr>
      <vt:lpstr>v_122_GN2O_atm</vt:lpstr>
      <vt:lpstr>v_122_GNH3</vt:lpstr>
      <vt:lpstr>v_122_GNH3_atm</vt:lpstr>
      <vt:lpstr>v_122_GNO</vt:lpstr>
      <vt:lpstr>v_122_GNO_atm</vt:lpstr>
      <vt:lpstr>v_122_GO2</vt:lpstr>
      <vt:lpstr>v_122_GO2_atm</vt:lpstr>
      <vt:lpstr>v_122_H</vt:lpstr>
      <vt:lpstr>v_122_SALPHA</vt:lpstr>
      <vt:lpstr>v_122_SAN</vt:lpstr>
      <vt:lpstr>v_122_SB</vt:lpstr>
      <vt:lpstr>v_122_SCa</vt:lpstr>
      <vt:lpstr>v_122_SCAT</vt:lpstr>
      <vt:lpstr>v_122_SCH4</vt:lpstr>
      <vt:lpstr>v_122_SCO2</vt:lpstr>
      <vt:lpstr>v_122_SFe2</vt:lpstr>
      <vt:lpstr>v_122_SH2</vt:lpstr>
      <vt:lpstr>v_122_SH2S</vt:lpstr>
      <vt:lpstr>v_122_SK</vt:lpstr>
      <vt:lpstr>v_122_SMEOL</vt:lpstr>
      <vt:lpstr>v_122_SMg</vt:lpstr>
      <vt:lpstr>v_122_SMM_index</vt:lpstr>
      <vt:lpstr>v_122_SN_B</vt:lpstr>
      <vt:lpstr>v_122_SN2</vt:lpstr>
      <vt:lpstr>v_122_SN2O</vt:lpstr>
      <vt:lpstr>v_122_SNH2OH</vt:lpstr>
      <vt:lpstr>v_122_SNHx</vt:lpstr>
      <vt:lpstr>v_122_SNO_AOB</vt:lpstr>
      <vt:lpstr>v_122_SNO_OHO</vt:lpstr>
      <vt:lpstr>v_122_SNO2</vt:lpstr>
      <vt:lpstr>v_122_SNO3</vt:lpstr>
      <vt:lpstr>v_122_SO2</vt:lpstr>
      <vt:lpstr>v_122_SP_B</vt:lpstr>
      <vt:lpstr>v_122_SPO4</vt:lpstr>
      <vt:lpstr>v_122_SSO4</vt:lpstr>
      <vt:lpstr>v_122_SU</vt:lpstr>
      <vt:lpstr>v_122_SVFA</vt:lpstr>
      <vt:lpstr>v_122_XACP</vt:lpstr>
      <vt:lpstr>v_122_XAMETO</vt:lpstr>
      <vt:lpstr>v_122_XAMX</vt:lpstr>
      <vt:lpstr>v_122_XAOB</vt:lpstr>
      <vt:lpstr>v_122_XASRO</vt:lpstr>
      <vt:lpstr>v_122_XB</vt:lpstr>
      <vt:lpstr>v_122_XBSH</vt:lpstr>
      <vt:lpstr>v_122_XCaCO3</vt:lpstr>
      <vt:lpstr>v_122_XCASTO</vt:lpstr>
      <vt:lpstr>v_122_XE</vt:lpstr>
      <vt:lpstr>v_122_XE_ana</vt:lpstr>
      <vt:lpstr>v_122_XFeS</vt:lpstr>
      <vt:lpstr>v_122_XGLY</vt:lpstr>
      <vt:lpstr>v_122_XHAO_H</vt:lpstr>
      <vt:lpstr>v_122_XHAO_H_P</vt:lpstr>
      <vt:lpstr>v_122_XHAO_H_P_old</vt:lpstr>
      <vt:lpstr>v_122_XHAO_L</vt:lpstr>
      <vt:lpstr>v_122_XHAO_L_P</vt:lpstr>
      <vt:lpstr>v_122_XHAO_L_P_old</vt:lpstr>
      <vt:lpstr>v_122_XHAO_old</vt:lpstr>
      <vt:lpstr>v_122_XHFO_H</vt:lpstr>
      <vt:lpstr>v_122_XHFO_H_P</vt:lpstr>
      <vt:lpstr>v_122_XHFO_H_P_old</vt:lpstr>
      <vt:lpstr>v_122_XHFO_L</vt:lpstr>
      <vt:lpstr>v_122_XHFO_L_P</vt:lpstr>
      <vt:lpstr>v_122_XHFO_L_P_old</vt:lpstr>
      <vt:lpstr>v_122_XHFO_old</vt:lpstr>
      <vt:lpstr>v_122_XHMETO</vt:lpstr>
      <vt:lpstr>v_122_XHSRO</vt:lpstr>
      <vt:lpstr>v_122_XINORG</vt:lpstr>
      <vt:lpstr>v_122_XMEOLO</vt:lpstr>
      <vt:lpstr>v_122_XMOB</vt:lpstr>
      <vt:lpstr>v_122_XN_B</vt:lpstr>
      <vt:lpstr>v_122_XN_U</vt:lpstr>
      <vt:lpstr>v_122_XNOB</vt:lpstr>
      <vt:lpstr>v_122_XOHO</vt:lpstr>
      <vt:lpstr>v_122_XP_B</vt:lpstr>
      <vt:lpstr>v_122_XP_U</vt:lpstr>
      <vt:lpstr>v_122_XPHA</vt:lpstr>
      <vt:lpstr>v_122_XPP</vt:lpstr>
      <vt:lpstr>v_122_XS</vt:lpstr>
      <vt:lpstr>v_122_XSOO</vt:lpstr>
      <vt:lpstr>v_122_XSTR</vt:lpstr>
      <vt:lpstr>v_122_XU</vt:lpstr>
      <vt:lpstr>v_122_XVivi</vt:lpstr>
      <vt:lpstr>v_123_CB</vt:lpstr>
      <vt:lpstr>v_123_CU</vt:lpstr>
      <vt:lpstr>v_123_GCH4</vt:lpstr>
      <vt:lpstr>v_123_GCH4_atm</vt:lpstr>
      <vt:lpstr>v_123_GCO2</vt:lpstr>
      <vt:lpstr>v_123_GCO2_atm</vt:lpstr>
      <vt:lpstr>v_123_GH2</vt:lpstr>
      <vt:lpstr>v_123_GH2_atm</vt:lpstr>
      <vt:lpstr>v_123_GH2S</vt:lpstr>
      <vt:lpstr>v_123_GH2S_atm</vt:lpstr>
      <vt:lpstr>v_123_GN2</vt:lpstr>
      <vt:lpstr>v_123_GN2_atm</vt:lpstr>
      <vt:lpstr>v_123_GN2O</vt:lpstr>
      <vt:lpstr>v_123_GN2O_atm</vt:lpstr>
      <vt:lpstr>v_123_GNH3</vt:lpstr>
      <vt:lpstr>v_123_GNH3_atm</vt:lpstr>
      <vt:lpstr>v_123_GNO</vt:lpstr>
      <vt:lpstr>v_123_GNO_atm</vt:lpstr>
      <vt:lpstr>v_123_GO2</vt:lpstr>
      <vt:lpstr>v_123_GO2_atm</vt:lpstr>
      <vt:lpstr>v_123_H</vt:lpstr>
      <vt:lpstr>v_123_SALPHA</vt:lpstr>
      <vt:lpstr>v_123_SAN</vt:lpstr>
      <vt:lpstr>v_123_SB</vt:lpstr>
      <vt:lpstr>v_123_SCa</vt:lpstr>
      <vt:lpstr>v_123_SCAT</vt:lpstr>
      <vt:lpstr>v_123_SCH4</vt:lpstr>
      <vt:lpstr>v_123_SCO2</vt:lpstr>
      <vt:lpstr>v_123_SFe2</vt:lpstr>
      <vt:lpstr>v_123_SH2</vt:lpstr>
      <vt:lpstr>v_123_SH2S</vt:lpstr>
      <vt:lpstr>v_123_SK</vt:lpstr>
      <vt:lpstr>v_123_SMEOL</vt:lpstr>
      <vt:lpstr>v_123_SMg</vt:lpstr>
      <vt:lpstr>v_123_SMM_index</vt:lpstr>
      <vt:lpstr>v_123_SN_B</vt:lpstr>
      <vt:lpstr>v_123_SN2</vt:lpstr>
      <vt:lpstr>v_123_SN2O</vt:lpstr>
      <vt:lpstr>v_123_SNH2OH</vt:lpstr>
      <vt:lpstr>v_123_SNHx</vt:lpstr>
      <vt:lpstr>v_123_SNO_AOB</vt:lpstr>
      <vt:lpstr>v_123_SNO_OHO</vt:lpstr>
      <vt:lpstr>v_123_SNO2</vt:lpstr>
      <vt:lpstr>v_123_SNO3</vt:lpstr>
      <vt:lpstr>v_123_SO2</vt:lpstr>
      <vt:lpstr>v_123_SP_B</vt:lpstr>
      <vt:lpstr>v_123_SPO4</vt:lpstr>
      <vt:lpstr>v_123_SSO4</vt:lpstr>
      <vt:lpstr>v_123_SU</vt:lpstr>
      <vt:lpstr>v_123_SVFA</vt:lpstr>
      <vt:lpstr>v_123_XACP</vt:lpstr>
      <vt:lpstr>v_123_XAMETO</vt:lpstr>
      <vt:lpstr>v_123_XAMX</vt:lpstr>
      <vt:lpstr>v_123_XAOB</vt:lpstr>
      <vt:lpstr>v_123_XASRO</vt:lpstr>
      <vt:lpstr>v_123_XB</vt:lpstr>
      <vt:lpstr>v_123_XBSH</vt:lpstr>
      <vt:lpstr>v_123_XCaCO3</vt:lpstr>
      <vt:lpstr>v_123_XCASTO</vt:lpstr>
      <vt:lpstr>v_123_XE</vt:lpstr>
      <vt:lpstr>v_123_XE_ana</vt:lpstr>
      <vt:lpstr>v_123_XFeS</vt:lpstr>
      <vt:lpstr>v_123_XGLY</vt:lpstr>
      <vt:lpstr>v_123_XHAO_H</vt:lpstr>
      <vt:lpstr>v_123_XHAO_H_P</vt:lpstr>
      <vt:lpstr>v_123_XHAO_H_P_old</vt:lpstr>
      <vt:lpstr>v_123_XHAO_L</vt:lpstr>
      <vt:lpstr>v_123_XHAO_L_P</vt:lpstr>
      <vt:lpstr>v_123_XHAO_L_P_old</vt:lpstr>
      <vt:lpstr>v_123_XHAO_old</vt:lpstr>
      <vt:lpstr>v_123_XHFO_H</vt:lpstr>
      <vt:lpstr>v_123_XHFO_H_P</vt:lpstr>
      <vt:lpstr>v_123_XHFO_H_P_old</vt:lpstr>
      <vt:lpstr>v_123_XHFO_L</vt:lpstr>
      <vt:lpstr>v_123_XHFO_L_P</vt:lpstr>
      <vt:lpstr>v_123_XHFO_L_P_old</vt:lpstr>
      <vt:lpstr>v_123_XHFO_old</vt:lpstr>
      <vt:lpstr>v_123_XHMETO</vt:lpstr>
      <vt:lpstr>v_123_XHSRO</vt:lpstr>
      <vt:lpstr>v_123_XINORG</vt:lpstr>
      <vt:lpstr>v_123_XMEOLO</vt:lpstr>
      <vt:lpstr>v_123_XMOB</vt:lpstr>
      <vt:lpstr>v_123_XN_B</vt:lpstr>
      <vt:lpstr>v_123_XN_U</vt:lpstr>
      <vt:lpstr>v_123_XNOB</vt:lpstr>
      <vt:lpstr>v_123_XOHO</vt:lpstr>
      <vt:lpstr>v_123_XP_B</vt:lpstr>
      <vt:lpstr>v_123_XP_U</vt:lpstr>
      <vt:lpstr>v_123_XPHA</vt:lpstr>
      <vt:lpstr>v_123_XPP</vt:lpstr>
      <vt:lpstr>v_123_XS</vt:lpstr>
      <vt:lpstr>v_123_XSOO</vt:lpstr>
      <vt:lpstr>v_123_XSTR</vt:lpstr>
      <vt:lpstr>v_123_XU</vt:lpstr>
      <vt:lpstr>v_123_XVivi</vt:lpstr>
      <vt:lpstr>v_124_CB</vt:lpstr>
      <vt:lpstr>v_124_CU</vt:lpstr>
      <vt:lpstr>v_124_GCH4</vt:lpstr>
      <vt:lpstr>v_124_GCH4_atm</vt:lpstr>
      <vt:lpstr>v_124_GCO2</vt:lpstr>
      <vt:lpstr>v_124_GCO2_atm</vt:lpstr>
      <vt:lpstr>v_124_GH2</vt:lpstr>
      <vt:lpstr>v_124_GH2_atm</vt:lpstr>
      <vt:lpstr>v_124_GH2S</vt:lpstr>
      <vt:lpstr>v_124_GH2S_atm</vt:lpstr>
      <vt:lpstr>v_124_GN2</vt:lpstr>
      <vt:lpstr>v_124_GN2_atm</vt:lpstr>
      <vt:lpstr>v_124_GN2O</vt:lpstr>
      <vt:lpstr>v_124_GN2O_atm</vt:lpstr>
      <vt:lpstr>v_124_GNH3</vt:lpstr>
      <vt:lpstr>v_124_GNH3_atm</vt:lpstr>
      <vt:lpstr>v_124_GNO</vt:lpstr>
      <vt:lpstr>v_124_GNO_atm</vt:lpstr>
      <vt:lpstr>v_124_GO2</vt:lpstr>
      <vt:lpstr>v_124_GO2_atm</vt:lpstr>
      <vt:lpstr>v_124_H</vt:lpstr>
      <vt:lpstr>v_124_SALPHA</vt:lpstr>
      <vt:lpstr>v_124_SAN</vt:lpstr>
      <vt:lpstr>v_124_SB</vt:lpstr>
      <vt:lpstr>v_124_SCa</vt:lpstr>
      <vt:lpstr>v_124_SCAT</vt:lpstr>
      <vt:lpstr>v_124_SCH4</vt:lpstr>
      <vt:lpstr>v_124_SCO2</vt:lpstr>
      <vt:lpstr>v_124_SFe2</vt:lpstr>
      <vt:lpstr>v_124_SH2</vt:lpstr>
      <vt:lpstr>v_124_SH2S</vt:lpstr>
      <vt:lpstr>v_124_SK</vt:lpstr>
      <vt:lpstr>v_124_SMEOL</vt:lpstr>
      <vt:lpstr>v_124_SMg</vt:lpstr>
      <vt:lpstr>v_124_SMM_index</vt:lpstr>
      <vt:lpstr>v_124_SN_B</vt:lpstr>
      <vt:lpstr>v_124_SN2</vt:lpstr>
      <vt:lpstr>v_124_SN2O</vt:lpstr>
      <vt:lpstr>v_124_SNH2OH</vt:lpstr>
      <vt:lpstr>v_124_SNHx</vt:lpstr>
      <vt:lpstr>v_124_SNO_AOB</vt:lpstr>
      <vt:lpstr>v_124_SNO_OHO</vt:lpstr>
      <vt:lpstr>v_124_SNO2</vt:lpstr>
      <vt:lpstr>v_124_SNO3</vt:lpstr>
      <vt:lpstr>v_124_SO2</vt:lpstr>
      <vt:lpstr>v_124_SP_B</vt:lpstr>
      <vt:lpstr>v_124_SPO4</vt:lpstr>
      <vt:lpstr>v_124_SSO4</vt:lpstr>
      <vt:lpstr>v_124_SU</vt:lpstr>
      <vt:lpstr>v_124_SVFA</vt:lpstr>
      <vt:lpstr>v_124_XACP</vt:lpstr>
      <vt:lpstr>v_124_XAMETO</vt:lpstr>
      <vt:lpstr>v_124_XAMX</vt:lpstr>
      <vt:lpstr>v_124_XAOB</vt:lpstr>
      <vt:lpstr>v_124_XASRO</vt:lpstr>
      <vt:lpstr>v_124_XB</vt:lpstr>
      <vt:lpstr>v_124_XBSH</vt:lpstr>
      <vt:lpstr>v_124_XCaCO3</vt:lpstr>
      <vt:lpstr>v_124_XCASTO</vt:lpstr>
      <vt:lpstr>v_124_XE</vt:lpstr>
      <vt:lpstr>v_124_XE_ana</vt:lpstr>
      <vt:lpstr>v_124_XFeS</vt:lpstr>
      <vt:lpstr>v_124_XGLY</vt:lpstr>
      <vt:lpstr>v_124_XHAO_H</vt:lpstr>
      <vt:lpstr>v_124_XHAO_H_P</vt:lpstr>
      <vt:lpstr>v_124_XHAO_H_P_old</vt:lpstr>
      <vt:lpstr>v_124_XHAO_L</vt:lpstr>
      <vt:lpstr>v_124_XHAO_L_P</vt:lpstr>
      <vt:lpstr>v_124_XHAO_L_P_old</vt:lpstr>
      <vt:lpstr>v_124_XHAO_old</vt:lpstr>
      <vt:lpstr>v_124_XHFO_H</vt:lpstr>
      <vt:lpstr>v_124_XHFO_H_P</vt:lpstr>
      <vt:lpstr>v_124_XHFO_H_P_old</vt:lpstr>
      <vt:lpstr>v_124_XHFO_L</vt:lpstr>
      <vt:lpstr>v_124_XHFO_L_P</vt:lpstr>
      <vt:lpstr>v_124_XHFO_L_P_old</vt:lpstr>
      <vt:lpstr>v_124_XHFO_old</vt:lpstr>
      <vt:lpstr>v_124_XHMETO</vt:lpstr>
      <vt:lpstr>v_124_XHSRO</vt:lpstr>
      <vt:lpstr>v_124_XINORG</vt:lpstr>
      <vt:lpstr>v_124_XMEOLO</vt:lpstr>
      <vt:lpstr>v_124_XMOB</vt:lpstr>
      <vt:lpstr>v_124_XN_B</vt:lpstr>
      <vt:lpstr>v_124_XN_U</vt:lpstr>
      <vt:lpstr>v_124_XNOB</vt:lpstr>
      <vt:lpstr>v_124_XOHO</vt:lpstr>
      <vt:lpstr>v_124_XP_B</vt:lpstr>
      <vt:lpstr>v_124_XP_U</vt:lpstr>
      <vt:lpstr>v_124_XPHA</vt:lpstr>
      <vt:lpstr>v_124_XPP</vt:lpstr>
      <vt:lpstr>v_124_XS</vt:lpstr>
      <vt:lpstr>v_124_XSOO</vt:lpstr>
      <vt:lpstr>v_124_XSTR</vt:lpstr>
      <vt:lpstr>v_124_XU</vt:lpstr>
      <vt:lpstr>v_124_XVivi</vt:lpstr>
      <vt:lpstr>v_125_CB</vt:lpstr>
      <vt:lpstr>v_125_CU</vt:lpstr>
      <vt:lpstr>v_125_GCH4</vt:lpstr>
      <vt:lpstr>v_125_GCH4_atm</vt:lpstr>
      <vt:lpstr>v_125_GCO2</vt:lpstr>
      <vt:lpstr>v_125_GCO2_atm</vt:lpstr>
      <vt:lpstr>v_125_GH2</vt:lpstr>
      <vt:lpstr>v_125_GH2_atm</vt:lpstr>
      <vt:lpstr>v_125_GH2S</vt:lpstr>
      <vt:lpstr>v_125_GH2S_atm</vt:lpstr>
      <vt:lpstr>v_125_GN2</vt:lpstr>
      <vt:lpstr>v_125_GN2_atm</vt:lpstr>
      <vt:lpstr>v_125_GN2O</vt:lpstr>
      <vt:lpstr>v_125_GN2O_atm</vt:lpstr>
      <vt:lpstr>v_125_GNH3</vt:lpstr>
      <vt:lpstr>v_125_GNH3_atm</vt:lpstr>
      <vt:lpstr>v_125_GNO</vt:lpstr>
      <vt:lpstr>v_125_GNO_atm</vt:lpstr>
      <vt:lpstr>v_125_GO2</vt:lpstr>
      <vt:lpstr>v_125_GO2_atm</vt:lpstr>
      <vt:lpstr>v_125_H</vt:lpstr>
      <vt:lpstr>v_125_SALPHA</vt:lpstr>
      <vt:lpstr>v_125_SAN</vt:lpstr>
      <vt:lpstr>v_125_SB</vt:lpstr>
      <vt:lpstr>v_125_SCa</vt:lpstr>
      <vt:lpstr>v_125_SCAT</vt:lpstr>
      <vt:lpstr>v_125_SCH4</vt:lpstr>
      <vt:lpstr>v_125_SCO2</vt:lpstr>
      <vt:lpstr>v_125_SFe2</vt:lpstr>
      <vt:lpstr>v_125_SH2</vt:lpstr>
      <vt:lpstr>v_125_SH2S</vt:lpstr>
      <vt:lpstr>v_125_SK</vt:lpstr>
      <vt:lpstr>v_125_SMEOL</vt:lpstr>
      <vt:lpstr>v_125_SMg</vt:lpstr>
      <vt:lpstr>v_125_SMM_index</vt:lpstr>
      <vt:lpstr>v_125_SN_B</vt:lpstr>
      <vt:lpstr>v_125_SN2</vt:lpstr>
      <vt:lpstr>v_125_SN2O</vt:lpstr>
      <vt:lpstr>v_125_SNH2OH</vt:lpstr>
      <vt:lpstr>v_125_SNHx</vt:lpstr>
      <vt:lpstr>v_125_SNO_AOB</vt:lpstr>
      <vt:lpstr>v_125_SNO_OHO</vt:lpstr>
      <vt:lpstr>v_125_SNO2</vt:lpstr>
      <vt:lpstr>v_125_SNO3</vt:lpstr>
      <vt:lpstr>v_125_SO2</vt:lpstr>
      <vt:lpstr>v_125_SP_B</vt:lpstr>
      <vt:lpstr>v_125_SPO4</vt:lpstr>
      <vt:lpstr>v_125_SSO4</vt:lpstr>
      <vt:lpstr>v_125_SU</vt:lpstr>
      <vt:lpstr>v_125_SVFA</vt:lpstr>
      <vt:lpstr>v_125_XACP</vt:lpstr>
      <vt:lpstr>v_125_XAMETO</vt:lpstr>
      <vt:lpstr>v_125_XAMX</vt:lpstr>
      <vt:lpstr>v_125_XAOB</vt:lpstr>
      <vt:lpstr>v_125_XASRO</vt:lpstr>
      <vt:lpstr>v_125_XB</vt:lpstr>
      <vt:lpstr>v_125_XBSH</vt:lpstr>
      <vt:lpstr>v_125_XCaCO3</vt:lpstr>
      <vt:lpstr>v_125_XCASTO</vt:lpstr>
      <vt:lpstr>v_125_XE</vt:lpstr>
      <vt:lpstr>v_125_XE_ana</vt:lpstr>
      <vt:lpstr>v_125_XFeS</vt:lpstr>
      <vt:lpstr>v_125_XGLY</vt:lpstr>
      <vt:lpstr>v_125_XHAO_H</vt:lpstr>
      <vt:lpstr>v_125_XHAO_H_P</vt:lpstr>
      <vt:lpstr>v_125_XHAO_H_P_old</vt:lpstr>
      <vt:lpstr>v_125_XHAO_L</vt:lpstr>
      <vt:lpstr>v_125_XHAO_L_P</vt:lpstr>
      <vt:lpstr>v_125_XHAO_L_P_old</vt:lpstr>
      <vt:lpstr>v_125_XHAO_old</vt:lpstr>
      <vt:lpstr>v_125_XHFO_H</vt:lpstr>
      <vt:lpstr>v_125_XHFO_H_P</vt:lpstr>
      <vt:lpstr>v_125_XHFO_H_P_old</vt:lpstr>
      <vt:lpstr>v_125_XHFO_L</vt:lpstr>
      <vt:lpstr>v_125_XHFO_L_P</vt:lpstr>
      <vt:lpstr>v_125_XHFO_L_P_old</vt:lpstr>
      <vt:lpstr>v_125_XHFO_old</vt:lpstr>
      <vt:lpstr>v_125_XHMETO</vt:lpstr>
      <vt:lpstr>v_125_XHSRO</vt:lpstr>
      <vt:lpstr>v_125_XINORG</vt:lpstr>
      <vt:lpstr>v_125_XMEOLO</vt:lpstr>
      <vt:lpstr>v_125_XMOB</vt:lpstr>
      <vt:lpstr>v_125_XN_B</vt:lpstr>
      <vt:lpstr>v_125_XN_U</vt:lpstr>
      <vt:lpstr>v_125_XNOB</vt:lpstr>
      <vt:lpstr>v_125_XOHO</vt:lpstr>
      <vt:lpstr>v_125_XP_B</vt:lpstr>
      <vt:lpstr>v_125_XP_U</vt:lpstr>
      <vt:lpstr>v_125_XPHA</vt:lpstr>
      <vt:lpstr>v_125_XPP</vt:lpstr>
      <vt:lpstr>v_125_XS</vt:lpstr>
      <vt:lpstr>v_125_XSOO</vt:lpstr>
      <vt:lpstr>v_125_XSTR</vt:lpstr>
      <vt:lpstr>v_125_XU</vt:lpstr>
      <vt:lpstr>v_125_XVivi</vt:lpstr>
      <vt:lpstr>v_126_CB</vt:lpstr>
      <vt:lpstr>v_126_CU</vt:lpstr>
      <vt:lpstr>v_126_GCH4</vt:lpstr>
      <vt:lpstr>v_126_GCH4_atm</vt:lpstr>
      <vt:lpstr>v_126_GCO2</vt:lpstr>
      <vt:lpstr>v_126_GCO2_atm</vt:lpstr>
      <vt:lpstr>v_126_GH2</vt:lpstr>
      <vt:lpstr>v_126_GH2_atm</vt:lpstr>
      <vt:lpstr>v_126_GH2S</vt:lpstr>
      <vt:lpstr>v_126_GH2S_atm</vt:lpstr>
      <vt:lpstr>v_126_GN2</vt:lpstr>
      <vt:lpstr>v_126_GN2_atm</vt:lpstr>
      <vt:lpstr>v_126_GN2O</vt:lpstr>
      <vt:lpstr>v_126_GN2O_atm</vt:lpstr>
      <vt:lpstr>v_126_GNH3</vt:lpstr>
      <vt:lpstr>v_126_GNH3_atm</vt:lpstr>
      <vt:lpstr>v_126_GNO</vt:lpstr>
      <vt:lpstr>v_126_GNO_atm</vt:lpstr>
      <vt:lpstr>v_126_GO2</vt:lpstr>
      <vt:lpstr>v_126_GO2_atm</vt:lpstr>
      <vt:lpstr>v_126_H</vt:lpstr>
      <vt:lpstr>v_126_SALPHA</vt:lpstr>
      <vt:lpstr>v_126_SAN</vt:lpstr>
      <vt:lpstr>v_126_SB</vt:lpstr>
      <vt:lpstr>v_126_SCa</vt:lpstr>
      <vt:lpstr>v_126_SCAT</vt:lpstr>
      <vt:lpstr>v_126_SCH4</vt:lpstr>
      <vt:lpstr>v_126_SCO2</vt:lpstr>
      <vt:lpstr>v_126_SFe2</vt:lpstr>
      <vt:lpstr>v_126_SH2</vt:lpstr>
      <vt:lpstr>v_126_SH2S</vt:lpstr>
      <vt:lpstr>v_126_SK</vt:lpstr>
      <vt:lpstr>v_126_SMEOL</vt:lpstr>
      <vt:lpstr>v_126_SMg</vt:lpstr>
      <vt:lpstr>v_126_SMM_index</vt:lpstr>
      <vt:lpstr>v_126_SN_B</vt:lpstr>
      <vt:lpstr>v_126_SN2</vt:lpstr>
      <vt:lpstr>v_126_SN2O</vt:lpstr>
      <vt:lpstr>v_126_SNH2OH</vt:lpstr>
      <vt:lpstr>v_126_SNHx</vt:lpstr>
      <vt:lpstr>v_126_SNO_AOB</vt:lpstr>
      <vt:lpstr>v_126_SNO_OHO</vt:lpstr>
      <vt:lpstr>v_126_SNO2</vt:lpstr>
      <vt:lpstr>v_126_SNO3</vt:lpstr>
      <vt:lpstr>v_126_SO2</vt:lpstr>
      <vt:lpstr>v_126_SP_B</vt:lpstr>
      <vt:lpstr>v_126_SPO4</vt:lpstr>
      <vt:lpstr>v_126_SSO4</vt:lpstr>
      <vt:lpstr>v_126_SU</vt:lpstr>
      <vt:lpstr>v_126_SVFA</vt:lpstr>
      <vt:lpstr>v_126_XACP</vt:lpstr>
      <vt:lpstr>v_126_XAMETO</vt:lpstr>
      <vt:lpstr>v_126_XAMX</vt:lpstr>
      <vt:lpstr>v_126_XAOB</vt:lpstr>
      <vt:lpstr>v_126_XASRO</vt:lpstr>
      <vt:lpstr>v_126_XB</vt:lpstr>
      <vt:lpstr>v_126_XBSH</vt:lpstr>
      <vt:lpstr>v_126_XCaCO3</vt:lpstr>
      <vt:lpstr>v_126_XCASTO</vt:lpstr>
      <vt:lpstr>v_126_XE</vt:lpstr>
      <vt:lpstr>v_126_XE_ana</vt:lpstr>
      <vt:lpstr>v_126_XFeS</vt:lpstr>
      <vt:lpstr>v_126_XGLY</vt:lpstr>
      <vt:lpstr>v_126_XHAO_H</vt:lpstr>
      <vt:lpstr>v_126_XHAO_H_P</vt:lpstr>
      <vt:lpstr>v_126_XHAO_H_P_old</vt:lpstr>
      <vt:lpstr>v_126_XHAO_L</vt:lpstr>
      <vt:lpstr>v_126_XHAO_L_P</vt:lpstr>
      <vt:lpstr>v_126_XHAO_L_P_old</vt:lpstr>
      <vt:lpstr>v_126_XHAO_old</vt:lpstr>
      <vt:lpstr>v_126_XHFO_H</vt:lpstr>
      <vt:lpstr>v_126_XHFO_H_P</vt:lpstr>
      <vt:lpstr>v_126_XHFO_H_P_old</vt:lpstr>
      <vt:lpstr>v_126_XHFO_L</vt:lpstr>
      <vt:lpstr>v_126_XHFO_L_P</vt:lpstr>
      <vt:lpstr>v_126_XHFO_L_P_old</vt:lpstr>
      <vt:lpstr>v_126_XHFO_old</vt:lpstr>
      <vt:lpstr>v_126_XHMETO</vt:lpstr>
      <vt:lpstr>v_126_XHSRO</vt:lpstr>
      <vt:lpstr>v_126_XINORG</vt:lpstr>
      <vt:lpstr>v_126_XMEOLO</vt:lpstr>
      <vt:lpstr>v_126_XMOB</vt:lpstr>
      <vt:lpstr>v_126_XN_B</vt:lpstr>
      <vt:lpstr>v_126_XN_U</vt:lpstr>
      <vt:lpstr>v_126_XNOB</vt:lpstr>
      <vt:lpstr>v_126_XOHO</vt:lpstr>
      <vt:lpstr>v_126_XP_B</vt:lpstr>
      <vt:lpstr>v_126_XP_U</vt:lpstr>
      <vt:lpstr>v_126_XPHA</vt:lpstr>
      <vt:lpstr>v_126_XPP</vt:lpstr>
      <vt:lpstr>v_126_XS</vt:lpstr>
      <vt:lpstr>v_126_XSOO</vt:lpstr>
      <vt:lpstr>v_126_XSTR</vt:lpstr>
      <vt:lpstr>v_126_XU</vt:lpstr>
      <vt:lpstr>v_126_XVivi</vt:lpstr>
      <vt:lpstr>v_127_CB</vt:lpstr>
      <vt:lpstr>v_127_CU</vt:lpstr>
      <vt:lpstr>v_127_GCH4</vt:lpstr>
      <vt:lpstr>v_127_GCH4_atm</vt:lpstr>
      <vt:lpstr>v_127_GCO2</vt:lpstr>
      <vt:lpstr>v_127_GCO2_atm</vt:lpstr>
      <vt:lpstr>v_127_GH2</vt:lpstr>
      <vt:lpstr>v_127_GH2_atm</vt:lpstr>
      <vt:lpstr>v_127_GH2S</vt:lpstr>
      <vt:lpstr>v_127_GH2S_atm</vt:lpstr>
      <vt:lpstr>v_127_GN2</vt:lpstr>
      <vt:lpstr>v_127_GN2_atm</vt:lpstr>
      <vt:lpstr>v_127_GN2O</vt:lpstr>
      <vt:lpstr>v_127_GN2O_atm</vt:lpstr>
      <vt:lpstr>v_127_GNH3</vt:lpstr>
      <vt:lpstr>v_127_GNH3_atm</vt:lpstr>
      <vt:lpstr>v_127_GNO</vt:lpstr>
      <vt:lpstr>v_127_GNO_atm</vt:lpstr>
      <vt:lpstr>v_127_GO2</vt:lpstr>
      <vt:lpstr>v_127_GO2_atm</vt:lpstr>
      <vt:lpstr>v_127_H</vt:lpstr>
      <vt:lpstr>v_127_SALPHA</vt:lpstr>
      <vt:lpstr>v_127_SAN</vt:lpstr>
      <vt:lpstr>v_127_SB</vt:lpstr>
      <vt:lpstr>v_127_SCa</vt:lpstr>
      <vt:lpstr>v_127_SCAT</vt:lpstr>
      <vt:lpstr>v_127_SCH4</vt:lpstr>
      <vt:lpstr>v_127_SCO2</vt:lpstr>
      <vt:lpstr>v_127_SFe2</vt:lpstr>
      <vt:lpstr>v_127_SH2</vt:lpstr>
      <vt:lpstr>v_127_SH2S</vt:lpstr>
      <vt:lpstr>v_127_SK</vt:lpstr>
      <vt:lpstr>v_127_SMEOL</vt:lpstr>
      <vt:lpstr>v_127_SMg</vt:lpstr>
      <vt:lpstr>v_127_SMM_index</vt:lpstr>
      <vt:lpstr>v_127_SN_B</vt:lpstr>
      <vt:lpstr>v_127_SN2</vt:lpstr>
      <vt:lpstr>v_127_SN2O</vt:lpstr>
      <vt:lpstr>v_127_SNH2OH</vt:lpstr>
      <vt:lpstr>v_127_SNHx</vt:lpstr>
      <vt:lpstr>v_127_SNO_AOB</vt:lpstr>
      <vt:lpstr>v_127_SNO_OHO</vt:lpstr>
      <vt:lpstr>v_127_SNO2</vt:lpstr>
      <vt:lpstr>v_127_SNO3</vt:lpstr>
      <vt:lpstr>v_127_SO2</vt:lpstr>
      <vt:lpstr>v_127_SP_B</vt:lpstr>
      <vt:lpstr>v_127_SPO4</vt:lpstr>
      <vt:lpstr>v_127_SSO4</vt:lpstr>
      <vt:lpstr>v_127_SU</vt:lpstr>
      <vt:lpstr>v_127_SVFA</vt:lpstr>
      <vt:lpstr>v_127_XACP</vt:lpstr>
      <vt:lpstr>v_127_XAMETO</vt:lpstr>
      <vt:lpstr>v_127_XAMX</vt:lpstr>
      <vt:lpstr>v_127_XAOB</vt:lpstr>
      <vt:lpstr>v_127_XASRO</vt:lpstr>
      <vt:lpstr>v_127_XB</vt:lpstr>
      <vt:lpstr>v_127_XBSH</vt:lpstr>
      <vt:lpstr>v_127_XCaCO3</vt:lpstr>
      <vt:lpstr>v_127_XCASTO</vt:lpstr>
      <vt:lpstr>v_127_XE</vt:lpstr>
      <vt:lpstr>v_127_XE_ana</vt:lpstr>
      <vt:lpstr>v_127_XFeS</vt:lpstr>
      <vt:lpstr>v_127_XGLY</vt:lpstr>
      <vt:lpstr>v_127_XHAO_H</vt:lpstr>
      <vt:lpstr>v_127_XHAO_H_P</vt:lpstr>
      <vt:lpstr>v_127_XHAO_H_P_old</vt:lpstr>
      <vt:lpstr>v_127_XHAO_L</vt:lpstr>
      <vt:lpstr>v_127_XHAO_L_P</vt:lpstr>
      <vt:lpstr>v_127_XHAO_L_P_old</vt:lpstr>
      <vt:lpstr>v_127_XHAO_old</vt:lpstr>
      <vt:lpstr>v_127_XHFO_H</vt:lpstr>
      <vt:lpstr>v_127_XHFO_H_P</vt:lpstr>
      <vt:lpstr>v_127_XHFO_H_P_old</vt:lpstr>
      <vt:lpstr>v_127_XHFO_L</vt:lpstr>
      <vt:lpstr>v_127_XHFO_L_P</vt:lpstr>
      <vt:lpstr>v_127_XHFO_L_P_old</vt:lpstr>
      <vt:lpstr>v_127_XHFO_old</vt:lpstr>
      <vt:lpstr>v_127_XHMETO</vt:lpstr>
      <vt:lpstr>v_127_XHSRO</vt:lpstr>
      <vt:lpstr>v_127_XINORG</vt:lpstr>
      <vt:lpstr>v_127_XMEOLO</vt:lpstr>
      <vt:lpstr>v_127_XMOB</vt:lpstr>
      <vt:lpstr>v_127_XN_B</vt:lpstr>
      <vt:lpstr>v_127_XN_U</vt:lpstr>
      <vt:lpstr>v_127_XNOB</vt:lpstr>
      <vt:lpstr>v_127_XOHO</vt:lpstr>
      <vt:lpstr>v_127_XP_B</vt:lpstr>
      <vt:lpstr>v_127_XP_U</vt:lpstr>
      <vt:lpstr>v_127_XPHA</vt:lpstr>
      <vt:lpstr>v_127_XPP</vt:lpstr>
      <vt:lpstr>v_127_XS</vt:lpstr>
      <vt:lpstr>v_127_XSOO</vt:lpstr>
      <vt:lpstr>v_127_XSTR</vt:lpstr>
      <vt:lpstr>v_127_XU</vt:lpstr>
      <vt:lpstr>v_127_XVivi</vt:lpstr>
      <vt:lpstr>v_128_CB</vt:lpstr>
      <vt:lpstr>v_128_CU</vt:lpstr>
      <vt:lpstr>v_128_GCH4</vt:lpstr>
      <vt:lpstr>v_128_GCH4_atm</vt:lpstr>
      <vt:lpstr>v_128_GCO2</vt:lpstr>
      <vt:lpstr>v_128_GCO2_atm</vt:lpstr>
      <vt:lpstr>v_128_GH2</vt:lpstr>
      <vt:lpstr>v_128_GH2_atm</vt:lpstr>
      <vt:lpstr>v_128_GH2S</vt:lpstr>
      <vt:lpstr>v_128_GH2S_atm</vt:lpstr>
      <vt:lpstr>v_128_GN2</vt:lpstr>
      <vt:lpstr>v_128_GN2_atm</vt:lpstr>
      <vt:lpstr>v_128_GN2O</vt:lpstr>
      <vt:lpstr>v_128_GN2O_atm</vt:lpstr>
      <vt:lpstr>v_128_GNH3</vt:lpstr>
      <vt:lpstr>v_128_GNH3_atm</vt:lpstr>
      <vt:lpstr>v_128_GNO</vt:lpstr>
      <vt:lpstr>v_128_GNO_atm</vt:lpstr>
      <vt:lpstr>v_128_GO2</vt:lpstr>
      <vt:lpstr>v_128_GO2_atm</vt:lpstr>
      <vt:lpstr>v_128_H</vt:lpstr>
      <vt:lpstr>v_128_SALPHA</vt:lpstr>
      <vt:lpstr>v_128_SAN</vt:lpstr>
      <vt:lpstr>v_128_SB</vt:lpstr>
      <vt:lpstr>v_128_SCa</vt:lpstr>
      <vt:lpstr>v_128_SCAT</vt:lpstr>
      <vt:lpstr>v_128_SCH4</vt:lpstr>
      <vt:lpstr>v_128_SCO2</vt:lpstr>
      <vt:lpstr>v_128_SFe2</vt:lpstr>
      <vt:lpstr>v_128_SH2</vt:lpstr>
      <vt:lpstr>v_128_SH2S</vt:lpstr>
      <vt:lpstr>v_128_SK</vt:lpstr>
      <vt:lpstr>v_128_SMEOL</vt:lpstr>
      <vt:lpstr>v_128_SMg</vt:lpstr>
      <vt:lpstr>v_128_SMM_index</vt:lpstr>
      <vt:lpstr>v_128_SN_B</vt:lpstr>
      <vt:lpstr>v_128_SN2</vt:lpstr>
      <vt:lpstr>v_128_SN2O</vt:lpstr>
      <vt:lpstr>v_128_SNH2OH</vt:lpstr>
      <vt:lpstr>v_128_SNHx</vt:lpstr>
      <vt:lpstr>v_128_SNO_AOB</vt:lpstr>
      <vt:lpstr>v_128_SNO_OHO</vt:lpstr>
      <vt:lpstr>v_128_SNO2</vt:lpstr>
      <vt:lpstr>v_128_SNO3</vt:lpstr>
      <vt:lpstr>v_128_SO2</vt:lpstr>
      <vt:lpstr>v_128_SP_B</vt:lpstr>
      <vt:lpstr>v_128_SPO4</vt:lpstr>
      <vt:lpstr>v_128_SSO4</vt:lpstr>
      <vt:lpstr>v_128_SU</vt:lpstr>
      <vt:lpstr>v_128_SVFA</vt:lpstr>
      <vt:lpstr>v_128_XACP</vt:lpstr>
      <vt:lpstr>v_128_XAMETO</vt:lpstr>
      <vt:lpstr>v_128_XAMX</vt:lpstr>
      <vt:lpstr>v_128_XAOB</vt:lpstr>
      <vt:lpstr>v_128_XASRO</vt:lpstr>
      <vt:lpstr>v_128_XB</vt:lpstr>
      <vt:lpstr>v_128_XBSH</vt:lpstr>
      <vt:lpstr>v_128_XCaCO3</vt:lpstr>
      <vt:lpstr>v_128_XCASTO</vt:lpstr>
      <vt:lpstr>v_128_XE</vt:lpstr>
      <vt:lpstr>v_128_XE_ana</vt:lpstr>
      <vt:lpstr>v_128_XFeS</vt:lpstr>
      <vt:lpstr>v_128_XGLY</vt:lpstr>
      <vt:lpstr>v_128_XHAO_H</vt:lpstr>
      <vt:lpstr>v_128_XHAO_H_P</vt:lpstr>
      <vt:lpstr>v_128_XHAO_H_P_old</vt:lpstr>
      <vt:lpstr>v_128_XHAO_L</vt:lpstr>
      <vt:lpstr>v_128_XHAO_L_P</vt:lpstr>
      <vt:lpstr>v_128_XHAO_L_P_old</vt:lpstr>
      <vt:lpstr>v_128_XHAO_old</vt:lpstr>
      <vt:lpstr>v_128_XHFO_H</vt:lpstr>
      <vt:lpstr>v_128_XHFO_H_P</vt:lpstr>
      <vt:lpstr>v_128_XHFO_H_P_old</vt:lpstr>
      <vt:lpstr>v_128_XHFO_L</vt:lpstr>
      <vt:lpstr>v_128_XHFO_L_P</vt:lpstr>
      <vt:lpstr>v_128_XHFO_L_P_old</vt:lpstr>
      <vt:lpstr>v_128_XHFO_old</vt:lpstr>
      <vt:lpstr>v_128_XHMETO</vt:lpstr>
      <vt:lpstr>v_128_XHSRO</vt:lpstr>
      <vt:lpstr>v_128_XINORG</vt:lpstr>
      <vt:lpstr>v_128_XMEOLO</vt:lpstr>
      <vt:lpstr>v_128_XMOB</vt:lpstr>
      <vt:lpstr>v_128_XN_B</vt:lpstr>
      <vt:lpstr>v_128_XN_U</vt:lpstr>
      <vt:lpstr>v_128_XNOB</vt:lpstr>
      <vt:lpstr>v_128_XOHO</vt:lpstr>
      <vt:lpstr>v_128_XP_B</vt:lpstr>
      <vt:lpstr>v_128_XP_U</vt:lpstr>
      <vt:lpstr>v_128_XPHA</vt:lpstr>
      <vt:lpstr>v_128_XPP</vt:lpstr>
      <vt:lpstr>v_128_XS</vt:lpstr>
      <vt:lpstr>v_128_XSOO</vt:lpstr>
      <vt:lpstr>v_128_XSTR</vt:lpstr>
      <vt:lpstr>v_128_XU</vt:lpstr>
      <vt:lpstr>v_128_XVivi</vt:lpstr>
      <vt:lpstr>v_129_CB</vt:lpstr>
      <vt:lpstr>v_129_CU</vt:lpstr>
      <vt:lpstr>v_129_GCH4</vt:lpstr>
      <vt:lpstr>v_129_GCH4_atm</vt:lpstr>
      <vt:lpstr>v_129_GCO2</vt:lpstr>
      <vt:lpstr>v_129_GCO2_atm</vt:lpstr>
      <vt:lpstr>v_129_GH2</vt:lpstr>
      <vt:lpstr>v_129_GH2_atm</vt:lpstr>
      <vt:lpstr>v_129_GH2S</vt:lpstr>
      <vt:lpstr>v_129_GH2S_atm</vt:lpstr>
      <vt:lpstr>v_129_GN2</vt:lpstr>
      <vt:lpstr>v_129_GN2_atm</vt:lpstr>
      <vt:lpstr>v_129_GN2O</vt:lpstr>
      <vt:lpstr>v_129_GN2O_atm</vt:lpstr>
      <vt:lpstr>v_129_GNH3</vt:lpstr>
      <vt:lpstr>v_129_GNH3_atm</vt:lpstr>
      <vt:lpstr>v_129_GNO</vt:lpstr>
      <vt:lpstr>v_129_GNO_atm</vt:lpstr>
      <vt:lpstr>v_129_GO2</vt:lpstr>
      <vt:lpstr>v_129_GO2_atm</vt:lpstr>
      <vt:lpstr>v_129_H</vt:lpstr>
      <vt:lpstr>v_129_SALPHA</vt:lpstr>
      <vt:lpstr>v_129_SAN</vt:lpstr>
      <vt:lpstr>v_129_SB</vt:lpstr>
      <vt:lpstr>v_129_SCa</vt:lpstr>
      <vt:lpstr>v_129_SCAT</vt:lpstr>
      <vt:lpstr>v_129_SCH4</vt:lpstr>
      <vt:lpstr>v_129_SCO2</vt:lpstr>
      <vt:lpstr>v_129_SFe2</vt:lpstr>
      <vt:lpstr>v_129_SH2</vt:lpstr>
      <vt:lpstr>v_129_SH2S</vt:lpstr>
      <vt:lpstr>v_129_SK</vt:lpstr>
      <vt:lpstr>v_129_SMEOL</vt:lpstr>
      <vt:lpstr>v_129_SMg</vt:lpstr>
      <vt:lpstr>v_129_SMM_index</vt:lpstr>
      <vt:lpstr>v_129_SN_B</vt:lpstr>
      <vt:lpstr>v_129_SN2</vt:lpstr>
      <vt:lpstr>v_129_SN2O</vt:lpstr>
      <vt:lpstr>v_129_SNH2OH</vt:lpstr>
      <vt:lpstr>v_129_SNHx</vt:lpstr>
      <vt:lpstr>v_129_SNO_AOB</vt:lpstr>
      <vt:lpstr>v_129_SNO_OHO</vt:lpstr>
      <vt:lpstr>v_129_SNO2</vt:lpstr>
      <vt:lpstr>v_129_SNO3</vt:lpstr>
      <vt:lpstr>v_129_SO2</vt:lpstr>
      <vt:lpstr>v_129_SP_B</vt:lpstr>
      <vt:lpstr>v_129_SPO4</vt:lpstr>
      <vt:lpstr>v_129_SSO4</vt:lpstr>
      <vt:lpstr>v_129_SU</vt:lpstr>
      <vt:lpstr>v_129_SVFA</vt:lpstr>
      <vt:lpstr>v_129_XACP</vt:lpstr>
      <vt:lpstr>v_129_XAMETO</vt:lpstr>
      <vt:lpstr>v_129_XAMX</vt:lpstr>
      <vt:lpstr>v_129_XAOB</vt:lpstr>
      <vt:lpstr>v_129_XASRO</vt:lpstr>
      <vt:lpstr>v_129_XB</vt:lpstr>
      <vt:lpstr>v_129_XBSH</vt:lpstr>
      <vt:lpstr>v_129_XCaCO3</vt:lpstr>
      <vt:lpstr>v_129_XCASTO</vt:lpstr>
      <vt:lpstr>v_129_XE</vt:lpstr>
      <vt:lpstr>v_129_XE_ana</vt:lpstr>
      <vt:lpstr>v_129_XFeS</vt:lpstr>
      <vt:lpstr>v_129_XGLY</vt:lpstr>
      <vt:lpstr>v_129_XHAO_H</vt:lpstr>
      <vt:lpstr>v_129_XHAO_H_P</vt:lpstr>
      <vt:lpstr>v_129_XHAO_H_P_old</vt:lpstr>
      <vt:lpstr>v_129_XHAO_L</vt:lpstr>
      <vt:lpstr>v_129_XHAO_L_P</vt:lpstr>
      <vt:lpstr>v_129_XHAO_L_P_old</vt:lpstr>
      <vt:lpstr>v_129_XHAO_old</vt:lpstr>
      <vt:lpstr>v_129_XHFO_H</vt:lpstr>
      <vt:lpstr>v_129_XHFO_H_P</vt:lpstr>
      <vt:lpstr>v_129_XHFO_H_P_old</vt:lpstr>
      <vt:lpstr>v_129_XHFO_L</vt:lpstr>
      <vt:lpstr>v_129_XHFO_L_P</vt:lpstr>
      <vt:lpstr>v_129_XHFO_L_P_old</vt:lpstr>
      <vt:lpstr>v_129_XHFO_old</vt:lpstr>
      <vt:lpstr>v_129_XHMETO</vt:lpstr>
      <vt:lpstr>v_129_XHSRO</vt:lpstr>
      <vt:lpstr>v_129_XINORG</vt:lpstr>
      <vt:lpstr>v_129_XMEOLO</vt:lpstr>
      <vt:lpstr>v_129_XMOB</vt:lpstr>
      <vt:lpstr>v_129_XN_B</vt:lpstr>
      <vt:lpstr>v_129_XN_U</vt:lpstr>
      <vt:lpstr>v_129_XNOB</vt:lpstr>
      <vt:lpstr>v_129_XOHO</vt:lpstr>
      <vt:lpstr>v_129_XP_B</vt:lpstr>
      <vt:lpstr>v_129_XP_U</vt:lpstr>
      <vt:lpstr>v_129_XPHA</vt:lpstr>
      <vt:lpstr>v_129_XPP</vt:lpstr>
      <vt:lpstr>v_129_XS</vt:lpstr>
      <vt:lpstr>v_129_XSOO</vt:lpstr>
      <vt:lpstr>v_129_XSTR</vt:lpstr>
      <vt:lpstr>v_129_XU</vt:lpstr>
      <vt:lpstr>v_129_XVivi</vt:lpstr>
      <vt:lpstr>v_13_CB</vt:lpstr>
      <vt:lpstr>v_13_CU</vt:lpstr>
      <vt:lpstr>v_13_GCH4</vt:lpstr>
      <vt:lpstr>v_13_GCH4_atm</vt:lpstr>
      <vt:lpstr>v_13_GCO2</vt:lpstr>
      <vt:lpstr>v_13_GCO2_atm</vt:lpstr>
      <vt:lpstr>v_13_GH2</vt:lpstr>
      <vt:lpstr>v_13_GH2_atm</vt:lpstr>
      <vt:lpstr>v_13_GH2S</vt:lpstr>
      <vt:lpstr>v_13_GH2S_atm</vt:lpstr>
      <vt:lpstr>v_13_GN2</vt:lpstr>
      <vt:lpstr>v_13_GN2_atm</vt:lpstr>
      <vt:lpstr>v_13_GN2O</vt:lpstr>
      <vt:lpstr>v_13_GN2O_atm</vt:lpstr>
      <vt:lpstr>v_13_GNH3</vt:lpstr>
      <vt:lpstr>v_13_GNH3_atm</vt:lpstr>
      <vt:lpstr>v_13_GNO</vt:lpstr>
      <vt:lpstr>v_13_GNO_atm</vt:lpstr>
      <vt:lpstr>v_13_GO2</vt:lpstr>
      <vt:lpstr>v_13_GO2_atm</vt:lpstr>
      <vt:lpstr>v_13_H</vt:lpstr>
      <vt:lpstr>v_13_SALPHA</vt:lpstr>
      <vt:lpstr>v_13_SAN</vt:lpstr>
      <vt:lpstr>v_13_SB</vt:lpstr>
      <vt:lpstr>v_13_SCa</vt:lpstr>
      <vt:lpstr>v_13_SCAT</vt:lpstr>
      <vt:lpstr>v_13_SCH4</vt:lpstr>
      <vt:lpstr>v_13_SCO2</vt:lpstr>
      <vt:lpstr>v_13_SFe2</vt:lpstr>
      <vt:lpstr>v_13_SH2</vt:lpstr>
      <vt:lpstr>v_13_SH2S</vt:lpstr>
      <vt:lpstr>v_13_SK</vt:lpstr>
      <vt:lpstr>v_13_SMEOL</vt:lpstr>
      <vt:lpstr>v_13_SMg</vt:lpstr>
      <vt:lpstr>v_13_SMM_index</vt:lpstr>
      <vt:lpstr>v_13_SN_B</vt:lpstr>
      <vt:lpstr>v_13_SN2</vt:lpstr>
      <vt:lpstr>v_13_SN2O</vt:lpstr>
      <vt:lpstr>v_13_SNH2OH</vt:lpstr>
      <vt:lpstr>v_13_SNHx</vt:lpstr>
      <vt:lpstr>v_13_SNO_AOB</vt:lpstr>
      <vt:lpstr>v_13_SNO_OHO</vt:lpstr>
      <vt:lpstr>v_13_SNO2</vt:lpstr>
      <vt:lpstr>v_13_SNO3</vt:lpstr>
      <vt:lpstr>v_13_SO2</vt:lpstr>
      <vt:lpstr>v_13_SP_B</vt:lpstr>
      <vt:lpstr>v_13_SPO4</vt:lpstr>
      <vt:lpstr>v_13_SSO4</vt:lpstr>
      <vt:lpstr>v_13_SU</vt:lpstr>
      <vt:lpstr>v_13_SVFA</vt:lpstr>
      <vt:lpstr>v_13_XACP</vt:lpstr>
      <vt:lpstr>v_13_XAMETO</vt:lpstr>
      <vt:lpstr>v_13_XAMX</vt:lpstr>
      <vt:lpstr>v_13_XAOB</vt:lpstr>
      <vt:lpstr>v_13_XASRO</vt:lpstr>
      <vt:lpstr>v_13_XB</vt:lpstr>
      <vt:lpstr>v_13_XBSH</vt:lpstr>
      <vt:lpstr>v_13_XCaCO3</vt:lpstr>
      <vt:lpstr>v_13_XCASTO</vt:lpstr>
      <vt:lpstr>v_13_XE</vt:lpstr>
      <vt:lpstr>v_13_XE_ana</vt:lpstr>
      <vt:lpstr>v_13_XFeS</vt:lpstr>
      <vt:lpstr>v_13_XGLY</vt:lpstr>
      <vt:lpstr>v_13_XHAO_H</vt:lpstr>
      <vt:lpstr>v_13_XHAO_H_P</vt:lpstr>
      <vt:lpstr>v_13_XHAO_H_P_old</vt:lpstr>
      <vt:lpstr>v_13_XHAO_L</vt:lpstr>
      <vt:lpstr>v_13_XHAO_L_P</vt:lpstr>
      <vt:lpstr>v_13_XHAO_L_P_old</vt:lpstr>
      <vt:lpstr>v_13_XHAO_old</vt:lpstr>
      <vt:lpstr>v_13_XHFO_H</vt:lpstr>
      <vt:lpstr>v_13_XHFO_H_P</vt:lpstr>
      <vt:lpstr>v_13_XHFO_H_P_old</vt:lpstr>
      <vt:lpstr>v_13_XHFO_L</vt:lpstr>
      <vt:lpstr>v_13_XHFO_L_P</vt:lpstr>
      <vt:lpstr>v_13_XHFO_L_P_old</vt:lpstr>
      <vt:lpstr>v_13_XHFO_old</vt:lpstr>
      <vt:lpstr>v_13_XHMETO</vt:lpstr>
      <vt:lpstr>v_13_XHSRO</vt:lpstr>
      <vt:lpstr>v_13_XINORG</vt:lpstr>
      <vt:lpstr>v_13_XMEOLO</vt:lpstr>
      <vt:lpstr>v_13_XMOB</vt:lpstr>
      <vt:lpstr>v_13_XN_B</vt:lpstr>
      <vt:lpstr>v_13_XN_U</vt:lpstr>
      <vt:lpstr>v_13_XNOB</vt:lpstr>
      <vt:lpstr>v_13_XOHO</vt:lpstr>
      <vt:lpstr>v_13_XP_B</vt:lpstr>
      <vt:lpstr>v_13_XP_U</vt:lpstr>
      <vt:lpstr>v_13_XPHA</vt:lpstr>
      <vt:lpstr>v_13_XPP</vt:lpstr>
      <vt:lpstr>v_13_XS</vt:lpstr>
      <vt:lpstr>v_13_XSOO</vt:lpstr>
      <vt:lpstr>v_13_XSTR</vt:lpstr>
      <vt:lpstr>v_13_XU</vt:lpstr>
      <vt:lpstr>v_13_XVivi</vt:lpstr>
      <vt:lpstr>v_130_CB</vt:lpstr>
      <vt:lpstr>v_130_CU</vt:lpstr>
      <vt:lpstr>v_130_GCH4</vt:lpstr>
      <vt:lpstr>v_130_GCH4_atm</vt:lpstr>
      <vt:lpstr>v_130_GCO2</vt:lpstr>
      <vt:lpstr>v_130_GCO2_atm</vt:lpstr>
      <vt:lpstr>v_130_GH2</vt:lpstr>
      <vt:lpstr>v_130_GH2_atm</vt:lpstr>
      <vt:lpstr>v_130_GH2S</vt:lpstr>
      <vt:lpstr>v_130_GH2S_atm</vt:lpstr>
      <vt:lpstr>v_130_GN2</vt:lpstr>
      <vt:lpstr>v_130_GN2_atm</vt:lpstr>
      <vt:lpstr>v_130_GN2O</vt:lpstr>
      <vt:lpstr>v_130_GN2O_atm</vt:lpstr>
      <vt:lpstr>v_130_GNH3</vt:lpstr>
      <vt:lpstr>v_130_GNH3_atm</vt:lpstr>
      <vt:lpstr>v_130_GNO</vt:lpstr>
      <vt:lpstr>v_130_GNO_atm</vt:lpstr>
      <vt:lpstr>v_130_GO2</vt:lpstr>
      <vt:lpstr>v_130_GO2_atm</vt:lpstr>
      <vt:lpstr>v_130_H</vt:lpstr>
      <vt:lpstr>v_130_SALPHA</vt:lpstr>
      <vt:lpstr>v_130_SAN</vt:lpstr>
      <vt:lpstr>v_130_SB</vt:lpstr>
      <vt:lpstr>v_130_SCa</vt:lpstr>
      <vt:lpstr>v_130_SCAT</vt:lpstr>
      <vt:lpstr>v_130_SCH4</vt:lpstr>
      <vt:lpstr>v_130_SCO2</vt:lpstr>
      <vt:lpstr>v_130_SFe2</vt:lpstr>
      <vt:lpstr>v_130_SH2</vt:lpstr>
      <vt:lpstr>v_130_SH2S</vt:lpstr>
      <vt:lpstr>v_130_SK</vt:lpstr>
      <vt:lpstr>v_130_SMEOL</vt:lpstr>
      <vt:lpstr>v_130_SMg</vt:lpstr>
      <vt:lpstr>v_130_SMM_index</vt:lpstr>
      <vt:lpstr>v_130_SN_B</vt:lpstr>
      <vt:lpstr>v_130_SN2</vt:lpstr>
      <vt:lpstr>v_130_SN2O</vt:lpstr>
      <vt:lpstr>v_130_SNH2OH</vt:lpstr>
      <vt:lpstr>v_130_SNHx</vt:lpstr>
      <vt:lpstr>v_130_SNO_AOB</vt:lpstr>
      <vt:lpstr>v_130_SNO_OHO</vt:lpstr>
      <vt:lpstr>v_130_SNO2</vt:lpstr>
      <vt:lpstr>v_130_SNO3</vt:lpstr>
      <vt:lpstr>v_130_SO2</vt:lpstr>
      <vt:lpstr>v_130_SP_B</vt:lpstr>
      <vt:lpstr>v_130_SPO4</vt:lpstr>
      <vt:lpstr>v_130_SSO4</vt:lpstr>
      <vt:lpstr>v_130_SU</vt:lpstr>
      <vt:lpstr>v_130_SVFA</vt:lpstr>
      <vt:lpstr>v_130_XACP</vt:lpstr>
      <vt:lpstr>v_130_XAMETO</vt:lpstr>
      <vt:lpstr>v_130_XAMX</vt:lpstr>
      <vt:lpstr>v_130_XAOB</vt:lpstr>
      <vt:lpstr>v_130_XASRO</vt:lpstr>
      <vt:lpstr>v_130_XB</vt:lpstr>
      <vt:lpstr>v_130_XBSH</vt:lpstr>
      <vt:lpstr>v_130_XCaCO3</vt:lpstr>
      <vt:lpstr>v_130_XCASTO</vt:lpstr>
      <vt:lpstr>v_130_XE</vt:lpstr>
      <vt:lpstr>v_130_XE_ana</vt:lpstr>
      <vt:lpstr>v_130_XFeS</vt:lpstr>
      <vt:lpstr>v_130_XGLY</vt:lpstr>
      <vt:lpstr>v_130_XHAO_H</vt:lpstr>
      <vt:lpstr>v_130_XHAO_H_P</vt:lpstr>
      <vt:lpstr>v_130_XHAO_H_P_old</vt:lpstr>
      <vt:lpstr>v_130_XHAO_L</vt:lpstr>
      <vt:lpstr>v_130_XHAO_L_P</vt:lpstr>
      <vt:lpstr>v_130_XHAO_L_P_old</vt:lpstr>
      <vt:lpstr>v_130_XHAO_old</vt:lpstr>
      <vt:lpstr>v_130_XHFO_H</vt:lpstr>
      <vt:lpstr>v_130_XHFO_H_P</vt:lpstr>
      <vt:lpstr>v_130_XHFO_H_P_old</vt:lpstr>
      <vt:lpstr>v_130_XHFO_L</vt:lpstr>
      <vt:lpstr>v_130_XHFO_L_P</vt:lpstr>
      <vt:lpstr>v_130_XHFO_L_P_old</vt:lpstr>
      <vt:lpstr>v_130_XHFO_old</vt:lpstr>
      <vt:lpstr>v_130_XHMETO</vt:lpstr>
      <vt:lpstr>v_130_XHSRO</vt:lpstr>
      <vt:lpstr>v_130_XINORG</vt:lpstr>
      <vt:lpstr>v_130_XMEOLO</vt:lpstr>
      <vt:lpstr>v_130_XMOB</vt:lpstr>
      <vt:lpstr>v_130_XN_B</vt:lpstr>
      <vt:lpstr>v_130_XN_U</vt:lpstr>
      <vt:lpstr>v_130_XNOB</vt:lpstr>
      <vt:lpstr>v_130_XOHO</vt:lpstr>
      <vt:lpstr>v_130_XP_B</vt:lpstr>
      <vt:lpstr>v_130_XP_U</vt:lpstr>
      <vt:lpstr>v_130_XPHA</vt:lpstr>
      <vt:lpstr>v_130_XPP</vt:lpstr>
      <vt:lpstr>v_130_XS</vt:lpstr>
      <vt:lpstr>v_130_XSOO</vt:lpstr>
      <vt:lpstr>v_130_XSTR</vt:lpstr>
      <vt:lpstr>v_130_XU</vt:lpstr>
      <vt:lpstr>v_130_XVivi</vt:lpstr>
      <vt:lpstr>v_131_CB</vt:lpstr>
      <vt:lpstr>v_131_CU</vt:lpstr>
      <vt:lpstr>v_131_GCH4</vt:lpstr>
      <vt:lpstr>v_131_GCH4_atm</vt:lpstr>
      <vt:lpstr>v_131_GCO2</vt:lpstr>
      <vt:lpstr>v_131_GCO2_atm</vt:lpstr>
      <vt:lpstr>v_131_GH2</vt:lpstr>
      <vt:lpstr>v_131_GH2_atm</vt:lpstr>
      <vt:lpstr>v_131_GH2S</vt:lpstr>
      <vt:lpstr>v_131_GH2S_atm</vt:lpstr>
      <vt:lpstr>v_131_GN2</vt:lpstr>
      <vt:lpstr>v_131_GN2_atm</vt:lpstr>
      <vt:lpstr>v_131_GN2O</vt:lpstr>
      <vt:lpstr>v_131_GN2O_atm</vt:lpstr>
      <vt:lpstr>v_131_GNH3</vt:lpstr>
      <vt:lpstr>v_131_GNH3_atm</vt:lpstr>
      <vt:lpstr>v_131_GNO</vt:lpstr>
      <vt:lpstr>v_131_GNO_atm</vt:lpstr>
      <vt:lpstr>v_131_GO2</vt:lpstr>
      <vt:lpstr>v_131_GO2_atm</vt:lpstr>
      <vt:lpstr>v_131_H</vt:lpstr>
      <vt:lpstr>v_131_SALPHA</vt:lpstr>
      <vt:lpstr>v_131_SAN</vt:lpstr>
      <vt:lpstr>v_131_SB</vt:lpstr>
      <vt:lpstr>v_131_SCa</vt:lpstr>
      <vt:lpstr>v_131_SCAT</vt:lpstr>
      <vt:lpstr>v_131_SCH4</vt:lpstr>
      <vt:lpstr>v_131_SCO2</vt:lpstr>
      <vt:lpstr>v_131_SFe2</vt:lpstr>
      <vt:lpstr>v_131_SH2</vt:lpstr>
      <vt:lpstr>v_131_SH2S</vt:lpstr>
      <vt:lpstr>v_131_SK</vt:lpstr>
      <vt:lpstr>v_131_SMEOL</vt:lpstr>
      <vt:lpstr>v_131_SMg</vt:lpstr>
      <vt:lpstr>v_131_SMM_index</vt:lpstr>
      <vt:lpstr>v_131_SN_B</vt:lpstr>
      <vt:lpstr>v_131_SN2</vt:lpstr>
      <vt:lpstr>v_131_SN2O</vt:lpstr>
      <vt:lpstr>v_131_SNH2OH</vt:lpstr>
      <vt:lpstr>v_131_SNHx</vt:lpstr>
      <vt:lpstr>v_131_SNO_AOB</vt:lpstr>
      <vt:lpstr>v_131_SNO_OHO</vt:lpstr>
      <vt:lpstr>v_131_SNO2</vt:lpstr>
      <vt:lpstr>v_131_SNO3</vt:lpstr>
      <vt:lpstr>v_131_SO2</vt:lpstr>
      <vt:lpstr>v_131_SP_B</vt:lpstr>
      <vt:lpstr>v_131_SPO4</vt:lpstr>
      <vt:lpstr>v_131_SSO4</vt:lpstr>
      <vt:lpstr>v_131_SU</vt:lpstr>
      <vt:lpstr>v_131_SVFA</vt:lpstr>
      <vt:lpstr>v_131_XACP</vt:lpstr>
      <vt:lpstr>v_131_XAMETO</vt:lpstr>
      <vt:lpstr>v_131_XAMX</vt:lpstr>
      <vt:lpstr>v_131_XAOB</vt:lpstr>
      <vt:lpstr>v_131_XASRO</vt:lpstr>
      <vt:lpstr>v_131_XB</vt:lpstr>
      <vt:lpstr>v_131_XBSH</vt:lpstr>
      <vt:lpstr>v_131_XCaCO3</vt:lpstr>
      <vt:lpstr>v_131_XCASTO</vt:lpstr>
      <vt:lpstr>v_131_XE</vt:lpstr>
      <vt:lpstr>v_131_XE_ana</vt:lpstr>
      <vt:lpstr>v_131_XFeS</vt:lpstr>
      <vt:lpstr>v_131_XGLY</vt:lpstr>
      <vt:lpstr>v_131_XHAO_H</vt:lpstr>
      <vt:lpstr>v_131_XHAO_H_P</vt:lpstr>
      <vt:lpstr>v_131_XHAO_H_P_old</vt:lpstr>
      <vt:lpstr>v_131_XHAO_L</vt:lpstr>
      <vt:lpstr>v_131_XHAO_L_P</vt:lpstr>
      <vt:lpstr>v_131_XHAO_L_P_old</vt:lpstr>
      <vt:lpstr>v_131_XHAO_old</vt:lpstr>
      <vt:lpstr>v_131_XHFO_H</vt:lpstr>
      <vt:lpstr>v_131_XHFO_H_P</vt:lpstr>
      <vt:lpstr>v_131_XHFO_H_P_old</vt:lpstr>
      <vt:lpstr>v_131_XHFO_L</vt:lpstr>
      <vt:lpstr>v_131_XHFO_L_P</vt:lpstr>
      <vt:lpstr>v_131_XHFO_L_P_old</vt:lpstr>
      <vt:lpstr>v_131_XHFO_old</vt:lpstr>
      <vt:lpstr>v_131_XHMETO</vt:lpstr>
      <vt:lpstr>v_131_XHSRO</vt:lpstr>
      <vt:lpstr>v_131_XINORG</vt:lpstr>
      <vt:lpstr>v_131_XMEOLO</vt:lpstr>
      <vt:lpstr>v_131_XMOB</vt:lpstr>
      <vt:lpstr>v_131_XN_B</vt:lpstr>
      <vt:lpstr>v_131_XN_U</vt:lpstr>
      <vt:lpstr>v_131_XNOB</vt:lpstr>
      <vt:lpstr>v_131_XOHO</vt:lpstr>
      <vt:lpstr>v_131_XP_B</vt:lpstr>
      <vt:lpstr>v_131_XP_U</vt:lpstr>
      <vt:lpstr>v_131_XPHA</vt:lpstr>
      <vt:lpstr>v_131_XPP</vt:lpstr>
      <vt:lpstr>v_131_XS</vt:lpstr>
      <vt:lpstr>v_131_XSOO</vt:lpstr>
      <vt:lpstr>v_131_XSTR</vt:lpstr>
      <vt:lpstr>v_131_XU</vt:lpstr>
      <vt:lpstr>v_131_XVivi</vt:lpstr>
      <vt:lpstr>v_132_CB</vt:lpstr>
      <vt:lpstr>v_132_CU</vt:lpstr>
      <vt:lpstr>v_132_GCH4</vt:lpstr>
      <vt:lpstr>v_132_GCH4_atm</vt:lpstr>
      <vt:lpstr>v_132_GCO2</vt:lpstr>
      <vt:lpstr>v_132_GCO2_atm</vt:lpstr>
      <vt:lpstr>v_132_GH2</vt:lpstr>
      <vt:lpstr>v_132_GH2_atm</vt:lpstr>
      <vt:lpstr>v_132_GH2S</vt:lpstr>
      <vt:lpstr>v_132_GH2S_atm</vt:lpstr>
      <vt:lpstr>v_132_GN2</vt:lpstr>
      <vt:lpstr>v_132_GN2_atm</vt:lpstr>
      <vt:lpstr>v_132_GN2O</vt:lpstr>
      <vt:lpstr>v_132_GN2O_atm</vt:lpstr>
      <vt:lpstr>v_132_GNH3</vt:lpstr>
      <vt:lpstr>v_132_GNH3_atm</vt:lpstr>
      <vt:lpstr>v_132_GNO</vt:lpstr>
      <vt:lpstr>v_132_GNO_atm</vt:lpstr>
      <vt:lpstr>v_132_GO2</vt:lpstr>
      <vt:lpstr>v_132_GO2_atm</vt:lpstr>
      <vt:lpstr>v_132_H</vt:lpstr>
      <vt:lpstr>v_132_SALPHA</vt:lpstr>
      <vt:lpstr>v_132_SAN</vt:lpstr>
      <vt:lpstr>v_132_SB</vt:lpstr>
      <vt:lpstr>v_132_SCa</vt:lpstr>
      <vt:lpstr>v_132_SCAT</vt:lpstr>
      <vt:lpstr>v_132_SCH4</vt:lpstr>
      <vt:lpstr>v_132_SCO2</vt:lpstr>
      <vt:lpstr>v_132_SFe2</vt:lpstr>
      <vt:lpstr>v_132_SH2</vt:lpstr>
      <vt:lpstr>v_132_SH2S</vt:lpstr>
      <vt:lpstr>v_132_SK</vt:lpstr>
      <vt:lpstr>v_132_SMEOL</vt:lpstr>
      <vt:lpstr>v_132_SMg</vt:lpstr>
      <vt:lpstr>v_132_SMM_index</vt:lpstr>
      <vt:lpstr>v_132_SN_B</vt:lpstr>
      <vt:lpstr>v_132_SN2</vt:lpstr>
      <vt:lpstr>v_132_SN2O</vt:lpstr>
      <vt:lpstr>v_132_SNH2OH</vt:lpstr>
      <vt:lpstr>v_132_SNHx</vt:lpstr>
      <vt:lpstr>v_132_SNO_AOB</vt:lpstr>
      <vt:lpstr>v_132_SNO_OHO</vt:lpstr>
      <vt:lpstr>v_132_SNO2</vt:lpstr>
      <vt:lpstr>v_132_SNO3</vt:lpstr>
      <vt:lpstr>v_132_SO2</vt:lpstr>
      <vt:lpstr>v_132_SP_B</vt:lpstr>
      <vt:lpstr>v_132_SPO4</vt:lpstr>
      <vt:lpstr>v_132_SSO4</vt:lpstr>
      <vt:lpstr>v_132_SU</vt:lpstr>
      <vt:lpstr>v_132_SVFA</vt:lpstr>
      <vt:lpstr>v_132_XACP</vt:lpstr>
      <vt:lpstr>v_132_XAMETO</vt:lpstr>
      <vt:lpstr>v_132_XAMX</vt:lpstr>
      <vt:lpstr>v_132_XAOB</vt:lpstr>
      <vt:lpstr>v_132_XASRO</vt:lpstr>
      <vt:lpstr>v_132_XB</vt:lpstr>
      <vt:lpstr>v_132_XBSH</vt:lpstr>
      <vt:lpstr>v_132_XCaCO3</vt:lpstr>
      <vt:lpstr>v_132_XCASTO</vt:lpstr>
      <vt:lpstr>v_132_XE</vt:lpstr>
      <vt:lpstr>v_132_XE_ana</vt:lpstr>
      <vt:lpstr>v_132_XFeS</vt:lpstr>
      <vt:lpstr>v_132_XGLY</vt:lpstr>
      <vt:lpstr>v_132_XHAO_H</vt:lpstr>
      <vt:lpstr>v_132_XHAO_H_P</vt:lpstr>
      <vt:lpstr>v_132_XHAO_H_P_old</vt:lpstr>
      <vt:lpstr>v_132_XHAO_L</vt:lpstr>
      <vt:lpstr>v_132_XHAO_L_P</vt:lpstr>
      <vt:lpstr>v_132_XHAO_L_P_old</vt:lpstr>
      <vt:lpstr>v_132_XHAO_old</vt:lpstr>
      <vt:lpstr>v_132_XHFO_H</vt:lpstr>
      <vt:lpstr>v_132_XHFO_H_P</vt:lpstr>
      <vt:lpstr>v_132_XHFO_H_P_old</vt:lpstr>
      <vt:lpstr>v_132_XHFO_L</vt:lpstr>
      <vt:lpstr>v_132_XHFO_L_P</vt:lpstr>
      <vt:lpstr>v_132_XHFO_L_P_old</vt:lpstr>
      <vt:lpstr>v_132_XHFO_old</vt:lpstr>
      <vt:lpstr>v_132_XHMETO</vt:lpstr>
      <vt:lpstr>v_132_XHSRO</vt:lpstr>
      <vt:lpstr>v_132_XINORG</vt:lpstr>
      <vt:lpstr>v_132_XMEOLO</vt:lpstr>
      <vt:lpstr>v_132_XMOB</vt:lpstr>
      <vt:lpstr>v_132_XN_B</vt:lpstr>
      <vt:lpstr>v_132_XN_U</vt:lpstr>
      <vt:lpstr>v_132_XNOB</vt:lpstr>
      <vt:lpstr>v_132_XOHO</vt:lpstr>
      <vt:lpstr>v_132_XP_B</vt:lpstr>
      <vt:lpstr>v_132_XP_U</vt:lpstr>
      <vt:lpstr>v_132_XPHA</vt:lpstr>
      <vt:lpstr>v_132_XPP</vt:lpstr>
      <vt:lpstr>v_132_XS</vt:lpstr>
      <vt:lpstr>v_132_XSOO</vt:lpstr>
      <vt:lpstr>v_132_XSTR</vt:lpstr>
      <vt:lpstr>v_132_XU</vt:lpstr>
      <vt:lpstr>v_132_XVivi</vt:lpstr>
      <vt:lpstr>v_133_CB</vt:lpstr>
      <vt:lpstr>v_133_CU</vt:lpstr>
      <vt:lpstr>v_133_GCH4</vt:lpstr>
      <vt:lpstr>v_133_GCH4_atm</vt:lpstr>
      <vt:lpstr>v_133_GCO2</vt:lpstr>
      <vt:lpstr>v_133_GCO2_atm</vt:lpstr>
      <vt:lpstr>v_133_GH2</vt:lpstr>
      <vt:lpstr>v_133_GH2_atm</vt:lpstr>
      <vt:lpstr>v_133_GH2S</vt:lpstr>
      <vt:lpstr>v_133_GH2S_atm</vt:lpstr>
      <vt:lpstr>v_133_GN2</vt:lpstr>
      <vt:lpstr>v_133_GN2_atm</vt:lpstr>
      <vt:lpstr>v_133_GN2O</vt:lpstr>
      <vt:lpstr>v_133_GN2O_atm</vt:lpstr>
      <vt:lpstr>v_133_GNH3</vt:lpstr>
      <vt:lpstr>v_133_GNH3_atm</vt:lpstr>
      <vt:lpstr>v_133_GNO</vt:lpstr>
      <vt:lpstr>v_133_GNO_atm</vt:lpstr>
      <vt:lpstr>v_133_GO2</vt:lpstr>
      <vt:lpstr>v_133_GO2_atm</vt:lpstr>
      <vt:lpstr>v_133_H</vt:lpstr>
      <vt:lpstr>v_133_SALPHA</vt:lpstr>
      <vt:lpstr>v_133_SAN</vt:lpstr>
      <vt:lpstr>v_133_SB</vt:lpstr>
      <vt:lpstr>v_133_SCa</vt:lpstr>
      <vt:lpstr>v_133_SCAT</vt:lpstr>
      <vt:lpstr>v_133_SCH4</vt:lpstr>
      <vt:lpstr>v_133_SCO2</vt:lpstr>
      <vt:lpstr>v_133_SFe2</vt:lpstr>
      <vt:lpstr>v_133_SH2</vt:lpstr>
      <vt:lpstr>v_133_SH2S</vt:lpstr>
      <vt:lpstr>v_133_SK</vt:lpstr>
      <vt:lpstr>v_133_SMEOL</vt:lpstr>
      <vt:lpstr>v_133_SMg</vt:lpstr>
      <vt:lpstr>v_133_SMM_index</vt:lpstr>
      <vt:lpstr>v_133_SN_B</vt:lpstr>
      <vt:lpstr>v_133_SN2</vt:lpstr>
      <vt:lpstr>v_133_SN2O</vt:lpstr>
      <vt:lpstr>v_133_SNH2OH</vt:lpstr>
      <vt:lpstr>v_133_SNHx</vt:lpstr>
      <vt:lpstr>v_133_SNO_AOB</vt:lpstr>
      <vt:lpstr>v_133_SNO_OHO</vt:lpstr>
      <vt:lpstr>v_133_SNO2</vt:lpstr>
      <vt:lpstr>v_133_SNO3</vt:lpstr>
      <vt:lpstr>v_133_SO2</vt:lpstr>
      <vt:lpstr>v_133_SP_B</vt:lpstr>
      <vt:lpstr>v_133_SPO4</vt:lpstr>
      <vt:lpstr>v_133_SSO4</vt:lpstr>
      <vt:lpstr>v_133_SU</vt:lpstr>
      <vt:lpstr>v_133_SVFA</vt:lpstr>
      <vt:lpstr>v_133_XACP</vt:lpstr>
      <vt:lpstr>v_133_XAMETO</vt:lpstr>
      <vt:lpstr>v_133_XAMX</vt:lpstr>
      <vt:lpstr>v_133_XAOB</vt:lpstr>
      <vt:lpstr>v_133_XASRO</vt:lpstr>
      <vt:lpstr>v_133_XB</vt:lpstr>
      <vt:lpstr>v_133_XBSH</vt:lpstr>
      <vt:lpstr>v_133_XCaCO3</vt:lpstr>
      <vt:lpstr>v_133_XCASTO</vt:lpstr>
      <vt:lpstr>v_133_XE</vt:lpstr>
      <vt:lpstr>v_133_XE_ana</vt:lpstr>
      <vt:lpstr>v_133_XFeS</vt:lpstr>
      <vt:lpstr>v_133_XGLY</vt:lpstr>
      <vt:lpstr>v_133_XHAO_H</vt:lpstr>
      <vt:lpstr>v_133_XHAO_H_P</vt:lpstr>
      <vt:lpstr>v_133_XHAO_H_P_old</vt:lpstr>
      <vt:lpstr>v_133_XHAO_L</vt:lpstr>
      <vt:lpstr>v_133_XHAO_L_P</vt:lpstr>
      <vt:lpstr>v_133_XHAO_L_P_old</vt:lpstr>
      <vt:lpstr>v_133_XHAO_old</vt:lpstr>
      <vt:lpstr>v_133_XHFO_H</vt:lpstr>
      <vt:lpstr>v_133_XHFO_H_P</vt:lpstr>
      <vt:lpstr>v_133_XHFO_H_P_old</vt:lpstr>
      <vt:lpstr>v_133_XHFO_L</vt:lpstr>
      <vt:lpstr>v_133_XHFO_L_P</vt:lpstr>
      <vt:lpstr>v_133_XHFO_L_P_old</vt:lpstr>
      <vt:lpstr>v_133_XHFO_old</vt:lpstr>
      <vt:lpstr>v_133_XHMETO</vt:lpstr>
      <vt:lpstr>v_133_XHSRO</vt:lpstr>
      <vt:lpstr>v_133_XINORG</vt:lpstr>
      <vt:lpstr>v_133_XMEOLO</vt:lpstr>
      <vt:lpstr>v_133_XMOB</vt:lpstr>
      <vt:lpstr>v_133_XN_B</vt:lpstr>
      <vt:lpstr>v_133_XN_U</vt:lpstr>
      <vt:lpstr>v_133_XNOB</vt:lpstr>
      <vt:lpstr>v_133_XOHO</vt:lpstr>
      <vt:lpstr>v_133_XP_B</vt:lpstr>
      <vt:lpstr>v_133_XP_U</vt:lpstr>
      <vt:lpstr>v_133_XPHA</vt:lpstr>
      <vt:lpstr>v_133_XPP</vt:lpstr>
      <vt:lpstr>v_133_XS</vt:lpstr>
      <vt:lpstr>v_133_XSOO</vt:lpstr>
      <vt:lpstr>v_133_XSTR</vt:lpstr>
      <vt:lpstr>v_133_XU</vt:lpstr>
      <vt:lpstr>v_133_XVivi</vt:lpstr>
      <vt:lpstr>v_134_CB</vt:lpstr>
      <vt:lpstr>v_134_CU</vt:lpstr>
      <vt:lpstr>v_134_GCH4</vt:lpstr>
      <vt:lpstr>v_134_GCH4_atm</vt:lpstr>
      <vt:lpstr>v_134_GCO2</vt:lpstr>
      <vt:lpstr>v_134_GCO2_atm</vt:lpstr>
      <vt:lpstr>v_134_GH2</vt:lpstr>
      <vt:lpstr>v_134_GH2_atm</vt:lpstr>
      <vt:lpstr>v_134_GH2S</vt:lpstr>
      <vt:lpstr>v_134_GH2S_atm</vt:lpstr>
      <vt:lpstr>v_134_GN2</vt:lpstr>
      <vt:lpstr>v_134_GN2_atm</vt:lpstr>
      <vt:lpstr>v_134_GN2O</vt:lpstr>
      <vt:lpstr>v_134_GN2O_atm</vt:lpstr>
      <vt:lpstr>v_134_GNH3</vt:lpstr>
      <vt:lpstr>v_134_GNH3_atm</vt:lpstr>
      <vt:lpstr>v_134_GNO</vt:lpstr>
      <vt:lpstr>v_134_GNO_atm</vt:lpstr>
      <vt:lpstr>v_134_GO2</vt:lpstr>
      <vt:lpstr>v_134_GO2_atm</vt:lpstr>
      <vt:lpstr>v_134_H</vt:lpstr>
      <vt:lpstr>v_134_SALPHA</vt:lpstr>
      <vt:lpstr>v_134_SAN</vt:lpstr>
      <vt:lpstr>v_134_SB</vt:lpstr>
      <vt:lpstr>v_134_SCa</vt:lpstr>
      <vt:lpstr>v_134_SCAT</vt:lpstr>
      <vt:lpstr>v_134_SCH4</vt:lpstr>
      <vt:lpstr>v_134_SCO2</vt:lpstr>
      <vt:lpstr>v_134_SFe2</vt:lpstr>
      <vt:lpstr>v_134_SH2</vt:lpstr>
      <vt:lpstr>v_134_SH2S</vt:lpstr>
      <vt:lpstr>v_134_SK</vt:lpstr>
      <vt:lpstr>v_134_SMEOL</vt:lpstr>
      <vt:lpstr>v_134_SMg</vt:lpstr>
      <vt:lpstr>v_134_SMM_index</vt:lpstr>
      <vt:lpstr>v_134_SN_B</vt:lpstr>
      <vt:lpstr>v_134_SN2</vt:lpstr>
      <vt:lpstr>v_134_SN2O</vt:lpstr>
      <vt:lpstr>v_134_SNH2OH</vt:lpstr>
      <vt:lpstr>v_134_SNHx</vt:lpstr>
      <vt:lpstr>v_134_SNO_AOB</vt:lpstr>
      <vt:lpstr>v_134_SNO_OHO</vt:lpstr>
      <vt:lpstr>v_134_SNO2</vt:lpstr>
      <vt:lpstr>v_134_SNO3</vt:lpstr>
      <vt:lpstr>v_134_SO2</vt:lpstr>
      <vt:lpstr>v_134_SP_B</vt:lpstr>
      <vt:lpstr>v_134_SPO4</vt:lpstr>
      <vt:lpstr>v_134_SSO4</vt:lpstr>
      <vt:lpstr>v_134_SU</vt:lpstr>
      <vt:lpstr>v_134_SVFA</vt:lpstr>
      <vt:lpstr>v_134_XACP</vt:lpstr>
      <vt:lpstr>v_134_XAMETO</vt:lpstr>
      <vt:lpstr>v_134_XAMX</vt:lpstr>
      <vt:lpstr>v_134_XAOB</vt:lpstr>
      <vt:lpstr>v_134_XASRO</vt:lpstr>
      <vt:lpstr>v_134_XB</vt:lpstr>
      <vt:lpstr>v_134_XBSH</vt:lpstr>
      <vt:lpstr>v_134_XCaCO3</vt:lpstr>
      <vt:lpstr>v_134_XCASTO</vt:lpstr>
      <vt:lpstr>v_134_XE</vt:lpstr>
      <vt:lpstr>v_134_XE_ana</vt:lpstr>
      <vt:lpstr>v_134_XFeS</vt:lpstr>
      <vt:lpstr>v_134_XGLY</vt:lpstr>
      <vt:lpstr>v_134_XHAO_H</vt:lpstr>
      <vt:lpstr>v_134_XHAO_H_P</vt:lpstr>
      <vt:lpstr>v_134_XHAO_H_P_old</vt:lpstr>
      <vt:lpstr>v_134_XHAO_L</vt:lpstr>
      <vt:lpstr>v_134_XHAO_L_P</vt:lpstr>
      <vt:lpstr>v_134_XHAO_L_P_old</vt:lpstr>
      <vt:lpstr>v_134_XHAO_old</vt:lpstr>
      <vt:lpstr>v_134_XHFO_H</vt:lpstr>
      <vt:lpstr>v_134_XHFO_H_P</vt:lpstr>
      <vt:lpstr>v_134_XHFO_H_P_old</vt:lpstr>
      <vt:lpstr>v_134_XHFO_L</vt:lpstr>
      <vt:lpstr>v_134_XHFO_L_P</vt:lpstr>
      <vt:lpstr>v_134_XHFO_L_P_old</vt:lpstr>
      <vt:lpstr>v_134_XHFO_old</vt:lpstr>
      <vt:lpstr>v_134_XHMETO</vt:lpstr>
      <vt:lpstr>v_134_XHSRO</vt:lpstr>
      <vt:lpstr>v_134_XINORG</vt:lpstr>
      <vt:lpstr>v_134_XMEOLO</vt:lpstr>
      <vt:lpstr>v_134_XMOB</vt:lpstr>
      <vt:lpstr>v_134_XN_B</vt:lpstr>
      <vt:lpstr>v_134_XN_U</vt:lpstr>
      <vt:lpstr>v_134_XNOB</vt:lpstr>
      <vt:lpstr>v_134_XOHO</vt:lpstr>
      <vt:lpstr>v_134_XP_B</vt:lpstr>
      <vt:lpstr>v_134_XP_U</vt:lpstr>
      <vt:lpstr>v_134_XPHA</vt:lpstr>
      <vt:lpstr>v_134_XPP</vt:lpstr>
      <vt:lpstr>v_134_XS</vt:lpstr>
      <vt:lpstr>v_134_XSOO</vt:lpstr>
      <vt:lpstr>v_134_XSTR</vt:lpstr>
      <vt:lpstr>v_134_XU</vt:lpstr>
      <vt:lpstr>v_134_XVivi</vt:lpstr>
      <vt:lpstr>v_135_CB</vt:lpstr>
      <vt:lpstr>v_135_CU</vt:lpstr>
      <vt:lpstr>v_135_GCH4</vt:lpstr>
      <vt:lpstr>v_135_GCH4_atm</vt:lpstr>
      <vt:lpstr>v_135_GCO2</vt:lpstr>
      <vt:lpstr>v_135_GCO2_atm</vt:lpstr>
      <vt:lpstr>v_135_GH2</vt:lpstr>
      <vt:lpstr>v_135_GH2_atm</vt:lpstr>
      <vt:lpstr>v_135_GH2S</vt:lpstr>
      <vt:lpstr>v_135_GH2S_atm</vt:lpstr>
      <vt:lpstr>v_135_GN2</vt:lpstr>
      <vt:lpstr>v_135_GN2_atm</vt:lpstr>
      <vt:lpstr>v_135_GN2O</vt:lpstr>
      <vt:lpstr>v_135_GN2O_atm</vt:lpstr>
      <vt:lpstr>v_135_GNH3</vt:lpstr>
      <vt:lpstr>v_135_GNH3_atm</vt:lpstr>
      <vt:lpstr>v_135_GNO</vt:lpstr>
      <vt:lpstr>v_135_GNO_atm</vt:lpstr>
      <vt:lpstr>v_135_GO2</vt:lpstr>
      <vt:lpstr>v_135_GO2_atm</vt:lpstr>
      <vt:lpstr>v_135_H</vt:lpstr>
      <vt:lpstr>v_135_SALPHA</vt:lpstr>
      <vt:lpstr>v_135_SAN</vt:lpstr>
      <vt:lpstr>v_135_SB</vt:lpstr>
      <vt:lpstr>v_135_SCa</vt:lpstr>
      <vt:lpstr>v_135_SCAT</vt:lpstr>
      <vt:lpstr>v_135_SCH4</vt:lpstr>
      <vt:lpstr>v_135_SCO2</vt:lpstr>
      <vt:lpstr>v_135_SFe2</vt:lpstr>
      <vt:lpstr>v_135_SH2</vt:lpstr>
      <vt:lpstr>v_135_SH2S</vt:lpstr>
      <vt:lpstr>v_135_SK</vt:lpstr>
      <vt:lpstr>v_135_SMEOL</vt:lpstr>
      <vt:lpstr>v_135_SMg</vt:lpstr>
      <vt:lpstr>v_135_SMM_index</vt:lpstr>
      <vt:lpstr>v_135_SN_B</vt:lpstr>
      <vt:lpstr>v_135_SN2</vt:lpstr>
      <vt:lpstr>v_135_SN2O</vt:lpstr>
      <vt:lpstr>v_135_SNH2OH</vt:lpstr>
      <vt:lpstr>v_135_SNHx</vt:lpstr>
      <vt:lpstr>v_135_SNO_AOB</vt:lpstr>
      <vt:lpstr>v_135_SNO_OHO</vt:lpstr>
      <vt:lpstr>v_135_SNO2</vt:lpstr>
      <vt:lpstr>v_135_SNO3</vt:lpstr>
      <vt:lpstr>v_135_SO2</vt:lpstr>
      <vt:lpstr>v_135_SP_B</vt:lpstr>
      <vt:lpstr>v_135_SPO4</vt:lpstr>
      <vt:lpstr>v_135_SSO4</vt:lpstr>
      <vt:lpstr>v_135_SU</vt:lpstr>
      <vt:lpstr>v_135_SVFA</vt:lpstr>
      <vt:lpstr>v_135_XACP</vt:lpstr>
      <vt:lpstr>v_135_XAMETO</vt:lpstr>
      <vt:lpstr>v_135_XAMX</vt:lpstr>
      <vt:lpstr>v_135_XAOB</vt:lpstr>
      <vt:lpstr>v_135_XASRO</vt:lpstr>
      <vt:lpstr>v_135_XB</vt:lpstr>
      <vt:lpstr>v_135_XBSH</vt:lpstr>
      <vt:lpstr>v_135_XCaCO3</vt:lpstr>
      <vt:lpstr>v_135_XCASTO</vt:lpstr>
      <vt:lpstr>v_135_XE</vt:lpstr>
      <vt:lpstr>v_135_XE_ana</vt:lpstr>
      <vt:lpstr>v_135_XFeS</vt:lpstr>
      <vt:lpstr>v_135_XGLY</vt:lpstr>
      <vt:lpstr>v_135_XHAO_H</vt:lpstr>
      <vt:lpstr>v_135_XHAO_H_P</vt:lpstr>
      <vt:lpstr>v_135_XHAO_H_P_old</vt:lpstr>
      <vt:lpstr>v_135_XHAO_L</vt:lpstr>
      <vt:lpstr>v_135_XHAO_L_P</vt:lpstr>
      <vt:lpstr>v_135_XHAO_L_P_old</vt:lpstr>
      <vt:lpstr>v_135_XHAO_old</vt:lpstr>
      <vt:lpstr>v_135_XHFO_H</vt:lpstr>
      <vt:lpstr>v_135_XHFO_H_P</vt:lpstr>
      <vt:lpstr>v_135_XHFO_H_P_old</vt:lpstr>
      <vt:lpstr>v_135_XHFO_L</vt:lpstr>
      <vt:lpstr>v_135_XHFO_L_P</vt:lpstr>
      <vt:lpstr>v_135_XHFO_L_P_old</vt:lpstr>
      <vt:lpstr>v_135_XHFO_old</vt:lpstr>
      <vt:lpstr>v_135_XHMETO</vt:lpstr>
      <vt:lpstr>v_135_XHSRO</vt:lpstr>
      <vt:lpstr>v_135_XINORG</vt:lpstr>
      <vt:lpstr>v_135_XMEOLO</vt:lpstr>
      <vt:lpstr>v_135_XMOB</vt:lpstr>
      <vt:lpstr>v_135_XN_B</vt:lpstr>
      <vt:lpstr>v_135_XN_U</vt:lpstr>
      <vt:lpstr>v_135_XNOB</vt:lpstr>
      <vt:lpstr>v_135_XOHO</vt:lpstr>
      <vt:lpstr>v_135_XP_B</vt:lpstr>
      <vt:lpstr>v_135_XP_U</vt:lpstr>
      <vt:lpstr>v_135_XPHA</vt:lpstr>
      <vt:lpstr>v_135_XPP</vt:lpstr>
      <vt:lpstr>v_135_XS</vt:lpstr>
      <vt:lpstr>v_135_XSOO</vt:lpstr>
      <vt:lpstr>v_135_XSTR</vt:lpstr>
      <vt:lpstr>v_135_XU</vt:lpstr>
      <vt:lpstr>v_135_XVivi</vt:lpstr>
      <vt:lpstr>v_136_CB</vt:lpstr>
      <vt:lpstr>v_136_CU</vt:lpstr>
      <vt:lpstr>v_136_GCH4</vt:lpstr>
      <vt:lpstr>v_136_GCH4_atm</vt:lpstr>
      <vt:lpstr>v_136_GCO2</vt:lpstr>
      <vt:lpstr>v_136_GCO2_atm</vt:lpstr>
      <vt:lpstr>v_136_GH2</vt:lpstr>
      <vt:lpstr>v_136_GH2_atm</vt:lpstr>
      <vt:lpstr>v_136_GH2S</vt:lpstr>
      <vt:lpstr>v_136_GH2S_atm</vt:lpstr>
      <vt:lpstr>v_136_GN2</vt:lpstr>
      <vt:lpstr>v_136_GN2_atm</vt:lpstr>
      <vt:lpstr>v_136_GN2O</vt:lpstr>
      <vt:lpstr>v_136_GN2O_atm</vt:lpstr>
      <vt:lpstr>v_136_GNH3</vt:lpstr>
      <vt:lpstr>v_136_GNH3_atm</vt:lpstr>
      <vt:lpstr>v_136_GNO</vt:lpstr>
      <vt:lpstr>v_136_GNO_atm</vt:lpstr>
      <vt:lpstr>v_136_GO2</vt:lpstr>
      <vt:lpstr>v_136_GO2_atm</vt:lpstr>
      <vt:lpstr>v_136_H</vt:lpstr>
      <vt:lpstr>v_136_SALPHA</vt:lpstr>
      <vt:lpstr>v_136_SAN</vt:lpstr>
      <vt:lpstr>v_136_SB</vt:lpstr>
      <vt:lpstr>v_136_SCa</vt:lpstr>
      <vt:lpstr>v_136_SCAT</vt:lpstr>
      <vt:lpstr>v_136_SCH4</vt:lpstr>
      <vt:lpstr>v_136_SCO2</vt:lpstr>
      <vt:lpstr>v_136_SFe2</vt:lpstr>
      <vt:lpstr>v_136_SH2</vt:lpstr>
      <vt:lpstr>v_136_SH2S</vt:lpstr>
      <vt:lpstr>v_136_SK</vt:lpstr>
      <vt:lpstr>v_136_SMEOL</vt:lpstr>
      <vt:lpstr>v_136_SMg</vt:lpstr>
      <vt:lpstr>v_136_SMM_index</vt:lpstr>
      <vt:lpstr>v_136_SN_B</vt:lpstr>
      <vt:lpstr>v_136_SN2</vt:lpstr>
      <vt:lpstr>v_136_SN2O</vt:lpstr>
      <vt:lpstr>v_136_SNH2OH</vt:lpstr>
      <vt:lpstr>v_136_SNHx</vt:lpstr>
      <vt:lpstr>v_136_SNO_AOB</vt:lpstr>
      <vt:lpstr>v_136_SNO_OHO</vt:lpstr>
      <vt:lpstr>v_136_SNO2</vt:lpstr>
      <vt:lpstr>v_136_SNO3</vt:lpstr>
      <vt:lpstr>v_136_SO2</vt:lpstr>
      <vt:lpstr>v_136_SP_B</vt:lpstr>
      <vt:lpstr>v_136_SPO4</vt:lpstr>
      <vt:lpstr>v_136_SSO4</vt:lpstr>
      <vt:lpstr>v_136_SU</vt:lpstr>
      <vt:lpstr>v_136_SVFA</vt:lpstr>
      <vt:lpstr>v_136_XACP</vt:lpstr>
      <vt:lpstr>v_136_XAMETO</vt:lpstr>
      <vt:lpstr>v_136_XAMX</vt:lpstr>
      <vt:lpstr>v_136_XAOB</vt:lpstr>
      <vt:lpstr>v_136_XASRO</vt:lpstr>
      <vt:lpstr>v_136_XB</vt:lpstr>
      <vt:lpstr>v_136_XBSH</vt:lpstr>
      <vt:lpstr>v_136_XCaCO3</vt:lpstr>
      <vt:lpstr>v_136_XCASTO</vt:lpstr>
      <vt:lpstr>v_136_XE</vt:lpstr>
      <vt:lpstr>v_136_XE_ana</vt:lpstr>
      <vt:lpstr>v_136_XFeS</vt:lpstr>
      <vt:lpstr>v_136_XGLY</vt:lpstr>
      <vt:lpstr>v_136_XHAO_H</vt:lpstr>
      <vt:lpstr>v_136_XHAO_H_P</vt:lpstr>
      <vt:lpstr>v_136_XHAO_H_P_old</vt:lpstr>
      <vt:lpstr>v_136_XHAO_L</vt:lpstr>
      <vt:lpstr>v_136_XHAO_L_P</vt:lpstr>
      <vt:lpstr>v_136_XHAO_L_P_old</vt:lpstr>
      <vt:lpstr>v_136_XHAO_old</vt:lpstr>
      <vt:lpstr>v_136_XHFO_H</vt:lpstr>
      <vt:lpstr>v_136_XHFO_H_P</vt:lpstr>
      <vt:lpstr>v_136_XHFO_H_P_old</vt:lpstr>
      <vt:lpstr>v_136_XHFO_L</vt:lpstr>
      <vt:lpstr>v_136_XHFO_L_P</vt:lpstr>
      <vt:lpstr>v_136_XHFO_L_P_old</vt:lpstr>
      <vt:lpstr>v_136_XHFO_old</vt:lpstr>
      <vt:lpstr>v_136_XHMETO</vt:lpstr>
      <vt:lpstr>v_136_XHSRO</vt:lpstr>
      <vt:lpstr>v_136_XINORG</vt:lpstr>
      <vt:lpstr>v_136_XMEOLO</vt:lpstr>
      <vt:lpstr>v_136_XMOB</vt:lpstr>
      <vt:lpstr>v_136_XN_B</vt:lpstr>
      <vt:lpstr>v_136_XN_U</vt:lpstr>
      <vt:lpstr>v_136_XNOB</vt:lpstr>
      <vt:lpstr>v_136_XOHO</vt:lpstr>
      <vt:lpstr>v_136_XP_B</vt:lpstr>
      <vt:lpstr>v_136_XP_U</vt:lpstr>
      <vt:lpstr>v_136_XPHA</vt:lpstr>
      <vt:lpstr>v_136_XPP</vt:lpstr>
      <vt:lpstr>v_136_XS</vt:lpstr>
      <vt:lpstr>v_136_XSOO</vt:lpstr>
      <vt:lpstr>v_136_XSTR</vt:lpstr>
      <vt:lpstr>v_136_XU</vt:lpstr>
      <vt:lpstr>v_136_XVivi</vt:lpstr>
      <vt:lpstr>v_14_CB</vt:lpstr>
      <vt:lpstr>v_14_CU</vt:lpstr>
      <vt:lpstr>v_14_GCH4</vt:lpstr>
      <vt:lpstr>v_14_GCH4_atm</vt:lpstr>
      <vt:lpstr>v_14_GCO2</vt:lpstr>
      <vt:lpstr>v_14_GCO2_atm</vt:lpstr>
      <vt:lpstr>v_14_GH2</vt:lpstr>
      <vt:lpstr>v_14_GH2_atm</vt:lpstr>
      <vt:lpstr>v_14_GH2S</vt:lpstr>
      <vt:lpstr>v_14_GH2S_atm</vt:lpstr>
      <vt:lpstr>v_14_GN2</vt:lpstr>
      <vt:lpstr>v_14_GN2_atm</vt:lpstr>
      <vt:lpstr>v_14_GN2O</vt:lpstr>
      <vt:lpstr>v_14_GN2O_atm</vt:lpstr>
      <vt:lpstr>v_14_GNH3</vt:lpstr>
      <vt:lpstr>v_14_GNH3_atm</vt:lpstr>
      <vt:lpstr>v_14_GNO</vt:lpstr>
      <vt:lpstr>v_14_GNO_atm</vt:lpstr>
      <vt:lpstr>v_14_GO2</vt:lpstr>
      <vt:lpstr>v_14_GO2_atm</vt:lpstr>
      <vt:lpstr>v_14_H</vt:lpstr>
      <vt:lpstr>v_14_SALPHA</vt:lpstr>
      <vt:lpstr>v_14_SAN</vt:lpstr>
      <vt:lpstr>v_14_SB</vt:lpstr>
      <vt:lpstr>v_14_SCa</vt:lpstr>
      <vt:lpstr>v_14_SCAT</vt:lpstr>
      <vt:lpstr>v_14_SCH4</vt:lpstr>
      <vt:lpstr>v_14_SCO2</vt:lpstr>
      <vt:lpstr>v_14_SFe2</vt:lpstr>
      <vt:lpstr>v_14_SH2</vt:lpstr>
      <vt:lpstr>v_14_SH2S</vt:lpstr>
      <vt:lpstr>v_14_SK</vt:lpstr>
      <vt:lpstr>v_14_SMEOL</vt:lpstr>
      <vt:lpstr>v_14_SMg</vt:lpstr>
      <vt:lpstr>v_14_SMM_index</vt:lpstr>
      <vt:lpstr>v_14_SN_B</vt:lpstr>
      <vt:lpstr>v_14_SN2</vt:lpstr>
      <vt:lpstr>v_14_SN2O</vt:lpstr>
      <vt:lpstr>v_14_SNH2OH</vt:lpstr>
      <vt:lpstr>v_14_SNHx</vt:lpstr>
      <vt:lpstr>v_14_SNO_AOB</vt:lpstr>
      <vt:lpstr>v_14_SNO_OHO</vt:lpstr>
      <vt:lpstr>v_14_SNO2</vt:lpstr>
      <vt:lpstr>v_14_SNO3</vt:lpstr>
      <vt:lpstr>v_14_SO2</vt:lpstr>
      <vt:lpstr>v_14_SP_B</vt:lpstr>
      <vt:lpstr>v_14_SPO4</vt:lpstr>
      <vt:lpstr>v_14_SSO4</vt:lpstr>
      <vt:lpstr>v_14_SU</vt:lpstr>
      <vt:lpstr>v_14_SVFA</vt:lpstr>
      <vt:lpstr>v_14_XACP</vt:lpstr>
      <vt:lpstr>v_14_XAMETO</vt:lpstr>
      <vt:lpstr>v_14_XAMX</vt:lpstr>
      <vt:lpstr>v_14_XAOB</vt:lpstr>
      <vt:lpstr>v_14_XASRO</vt:lpstr>
      <vt:lpstr>v_14_XB</vt:lpstr>
      <vt:lpstr>v_14_XBSH</vt:lpstr>
      <vt:lpstr>v_14_XCaCO3</vt:lpstr>
      <vt:lpstr>v_14_XCASTO</vt:lpstr>
      <vt:lpstr>v_14_XE</vt:lpstr>
      <vt:lpstr>v_14_XE_ana</vt:lpstr>
      <vt:lpstr>v_14_XFeS</vt:lpstr>
      <vt:lpstr>v_14_XGLY</vt:lpstr>
      <vt:lpstr>v_14_XHAO_H</vt:lpstr>
      <vt:lpstr>v_14_XHAO_H_P</vt:lpstr>
      <vt:lpstr>v_14_XHAO_H_P_old</vt:lpstr>
      <vt:lpstr>v_14_XHAO_L</vt:lpstr>
      <vt:lpstr>v_14_XHAO_L_P</vt:lpstr>
      <vt:lpstr>v_14_XHAO_L_P_old</vt:lpstr>
      <vt:lpstr>v_14_XHAO_old</vt:lpstr>
      <vt:lpstr>v_14_XHFO_H</vt:lpstr>
      <vt:lpstr>v_14_XHFO_H_P</vt:lpstr>
      <vt:lpstr>v_14_XHFO_H_P_old</vt:lpstr>
      <vt:lpstr>v_14_XHFO_L</vt:lpstr>
      <vt:lpstr>v_14_XHFO_L_P</vt:lpstr>
      <vt:lpstr>v_14_XHFO_L_P_old</vt:lpstr>
      <vt:lpstr>v_14_XHFO_old</vt:lpstr>
      <vt:lpstr>v_14_XHMETO</vt:lpstr>
      <vt:lpstr>v_14_XHSRO</vt:lpstr>
      <vt:lpstr>v_14_XINORG</vt:lpstr>
      <vt:lpstr>v_14_XMEOLO</vt:lpstr>
      <vt:lpstr>v_14_XMOB</vt:lpstr>
      <vt:lpstr>v_14_XN_B</vt:lpstr>
      <vt:lpstr>v_14_XN_U</vt:lpstr>
      <vt:lpstr>v_14_XNOB</vt:lpstr>
      <vt:lpstr>v_14_XOHO</vt:lpstr>
      <vt:lpstr>v_14_XP_B</vt:lpstr>
      <vt:lpstr>v_14_XP_U</vt:lpstr>
      <vt:lpstr>v_14_XPHA</vt:lpstr>
      <vt:lpstr>v_14_XPP</vt:lpstr>
      <vt:lpstr>v_14_XS</vt:lpstr>
      <vt:lpstr>v_14_XSOO</vt:lpstr>
      <vt:lpstr>v_14_XSTR</vt:lpstr>
      <vt:lpstr>v_14_XU</vt:lpstr>
      <vt:lpstr>v_14_XVivi</vt:lpstr>
      <vt:lpstr>v_15_CB</vt:lpstr>
      <vt:lpstr>v_15_CU</vt:lpstr>
      <vt:lpstr>v_15_GCH4</vt:lpstr>
      <vt:lpstr>v_15_GCH4_atm</vt:lpstr>
      <vt:lpstr>v_15_GCO2</vt:lpstr>
      <vt:lpstr>v_15_GCO2_atm</vt:lpstr>
      <vt:lpstr>v_15_GH2</vt:lpstr>
      <vt:lpstr>v_15_GH2_atm</vt:lpstr>
      <vt:lpstr>v_15_GH2S</vt:lpstr>
      <vt:lpstr>v_15_GH2S_atm</vt:lpstr>
      <vt:lpstr>v_15_GN2</vt:lpstr>
      <vt:lpstr>v_15_GN2_atm</vt:lpstr>
      <vt:lpstr>v_15_GN2O</vt:lpstr>
      <vt:lpstr>v_15_GN2O_atm</vt:lpstr>
      <vt:lpstr>v_15_GNH3</vt:lpstr>
      <vt:lpstr>v_15_GNH3_atm</vt:lpstr>
      <vt:lpstr>v_15_GNO</vt:lpstr>
      <vt:lpstr>v_15_GNO_atm</vt:lpstr>
      <vt:lpstr>v_15_GO2</vt:lpstr>
      <vt:lpstr>v_15_GO2_atm</vt:lpstr>
      <vt:lpstr>v_15_H</vt:lpstr>
      <vt:lpstr>v_15_SALPHA</vt:lpstr>
      <vt:lpstr>v_15_SAN</vt:lpstr>
      <vt:lpstr>v_15_SB</vt:lpstr>
      <vt:lpstr>v_15_SCa</vt:lpstr>
      <vt:lpstr>v_15_SCAT</vt:lpstr>
      <vt:lpstr>v_15_SCH4</vt:lpstr>
      <vt:lpstr>v_15_SCO2</vt:lpstr>
      <vt:lpstr>v_15_SFe2</vt:lpstr>
      <vt:lpstr>v_15_SH2</vt:lpstr>
      <vt:lpstr>v_15_SH2S</vt:lpstr>
      <vt:lpstr>v_15_SK</vt:lpstr>
      <vt:lpstr>v_15_SMEOL</vt:lpstr>
      <vt:lpstr>v_15_SMg</vt:lpstr>
      <vt:lpstr>v_15_SMM_index</vt:lpstr>
      <vt:lpstr>v_15_SN_B</vt:lpstr>
      <vt:lpstr>v_15_SN2</vt:lpstr>
      <vt:lpstr>v_15_SN2O</vt:lpstr>
      <vt:lpstr>v_15_SNH2OH</vt:lpstr>
      <vt:lpstr>v_15_SNHx</vt:lpstr>
      <vt:lpstr>v_15_SNO_AOB</vt:lpstr>
      <vt:lpstr>v_15_SNO_OHO</vt:lpstr>
      <vt:lpstr>v_15_SNO2</vt:lpstr>
      <vt:lpstr>v_15_SNO3</vt:lpstr>
      <vt:lpstr>v_15_SO2</vt:lpstr>
      <vt:lpstr>v_15_SP_B</vt:lpstr>
      <vt:lpstr>v_15_SPO4</vt:lpstr>
      <vt:lpstr>v_15_SSO4</vt:lpstr>
      <vt:lpstr>v_15_SU</vt:lpstr>
      <vt:lpstr>v_15_SVFA</vt:lpstr>
      <vt:lpstr>v_15_XACP</vt:lpstr>
      <vt:lpstr>v_15_XAMETO</vt:lpstr>
      <vt:lpstr>v_15_XAMX</vt:lpstr>
      <vt:lpstr>v_15_XAOB</vt:lpstr>
      <vt:lpstr>v_15_XASRO</vt:lpstr>
      <vt:lpstr>v_15_XB</vt:lpstr>
      <vt:lpstr>v_15_XBSH</vt:lpstr>
      <vt:lpstr>v_15_XCaCO3</vt:lpstr>
      <vt:lpstr>v_15_XCASTO</vt:lpstr>
      <vt:lpstr>v_15_XE</vt:lpstr>
      <vt:lpstr>v_15_XE_ana</vt:lpstr>
      <vt:lpstr>v_15_XFeS</vt:lpstr>
      <vt:lpstr>v_15_XGLY</vt:lpstr>
      <vt:lpstr>v_15_XHAO_H</vt:lpstr>
      <vt:lpstr>v_15_XHAO_H_P</vt:lpstr>
      <vt:lpstr>v_15_XHAO_H_P_old</vt:lpstr>
      <vt:lpstr>v_15_XHAO_L</vt:lpstr>
      <vt:lpstr>v_15_XHAO_L_P</vt:lpstr>
      <vt:lpstr>v_15_XHAO_L_P_old</vt:lpstr>
      <vt:lpstr>v_15_XHAO_old</vt:lpstr>
      <vt:lpstr>v_15_XHFO_H</vt:lpstr>
      <vt:lpstr>v_15_XHFO_H_P</vt:lpstr>
      <vt:lpstr>v_15_XHFO_H_P_old</vt:lpstr>
      <vt:lpstr>v_15_XHFO_L</vt:lpstr>
      <vt:lpstr>v_15_XHFO_L_P</vt:lpstr>
      <vt:lpstr>v_15_XHFO_L_P_old</vt:lpstr>
      <vt:lpstr>v_15_XHFO_old</vt:lpstr>
      <vt:lpstr>v_15_XHMETO</vt:lpstr>
      <vt:lpstr>v_15_XHSRO</vt:lpstr>
      <vt:lpstr>v_15_XINORG</vt:lpstr>
      <vt:lpstr>v_15_XMEOLO</vt:lpstr>
      <vt:lpstr>v_15_XMOB</vt:lpstr>
      <vt:lpstr>v_15_XN_B</vt:lpstr>
      <vt:lpstr>v_15_XN_U</vt:lpstr>
      <vt:lpstr>v_15_XNOB</vt:lpstr>
      <vt:lpstr>v_15_XOHO</vt:lpstr>
      <vt:lpstr>v_15_XP_B</vt:lpstr>
      <vt:lpstr>v_15_XP_U</vt:lpstr>
      <vt:lpstr>v_15_XPHA</vt:lpstr>
      <vt:lpstr>v_15_XPP</vt:lpstr>
      <vt:lpstr>v_15_XS</vt:lpstr>
      <vt:lpstr>v_15_XSOO</vt:lpstr>
      <vt:lpstr>v_15_XSTR</vt:lpstr>
      <vt:lpstr>v_15_XU</vt:lpstr>
      <vt:lpstr>v_15_XVivi</vt:lpstr>
      <vt:lpstr>v_16_CB</vt:lpstr>
      <vt:lpstr>v_16_CU</vt:lpstr>
      <vt:lpstr>v_16_GCH4</vt:lpstr>
      <vt:lpstr>v_16_GCH4_atm</vt:lpstr>
      <vt:lpstr>v_16_GCO2</vt:lpstr>
      <vt:lpstr>v_16_GCO2_atm</vt:lpstr>
      <vt:lpstr>v_16_GH2</vt:lpstr>
      <vt:lpstr>v_16_GH2_atm</vt:lpstr>
      <vt:lpstr>v_16_GH2S</vt:lpstr>
      <vt:lpstr>v_16_GH2S_atm</vt:lpstr>
      <vt:lpstr>v_16_GN2</vt:lpstr>
      <vt:lpstr>v_16_GN2_atm</vt:lpstr>
      <vt:lpstr>v_16_GN2O</vt:lpstr>
      <vt:lpstr>v_16_GN2O_atm</vt:lpstr>
      <vt:lpstr>v_16_GNH3</vt:lpstr>
      <vt:lpstr>v_16_GNH3_atm</vt:lpstr>
      <vt:lpstr>v_16_GNO</vt:lpstr>
      <vt:lpstr>v_16_GNO_atm</vt:lpstr>
      <vt:lpstr>v_16_GO2</vt:lpstr>
      <vt:lpstr>v_16_GO2_atm</vt:lpstr>
      <vt:lpstr>v_16_H</vt:lpstr>
      <vt:lpstr>v_16_SALPHA</vt:lpstr>
      <vt:lpstr>v_16_SAN</vt:lpstr>
      <vt:lpstr>v_16_SB</vt:lpstr>
      <vt:lpstr>v_16_SCa</vt:lpstr>
      <vt:lpstr>v_16_SCAT</vt:lpstr>
      <vt:lpstr>v_16_SCH4</vt:lpstr>
      <vt:lpstr>v_16_SCO2</vt:lpstr>
      <vt:lpstr>v_16_SFe2</vt:lpstr>
      <vt:lpstr>v_16_SH2</vt:lpstr>
      <vt:lpstr>v_16_SH2S</vt:lpstr>
      <vt:lpstr>v_16_SK</vt:lpstr>
      <vt:lpstr>v_16_SMEOL</vt:lpstr>
      <vt:lpstr>v_16_SMg</vt:lpstr>
      <vt:lpstr>v_16_SMM_index</vt:lpstr>
      <vt:lpstr>v_16_SN_B</vt:lpstr>
      <vt:lpstr>v_16_SN2</vt:lpstr>
      <vt:lpstr>v_16_SN2O</vt:lpstr>
      <vt:lpstr>v_16_SNH2OH</vt:lpstr>
      <vt:lpstr>v_16_SNHx</vt:lpstr>
      <vt:lpstr>v_16_SNO_AOB</vt:lpstr>
      <vt:lpstr>v_16_SNO_OHO</vt:lpstr>
      <vt:lpstr>v_16_SNO2</vt:lpstr>
      <vt:lpstr>v_16_SNO3</vt:lpstr>
      <vt:lpstr>v_16_SO2</vt:lpstr>
      <vt:lpstr>v_16_SP_B</vt:lpstr>
      <vt:lpstr>v_16_SPO4</vt:lpstr>
      <vt:lpstr>v_16_SSO4</vt:lpstr>
      <vt:lpstr>v_16_SU</vt:lpstr>
      <vt:lpstr>v_16_SVFA</vt:lpstr>
      <vt:lpstr>v_16_XACP</vt:lpstr>
      <vt:lpstr>v_16_XAMETO</vt:lpstr>
      <vt:lpstr>v_16_XAMX</vt:lpstr>
      <vt:lpstr>v_16_XAOB</vt:lpstr>
      <vt:lpstr>v_16_XASRO</vt:lpstr>
      <vt:lpstr>v_16_XB</vt:lpstr>
      <vt:lpstr>v_16_XBSH</vt:lpstr>
      <vt:lpstr>v_16_XCaCO3</vt:lpstr>
      <vt:lpstr>v_16_XCASTO</vt:lpstr>
      <vt:lpstr>v_16_XE</vt:lpstr>
      <vt:lpstr>v_16_XE_ana</vt:lpstr>
      <vt:lpstr>v_16_XFeS</vt:lpstr>
      <vt:lpstr>v_16_XGLY</vt:lpstr>
      <vt:lpstr>v_16_XHAO_H</vt:lpstr>
      <vt:lpstr>v_16_XHAO_H_P</vt:lpstr>
      <vt:lpstr>v_16_XHAO_H_P_old</vt:lpstr>
      <vt:lpstr>v_16_XHAO_L</vt:lpstr>
      <vt:lpstr>v_16_XHAO_L_P</vt:lpstr>
      <vt:lpstr>v_16_XHAO_L_P_old</vt:lpstr>
      <vt:lpstr>v_16_XHAO_old</vt:lpstr>
      <vt:lpstr>v_16_XHFO_H</vt:lpstr>
      <vt:lpstr>v_16_XHFO_H_P</vt:lpstr>
      <vt:lpstr>v_16_XHFO_H_P_old</vt:lpstr>
      <vt:lpstr>v_16_XHFO_L</vt:lpstr>
      <vt:lpstr>v_16_XHFO_L_P</vt:lpstr>
      <vt:lpstr>v_16_XHFO_L_P_old</vt:lpstr>
      <vt:lpstr>v_16_XHFO_old</vt:lpstr>
      <vt:lpstr>v_16_XHMETO</vt:lpstr>
      <vt:lpstr>v_16_XHSRO</vt:lpstr>
      <vt:lpstr>v_16_XINORG</vt:lpstr>
      <vt:lpstr>v_16_XMEOLO</vt:lpstr>
      <vt:lpstr>v_16_XMOB</vt:lpstr>
      <vt:lpstr>v_16_XN_B</vt:lpstr>
      <vt:lpstr>v_16_XN_U</vt:lpstr>
      <vt:lpstr>v_16_XNOB</vt:lpstr>
      <vt:lpstr>v_16_XOHO</vt:lpstr>
      <vt:lpstr>v_16_XP_B</vt:lpstr>
      <vt:lpstr>v_16_XP_U</vt:lpstr>
      <vt:lpstr>v_16_XPHA</vt:lpstr>
      <vt:lpstr>v_16_XPP</vt:lpstr>
      <vt:lpstr>v_16_XS</vt:lpstr>
      <vt:lpstr>v_16_XSOO</vt:lpstr>
      <vt:lpstr>v_16_XSTR</vt:lpstr>
      <vt:lpstr>v_16_XU</vt:lpstr>
      <vt:lpstr>v_16_XVivi</vt:lpstr>
      <vt:lpstr>v_17_CB</vt:lpstr>
      <vt:lpstr>v_17_CU</vt:lpstr>
      <vt:lpstr>v_17_GCH4</vt:lpstr>
      <vt:lpstr>v_17_GCH4_atm</vt:lpstr>
      <vt:lpstr>v_17_GCO2</vt:lpstr>
      <vt:lpstr>v_17_GCO2_atm</vt:lpstr>
      <vt:lpstr>v_17_GH2</vt:lpstr>
      <vt:lpstr>v_17_GH2_atm</vt:lpstr>
      <vt:lpstr>v_17_GH2S</vt:lpstr>
      <vt:lpstr>v_17_GH2S_atm</vt:lpstr>
      <vt:lpstr>v_17_GN2</vt:lpstr>
      <vt:lpstr>v_17_GN2_atm</vt:lpstr>
      <vt:lpstr>v_17_GN2O</vt:lpstr>
      <vt:lpstr>v_17_GN2O_atm</vt:lpstr>
      <vt:lpstr>v_17_GNH3</vt:lpstr>
      <vt:lpstr>v_17_GNH3_atm</vt:lpstr>
      <vt:lpstr>v_17_GNO</vt:lpstr>
      <vt:lpstr>v_17_GNO_atm</vt:lpstr>
      <vt:lpstr>v_17_GO2</vt:lpstr>
      <vt:lpstr>v_17_GO2_atm</vt:lpstr>
      <vt:lpstr>v_17_H</vt:lpstr>
      <vt:lpstr>v_17_SALPHA</vt:lpstr>
      <vt:lpstr>v_17_SAN</vt:lpstr>
      <vt:lpstr>v_17_SB</vt:lpstr>
      <vt:lpstr>v_17_SCa</vt:lpstr>
      <vt:lpstr>v_17_SCAT</vt:lpstr>
      <vt:lpstr>v_17_SCH4</vt:lpstr>
      <vt:lpstr>v_17_SCO2</vt:lpstr>
      <vt:lpstr>v_17_SFe2</vt:lpstr>
      <vt:lpstr>v_17_SH2</vt:lpstr>
      <vt:lpstr>v_17_SH2S</vt:lpstr>
      <vt:lpstr>v_17_SK</vt:lpstr>
      <vt:lpstr>v_17_SMEOL</vt:lpstr>
      <vt:lpstr>v_17_SMg</vt:lpstr>
      <vt:lpstr>v_17_SMM_index</vt:lpstr>
      <vt:lpstr>v_17_SN_B</vt:lpstr>
      <vt:lpstr>v_17_SN2</vt:lpstr>
      <vt:lpstr>v_17_SN2O</vt:lpstr>
      <vt:lpstr>v_17_SNH2OH</vt:lpstr>
      <vt:lpstr>v_17_SNHx</vt:lpstr>
      <vt:lpstr>v_17_SNO_AOB</vt:lpstr>
      <vt:lpstr>v_17_SNO_OHO</vt:lpstr>
      <vt:lpstr>v_17_SNO2</vt:lpstr>
      <vt:lpstr>v_17_SNO3</vt:lpstr>
      <vt:lpstr>v_17_SO2</vt:lpstr>
      <vt:lpstr>v_17_SP_B</vt:lpstr>
      <vt:lpstr>v_17_SPO4</vt:lpstr>
      <vt:lpstr>v_17_SSO4</vt:lpstr>
      <vt:lpstr>v_17_SU</vt:lpstr>
      <vt:lpstr>v_17_SVFA</vt:lpstr>
      <vt:lpstr>v_17_XACP</vt:lpstr>
      <vt:lpstr>v_17_XAMETO</vt:lpstr>
      <vt:lpstr>v_17_XAMX</vt:lpstr>
      <vt:lpstr>v_17_XAOB</vt:lpstr>
      <vt:lpstr>v_17_XASRO</vt:lpstr>
      <vt:lpstr>v_17_XB</vt:lpstr>
      <vt:lpstr>v_17_XBSH</vt:lpstr>
      <vt:lpstr>v_17_XCaCO3</vt:lpstr>
      <vt:lpstr>v_17_XCASTO</vt:lpstr>
      <vt:lpstr>v_17_XE</vt:lpstr>
      <vt:lpstr>v_17_XE_ana</vt:lpstr>
      <vt:lpstr>v_17_XFeS</vt:lpstr>
      <vt:lpstr>v_17_XGLY</vt:lpstr>
      <vt:lpstr>v_17_XHAO_H</vt:lpstr>
      <vt:lpstr>v_17_XHAO_H_P</vt:lpstr>
      <vt:lpstr>v_17_XHAO_H_P_old</vt:lpstr>
      <vt:lpstr>v_17_XHAO_L</vt:lpstr>
      <vt:lpstr>v_17_XHAO_L_P</vt:lpstr>
      <vt:lpstr>v_17_XHAO_L_P_old</vt:lpstr>
      <vt:lpstr>v_17_XHAO_old</vt:lpstr>
      <vt:lpstr>v_17_XHFO_H</vt:lpstr>
      <vt:lpstr>v_17_XHFO_H_P</vt:lpstr>
      <vt:lpstr>v_17_XHFO_H_P_old</vt:lpstr>
      <vt:lpstr>v_17_XHFO_L</vt:lpstr>
      <vt:lpstr>v_17_XHFO_L_P</vt:lpstr>
      <vt:lpstr>v_17_XHFO_L_P_old</vt:lpstr>
      <vt:lpstr>v_17_XHFO_old</vt:lpstr>
      <vt:lpstr>v_17_XHMETO</vt:lpstr>
      <vt:lpstr>v_17_XHSRO</vt:lpstr>
      <vt:lpstr>v_17_XINORG</vt:lpstr>
      <vt:lpstr>v_17_XMEOLO</vt:lpstr>
      <vt:lpstr>v_17_XMOB</vt:lpstr>
      <vt:lpstr>v_17_XN_B</vt:lpstr>
      <vt:lpstr>v_17_XN_U</vt:lpstr>
      <vt:lpstr>v_17_XNOB</vt:lpstr>
      <vt:lpstr>v_17_XOHO</vt:lpstr>
      <vt:lpstr>v_17_XP_B</vt:lpstr>
      <vt:lpstr>v_17_XP_U</vt:lpstr>
      <vt:lpstr>v_17_XPHA</vt:lpstr>
      <vt:lpstr>v_17_XPP</vt:lpstr>
      <vt:lpstr>v_17_XS</vt:lpstr>
      <vt:lpstr>v_17_XSOO</vt:lpstr>
      <vt:lpstr>v_17_XSTR</vt:lpstr>
      <vt:lpstr>v_17_XU</vt:lpstr>
      <vt:lpstr>v_17_XVivi</vt:lpstr>
      <vt:lpstr>v_18_CB</vt:lpstr>
      <vt:lpstr>v_18_CU</vt:lpstr>
      <vt:lpstr>v_18_GCH4</vt:lpstr>
      <vt:lpstr>v_18_GCH4_atm</vt:lpstr>
      <vt:lpstr>v_18_GCO2</vt:lpstr>
      <vt:lpstr>v_18_GCO2_atm</vt:lpstr>
      <vt:lpstr>v_18_GH2</vt:lpstr>
      <vt:lpstr>v_18_GH2_atm</vt:lpstr>
      <vt:lpstr>v_18_GH2S</vt:lpstr>
      <vt:lpstr>v_18_GH2S_atm</vt:lpstr>
      <vt:lpstr>v_18_GN2</vt:lpstr>
      <vt:lpstr>v_18_GN2_atm</vt:lpstr>
      <vt:lpstr>v_18_GN2O</vt:lpstr>
      <vt:lpstr>v_18_GN2O_atm</vt:lpstr>
      <vt:lpstr>v_18_GNH3</vt:lpstr>
      <vt:lpstr>v_18_GNH3_atm</vt:lpstr>
      <vt:lpstr>v_18_GNO</vt:lpstr>
      <vt:lpstr>v_18_GNO_atm</vt:lpstr>
      <vt:lpstr>v_18_GO2</vt:lpstr>
      <vt:lpstr>v_18_GO2_atm</vt:lpstr>
      <vt:lpstr>v_18_H</vt:lpstr>
      <vt:lpstr>v_18_SALPHA</vt:lpstr>
      <vt:lpstr>v_18_SAN</vt:lpstr>
      <vt:lpstr>v_18_SB</vt:lpstr>
      <vt:lpstr>v_18_SCa</vt:lpstr>
      <vt:lpstr>v_18_SCAT</vt:lpstr>
      <vt:lpstr>v_18_SCH4</vt:lpstr>
      <vt:lpstr>v_18_SCO2</vt:lpstr>
      <vt:lpstr>v_18_SFe2</vt:lpstr>
      <vt:lpstr>v_18_SH2</vt:lpstr>
      <vt:lpstr>v_18_SH2S</vt:lpstr>
      <vt:lpstr>v_18_SK</vt:lpstr>
      <vt:lpstr>v_18_SMEOL</vt:lpstr>
      <vt:lpstr>v_18_SMg</vt:lpstr>
      <vt:lpstr>v_18_SMM_index</vt:lpstr>
      <vt:lpstr>v_18_SN_B</vt:lpstr>
      <vt:lpstr>v_18_SN2</vt:lpstr>
      <vt:lpstr>v_18_SN2O</vt:lpstr>
      <vt:lpstr>v_18_SNH2OH</vt:lpstr>
      <vt:lpstr>v_18_SNHx</vt:lpstr>
      <vt:lpstr>v_18_SNO_AOB</vt:lpstr>
      <vt:lpstr>v_18_SNO_OHO</vt:lpstr>
      <vt:lpstr>v_18_SNO2</vt:lpstr>
      <vt:lpstr>v_18_SNO3</vt:lpstr>
      <vt:lpstr>v_18_SO2</vt:lpstr>
      <vt:lpstr>v_18_SP_B</vt:lpstr>
      <vt:lpstr>v_18_SPO4</vt:lpstr>
      <vt:lpstr>v_18_SSO4</vt:lpstr>
      <vt:lpstr>v_18_SU</vt:lpstr>
      <vt:lpstr>v_18_SVFA</vt:lpstr>
      <vt:lpstr>v_18_XACP</vt:lpstr>
      <vt:lpstr>v_18_XAMETO</vt:lpstr>
      <vt:lpstr>v_18_XAMX</vt:lpstr>
      <vt:lpstr>v_18_XAOB</vt:lpstr>
      <vt:lpstr>v_18_XASRO</vt:lpstr>
      <vt:lpstr>v_18_XB</vt:lpstr>
      <vt:lpstr>v_18_XBSH</vt:lpstr>
      <vt:lpstr>v_18_XCaCO3</vt:lpstr>
      <vt:lpstr>v_18_XCASTO</vt:lpstr>
      <vt:lpstr>v_18_XE</vt:lpstr>
      <vt:lpstr>v_18_XE_ana</vt:lpstr>
      <vt:lpstr>v_18_XFeS</vt:lpstr>
      <vt:lpstr>v_18_XGLY</vt:lpstr>
      <vt:lpstr>v_18_XHAO_H</vt:lpstr>
      <vt:lpstr>v_18_XHAO_H_P</vt:lpstr>
      <vt:lpstr>v_18_XHAO_H_P_old</vt:lpstr>
      <vt:lpstr>v_18_XHAO_L</vt:lpstr>
      <vt:lpstr>v_18_XHAO_L_P</vt:lpstr>
      <vt:lpstr>v_18_XHAO_L_P_old</vt:lpstr>
      <vt:lpstr>v_18_XHAO_old</vt:lpstr>
      <vt:lpstr>v_18_XHFO_H</vt:lpstr>
      <vt:lpstr>v_18_XHFO_H_P</vt:lpstr>
      <vt:lpstr>v_18_XHFO_H_P_old</vt:lpstr>
      <vt:lpstr>v_18_XHFO_L</vt:lpstr>
      <vt:lpstr>v_18_XHFO_L_P</vt:lpstr>
      <vt:lpstr>v_18_XHFO_L_P_old</vt:lpstr>
      <vt:lpstr>v_18_XHFO_old</vt:lpstr>
      <vt:lpstr>v_18_XHMETO</vt:lpstr>
      <vt:lpstr>v_18_XHSRO</vt:lpstr>
      <vt:lpstr>v_18_XINORG</vt:lpstr>
      <vt:lpstr>v_18_XMEOLO</vt:lpstr>
      <vt:lpstr>v_18_XMOB</vt:lpstr>
      <vt:lpstr>v_18_XN_B</vt:lpstr>
      <vt:lpstr>v_18_XN_U</vt:lpstr>
      <vt:lpstr>v_18_XNOB</vt:lpstr>
      <vt:lpstr>v_18_XOHO</vt:lpstr>
      <vt:lpstr>v_18_XP_B</vt:lpstr>
      <vt:lpstr>v_18_XP_U</vt:lpstr>
      <vt:lpstr>v_18_XPHA</vt:lpstr>
      <vt:lpstr>v_18_XPP</vt:lpstr>
      <vt:lpstr>v_18_XS</vt:lpstr>
      <vt:lpstr>v_18_XSOO</vt:lpstr>
      <vt:lpstr>v_18_XSTR</vt:lpstr>
      <vt:lpstr>v_18_XU</vt:lpstr>
      <vt:lpstr>v_18_XVivi</vt:lpstr>
      <vt:lpstr>v_19_CB</vt:lpstr>
      <vt:lpstr>v_19_CU</vt:lpstr>
      <vt:lpstr>v_19_GCH4</vt:lpstr>
      <vt:lpstr>v_19_GCH4_atm</vt:lpstr>
      <vt:lpstr>v_19_GCO2</vt:lpstr>
      <vt:lpstr>v_19_GCO2_atm</vt:lpstr>
      <vt:lpstr>v_19_GH2</vt:lpstr>
      <vt:lpstr>v_19_GH2_atm</vt:lpstr>
      <vt:lpstr>v_19_GH2S</vt:lpstr>
      <vt:lpstr>v_19_GH2S_atm</vt:lpstr>
      <vt:lpstr>v_19_GN2</vt:lpstr>
      <vt:lpstr>v_19_GN2_atm</vt:lpstr>
      <vt:lpstr>v_19_GN2O</vt:lpstr>
      <vt:lpstr>v_19_GN2O_atm</vt:lpstr>
      <vt:lpstr>v_19_GNH3</vt:lpstr>
      <vt:lpstr>v_19_GNH3_atm</vt:lpstr>
      <vt:lpstr>v_19_GNO</vt:lpstr>
      <vt:lpstr>v_19_GNO_atm</vt:lpstr>
      <vt:lpstr>v_19_GO2</vt:lpstr>
      <vt:lpstr>v_19_GO2_atm</vt:lpstr>
      <vt:lpstr>v_19_H</vt:lpstr>
      <vt:lpstr>v_19_SALPHA</vt:lpstr>
      <vt:lpstr>v_19_SAN</vt:lpstr>
      <vt:lpstr>v_19_SB</vt:lpstr>
      <vt:lpstr>v_19_SCa</vt:lpstr>
      <vt:lpstr>v_19_SCAT</vt:lpstr>
      <vt:lpstr>v_19_SCH4</vt:lpstr>
      <vt:lpstr>v_19_SCO2</vt:lpstr>
      <vt:lpstr>v_19_SFe2</vt:lpstr>
      <vt:lpstr>v_19_SH2</vt:lpstr>
      <vt:lpstr>v_19_SH2S</vt:lpstr>
      <vt:lpstr>v_19_SK</vt:lpstr>
      <vt:lpstr>v_19_SMEOL</vt:lpstr>
      <vt:lpstr>v_19_SMg</vt:lpstr>
      <vt:lpstr>v_19_SMM_index</vt:lpstr>
      <vt:lpstr>v_19_SN_B</vt:lpstr>
      <vt:lpstr>v_19_SN2</vt:lpstr>
      <vt:lpstr>v_19_SN2O</vt:lpstr>
      <vt:lpstr>v_19_SNH2OH</vt:lpstr>
      <vt:lpstr>v_19_SNHx</vt:lpstr>
      <vt:lpstr>v_19_SNO_AOB</vt:lpstr>
      <vt:lpstr>v_19_SNO_OHO</vt:lpstr>
      <vt:lpstr>v_19_SNO2</vt:lpstr>
      <vt:lpstr>v_19_SNO3</vt:lpstr>
      <vt:lpstr>v_19_SO2</vt:lpstr>
      <vt:lpstr>v_19_SP_B</vt:lpstr>
      <vt:lpstr>v_19_SPO4</vt:lpstr>
      <vt:lpstr>v_19_SSO4</vt:lpstr>
      <vt:lpstr>v_19_SU</vt:lpstr>
      <vt:lpstr>v_19_SVFA</vt:lpstr>
      <vt:lpstr>v_19_XACP</vt:lpstr>
      <vt:lpstr>v_19_XAMETO</vt:lpstr>
      <vt:lpstr>v_19_XAMX</vt:lpstr>
      <vt:lpstr>v_19_XAOB</vt:lpstr>
      <vt:lpstr>v_19_XASRO</vt:lpstr>
      <vt:lpstr>v_19_XB</vt:lpstr>
      <vt:lpstr>v_19_XBSH</vt:lpstr>
      <vt:lpstr>v_19_XCaCO3</vt:lpstr>
      <vt:lpstr>v_19_XCASTO</vt:lpstr>
      <vt:lpstr>v_19_XE</vt:lpstr>
      <vt:lpstr>v_19_XE_ana</vt:lpstr>
      <vt:lpstr>v_19_XFeS</vt:lpstr>
      <vt:lpstr>v_19_XGLY</vt:lpstr>
      <vt:lpstr>v_19_XHAO_H</vt:lpstr>
      <vt:lpstr>v_19_XHAO_H_P</vt:lpstr>
      <vt:lpstr>v_19_XHAO_H_P_old</vt:lpstr>
      <vt:lpstr>v_19_XHAO_L</vt:lpstr>
      <vt:lpstr>v_19_XHAO_L_P</vt:lpstr>
      <vt:lpstr>v_19_XHAO_L_P_old</vt:lpstr>
      <vt:lpstr>v_19_XHAO_old</vt:lpstr>
      <vt:lpstr>v_19_XHFO_H</vt:lpstr>
      <vt:lpstr>v_19_XHFO_H_P</vt:lpstr>
      <vt:lpstr>v_19_XHFO_H_P_old</vt:lpstr>
      <vt:lpstr>v_19_XHFO_L</vt:lpstr>
      <vt:lpstr>v_19_XHFO_L_P</vt:lpstr>
      <vt:lpstr>v_19_XHFO_L_P_old</vt:lpstr>
      <vt:lpstr>v_19_XHFO_old</vt:lpstr>
      <vt:lpstr>v_19_XHMETO</vt:lpstr>
      <vt:lpstr>v_19_XHSRO</vt:lpstr>
      <vt:lpstr>v_19_XINORG</vt:lpstr>
      <vt:lpstr>v_19_XMEOLO</vt:lpstr>
      <vt:lpstr>v_19_XMOB</vt:lpstr>
      <vt:lpstr>v_19_XN_B</vt:lpstr>
      <vt:lpstr>v_19_XN_U</vt:lpstr>
      <vt:lpstr>v_19_XNOB</vt:lpstr>
      <vt:lpstr>v_19_XOHO</vt:lpstr>
      <vt:lpstr>v_19_XP_B</vt:lpstr>
      <vt:lpstr>v_19_XP_U</vt:lpstr>
      <vt:lpstr>v_19_XPHA</vt:lpstr>
      <vt:lpstr>v_19_XPP</vt:lpstr>
      <vt:lpstr>v_19_XS</vt:lpstr>
      <vt:lpstr>v_19_XSOO</vt:lpstr>
      <vt:lpstr>v_19_XSTR</vt:lpstr>
      <vt:lpstr>v_19_XU</vt:lpstr>
      <vt:lpstr>v_19_XVivi</vt:lpstr>
      <vt:lpstr>v_2_CB</vt:lpstr>
      <vt:lpstr>v_2_CU</vt:lpstr>
      <vt:lpstr>v_2_GCH4</vt:lpstr>
      <vt:lpstr>v_2_GCH4_atm</vt:lpstr>
      <vt:lpstr>v_2_GCO2</vt:lpstr>
      <vt:lpstr>v_2_GCO2_atm</vt:lpstr>
      <vt:lpstr>v_2_GH2</vt:lpstr>
      <vt:lpstr>v_2_GH2_atm</vt:lpstr>
      <vt:lpstr>v_2_GH2S</vt:lpstr>
      <vt:lpstr>v_2_GH2S_atm</vt:lpstr>
      <vt:lpstr>v_2_GN2</vt:lpstr>
      <vt:lpstr>v_2_GN2_atm</vt:lpstr>
      <vt:lpstr>v_2_GN2O</vt:lpstr>
      <vt:lpstr>v_2_GN2O_atm</vt:lpstr>
      <vt:lpstr>v_2_GNH3</vt:lpstr>
      <vt:lpstr>v_2_GNH3_atm</vt:lpstr>
      <vt:lpstr>v_2_GNO</vt:lpstr>
      <vt:lpstr>v_2_GNO_atm</vt:lpstr>
      <vt:lpstr>v_2_GO2</vt:lpstr>
      <vt:lpstr>v_2_GO2_atm</vt:lpstr>
      <vt:lpstr>v_2_H</vt:lpstr>
      <vt:lpstr>v_2_SALPHA</vt:lpstr>
      <vt:lpstr>v_2_SAN</vt:lpstr>
      <vt:lpstr>v_2_SB</vt:lpstr>
      <vt:lpstr>v_2_SCa</vt:lpstr>
      <vt:lpstr>v_2_SCAT</vt:lpstr>
      <vt:lpstr>v_2_SCH4</vt:lpstr>
      <vt:lpstr>v_2_SCO2</vt:lpstr>
      <vt:lpstr>v_2_SFe2</vt:lpstr>
      <vt:lpstr>v_2_SH2</vt:lpstr>
      <vt:lpstr>v_2_SH2S</vt:lpstr>
      <vt:lpstr>v_2_SK</vt:lpstr>
      <vt:lpstr>v_2_SMEOL</vt:lpstr>
      <vt:lpstr>v_2_SMg</vt:lpstr>
      <vt:lpstr>v_2_SMM_index</vt:lpstr>
      <vt:lpstr>v_2_SN_B</vt:lpstr>
      <vt:lpstr>v_2_SN2</vt:lpstr>
      <vt:lpstr>v_2_SN2O</vt:lpstr>
      <vt:lpstr>v_2_SNH2OH</vt:lpstr>
      <vt:lpstr>v_2_SNHx</vt:lpstr>
      <vt:lpstr>v_2_SNO_AOB</vt:lpstr>
      <vt:lpstr>v_2_SNO_OHO</vt:lpstr>
      <vt:lpstr>v_2_SNO2</vt:lpstr>
      <vt:lpstr>v_2_SNO3</vt:lpstr>
      <vt:lpstr>v_2_SO2</vt:lpstr>
      <vt:lpstr>v_2_SP_B</vt:lpstr>
      <vt:lpstr>v_2_SPO4</vt:lpstr>
      <vt:lpstr>v_2_SSO4</vt:lpstr>
      <vt:lpstr>v_2_SU</vt:lpstr>
      <vt:lpstr>v_2_SVFA</vt:lpstr>
      <vt:lpstr>v_2_XACP</vt:lpstr>
      <vt:lpstr>v_2_XAMETO</vt:lpstr>
      <vt:lpstr>v_2_XAMX</vt:lpstr>
      <vt:lpstr>v_2_XAOB</vt:lpstr>
      <vt:lpstr>v_2_XASRO</vt:lpstr>
      <vt:lpstr>v_2_XB</vt:lpstr>
      <vt:lpstr>v_2_XBSH</vt:lpstr>
      <vt:lpstr>v_2_XCaCO3</vt:lpstr>
      <vt:lpstr>v_2_XCASTO</vt:lpstr>
      <vt:lpstr>v_2_XE</vt:lpstr>
      <vt:lpstr>v_2_XE_ana</vt:lpstr>
      <vt:lpstr>v_2_XFeS</vt:lpstr>
      <vt:lpstr>v_2_XGLY</vt:lpstr>
      <vt:lpstr>v_2_XHAO_H</vt:lpstr>
      <vt:lpstr>v_2_XHAO_H_P</vt:lpstr>
      <vt:lpstr>v_2_XHAO_H_P_old</vt:lpstr>
      <vt:lpstr>v_2_XHAO_L</vt:lpstr>
      <vt:lpstr>v_2_XHAO_L_P</vt:lpstr>
      <vt:lpstr>v_2_XHAO_L_P_old</vt:lpstr>
      <vt:lpstr>v_2_XHAO_old</vt:lpstr>
      <vt:lpstr>v_2_XHFO_H</vt:lpstr>
      <vt:lpstr>v_2_XHFO_H_P</vt:lpstr>
      <vt:lpstr>v_2_XHFO_H_P_old</vt:lpstr>
      <vt:lpstr>v_2_XHFO_L</vt:lpstr>
      <vt:lpstr>v_2_XHFO_L_P</vt:lpstr>
      <vt:lpstr>v_2_XHFO_L_P_old</vt:lpstr>
      <vt:lpstr>v_2_XHFO_old</vt:lpstr>
      <vt:lpstr>v_2_XHMETO</vt:lpstr>
      <vt:lpstr>v_2_XHSRO</vt:lpstr>
      <vt:lpstr>v_2_XINORG</vt:lpstr>
      <vt:lpstr>v_2_XMEOLO</vt:lpstr>
      <vt:lpstr>v_2_XMOB</vt:lpstr>
      <vt:lpstr>v_2_XN_B</vt:lpstr>
      <vt:lpstr>v_2_XN_U</vt:lpstr>
      <vt:lpstr>v_2_XNOB</vt:lpstr>
      <vt:lpstr>v_2_XOHO</vt:lpstr>
      <vt:lpstr>v_2_XP_B</vt:lpstr>
      <vt:lpstr>v_2_XP_U</vt:lpstr>
      <vt:lpstr>v_2_XPHA</vt:lpstr>
      <vt:lpstr>v_2_XPP</vt:lpstr>
      <vt:lpstr>v_2_XS</vt:lpstr>
      <vt:lpstr>v_2_XSOO</vt:lpstr>
      <vt:lpstr>v_2_XSTR</vt:lpstr>
      <vt:lpstr>v_2_XU</vt:lpstr>
      <vt:lpstr>v_2_XVivi</vt:lpstr>
      <vt:lpstr>v_20_CB</vt:lpstr>
      <vt:lpstr>v_20_CU</vt:lpstr>
      <vt:lpstr>v_20_GCH4</vt:lpstr>
      <vt:lpstr>v_20_GCH4_atm</vt:lpstr>
      <vt:lpstr>v_20_GCO2</vt:lpstr>
      <vt:lpstr>v_20_GCO2_atm</vt:lpstr>
      <vt:lpstr>v_20_GH2</vt:lpstr>
      <vt:lpstr>v_20_GH2_atm</vt:lpstr>
      <vt:lpstr>v_20_GH2S</vt:lpstr>
      <vt:lpstr>v_20_GH2S_atm</vt:lpstr>
      <vt:lpstr>v_20_GN2</vt:lpstr>
      <vt:lpstr>v_20_GN2_atm</vt:lpstr>
      <vt:lpstr>v_20_GN2O</vt:lpstr>
      <vt:lpstr>v_20_GN2O_atm</vt:lpstr>
      <vt:lpstr>v_20_GNH3</vt:lpstr>
      <vt:lpstr>v_20_GNH3_atm</vt:lpstr>
      <vt:lpstr>v_20_GNO</vt:lpstr>
      <vt:lpstr>v_20_GNO_atm</vt:lpstr>
      <vt:lpstr>v_20_GO2</vt:lpstr>
      <vt:lpstr>v_20_GO2_atm</vt:lpstr>
      <vt:lpstr>v_20_H</vt:lpstr>
      <vt:lpstr>v_20_SALPHA</vt:lpstr>
      <vt:lpstr>v_20_SAN</vt:lpstr>
      <vt:lpstr>v_20_SB</vt:lpstr>
      <vt:lpstr>v_20_SCa</vt:lpstr>
      <vt:lpstr>v_20_SCAT</vt:lpstr>
      <vt:lpstr>v_20_SCH4</vt:lpstr>
      <vt:lpstr>v_20_SCO2</vt:lpstr>
      <vt:lpstr>v_20_SFe2</vt:lpstr>
      <vt:lpstr>v_20_SH2</vt:lpstr>
      <vt:lpstr>v_20_SH2S</vt:lpstr>
      <vt:lpstr>v_20_SK</vt:lpstr>
      <vt:lpstr>v_20_SMEOL</vt:lpstr>
      <vt:lpstr>v_20_SMg</vt:lpstr>
      <vt:lpstr>v_20_SMM_index</vt:lpstr>
      <vt:lpstr>v_20_SN_B</vt:lpstr>
      <vt:lpstr>v_20_SN2</vt:lpstr>
      <vt:lpstr>v_20_SN2O</vt:lpstr>
      <vt:lpstr>v_20_SNH2OH</vt:lpstr>
      <vt:lpstr>v_20_SNHx</vt:lpstr>
      <vt:lpstr>v_20_SNO_AOB</vt:lpstr>
      <vt:lpstr>v_20_SNO_OHO</vt:lpstr>
      <vt:lpstr>v_20_SNO2</vt:lpstr>
      <vt:lpstr>v_20_SNO3</vt:lpstr>
      <vt:lpstr>v_20_SO2</vt:lpstr>
      <vt:lpstr>v_20_SP_B</vt:lpstr>
      <vt:lpstr>v_20_SPO4</vt:lpstr>
      <vt:lpstr>v_20_SSO4</vt:lpstr>
      <vt:lpstr>v_20_SU</vt:lpstr>
      <vt:lpstr>v_20_SVFA</vt:lpstr>
      <vt:lpstr>v_20_XACP</vt:lpstr>
      <vt:lpstr>v_20_XAMETO</vt:lpstr>
      <vt:lpstr>v_20_XAMX</vt:lpstr>
      <vt:lpstr>v_20_XAOB</vt:lpstr>
      <vt:lpstr>v_20_XASRO</vt:lpstr>
      <vt:lpstr>v_20_XB</vt:lpstr>
      <vt:lpstr>v_20_XBSH</vt:lpstr>
      <vt:lpstr>v_20_XCaCO3</vt:lpstr>
      <vt:lpstr>v_20_XCASTO</vt:lpstr>
      <vt:lpstr>v_20_XE</vt:lpstr>
      <vt:lpstr>v_20_XE_ana</vt:lpstr>
      <vt:lpstr>v_20_XFeS</vt:lpstr>
      <vt:lpstr>v_20_XGLY</vt:lpstr>
      <vt:lpstr>v_20_XHAO_H</vt:lpstr>
      <vt:lpstr>v_20_XHAO_H_P</vt:lpstr>
      <vt:lpstr>v_20_XHAO_H_P_old</vt:lpstr>
      <vt:lpstr>v_20_XHAO_L</vt:lpstr>
      <vt:lpstr>v_20_XHAO_L_P</vt:lpstr>
      <vt:lpstr>v_20_XHAO_L_P_old</vt:lpstr>
      <vt:lpstr>v_20_XHAO_old</vt:lpstr>
      <vt:lpstr>v_20_XHFO_H</vt:lpstr>
      <vt:lpstr>v_20_XHFO_H_P</vt:lpstr>
      <vt:lpstr>v_20_XHFO_H_P_old</vt:lpstr>
      <vt:lpstr>v_20_XHFO_L</vt:lpstr>
      <vt:lpstr>v_20_XHFO_L_P</vt:lpstr>
      <vt:lpstr>v_20_XHFO_L_P_old</vt:lpstr>
      <vt:lpstr>v_20_XHFO_old</vt:lpstr>
      <vt:lpstr>v_20_XHMETO</vt:lpstr>
      <vt:lpstr>v_20_XHSRO</vt:lpstr>
      <vt:lpstr>v_20_XINORG</vt:lpstr>
      <vt:lpstr>v_20_XMEOLO</vt:lpstr>
      <vt:lpstr>v_20_XMOB</vt:lpstr>
      <vt:lpstr>v_20_XN_B</vt:lpstr>
      <vt:lpstr>v_20_XN_U</vt:lpstr>
      <vt:lpstr>v_20_XNOB</vt:lpstr>
      <vt:lpstr>v_20_XOHO</vt:lpstr>
      <vt:lpstr>v_20_XP_B</vt:lpstr>
      <vt:lpstr>v_20_XP_U</vt:lpstr>
      <vt:lpstr>v_20_XPHA</vt:lpstr>
      <vt:lpstr>v_20_XPP</vt:lpstr>
      <vt:lpstr>v_20_XS</vt:lpstr>
      <vt:lpstr>v_20_XSOO</vt:lpstr>
      <vt:lpstr>v_20_XSTR</vt:lpstr>
      <vt:lpstr>v_20_XU</vt:lpstr>
      <vt:lpstr>v_20_XVivi</vt:lpstr>
      <vt:lpstr>v_21_CB</vt:lpstr>
      <vt:lpstr>v_21_CU</vt:lpstr>
      <vt:lpstr>v_21_GCH4</vt:lpstr>
      <vt:lpstr>v_21_GCH4_atm</vt:lpstr>
      <vt:lpstr>v_21_GCO2</vt:lpstr>
      <vt:lpstr>v_21_GCO2_atm</vt:lpstr>
      <vt:lpstr>v_21_GH2</vt:lpstr>
      <vt:lpstr>v_21_GH2_atm</vt:lpstr>
      <vt:lpstr>v_21_GH2S</vt:lpstr>
      <vt:lpstr>v_21_GH2S_atm</vt:lpstr>
      <vt:lpstr>v_21_GN2</vt:lpstr>
      <vt:lpstr>v_21_GN2_atm</vt:lpstr>
      <vt:lpstr>v_21_GN2O</vt:lpstr>
      <vt:lpstr>v_21_GN2O_atm</vt:lpstr>
      <vt:lpstr>v_21_GNH3</vt:lpstr>
      <vt:lpstr>v_21_GNH3_atm</vt:lpstr>
      <vt:lpstr>v_21_GNO</vt:lpstr>
      <vt:lpstr>v_21_GNO_atm</vt:lpstr>
      <vt:lpstr>v_21_GO2</vt:lpstr>
      <vt:lpstr>v_21_GO2_atm</vt:lpstr>
      <vt:lpstr>v_21_H</vt:lpstr>
      <vt:lpstr>v_21_SALPHA</vt:lpstr>
      <vt:lpstr>v_21_SAN</vt:lpstr>
      <vt:lpstr>v_21_SB</vt:lpstr>
      <vt:lpstr>v_21_SCa</vt:lpstr>
      <vt:lpstr>v_21_SCAT</vt:lpstr>
      <vt:lpstr>v_21_SCH4</vt:lpstr>
      <vt:lpstr>v_21_SCO2</vt:lpstr>
      <vt:lpstr>v_21_SFe2</vt:lpstr>
      <vt:lpstr>v_21_SH2</vt:lpstr>
      <vt:lpstr>v_21_SH2S</vt:lpstr>
      <vt:lpstr>v_21_SK</vt:lpstr>
      <vt:lpstr>v_21_SMEOL</vt:lpstr>
      <vt:lpstr>v_21_SMg</vt:lpstr>
      <vt:lpstr>v_21_SMM_index</vt:lpstr>
      <vt:lpstr>v_21_SN_B</vt:lpstr>
      <vt:lpstr>v_21_SN2</vt:lpstr>
      <vt:lpstr>v_21_SN2O</vt:lpstr>
      <vt:lpstr>v_21_SNH2OH</vt:lpstr>
      <vt:lpstr>v_21_SNHx</vt:lpstr>
      <vt:lpstr>v_21_SNO_AOB</vt:lpstr>
      <vt:lpstr>v_21_SNO_OHO</vt:lpstr>
      <vt:lpstr>v_21_SNO2</vt:lpstr>
      <vt:lpstr>v_21_SNO3</vt:lpstr>
      <vt:lpstr>v_21_SO2</vt:lpstr>
      <vt:lpstr>v_21_SP_B</vt:lpstr>
      <vt:lpstr>v_21_SPO4</vt:lpstr>
      <vt:lpstr>v_21_SSO4</vt:lpstr>
      <vt:lpstr>v_21_SU</vt:lpstr>
      <vt:lpstr>v_21_SVFA</vt:lpstr>
      <vt:lpstr>v_21_XACP</vt:lpstr>
      <vt:lpstr>v_21_XAMETO</vt:lpstr>
      <vt:lpstr>v_21_XAMX</vt:lpstr>
      <vt:lpstr>v_21_XAOB</vt:lpstr>
      <vt:lpstr>v_21_XASRO</vt:lpstr>
      <vt:lpstr>v_21_XB</vt:lpstr>
      <vt:lpstr>v_21_XBSH</vt:lpstr>
      <vt:lpstr>v_21_XCaCO3</vt:lpstr>
      <vt:lpstr>v_21_XCASTO</vt:lpstr>
      <vt:lpstr>v_21_XE</vt:lpstr>
      <vt:lpstr>v_21_XE_ana</vt:lpstr>
      <vt:lpstr>v_21_XFeS</vt:lpstr>
      <vt:lpstr>v_21_XGLY</vt:lpstr>
      <vt:lpstr>v_21_XHAO_H</vt:lpstr>
      <vt:lpstr>v_21_XHAO_H_P</vt:lpstr>
      <vt:lpstr>v_21_XHAO_H_P_old</vt:lpstr>
      <vt:lpstr>v_21_XHAO_L</vt:lpstr>
      <vt:lpstr>v_21_XHAO_L_P</vt:lpstr>
      <vt:lpstr>v_21_XHAO_L_P_old</vt:lpstr>
      <vt:lpstr>v_21_XHAO_old</vt:lpstr>
      <vt:lpstr>v_21_XHFO_H</vt:lpstr>
      <vt:lpstr>v_21_XHFO_H_P</vt:lpstr>
      <vt:lpstr>v_21_XHFO_H_P_old</vt:lpstr>
      <vt:lpstr>v_21_XHFO_L</vt:lpstr>
      <vt:lpstr>v_21_XHFO_L_P</vt:lpstr>
      <vt:lpstr>v_21_XHFO_L_P_old</vt:lpstr>
      <vt:lpstr>v_21_XHFO_old</vt:lpstr>
      <vt:lpstr>v_21_XHMETO</vt:lpstr>
      <vt:lpstr>v_21_XHSRO</vt:lpstr>
      <vt:lpstr>v_21_XINORG</vt:lpstr>
      <vt:lpstr>v_21_XMEOLO</vt:lpstr>
      <vt:lpstr>v_21_XMOB</vt:lpstr>
      <vt:lpstr>v_21_XN_B</vt:lpstr>
      <vt:lpstr>v_21_XN_U</vt:lpstr>
      <vt:lpstr>v_21_XNOB</vt:lpstr>
      <vt:lpstr>v_21_XOHO</vt:lpstr>
      <vt:lpstr>v_21_XP_B</vt:lpstr>
      <vt:lpstr>v_21_XP_U</vt:lpstr>
      <vt:lpstr>v_21_XPHA</vt:lpstr>
      <vt:lpstr>v_21_XPP</vt:lpstr>
      <vt:lpstr>v_21_XS</vt:lpstr>
      <vt:lpstr>v_21_XSOO</vt:lpstr>
      <vt:lpstr>v_21_XSTR</vt:lpstr>
      <vt:lpstr>v_21_XU</vt:lpstr>
      <vt:lpstr>v_21_XVivi</vt:lpstr>
      <vt:lpstr>v_22_CB</vt:lpstr>
      <vt:lpstr>v_22_CU</vt:lpstr>
      <vt:lpstr>v_22_GCH4</vt:lpstr>
      <vt:lpstr>v_22_GCH4_atm</vt:lpstr>
      <vt:lpstr>v_22_GCO2</vt:lpstr>
      <vt:lpstr>v_22_GCO2_atm</vt:lpstr>
      <vt:lpstr>v_22_GH2</vt:lpstr>
      <vt:lpstr>v_22_GH2_atm</vt:lpstr>
      <vt:lpstr>v_22_GH2S</vt:lpstr>
      <vt:lpstr>v_22_GH2S_atm</vt:lpstr>
      <vt:lpstr>v_22_GN2</vt:lpstr>
      <vt:lpstr>v_22_GN2_atm</vt:lpstr>
      <vt:lpstr>v_22_GN2O</vt:lpstr>
      <vt:lpstr>v_22_GN2O_atm</vt:lpstr>
      <vt:lpstr>v_22_GNH3</vt:lpstr>
      <vt:lpstr>v_22_GNH3_atm</vt:lpstr>
      <vt:lpstr>v_22_GNO</vt:lpstr>
      <vt:lpstr>v_22_GNO_atm</vt:lpstr>
      <vt:lpstr>v_22_GO2</vt:lpstr>
      <vt:lpstr>v_22_GO2_atm</vt:lpstr>
      <vt:lpstr>v_22_H</vt:lpstr>
      <vt:lpstr>v_22_SALPHA</vt:lpstr>
      <vt:lpstr>v_22_SAN</vt:lpstr>
      <vt:lpstr>v_22_SB</vt:lpstr>
      <vt:lpstr>v_22_SCa</vt:lpstr>
      <vt:lpstr>v_22_SCAT</vt:lpstr>
      <vt:lpstr>v_22_SCH4</vt:lpstr>
      <vt:lpstr>v_22_SCO2</vt:lpstr>
      <vt:lpstr>v_22_SFe2</vt:lpstr>
      <vt:lpstr>v_22_SH2</vt:lpstr>
      <vt:lpstr>v_22_SH2S</vt:lpstr>
      <vt:lpstr>v_22_SK</vt:lpstr>
      <vt:lpstr>v_22_SMEOL</vt:lpstr>
      <vt:lpstr>v_22_SMg</vt:lpstr>
      <vt:lpstr>v_22_SMM_index</vt:lpstr>
      <vt:lpstr>v_22_SN_B</vt:lpstr>
      <vt:lpstr>v_22_SN2</vt:lpstr>
      <vt:lpstr>v_22_SN2O</vt:lpstr>
      <vt:lpstr>v_22_SNH2OH</vt:lpstr>
      <vt:lpstr>v_22_SNHx</vt:lpstr>
      <vt:lpstr>v_22_SNO_AOB</vt:lpstr>
      <vt:lpstr>v_22_SNO_OHO</vt:lpstr>
      <vt:lpstr>v_22_SNO2</vt:lpstr>
      <vt:lpstr>v_22_SNO3</vt:lpstr>
      <vt:lpstr>v_22_SO2</vt:lpstr>
      <vt:lpstr>v_22_SP_B</vt:lpstr>
      <vt:lpstr>v_22_SPO4</vt:lpstr>
      <vt:lpstr>v_22_SSO4</vt:lpstr>
      <vt:lpstr>v_22_SU</vt:lpstr>
      <vt:lpstr>v_22_SVFA</vt:lpstr>
      <vt:lpstr>v_22_XACP</vt:lpstr>
      <vt:lpstr>v_22_XAMETO</vt:lpstr>
      <vt:lpstr>v_22_XAMX</vt:lpstr>
      <vt:lpstr>v_22_XAOB</vt:lpstr>
      <vt:lpstr>v_22_XASRO</vt:lpstr>
      <vt:lpstr>v_22_XB</vt:lpstr>
      <vt:lpstr>v_22_XBSH</vt:lpstr>
      <vt:lpstr>v_22_XCaCO3</vt:lpstr>
      <vt:lpstr>v_22_XCASTO</vt:lpstr>
      <vt:lpstr>v_22_XE</vt:lpstr>
      <vt:lpstr>v_22_XE_ana</vt:lpstr>
      <vt:lpstr>v_22_XFeS</vt:lpstr>
      <vt:lpstr>v_22_XGLY</vt:lpstr>
      <vt:lpstr>v_22_XHAO_H</vt:lpstr>
      <vt:lpstr>v_22_XHAO_H_P</vt:lpstr>
      <vt:lpstr>v_22_XHAO_H_P_old</vt:lpstr>
      <vt:lpstr>v_22_XHAO_L</vt:lpstr>
      <vt:lpstr>v_22_XHAO_L_P</vt:lpstr>
      <vt:lpstr>v_22_XHAO_L_P_old</vt:lpstr>
      <vt:lpstr>v_22_XHAO_old</vt:lpstr>
      <vt:lpstr>v_22_XHFO_H</vt:lpstr>
      <vt:lpstr>v_22_XHFO_H_P</vt:lpstr>
      <vt:lpstr>v_22_XHFO_H_P_old</vt:lpstr>
      <vt:lpstr>v_22_XHFO_L</vt:lpstr>
      <vt:lpstr>v_22_XHFO_L_P</vt:lpstr>
      <vt:lpstr>v_22_XHFO_L_P_old</vt:lpstr>
      <vt:lpstr>v_22_XHFO_old</vt:lpstr>
      <vt:lpstr>v_22_XHMETO</vt:lpstr>
      <vt:lpstr>v_22_XHSRO</vt:lpstr>
      <vt:lpstr>v_22_XINORG</vt:lpstr>
      <vt:lpstr>v_22_XMEOLO</vt:lpstr>
      <vt:lpstr>v_22_XMOB</vt:lpstr>
      <vt:lpstr>v_22_XN_B</vt:lpstr>
      <vt:lpstr>v_22_XN_U</vt:lpstr>
      <vt:lpstr>v_22_XNOB</vt:lpstr>
      <vt:lpstr>v_22_XOHO</vt:lpstr>
      <vt:lpstr>v_22_XP_B</vt:lpstr>
      <vt:lpstr>v_22_XP_U</vt:lpstr>
      <vt:lpstr>v_22_XPHA</vt:lpstr>
      <vt:lpstr>v_22_XPP</vt:lpstr>
      <vt:lpstr>v_22_XS</vt:lpstr>
      <vt:lpstr>v_22_XSOO</vt:lpstr>
      <vt:lpstr>v_22_XSTR</vt:lpstr>
      <vt:lpstr>v_22_XU</vt:lpstr>
      <vt:lpstr>v_22_XVivi</vt:lpstr>
      <vt:lpstr>v_23_CB</vt:lpstr>
      <vt:lpstr>v_23_CU</vt:lpstr>
      <vt:lpstr>v_23_GCH4</vt:lpstr>
      <vt:lpstr>v_23_GCH4_atm</vt:lpstr>
      <vt:lpstr>v_23_GCO2</vt:lpstr>
      <vt:lpstr>v_23_GCO2_atm</vt:lpstr>
      <vt:lpstr>v_23_GH2</vt:lpstr>
      <vt:lpstr>v_23_GH2_atm</vt:lpstr>
      <vt:lpstr>v_23_GH2S</vt:lpstr>
      <vt:lpstr>v_23_GH2S_atm</vt:lpstr>
      <vt:lpstr>v_23_GN2</vt:lpstr>
      <vt:lpstr>v_23_GN2_atm</vt:lpstr>
      <vt:lpstr>v_23_GN2O</vt:lpstr>
      <vt:lpstr>v_23_GN2O_atm</vt:lpstr>
      <vt:lpstr>v_23_GNH3</vt:lpstr>
      <vt:lpstr>v_23_GNH3_atm</vt:lpstr>
      <vt:lpstr>v_23_GNO</vt:lpstr>
      <vt:lpstr>v_23_GNO_atm</vt:lpstr>
      <vt:lpstr>v_23_GO2</vt:lpstr>
      <vt:lpstr>v_23_GO2_atm</vt:lpstr>
      <vt:lpstr>v_23_H</vt:lpstr>
      <vt:lpstr>v_23_SALPHA</vt:lpstr>
      <vt:lpstr>v_23_SAN</vt:lpstr>
      <vt:lpstr>v_23_SB</vt:lpstr>
      <vt:lpstr>v_23_SCa</vt:lpstr>
      <vt:lpstr>v_23_SCAT</vt:lpstr>
      <vt:lpstr>v_23_SCH4</vt:lpstr>
      <vt:lpstr>v_23_SCO2</vt:lpstr>
      <vt:lpstr>v_23_SFe2</vt:lpstr>
      <vt:lpstr>v_23_SH2</vt:lpstr>
      <vt:lpstr>v_23_SH2S</vt:lpstr>
      <vt:lpstr>v_23_SK</vt:lpstr>
      <vt:lpstr>v_23_SMEOL</vt:lpstr>
      <vt:lpstr>v_23_SMg</vt:lpstr>
      <vt:lpstr>v_23_SMM_index</vt:lpstr>
      <vt:lpstr>v_23_SN_B</vt:lpstr>
      <vt:lpstr>v_23_SN2</vt:lpstr>
      <vt:lpstr>v_23_SN2O</vt:lpstr>
      <vt:lpstr>v_23_SNH2OH</vt:lpstr>
      <vt:lpstr>v_23_SNHx</vt:lpstr>
      <vt:lpstr>v_23_SNO_AOB</vt:lpstr>
      <vt:lpstr>v_23_SNO_OHO</vt:lpstr>
      <vt:lpstr>v_23_SNO2</vt:lpstr>
      <vt:lpstr>v_23_SNO3</vt:lpstr>
      <vt:lpstr>v_23_SO2</vt:lpstr>
      <vt:lpstr>v_23_SP_B</vt:lpstr>
      <vt:lpstr>v_23_SPO4</vt:lpstr>
      <vt:lpstr>v_23_SSO4</vt:lpstr>
      <vt:lpstr>v_23_SU</vt:lpstr>
      <vt:lpstr>v_23_SVFA</vt:lpstr>
      <vt:lpstr>v_23_XACP</vt:lpstr>
      <vt:lpstr>v_23_XAMETO</vt:lpstr>
      <vt:lpstr>v_23_XAMX</vt:lpstr>
      <vt:lpstr>v_23_XAOB</vt:lpstr>
      <vt:lpstr>v_23_XASRO</vt:lpstr>
      <vt:lpstr>v_23_XB</vt:lpstr>
      <vt:lpstr>v_23_XBSH</vt:lpstr>
      <vt:lpstr>v_23_XCaCO3</vt:lpstr>
      <vt:lpstr>v_23_XCASTO</vt:lpstr>
      <vt:lpstr>v_23_XE</vt:lpstr>
      <vt:lpstr>v_23_XE_ana</vt:lpstr>
      <vt:lpstr>v_23_XFeS</vt:lpstr>
      <vt:lpstr>v_23_XGLY</vt:lpstr>
      <vt:lpstr>v_23_XHAO_H</vt:lpstr>
      <vt:lpstr>v_23_XHAO_H_P</vt:lpstr>
      <vt:lpstr>v_23_XHAO_H_P_old</vt:lpstr>
      <vt:lpstr>v_23_XHAO_L</vt:lpstr>
      <vt:lpstr>v_23_XHAO_L_P</vt:lpstr>
      <vt:lpstr>v_23_XHAO_L_P_old</vt:lpstr>
      <vt:lpstr>v_23_XHAO_old</vt:lpstr>
      <vt:lpstr>v_23_XHFO_H</vt:lpstr>
      <vt:lpstr>v_23_XHFO_H_P</vt:lpstr>
      <vt:lpstr>v_23_XHFO_H_P_old</vt:lpstr>
      <vt:lpstr>v_23_XHFO_L</vt:lpstr>
      <vt:lpstr>v_23_XHFO_L_P</vt:lpstr>
      <vt:lpstr>v_23_XHFO_L_P_old</vt:lpstr>
      <vt:lpstr>v_23_XHFO_old</vt:lpstr>
      <vt:lpstr>v_23_XHMETO</vt:lpstr>
      <vt:lpstr>v_23_XHSRO</vt:lpstr>
      <vt:lpstr>v_23_XINORG</vt:lpstr>
      <vt:lpstr>v_23_XMEOLO</vt:lpstr>
      <vt:lpstr>v_23_XMOB</vt:lpstr>
      <vt:lpstr>v_23_XN_B</vt:lpstr>
      <vt:lpstr>v_23_XN_U</vt:lpstr>
      <vt:lpstr>v_23_XNOB</vt:lpstr>
      <vt:lpstr>v_23_XOHO</vt:lpstr>
      <vt:lpstr>v_23_XP_B</vt:lpstr>
      <vt:lpstr>v_23_XP_U</vt:lpstr>
      <vt:lpstr>v_23_XPHA</vt:lpstr>
      <vt:lpstr>v_23_XPP</vt:lpstr>
      <vt:lpstr>v_23_XS</vt:lpstr>
      <vt:lpstr>v_23_XSOO</vt:lpstr>
      <vt:lpstr>v_23_XSTR</vt:lpstr>
      <vt:lpstr>v_23_XU</vt:lpstr>
      <vt:lpstr>v_23_XVivi</vt:lpstr>
      <vt:lpstr>v_24_CB</vt:lpstr>
      <vt:lpstr>v_24_CU</vt:lpstr>
      <vt:lpstr>v_24_GCH4</vt:lpstr>
      <vt:lpstr>v_24_GCH4_atm</vt:lpstr>
      <vt:lpstr>v_24_GCO2</vt:lpstr>
      <vt:lpstr>v_24_GCO2_atm</vt:lpstr>
      <vt:lpstr>v_24_GH2</vt:lpstr>
      <vt:lpstr>v_24_GH2_atm</vt:lpstr>
      <vt:lpstr>v_24_GH2S</vt:lpstr>
      <vt:lpstr>v_24_GH2S_atm</vt:lpstr>
      <vt:lpstr>v_24_GN2</vt:lpstr>
      <vt:lpstr>v_24_GN2_atm</vt:lpstr>
      <vt:lpstr>v_24_GN2O</vt:lpstr>
      <vt:lpstr>v_24_GN2O_atm</vt:lpstr>
      <vt:lpstr>v_24_GNH3</vt:lpstr>
      <vt:lpstr>v_24_GNH3_atm</vt:lpstr>
      <vt:lpstr>v_24_GNO</vt:lpstr>
      <vt:lpstr>v_24_GNO_atm</vt:lpstr>
      <vt:lpstr>v_24_GO2</vt:lpstr>
      <vt:lpstr>v_24_GO2_atm</vt:lpstr>
      <vt:lpstr>v_24_H</vt:lpstr>
      <vt:lpstr>v_24_SALPHA</vt:lpstr>
      <vt:lpstr>v_24_SAN</vt:lpstr>
      <vt:lpstr>v_24_SB</vt:lpstr>
      <vt:lpstr>v_24_SCa</vt:lpstr>
      <vt:lpstr>v_24_SCAT</vt:lpstr>
      <vt:lpstr>v_24_SCH4</vt:lpstr>
      <vt:lpstr>v_24_SCO2</vt:lpstr>
      <vt:lpstr>v_24_SFe2</vt:lpstr>
      <vt:lpstr>v_24_SH2</vt:lpstr>
      <vt:lpstr>v_24_SH2S</vt:lpstr>
      <vt:lpstr>v_24_SK</vt:lpstr>
      <vt:lpstr>v_24_SMEOL</vt:lpstr>
      <vt:lpstr>v_24_SMg</vt:lpstr>
      <vt:lpstr>v_24_SMM_index</vt:lpstr>
      <vt:lpstr>v_24_SN_B</vt:lpstr>
      <vt:lpstr>v_24_SN2</vt:lpstr>
      <vt:lpstr>v_24_SN2O</vt:lpstr>
      <vt:lpstr>v_24_SNH2OH</vt:lpstr>
      <vt:lpstr>v_24_SNHx</vt:lpstr>
      <vt:lpstr>v_24_SNO_AOB</vt:lpstr>
      <vt:lpstr>v_24_SNO_OHO</vt:lpstr>
      <vt:lpstr>v_24_SNO2</vt:lpstr>
      <vt:lpstr>v_24_SNO3</vt:lpstr>
      <vt:lpstr>v_24_SO2</vt:lpstr>
      <vt:lpstr>v_24_SP_B</vt:lpstr>
      <vt:lpstr>v_24_SPO4</vt:lpstr>
      <vt:lpstr>v_24_SSO4</vt:lpstr>
      <vt:lpstr>v_24_SU</vt:lpstr>
      <vt:lpstr>v_24_SVFA</vt:lpstr>
      <vt:lpstr>v_24_XACP</vt:lpstr>
      <vt:lpstr>v_24_XAMETO</vt:lpstr>
      <vt:lpstr>v_24_XAMX</vt:lpstr>
      <vt:lpstr>v_24_XAOB</vt:lpstr>
      <vt:lpstr>v_24_XASRO</vt:lpstr>
      <vt:lpstr>v_24_XB</vt:lpstr>
      <vt:lpstr>v_24_XBSH</vt:lpstr>
      <vt:lpstr>v_24_XCaCO3</vt:lpstr>
      <vt:lpstr>v_24_XCASTO</vt:lpstr>
      <vt:lpstr>v_24_XE</vt:lpstr>
      <vt:lpstr>v_24_XE_ana</vt:lpstr>
      <vt:lpstr>v_24_XFeS</vt:lpstr>
      <vt:lpstr>v_24_XGLY</vt:lpstr>
      <vt:lpstr>v_24_XHAO_H</vt:lpstr>
      <vt:lpstr>v_24_XHAO_H_P</vt:lpstr>
      <vt:lpstr>v_24_XHAO_H_P_old</vt:lpstr>
      <vt:lpstr>v_24_XHAO_L</vt:lpstr>
      <vt:lpstr>v_24_XHAO_L_P</vt:lpstr>
      <vt:lpstr>v_24_XHAO_L_P_old</vt:lpstr>
      <vt:lpstr>v_24_XHAO_old</vt:lpstr>
      <vt:lpstr>v_24_XHFO_H</vt:lpstr>
      <vt:lpstr>v_24_XHFO_H_P</vt:lpstr>
      <vt:lpstr>v_24_XHFO_H_P_old</vt:lpstr>
      <vt:lpstr>v_24_XHFO_L</vt:lpstr>
      <vt:lpstr>v_24_XHFO_L_P</vt:lpstr>
      <vt:lpstr>v_24_XHFO_L_P_old</vt:lpstr>
      <vt:lpstr>v_24_XHFO_old</vt:lpstr>
      <vt:lpstr>v_24_XHMETO</vt:lpstr>
      <vt:lpstr>v_24_XHSRO</vt:lpstr>
      <vt:lpstr>v_24_XINORG</vt:lpstr>
      <vt:lpstr>v_24_XMEOLO</vt:lpstr>
      <vt:lpstr>v_24_XMOB</vt:lpstr>
      <vt:lpstr>v_24_XN_B</vt:lpstr>
      <vt:lpstr>v_24_XN_U</vt:lpstr>
      <vt:lpstr>v_24_XNOB</vt:lpstr>
      <vt:lpstr>v_24_XOHO</vt:lpstr>
      <vt:lpstr>v_24_XP_B</vt:lpstr>
      <vt:lpstr>v_24_XP_U</vt:lpstr>
      <vt:lpstr>v_24_XPHA</vt:lpstr>
      <vt:lpstr>v_24_XPP</vt:lpstr>
      <vt:lpstr>v_24_XS</vt:lpstr>
      <vt:lpstr>v_24_XSOO</vt:lpstr>
      <vt:lpstr>v_24_XSTR</vt:lpstr>
      <vt:lpstr>v_24_XU</vt:lpstr>
      <vt:lpstr>v_24_XVivi</vt:lpstr>
      <vt:lpstr>v_25_CB</vt:lpstr>
      <vt:lpstr>v_25_CU</vt:lpstr>
      <vt:lpstr>v_25_GCH4</vt:lpstr>
      <vt:lpstr>v_25_GCH4_atm</vt:lpstr>
      <vt:lpstr>v_25_GCO2</vt:lpstr>
      <vt:lpstr>v_25_GCO2_atm</vt:lpstr>
      <vt:lpstr>v_25_GH2</vt:lpstr>
      <vt:lpstr>v_25_GH2_atm</vt:lpstr>
      <vt:lpstr>v_25_GH2S</vt:lpstr>
      <vt:lpstr>v_25_GH2S_atm</vt:lpstr>
      <vt:lpstr>v_25_GN2</vt:lpstr>
      <vt:lpstr>v_25_GN2_atm</vt:lpstr>
      <vt:lpstr>v_25_GN2O</vt:lpstr>
      <vt:lpstr>v_25_GN2O_atm</vt:lpstr>
      <vt:lpstr>v_25_GNH3</vt:lpstr>
      <vt:lpstr>v_25_GNH3_atm</vt:lpstr>
      <vt:lpstr>v_25_GNO</vt:lpstr>
      <vt:lpstr>v_25_GNO_atm</vt:lpstr>
      <vt:lpstr>v_25_GO2</vt:lpstr>
      <vt:lpstr>v_25_GO2_atm</vt:lpstr>
      <vt:lpstr>v_25_H</vt:lpstr>
      <vt:lpstr>v_25_SALPHA</vt:lpstr>
      <vt:lpstr>v_25_SAN</vt:lpstr>
      <vt:lpstr>v_25_SB</vt:lpstr>
      <vt:lpstr>v_25_SCa</vt:lpstr>
      <vt:lpstr>v_25_SCAT</vt:lpstr>
      <vt:lpstr>v_25_SCH4</vt:lpstr>
      <vt:lpstr>v_25_SCO2</vt:lpstr>
      <vt:lpstr>v_25_SFe2</vt:lpstr>
      <vt:lpstr>v_25_SH2</vt:lpstr>
      <vt:lpstr>v_25_SH2S</vt:lpstr>
      <vt:lpstr>v_25_SK</vt:lpstr>
      <vt:lpstr>v_25_SMEOL</vt:lpstr>
      <vt:lpstr>v_25_SMg</vt:lpstr>
      <vt:lpstr>v_25_SMM_index</vt:lpstr>
      <vt:lpstr>v_25_SN_B</vt:lpstr>
      <vt:lpstr>v_25_SN2</vt:lpstr>
      <vt:lpstr>v_25_SN2O</vt:lpstr>
      <vt:lpstr>v_25_SNH2OH</vt:lpstr>
      <vt:lpstr>v_25_SNHx</vt:lpstr>
      <vt:lpstr>v_25_SNO_AOB</vt:lpstr>
      <vt:lpstr>v_25_SNO_OHO</vt:lpstr>
      <vt:lpstr>v_25_SNO2</vt:lpstr>
      <vt:lpstr>v_25_SNO3</vt:lpstr>
      <vt:lpstr>v_25_SO2</vt:lpstr>
      <vt:lpstr>v_25_SP_B</vt:lpstr>
      <vt:lpstr>v_25_SPO4</vt:lpstr>
      <vt:lpstr>v_25_SSO4</vt:lpstr>
      <vt:lpstr>v_25_SU</vt:lpstr>
      <vt:lpstr>v_25_SVFA</vt:lpstr>
      <vt:lpstr>v_25_XACP</vt:lpstr>
      <vt:lpstr>v_25_XAMETO</vt:lpstr>
      <vt:lpstr>v_25_XAMX</vt:lpstr>
      <vt:lpstr>v_25_XAOB</vt:lpstr>
      <vt:lpstr>v_25_XASRO</vt:lpstr>
      <vt:lpstr>v_25_XB</vt:lpstr>
      <vt:lpstr>v_25_XBSH</vt:lpstr>
      <vt:lpstr>v_25_XCaCO3</vt:lpstr>
      <vt:lpstr>v_25_XCASTO</vt:lpstr>
      <vt:lpstr>v_25_XE</vt:lpstr>
      <vt:lpstr>v_25_XE_ana</vt:lpstr>
      <vt:lpstr>v_25_XFeS</vt:lpstr>
      <vt:lpstr>v_25_XGLY</vt:lpstr>
      <vt:lpstr>v_25_XHAO_H</vt:lpstr>
      <vt:lpstr>v_25_XHAO_H_P</vt:lpstr>
      <vt:lpstr>v_25_XHAO_H_P_old</vt:lpstr>
      <vt:lpstr>v_25_XHAO_L</vt:lpstr>
      <vt:lpstr>v_25_XHAO_L_P</vt:lpstr>
      <vt:lpstr>v_25_XHAO_L_P_old</vt:lpstr>
      <vt:lpstr>v_25_XHAO_old</vt:lpstr>
      <vt:lpstr>v_25_XHFO_H</vt:lpstr>
      <vt:lpstr>v_25_XHFO_H_P</vt:lpstr>
      <vt:lpstr>v_25_XHFO_H_P_old</vt:lpstr>
      <vt:lpstr>v_25_XHFO_L</vt:lpstr>
      <vt:lpstr>v_25_XHFO_L_P</vt:lpstr>
      <vt:lpstr>v_25_XHFO_L_P_old</vt:lpstr>
      <vt:lpstr>v_25_XHFO_old</vt:lpstr>
      <vt:lpstr>v_25_XHMETO</vt:lpstr>
      <vt:lpstr>v_25_XHSRO</vt:lpstr>
      <vt:lpstr>v_25_XINORG</vt:lpstr>
      <vt:lpstr>v_25_XMEOLO</vt:lpstr>
      <vt:lpstr>v_25_XMOB</vt:lpstr>
      <vt:lpstr>v_25_XN_B</vt:lpstr>
      <vt:lpstr>v_25_XN_U</vt:lpstr>
      <vt:lpstr>v_25_XNOB</vt:lpstr>
      <vt:lpstr>v_25_XOHO</vt:lpstr>
      <vt:lpstr>v_25_XP_B</vt:lpstr>
      <vt:lpstr>v_25_XP_U</vt:lpstr>
      <vt:lpstr>v_25_XPHA</vt:lpstr>
      <vt:lpstr>v_25_XPP</vt:lpstr>
      <vt:lpstr>v_25_XS</vt:lpstr>
      <vt:lpstr>v_25_XSOO</vt:lpstr>
      <vt:lpstr>v_25_XSTR</vt:lpstr>
      <vt:lpstr>v_25_XU</vt:lpstr>
      <vt:lpstr>v_25_XVivi</vt:lpstr>
      <vt:lpstr>v_26_CB</vt:lpstr>
      <vt:lpstr>v_26_CU</vt:lpstr>
      <vt:lpstr>v_26_GCH4</vt:lpstr>
      <vt:lpstr>v_26_GCH4_atm</vt:lpstr>
      <vt:lpstr>v_26_GCO2</vt:lpstr>
      <vt:lpstr>v_26_GCO2_atm</vt:lpstr>
      <vt:lpstr>v_26_GH2</vt:lpstr>
      <vt:lpstr>v_26_GH2_atm</vt:lpstr>
      <vt:lpstr>v_26_GH2S</vt:lpstr>
      <vt:lpstr>v_26_GH2S_atm</vt:lpstr>
      <vt:lpstr>v_26_GN2</vt:lpstr>
      <vt:lpstr>v_26_GN2_atm</vt:lpstr>
      <vt:lpstr>v_26_GN2O</vt:lpstr>
      <vt:lpstr>v_26_GN2O_atm</vt:lpstr>
      <vt:lpstr>v_26_GNH3</vt:lpstr>
      <vt:lpstr>v_26_GNH3_atm</vt:lpstr>
      <vt:lpstr>v_26_GNO</vt:lpstr>
      <vt:lpstr>v_26_GNO_atm</vt:lpstr>
      <vt:lpstr>v_26_GO2</vt:lpstr>
      <vt:lpstr>v_26_GO2_atm</vt:lpstr>
      <vt:lpstr>v_26_H</vt:lpstr>
      <vt:lpstr>v_26_SALPHA</vt:lpstr>
      <vt:lpstr>v_26_SAN</vt:lpstr>
      <vt:lpstr>v_26_SB</vt:lpstr>
      <vt:lpstr>v_26_SCa</vt:lpstr>
      <vt:lpstr>v_26_SCAT</vt:lpstr>
      <vt:lpstr>v_26_SCH4</vt:lpstr>
      <vt:lpstr>v_26_SCO2</vt:lpstr>
      <vt:lpstr>v_26_SFe2</vt:lpstr>
      <vt:lpstr>v_26_SH2</vt:lpstr>
      <vt:lpstr>v_26_SH2S</vt:lpstr>
      <vt:lpstr>v_26_SK</vt:lpstr>
      <vt:lpstr>v_26_SMEOL</vt:lpstr>
      <vt:lpstr>v_26_SMg</vt:lpstr>
      <vt:lpstr>v_26_SMM_index</vt:lpstr>
      <vt:lpstr>v_26_SN_B</vt:lpstr>
      <vt:lpstr>v_26_SN2</vt:lpstr>
      <vt:lpstr>v_26_SN2O</vt:lpstr>
      <vt:lpstr>v_26_SNH2OH</vt:lpstr>
      <vt:lpstr>v_26_SNHx</vt:lpstr>
      <vt:lpstr>v_26_SNO_AOB</vt:lpstr>
      <vt:lpstr>v_26_SNO_OHO</vt:lpstr>
      <vt:lpstr>v_26_SNO2</vt:lpstr>
      <vt:lpstr>v_26_SNO3</vt:lpstr>
      <vt:lpstr>v_26_SO2</vt:lpstr>
      <vt:lpstr>v_26_SP_B</vt:lpstr>
      <vt:lpstr>v_26_SPO4</vt:lpstr>
      <vt:lpstr>v_26_SSO4</vt:lpstr>
      <vt:lpstr>v_26_SU</vt:lpstr>
      <vt:lpstr>v_26_SVFA</vt:lpstr>
      <vt:lpstr>v_26_XACP</vt:lpstr>
      <vt:lpstr>v_26_XAMETO</vt:lpstr>
      <vt:lpstr>v_26_XAMX</vt:lpstr>
      <vt:lpstr>v_26_XAOB</vt:lpstr>
      <vt:lpstr>v_26_XASRO</vt:lpstr>
      <vt:lpstr>v_26_XB</vt:lpstr>
      <vt:lpstr>v_26_XBSH</vt:lpstr>
      <vt:lpstr>v_26_XCaCO3</vt:lpstr>
      <vt:lpstr>v_26_XCASTO</vt:lpstr>
      <vt:lpstr>v_26_XE</vt:lpstr>
      <vt:lpstr>v_26_XE_ana</vt:lpstr>
      <vt:lpstr>v_26_XFeS</vt:lpstr>
      <vt:lpstr>v_26_XGLY</vt:lpstr>
      <vt:lpstr>v_26_XHAO_H</vt:lpstr>
      <vt:lpstr>v_26_XHAO_H_P</vt:lpstr>
      <vt:lpstr>v_26_XHAO_H_P_old</vt:lpstr>
      <vt:lpstr>v_26_XHAO_L</vt:lpstr>
      <vt:lpstr>v_26_XHAO_L_P</vt:lpstr>
      <vt:lpstr>v_26_XHAO_L_P_old</vt:lpstr>
      <vt:lpstr>v_26_XHAO_old</vt:lpstr>
      <vt:lpstr>v_26_XHFO_H</vt:lpstr>
      <vt:lpstr>v_26_XHFO_H_P</vt:lpstr>
      <vt:lpstr>v_26_XHFO_H_P_old</vt:lpstr>
      <vt:lpstr>v_26_XHFO_L</vt:lpstr>
      <vt:lpstr>v_26_XHFO_L_P</vt:lpstr>
      <vt:lpstr>v_26_XHFO_L_P_old</vt:lpstr>
      <vt:lpstr>v_26_XHFO_old</vt:lpstr>
      <vt:lpstr>v_26_XHMETO</vt:lpstr>
      <vt:lpstr>v_26_XHSRO</vt:lpstr>
      <vt:lpstr>v_26_XINORG</vt:lpstr>
      <vt:lpstr>v_26_XMEOLO</vt:lpstr>
      <vt:lpstr>v_26_XMOB</vt:lpstr>
      <vt:lpstr>v_26_XN_B</vt:lpstr>
      <vt:lpstr>v_26_XN_U</vt:lpstr>
      <vt:lpstr>v_26_XNOB</vt:lpstr>
      <vt:lpstr>v_26_XOHO</vt:lpstr>
      <vt:lpstr>v_26_XP_B</vt:lpstr>
      <vt:lpstr>v_26_XP_U</vt:lpstr>
      <vt:lpstr>v_26_XPHA</vt:lpstr>
      <vt:lpstr>v_26_XPP</vt:lpstr>
      <vt:lpstr>v_26_XS</vt:lpstr>
      <vt:lpstr>v_26_XSOO</vt:lpstr>
      <vt:lpstr>v_26_XSTR</vt:lpstr>
      <vt:lpstr>v_26_XU</vt:lpstr>
      <vt:lpstr>v_26_XVivi</vt:lpstr>
      <vt:lpstr>v_27_CB</vt:lpstr>
      <vt:lpstr>v_27_CU</vt:lpstr>
      <vt:lpstr>v_27_GCH4</vt:lpstr>
      <vt:lpstr>v_27_GCH4_atm</vt:lpstr>
      <vt:lpstr>v_27_GCO2</vt:lpstr>
      <vt:lpstr>v_27_GCO2_atm</vt:lpstr>
      <vt:lpstr>v_27_GH2</vt:lpstr>
      <vt:lpstr>v_27_GH2_atm</vt:lpstr>
      <vt:lpstr>v_27_GH2S</vt:lpstr>
      <vt:lpstr>v_27_GH2S_atm</vt:lpstr>
      <vt:lpstr>v_27_GN2</vt:lpstr>
      <vt:lpstr>v_27_GN2_atm</vt:lpstr>
      <vt:lpstr>v_27_GN2O</vt:lpstr>
      <vt:lpstr>v_27_GN2O_atm</vt:lpstr>
      <vt:lpstr>v_27_GNH3</vt:lpstr>
      <vt:lpstr>v_27_GNH3_atm</vt:lpstr>
      <vt:lpstr>v_27_GNO</vt:lpstr>
      <vt:lpstr>v_27_GNO_atm</vt:lpstr>
      <vt:lpstr>v_27_GO2</vt:lpstr>
      <vt:lpstr>v_27_GO2_atm</vt:lpstr>
      <vt:lpstr>v_27_H</vt:lpstr>
      <vt:lpstr>v_27_SALPHA</vt:lpstr>
      <vt:lpstr>v_27_SAN</vt:lpstr>
      <vt:lpstr>v_27_SB</vt:lpstr>
      <vt:lpstr>v_27_SCa</vt:lpstr>
      <vt:lpstr>v_27_SCAT</vt:lpstr>
      <vt:lpstr>v_27_SCH4</vt:lpstr>
      <vt:lpstr>v_27_SCO2</vt:lpstr>
      <vt:lpstr>v_27_SFe2</vt:lpstr>
      <vt:lpstr>v_27_SH2</vt:lpstr>
      <vt:lpstr>v_27_SH2S</vt:lpstr>
      <vt:lpstr>v_27_SK</vt:lpstr>
      <vt:lpstr>v_27_SMEOL</vt:lpstr>
      <vt:lpstr>v_27_SMg</vt:lpstr>
      <vt:lpstr>v_27_SMM_index</vt:lpstr>
      <vt:lpstr>v_27_SN_B</vt:lpstr>
      <vt:lpstr>v_27_SN2</vt:lpstr>
      <vt:lpstr>v_27_SN2O</vt:lpstr>
      <vt:lpstr>v_27_SNH2OH</vt:lpstr>
      <vt:lpstr>v_27_SNHx</vt:lpstr>
      <vt:lpstr>v_27_SNO_AOB</vt:lpstr>
      <vt:lpstr>v_27_SNO_OHO</vt:lpstr>
      <vt:lpstr>v_27_SNO2</vt:lpstr>
      <vt:lpstr>v_27_SNO3</vt:lpstr>
      <vt:lpstr>v_27_SO2</vt:lpstr>
      <vt:lpstr>v_27_SP_B</vt:lpstr>
      <vt:lpstr>v_27_SPO4</vt:lpstr>
      <vt:lpstr>v_27_SSO4</vt:lpstr>
      <vt:lpstr>v_27_SU</vt:lpstr>
      <vt:lpstr>v_27_SVFA</vt:lpstr>
      <vt:lpstr>v_27_XACP</vt:lpstr>
      <vt:lpstr>v_27_XAMETO</vt:lpstr>
      <vt:lpstr>v_27_XAMX</vt:lpstr>
      <vt:lpstr>v_27_XAOB</vt:lpstr>
      <vt:lpstr>v_27_XASRO</vt:lpstr>
      <vt:lpstr>v_27_XB</vt:lpstr>
      <vt:lpstr>v_27_XBSH</vt:lpstr>
      <vt:lpstr>v_27_XCaCO3</vt:lpstr>
      <vt:lpstr>v_27_XCASTO</vt:lpstr>
      <vt:lpstr>v_27_XE</vt:lpstr>
      <vt:lpstr>v_27_XE_ana</vt:lpstr>
      <vt:lpstr>v_27_XFeS</vt:lpstr>
      <vt:lpstr>v_27_XGLY</vt:lpstr>
      <vt:lpstr>v_27_XHAO_H</vt:lpstr>
      <vt:lpstr>v_27_XHAO_H_P</vt:lpstr>
      <vt:lpstr>v_27_XHAO_H_P_old</vt:lpstr>
      <vt:lpstr>v_27_XHAO_L</vt:lpstr>
      <vt:lpstr>v_27_XHAO_L_P</vt:lpstr>
      <vt:lpstr>v_27_XHAO_L_P_old</vt:lpstr>
      <vt:lpstr>v_27_XHAO_old</vt:lpstr>
      <vt:lpstr>v_27_XHFO_H</vt:lpstr>
      <vt:lpstr>v_27_XHFO_H_P</vt:lpstr>
      <vt:lpstr>v_27_XHFO_H_P_old</vt:lpstr>
      <vt:lpstr>v_27_XHFO_L</vt:lpstr>
      <vt:lpstr>v_27_XHFO_L_P</vt:lpstr>
      <vt:lpstr>v_27_XHFO_L_P_old</vt:lpstr>
      <vt:lpstr>v_27_XHFO_old</vt:lpstr>
      <vt:lpstr>v_27_XHMETO</vt:lpstr>
      <vt:lpstr>v_27_XHSRO</vt:lpstr>
      <vt:lpstr>v_27_XINORG</vt:lpstr>
      <vt:lpstr>v_27_XMEOLO</vt:lpstr>
      <vt:lpstr>v_27_XMOB</vt:lpstr>
      <vt:lpstr>v_27_XN_B</vt:lpstr>
      <vt:lpstr>v_27_XN_U</vt:lpstr>
      <vt:lpstr>v_27_XNOB</vt:lpstr>
      <vt:lpstr>v_27_XOHO</vt:lpstr>
      <vt:lpstr>v_27_XP_B</vt:lpstr>
      <vt:lpstr>v_27_XP_U</vt:lpstr>
      <vt:lpstr>v_27_XPHA</vt:lpstr>
      <vt:lpstr>v_27_XPP</vt:lpstr>
      <vt:lpstr>v_27_XS</vt:lpstr>
      <vt:lpstr>v_27_XSOO</vt:lpstr>
      <vt:lpstr>v_27_XSTR</vt:lpstr>
      <vt:lpstr>v_27_XU</vt:lpstr>
      <vt:lpstr>v_27_XVivi</vt:lpstr>
      <vt:lpstr>v_28_CB</vt:lpstr>
      <vt:lpstr>v_28_CU</vt:lpstr>
      <vt:lpstr>v_28_GCH4</vt:lpstr>
      <vt:lpstr>v_28_GCH4_atm</vt:lpstr>
      <vt:lpstr>v_28_GCO2</vt:lpstr>
      <vt:lpstr>v_28_GCO2_atm</vt:lpstr>
      <vt:lpstr>v_28_GH2</vt:lpstr>
      <vt:lpstr>v_28_GH2_atm</vt:lpstr>
      <vt:lpstr>v_28_GH2S</vt:lpstr>
      <vt:lpstr>v_28_GH2S_atm</vt:lpstr>
      <vt:lpstr>v_28_GN2</vt:lpstr>
      <vt:lpstr>v_28_GN2_atm</vt:lpstr>
      <vt:lpstr>v_28_GN2O</vt:lpstr>
      <vt:lpstr>v_28_GN2O_atm</vt:lpstr>
      <vt:lpstr>v_28_GNH3</vt:lpstr>
      <vt:lpstr>v_28_GNH3_atm</vt:lpstr>
      <vt:lpstr>v_28_GNO</vt:lpstr>
      <vt:lpstr>v_28_GNO_atm</vt:lpstr>
      <vt:lpstr>v_28_GO2</vt:lpstr>
      <vt:lpstr>v_28_GO2_atm</vt:lpstr>
      <vt:lpstr>v_28_H</vt:lpstr>
      <vt:lpstr>v_28_SALPHA</vt:lpstr>
      <vt:lpstr>v_28_SAN</vt:lpstr>
      <vt:lpstr>v_28_SB</vt:lpstr>
      <vt:lpstr>v_28_SCa</vt:lpstr>
      <vt:lpstr>v_28_SCAT</vt:lpstr>
      <vt:lpstr>v_28_SCH4</vt:lpstr>
      <vt:lpstr>v_28_SCO2</vt:lpstr>
      <vt:lpstr>v_28_SFe2</vt:lpstr>
      <vt:lpstr>v_28_SH2</vt:lpstr>
      <vt:lpstr>v_28_SH2S</vt:lpstr>
      <vt:lpstr>v_28_SK</vt:lpstr>
      <vt:lpstr>v_28_SMEOL</vt:lpstr>
      <vt:lpstr>v_28_SMg</vt:lpstr>
      <vt:lpstr>v_28_SMM_index</vt:lpstr>
      <vt:lpstr>v_28_SN_B</vt:lpstr>
      <vt:lpstr>v_28_SN2</vt:lpstr>
      <vt:lpstr>v_28_SN2O</vt:lpstr>
      <vt:lpstr>v_28_SNH2OH</vt:lpstr>
      <vt:lpstr>v_28_SNHx</vt:lpstr>
      <vt:lpstr>v_28_SNO_AOB</vt:lpstr>
      <vt:lpstr>v_28_SNO_OHO</vt:lpstr>
      <vt:lpstr>v_28_SNO2</vt:lpstr>
      <vt:lpstr>v_28_SNO3</vt:lpstr>
      <vt:lpstr>v_28_SO2</vt:lpstr>
      <vt:lpstr>v_28_SP_B</vt:lpstr>
      <vt:lpstr>v_28_SPO4</vt:lpstr>
      <vt:lpstr>v_28_SSO4</vt:lpstr>
      <vt:lpstr>v_28_SU</vt:lpstr>
      <vt:lpstr>v_28_SVFA</vt:lpstr>
      <vt:lpstr>v_28_XACP</vt:lpstr>
      <vt:lpstr>v_28_XAMETO</vt:lpstr>
      <vt:lpstr>v_28_XAMX</vt:lpstr>
      <vt:lpstr>v_28_XAOB</vt:lpstr>
      <vt:lpstr>v_28_XASRO</vt:lpstr>
      <vt:lpstr>v_28_XB</vt:lpstr>
      <vt:lpstr>v_28_XBSH</vt:lpstr>
      <vt:lpstr>v_28_XCaCO3</vt:lpstr>
      <vt:lpstr>v_28_XCASTO</vt:lpstr>
      <vt:lpstr>v_28_XE</vt:lpstr>
      <vt:lpstr>v_28_XE_ana</vt:lpstr>
      <vt:lpstr>v_28_XFeS</vt:lpstr>
      <vt:lpstr>v_28_XGLY</vt:lpstr>
      <vt:lpstr>v_28_XHAO_H</vt:lpstr>
      <vt:lpstr>v_28_XHAO_H_P</vt:lpstr>
      <vt:lpstr>v_28_XHAO_H_P_old</vt:lpstr>
      <vt:lpstr>v_28_XHAO_L</vt:lpstr>
      <vt:lpstr>v_28_XHAO_L_P</vt:lpstr>
      <vt:lpstr>v_28_XHAO_L_P_old</vt:lpstr>
      <vt:lpstr>v_28_XHAO_old</vt:lpstr>
      <vt:lpstr>v_28_XHFO_H</vt:lpstr>
      <vt:lpstr>v_28_XHFO_H_P</vt:lpstr>
      <vt:lpstr>v_28_XHFO_H_P_old</vt:lpstr>
      <vt:lpstr>v_28_XHFO_L</vt:lpstr>
      <vt:lpstr>v_28_XHFO_L_P</vt:lpstr>
      <vt:lpstr>v_28_XHFO_L_P_old</vt:lpstr>
      <vt:lpstr>v_28_XHFO_old</vt:lpstr>
      <vt:lpstr>v_28_XHMETO</vt:lpstr>
      <vt:lpstr>v_28_XHSRO</vt:lpstr>
      <vt:lpstr>v_28_XINORG</vt:lpstr>
      <vt:lpstr>v_28_XMEOLO</vt:lpstr>
      <vt:lpstr>v_28_XMOB</vt:lpstr>
      <vt:lpstr>v_28_XN_B</vt:lpstr>
      <vt:lpstr>v_28_XN_U</vt:lpstr>
      <vt:lpstr>v_28_XNOB</vt:lpstr>
      <vt:lpstr>v_28_XOHO</vt:lpstr>
      <vt:lpstr>v_28_XP_B</vt:lpstr>
      <vt:lpstr>v_28_XP_U</vt:lpstr>
      <vt:lpstr>v_28_XPHA</vt:lpstr>
      <vt:lpstr>v_28_XPP</vt:lpstr>
      <vt:lpstr>v_28_XS</vt:lpstr>
      <vt:lpstr>v_28_XSOO</vt:lpstr>
      <vt:lpstr>v_28_XSTR</vt:lpstr>
      <vt:lpstr>v_28_XU</vt:lpstr>
      <vt:lpstr>v_28_XVivi</vt:lpstr>
      <vt:lpstr>v_29_CB</vt:lpstr>
      <vt:lpstr>v_29_CU</vt:lpstr>
      <vt:lpstr>v_29_GCH4</vt:lpstr>
      <vt:lpstr>v_29_GCH4_atm</vt:lpstr>
      <vt:lpstr>v_29_GCO2</vt:lpstr>
      <vt:lpstr>v_29_GCO2_atm</vt:lpstr>
      <vt:lpstr>v_29_GH2</vt:lpstr>
      <vt:lpstr>v_29_GH2_atm</vt:lpstr>
      <vt:lpstr>v_29_GH2S</vt:lpstr>
      <vt:lpstr>v_29_GH2S_atm</vt:lpstr>
      <vt:lpstr>v_29_GN2</vt:lpstr>
      <vt:lpstr>v_29_GN2_atm</vt:lpstr>
      <vt:lpstr>v_29_GN2O</vt:lpstr>
      <vt:lpstr>v_29_GN2O_atm</vt:lpstr>
      <vt:lpstr>v_29_GNH3</vt:lpstr>
      <vt:lpstr>v_29_GNH3_atm</vt:lpstr>
      <vt:lpstr>v_29_GNO</vt:lpstr>
      <vt:lpstr>v_29_GNO_atm</vt:lpstr>
      <vt:lpstr>v_29_GO2</vt:lpstr>
      <vt:lpstr>v_29_GO2_atm</vt:lpstr>
      <vt:lpstr>v_29_H</vt:lpstr>
      <vt:lpstr>v_29_SALPHA</vt:lpstr>
      <vt:lpstr>v_29_SAN</vt:lpstr>
      <vt:lpstr>v_29_SB</vt:lpstr>
      <vt:lpstr>v_29_SCa</vt:lpstr>
      <vt:lpstr>v_29_SCAT</vt:lpstr>
      <vt:lpstr>v_29_SCH4</vt:lpstr>
      <vt:lpstr>v_29_SCO2</vt:lpstr>
      <vt:lpstr>v_29_SFe2</vt:lpstr>
      <vt:lpstr>v_29_SH2</vt:lpstr>
      <vt:lpstr>v_29_SH2S</vt:lpstr>
      <vt:lpstr>v_29_SK</vt:lpstr>
      <vt:lpstr>v_29_SMEOL</vt:lpstr>
      <vt:lpstr>v_29_SMg</vt:lpstr>
      <vt:lpstr>v_29_SMM_index</vt:lpstr>
      <vt:lpstr>v_29_SN_B</vt:lpstr>
      <vt:lpstr>v_29_SN2</vt:lpstr>
      <vt:lpstr>v_29_SN2O</vt:lpstr>
      <vt:lpstr>v_29_SNH2OH</vt:lpstr>
      <vt:lpstr>v_29_SNHx</vt:lpstr>
      <vt:lpstr>v_29_SNO_AOB</vt:lpstr>
      <vt:lpstr>v_29_SNO_OHO</vt:lpstr>
      <vt:lpstr>v_29_SNO2</vt:lpstr>
      <vt:lpstr>v_29_SNO3</vt:lpstr>
      <vt:lpstr>v_29_SO2</vt:lpstr>
      <vt:lpstr>v_29_SP_B</vt:lpstr>
      <vt:lpstr>v_29_SPO4</vt:lpstr>
      <vt:lpstr>v_29_SSO4</vt:lpstr>
      <vt:lpstr>v_29_SU</vt:lpstr>
      <vt:lpstr>v_29_SVFA</vt:lpstr>
      <vt:lpstr>v_29_XACP</vt:lpstr>
      <vt:lpstr>v_29_XAMETO</vt:lpstr>
      <vt:lpstr>v_29_XAMX</vt:lpstr>
      <vt:lpstr>v_29_XAOB</vt:lpstr>
      <vt:lpstr>v_29_XASRO</vt:lpstr>
      <vt:lpstr>v_29_XB</vt:lpstr>
      <vt:lpstr>v_29_XBSH</vt:lpstr>
      <vt:lpstr>v_29_XCaCO3</vt:lpstr>
      <vt:lpstr>v_29_XCASTO</vt:lpstr>
      <vt:lpstr>v_29_XE</vt:lpstr>
      <vt:lpstr>v_29_XE_ana</vt:lpstr>
      <vt:lpstr>v_29_XFeS</vt:lpstr>
      <vt:lpstr>v_29_XGLY</vt:lpstr>
      <vt:lpstr>v_29_XHAO_H</vt:lpstr>
      <vt:lpstr>v_29_XHAO_H_P</vt:lpstr>
      <vt:lpstr>v_29_XHAO_H_P_old</vt:lpstr>
      <vt:lpstr>v_29_XHAO_L</vt:lpstr>
      <vt:lpstr>v_29_XHAO_L_P</vt:lpstr>
      <vt:lpstr>v_29_XHAO_L_P_old</vt:lpstr>
      <vt:lpstr>v_29_XHAO_old</vt:lpstr>
      <vt:lpstr>v_29_XHFO_H</vt:lpstr>
      <vt:lpstr>v_29_XHFO_H_P</vt:lpstr>
      <vt:lpstr>v_29_XHFO_H_P_old</vt:lpstr>
      <vt:lpstr>v_29_XHFO_L</vt:lpstr>
      <vt:lpstr>v_29_XHFO_L_P</vt:lpstr>
      <vt:lpstr>v_29_XHFO_L_P_old</vt:lpstr>
      <vt:lpstr>v_29_XHFO_old</vt:lpstr>
      <vt:lpstr>v_29_XHMETO</vt:lpstr>
      <vt:lpstr>v_29_XHSRO</vt:lpstr>
      <vt:lpstr>v_29_XINORG</vt:lpstr>
      <vt:lpstr>v_29_XMEOLO</vt:lpstr>
      <vt:lpstr>v_29_XMOB</vt:lpstr>
      <vt:lpstr>v_29_XN_B</vt:lpstr>
      <vt:lpstr>v_29_XN_U</vt:lpstr>
      <vt:lpstr>v_29_XNOB</vt:lpstr>
      <vt:lpstr>v_29_XOHO</vt:lpstr>
      <vt:lpstr>v_29_XP_B</vt:lpstr>
      <vt:lpstr>v_29_XP_U</vt:lpstr>
      <vt:lpstr>v_29_XPHA</vt:lpstr>
      <vt:lpstr>v_29_XPP</vt:lpstr>
      <vt:lpstr>v_29_XS</vt:lpstr>
      <vt:lpstr>v_29_XSOO</vt:lpstr>
      <vt:lpstr>v_29_XSTR</vt:lpstr>
      <vt:lpstr>v_29_XU</vt:lpstr>
      <vt:lpstr>v_29_XVivi</vt:lpstr>
      <vt:lpstr>v_3_CB</vt:lpstr>
      <vt:lpstr>v_3_CU</vt:lpstr>
      <vt:lpstr>v_3_GCH4</vt:lpstr>
      <vt:lpstr>v_3_GCH4_atm</vt:lpstr>
      <vt:lpstr>v_3_GCO2</vt:lpstr>
      <vt:lpstr>v_3_GCO2_atm</vt:lpstr>
      <vt:lpstr>v_3_GH2</vt:lpstr>
      <vt:lpstr>v_3_GH2_atm</vt:lpstr>
      <vt:lpstr>v_3_GH2S</vt:lpstr>
      <vt:lpstr>v_3_GH2S_atm</vt:lpstr>
      <vt:lpstr>v_3_GN2</vt:lpstr>
      <vt:lpstr>v_3_GN2_atm</vt:lpstr>
      <vt:lpstr>v_3_GN2O</vt:lpstr>
      <vt:lpstr>v_3_GN2O_atm</vt:lpstr>
      <vt:lpstr>v_3_GNH3</vt:lpstr>
      <vt:lpstr>v_3_GNH3_atm</vt:lpstr>
      <vt:lpstr>v_3_GNO</vt:lpstr>
      <vt:lpstr>v_3_GNO_atm</vt:lpstr>
      <vt:lpstr>v_3_GO2</vt:lpstr>
      <vt:lpstr>v_3_GO2_atm</vt:lpstr>
      <vt:lpstr>v_3_H</vt:lpstr>
      <vt:lpstr>v_3_SALPHA</vt:lpstr>
      <vt:lpstr>v_3_SAN</vt:lpstr>
      <vt:lpstr>v_3_SB</vt:lpstr>
      <vt:lpstr>v_3_SCa</vt:lpstr>
      <vt:lpstr>v_3_SCAT</vt:lpstr>
      <vt:lpstr>v_3_SCH4</vt:lpstr>
      <vt:lpstr>v_3_SCO2</vt:lpstr>
      <vt:lpstr>v_3_SFe2</vt:lpstr>
      <vt:lpstr>v_3_SH2</vt:lpstr>
      <vt:lpstr>v_3_SH2S</vt:lpstr>
      <vt:lpstr>v_3_SK</vt:lpstr>
      <vt:lpstr>v_3_SMEOL</vt:lpstr>
      <vt:lpstr>v_3_SMg</vt:lpstr>
      <vt:lpstr>v_3_SMM_index</vt:lpstr>
      <vt:lpstr>v_3_SN_B</vt:lpstr>
      <vt:lpstr>v_3_SN2</vt:lpstr>
      <vt:lpstr>v_3_SN2O</vt:lpstr>
      <vt:lpstr>v_3_SNH2OH</vt:lpstr>
      <vt:lpstr>v_3_SNHx</vt:lpstr>
      <vt:lpstr>v_3_SNO_AOB</vt:lpstr>
      <vt:lpstr>v_3_SNO_OHO</vt:lpstr>
      <vt:lpstr>v_3_SNO2</vt:lpstr>
      <vt:lpstr>v_3_SNO3</vt:lpstr>
      <vt:lpstr>v_3_SO2</vt:lpstr>
      <vt:lpstr>v_3_SP_B</vt:lpstr>
      <vt:lpstr>v_3_SPO4</vt:lpstr>
      <vt:lpstr>v_3_SSO4</vt:lpstr>
      <vt:lpstr>v_3_SU</vt:lpstr>
      <vt:lpstr>v_3_SVFA</vt:lpstr>
      <vt:lpstr>v_3_XACP</vt:lpstr>
      <vt:lpstr>v_3_XAMETO</vt:lpstr>
      <vt:lpstr>v_3_XAMX</vt:lpstr>
      <vt:lpstr>v_3_XAOB</vt:lpstr>
      <vt:lpstr>v_3_XASRO</vt:lpstr>
      <vt:lpstr>v_3_XB</vt:lpstr>
      <vt:lpstr>v_3_XBSH</vt:lpstr>
      <vt:lpstr>v_3_XCaCO3</vt:lpstr>
      <vt:lpstr>v_3_XCASTO</vt:lpstr>
      <vt:lpstr>v_3_XE</vt:lpstr>
      <vt:lpstr>v_3_XE_ana</vt:lpstr>
      <vt:lpstr>v_3_XFeS</vt:lpstr>
      <vt:lpstr>v_3_XGLY</vt:lpstr>
      <vt:lpstr>v_3_XHAO_H</vt:lpstr>
      <vt:lpstr>v_3_XHAO_H_P</vt:lpstr>
      <vt:lpstr>v_3_XHAO_H_P_old</vt:lpstr>
      <vt:lpstr>v_3_XHAO_L</vt:lpstr>
      <vt:lpstr>v_3_XHAO_L_P</vt:lpstr>
      <vt:lpstr>v_3_XHAO_L_P_old</vt:lpstr>
      <vt:lpstr>v_3_XHAO_old</vt:lpstr>
      <vt:lpstr>v_3_XHFO_H</vt:lpstr>
      <vt:lpstr>v_3_XHFO_H_P</vt:lpstr>
      <vt:lpstr>v_3_XHFO_H_P_old</vt:lpstr>
      <vt:lpstr>v_3_XHFO_L</vt:lpstr>
      <vt:lpstr>v_3_XHFO_L_P</vt:lpstr>
      <vt:lpstr>v_3_XHFO_L_P_old</vt:lpstr>
      <vt:lpstr>v_3_XHFO_old</vt:lpstr>
      <vt:lpstr>v_3_XHMETO</vt:lpstr>
      <vt:lpstr>v_3_XHSRO</vt:lpstr>
      <vt:lpstr>v_3_XINORG</vt:lpstr>
      <vt:lpstr>v_3_XMEOLO</vt:lpstr>
      <vt:lpstr>v_3_XMOB</vt:lpstr>
      <vt:lpstr>v_3_XN_B</vt:lpstr>
      <vt:lpstr>v_3_XN_U</vt:lpstr>
      <vt:lpstr>v_3_XNOB</vt:lpstr>
      <vt:lpstr>v_3_XOHO</vt:lpstr>
      <vt:lpstr>v_3_XP_B</vt:lpstr>
      <vt:lpstr>v_3_XP_U</vt:lpstr>
      <vt:lpstr>v_3_XPHA</vt:lpstr>
      <vt:lpstr>v_3_XPP</vt:lpstr>
      <vt:lpstr>v_3_XS</vt:lpstr>
      <vt:lpstr>v_3_XSOO</vt:lpstr>
      <vt:lpstr>v_3_XSTR</vt:lpstr>
      <vt:lpstr>v_3_XU</vt:lpstr>
      <vt:lpstr>v_3_XVivi</vt:lpstr>
      <vt:lpstr>v_30_CB</vt:lpstr>
      <vt:lpstr>v_30_CU</vt:lpstr>
      <vt:lpstr>v_30_GCH4</vt:lpstr>
      <vt:lpstr>v_30_GCH4_atm</vt:lpstr>
      <vt:lpstr>v_30_GCO2</vt:lpstr>
      <vt:lpstr>v_30_GCO2_atm</vt:lpstr>
      <vt:lpstr>v_30_GH2</vt:lpstr>
      <vt:lpstr>v_30_GH2_atm</vt:lpstr>
      <vt:lpstr>v_30_GH2S</vt:lpstr>
      <vt:lpstr>v_30_GH2S_atm</vt:lpstr>
      <vt:lpstr>v_30_GN2</vt:lpstr>
      <vt:lpstr>v_30_GN2_atm</vt:lpstr>
      <vt:lpstr>v_30_GN2O</vt:lpstr>
      <vt:lpstr>v_30_GN2O_atm</vt:lpstr>
      <vt:lpstr>v_30_GNH3</vt:lpstr>
      <vt:lpstr>v_30_GNH3_atm</vt:lpstr>
      <vt:lpstr>v_30_GNO</vt:lpstr>
      <vt:lpstr>v_30_GNO_atm</vt:lpstr>
      <vt:lpstr>v_30_GO2</vt:lpstr>
      <vt:lpstr>v_30_GO2_atm</vt:lpstr>
      <vt:lpstr>v_30_H</vt:lpstr>
      <vt:lpstr>v_30_SALPHA</vt:lpstr>
      <vt:lpstr>v_30_SAN</vt:lpstr>
      <vt:lpstr>v_30_SB</vt:lpstr>
      <vt:lpstr>v_30_SCa</vt:lpstr>
      <vt:lpstr>v_30_SCAT</vt:lpstr>
      <vt:lpstr>v_30_SCH4</vt:lpstr>
      <vt:lpstr>v_30_SCO2</vt:lpstr>
      <vt:lpstr>v_30_SFe2</vt:lpstr>
      <vt:lpstr>v_30_SH2</vt:lpstr>
      <vt:lpstr>v_30_SH2S</vt:lpstr>
      <vt:lpstr>v_30_SK</vt:lpstr>
      <vt:lpstr>v_30_SMEOL</vt:lpstr>
      <vt:lpstr>v_30_SMg</vt:lpstr>
      <vt:lpstr>v_30_SMM_index</vt:lpstr>
      <vt:lpstr>v_30_SN_B</vt:lpstr>
      <vt:lpstr>v_30_SN2</vt:lpstr>
      <vt:lpstr>v_30_SN2O</vt:lpstr>
      <vt:lpstr>v_30_SNH2OH</vt:lpstr>
      <vt:lpstr>v_30_SNHx</vt:lpstr>
      <vt:lpstr>v_30_SNO_AOB</vt:lpstr>
      <vt:lpstr>v_30_SNO_OHO</vt:lpstr>
      <vt:lpstr>v_30_SNO2</vt:lpstr>
      <vt:lpstr>v_30_SNO3</vt:lpstr>
      <vt:lpstr>v_30_SO2</vt:lpstr>
      <vt:lpstr>v_30_SP_B</vt:lpstr>
      <vt:lpstr>v_30_SPO4</vt:lpstr>
      <vt:lpstr>v_30_SSO4</vt:lpstr>
      <vt:lpstr>v_30_SU</vt:lpstr>
      <vt:lpstr>v_30_SVFA</vt:lpstr>
      <vt:lpstr>v_30_XACP</vt:lpstr>
      <vt:lpstr>v_30_XAMETO</vt:lpstr>
      <vt:lpstr>v_30_XAMX</vt:lpstr>
      <vt:lpstr>v_30_XAOB</vt:lpstr>
      <vt:lpstr>v_30_XASRO</vt:lpstr>
      <vt:lpstr>v_30_XB</vt:lpstr>
      <vt:lpstr>v_30_XBSH</vt:lpstr>
      <vt:lpstr>v_30_XCaCO3</vt:lpstr>
      <vt:lpstr>v_30_XCASTO</vt:lpstr>
      <vt:lpstr>v_30_XE</vt:lpstr>
      <vt:lpstr>v_30_XE_ana</vt:lpstr>
      <vt:lpstr>v_30_XFeS</vt:lpstr>
      <vt:lpstr>v_30_XGLY</vt:lpstr>
      <vt:lpstr>v_30_XHAO_H</vt:lpstr>
      <vt:lpstr>v_30_XHAO_H_P</vt:lpstr>
      <vt:lpstr>v_30_XHAO_H_P_old</vt:lpstr>
      <vt:lpstr>v_30_XHAO_L</vt:lpstr>
      <vt:lpstr>v_30_XHAO_L_P</vt:lpstr>
      <vt:lpstr>v_30_XHAO_L_P_old</vt:lpstr>
      <vt:lpstr>v_30_XHAO_old</vt:lpstr>
      <vt:lpstr>v_30_XHFO_H</vt:lpstr>
      <vt:lpstr>v_30_XHFO_H_P</vt:lpstr>
      <vt:lpstr>v_30_XHFO_H_P_old</vt:lpstr>
      <vt:lpstr>v_30_XHFO_L</vt:lpstr>
      <vt:lpstr>v_30_XHFO_L_P</vt:lpstr>
      <vt:lpstr>v_30_XHFO_L_P_old</vt:lpstr>
      <vt:lpstr>v_30_XHFO_old</vt:lpstr>
      <vt:lpstr>v_30_XHMETO</vt:lpstr>
      <vt:lpstr>v_30_XHSRO</vt:lpstr>
      <vt:lpstr>v_30_XINORG</vt:lpstr>
      <vt:lpstr>v_30_XMEOLO</vt:lpstr>
      <vt:lpstr>v_30_XMOB</vt:lpstr>
      <vt:lpstr>v_30_XN_B</vt:lpstr>
      <vt:lpstr>v_30_XN_U</vt:lpstr>
      <vt:lpstr>v_30_XNOB</vt:lpstr>
      <vt:lpstr>v_30_XOHO</vt:lpstr>
      <vt:lpstr>v_30_XP_B</vt:lpstr>
      <vt:lpstr>v_30_XP_U</vt:lpstr>
      <vt:lpstr>v_30_XPHA</vt:lpstr>
      <vt:lpstr>v_30_XPP</vt:lpstr>
      <vt:lpstr>v_30_XS</vt:lpstr>
      <vt:lpstr>v_30_XSOO</vt:lpstr>
      <vt:lpstr>v_30_XSTR</vt:lpstr>
      <vt:lpstr>v_30_XU</vt:lpstr>
      <vt:lpstr>v_30_XVivi</vt:lpstr>
      <vt:lpstr>v_31_CB</vt:lpstr>
      <vt:lpstr>v_31_CU</vt:lpstr>
      <vt:lpstr>v_31_GCH4</vt:lpstr>
      <vt:lpstr>v_31_GCH4_atm</vt:lpstr>
      <vt:lpstr>v_31_GCO2</vt:lpstr>
      <vt:lpstr>v_31_GCO2_atm</vt:lpstr>
      <vt:lpstr>v_31_GH2</vt:lpstr>
      <vt:lpstr>v_31_GH2_atm</vt:lpstr>
      <vt:lpstr>v_31_GH2S</vt:lpstr>
      <vt:lpstr>v_31_GH2S_atm</vt:lpstr>
      <vt:lpstr>v_31_GN2</vt:lpstr>
      <vt:lpstr>v_31_GN2_atm</vt:lpstr>
      <vt:lpstr>v_31_GN2O</vt:lpstr>
      <vt:lpstr>v_31_GN2O_atm</vt:lpstr>
      <vt:lpstr>v_31_GNH3</vt:lpstr>
      <vt:lpstr>v_31_GNH3_atm</vt:lpstr>
      <vt:lpstr>v_31_GNO</vt:lpstr>
      <vt:lpstr>v_31_GNO_atm</vt:lpstr>
      <vt:lpstr>v_31_GO2</vt:lpstr>
      <vt:lpstr>v_31_GO2_atm</vt:lpstr>
      <vt:lpstr>v_31_H</vt:lpstr>
      <vt:lpstr>v_31_SALPHA</vt:lpstr>
      <vt:lpstr>v_31_SAN</vt:lpstr>
      <vt:lpstr>v_31_SB</vt:lpstr>
      <vt:lpstr>v_31_SCa</vt:lpstr>
      <vt:lpstr>v_31_SCAT</vt:lpstr>
      <vt:lpstr>v_31_SCH4</vt:lpstr>
      <vt:lpstr>v_31_SCO2</vt:lpstr>
      <vt:lpstr>v_31_SFe2</vt:lpstr>
      <vt:lpstr>v_31_SH2</vt:lpstr>
      <vt:lpstr>v_31_SH2S</vt:lpstr>
      <vt:lpstr>v_31_SK</vt:lpstr>
      <vt:lpstr>v_31_SMEOL</vt:lpstr>
      <vt:lpstr>v_31_SMg</vt:lpstr>
      <vt:lpstr>v_31_SMM_index</vt:lpstr>
      <vt:lpstr>v_31_SN_B</vt:lpstr>
      <vt:lpstr>v_31_SN2</vt:lpstr>
      <vt:lpstr>v_31_SN2O</vt:lpstr>
      <vt:lpstr>v_31_SNH2OH</vt:lpstr>
      <vt:lpstr>v_31_SNHx</vt:lpstr>
      <vt:lpstr>v_31_SNO_AOB</vt:lpstr>
      <vt:lpstr>v_31_SNO_OHO</vt:lpstr>
      <vt:lpstr>v_31_SNO2</vt:lpstr>
      <vt:lpstr>v_31_SNO3</vt:lpstr>
      <vt:lpstr>v_31_SO2</vt:lpstr>
      <vt:lpstr>v_31_SP_B</vt:lpstr>
      <vt:lpstr>v_31_SPO4</vt:lpstr>
      <vt:lpstr>v_31_SSO4</vt:lpstr>
      <vt:lpstr>v_31_SU</vt:lpstr>
      <vt:lpstr>v_31_SVFA</vt:lpstr>
      <vt:lpstr>v_31_XACP</vt:lpstr>
      <vt:lpstr>v_31_XAMETO</vt:lpstr>
      <vt:lpstr>v_31_XAMX</vt:lpstr>
      <vt:lpstr>v_31_XAOB</vt:lpstr>
      <vt:lpstr>v_31_XASRO</vt:lpstr>
      <vt:lpstr>v_31_XB</vt:lpstr>
      <vt:lpstr>v_31_XBSH</vt:lpstr>
      <vt:lpstr>v_31_XCaCO3</vt:lpstr>
      <vt:lpstr>v_31_XCASTO</vt:lpstr>
      <vt:lpstr>v_31_XE</vt:lpstr>
      <vt:lpstr>v_31_XE_ana</vt:lpstr>
      <vt:lpstr>v_31_XFeS</vt:lpstr>
      <vt:lpstr>v_31_XGLY</vt:lpstr>
      <vt:lpstr>v_31_XHAO_H</vt:lpstr>
      <vt:lpstr>v_31_XHAO_H_P</vt:lpstr>
      <vt:lpstr>v_31_XHAO_H_P_old</vt:lpstr>
      <vt:lpstr>v_31_XHAO_L</vt:lpstr>
      <vt:lpstr>v_31_XHAO_L_P</vt:lpstr>
      <vt:lpstr>v_31_XHAO_L_P_old</vt:lpstr>
      <vt:lpstr>v_31_XHAO_old</vt:lpstr>
      <vt:lpstr>v_31_XHFO_H</vt:lpstr>
      <vt:lpstr>v_31_XHFO_H_P</vt:lpstr>
      <vt:lpstr>v_31_XHFO_H_P_old</vt:lpstr>
      <vt:lpstr>v_31_XHFO_L</vt:lpstr>
      <vt:lpstr>v_31_XHFO_L_P</vt:lpstr>
      <vt:lpstr>v_31_XHFO_L_P_old</vt:lpstr>
      <vt:lpstr>v_31_XHFO_old</vt:lpstr>
      <vt:lpstr>v_31_XHMETO</vt:lpstr>
      <vt:lpstr>v_31_XHSRO</vt:lpstr>
      <vt:lpstr>v_31_XINORG</vt:lpstr>
      <vt:lpstr>v_31_XMEOLO</vt:lpstr>
      <vt:lpstr>v_31_XMOB</vt:lpstr>
      <vt:lpstr>v_31_XN_B</vt:lpstr>
      <vt:lpstr>v_31_XN_U</vt:lpstr>
      <vt:lpstr>v_31_XNOB</vt:lpstr>
      <vt:lpstr>v_31_XOHO</vt:lpstr>
      <vt:lpstr>v_31_XP_B</vt:lpstr>
      <vt:lpstr>v_31_XP_U</vt:lpstr>
      <vt:lpstr>v_31_XPHA</vt:lpstr>
      <vt:lpstr>v_31_XPP</vt:lpstr>
      <vt:lpstr>v_31_XS</vt:lpstr>
      <vt:lpstr>v_31_XSOO</vt:lpstr>
      <vt:lpstr>v_31_XSTR</vt:lpstr>
      <vt:lpstr>v_31_XU</vt:lpstr>
      <vt:lpstr>v_31_XVivi</vt:lpstr>
      <vt:lpstr>v_32_CB</vt:lpstr>
      <vt:lpstr>v_32_CU</vt:lpstr>
      <vt:lpstr>v_32_GCH4</vt:lpstr>
      <vt:lpstr>v_32_GCH4_atm</vt:lpstr>
      <vt:lpstr>v_32_GCO2</vt:lpstr>
      <vt:lpstr>v_32_GCO2_atm</vt:lpstr>
      <vt:lpstr>v_32_GH2</vt:lpstr>
      <vt:lpstr>v_32_GH2_atm</vt:lpstr>
      <vt:lpstr>v_32_GH2S</vt:lpstr>
      <vt:lpstr>v_32_GH2S_atm</vt:lpstr>
      <vt:lpstr>v_32_GN2</vt:lpstr>
      <vt:lpstr>v_32_GN2_atm</vt:lpstr>
      <vt:lpstr>v_32_GN2O</vt:lpstr>
      <vt:lpstr>v_32_GN2O_atm</vt:lpstr>
      <vt:lpstr>v_32_GNH3</vt:lpstr>
      <vt:lpstr>v_32_GNH3_atm</vt:lpstr>
      <vt:lpstr>v_32_GNO</vt:lpstr>
      <vt:lpstr>v_32_GNO_atm</vt:lpstr>
      <vt:lpstr>v_32_GO2</vt:lpstr>
      <vt:lpstr>v_32_GO2_atm</vt:lpstr>
      <vt:lpstr>v_32_H</vt:lpstr>
      <vt:lpstr>v_32_SALPHA</vt:lpstr>
      <vt:lpstr>v_32_SAN</vt:lpstr>
      <vt:lpstr>v_32_SB</vt:lpstr>
      <vt:lpstr>v_32_SCa</vt:lpstr>
      <vt:lpstr>v_32_SCAT</vt:lpstr>
      <vt:lpstr>v_32_SCH4</vt:lpstr>
      <vt:lpstr>v_32_SCO2</vt:lpstr>
      <vt:lpstr>v_32_SFe2</vt:lpstr>
      <vt:lpstr>v_32_SH2</vt:lpstr>
      <vt:lpstr>v_32_SH2S</vt:lpstr>
      <vt:lpstr>v_32_SK</vt:lpstr>
      <vt:lpstr>v_32_SMEOL</vt:lpstr>
      <vt:lpstr>v_32_SMg</vt:lpstr>
      <vt:lpstr>v_32_SMM_index</vt:lpstr>
      <vt:lpstr>v_32_SN_B</vt:lpstr>
      <vt:lpstr>v_32_SN2</vt:lpstr>
      <vt:lpstr>v_32_SN2O</vt:lpstr>
      <vt:lpstr>v_32_SNH2OH</vt:lpstr>
      <vt:lpstr>v_32_SNHx</vt:lpstr>
      <vt:lpstr>v_32_SNO_AOB</vt:lpstr>
      <vt:lpstr>v_32_SNO_OHO</vt:lpstr>
      <vt:lpstr>v_32_SNO2</vt:lpstr>
      <vt:lpstr>v_32_SNO3</vt:lpstr>
      <vt:lpstr>v_32_SO2</vt:lpstr>
      <vt:lpstr>v_32_SP_B</vt:lpstr>
      <vt:lpstr>v_32_SPO4</vt:lpstr>
      <vt:lpstr>v_32_SSO4</vt:lpstr>
      <vt:lpstr>v_32_SU</vt:lpstr>
      <vt:lpstr>v_32_SVFA</vt:lpstr>
      <vt:lpstr>v_32_XACP</vt:lpstr>
      <vt:lpstr>v_32_XAMETO</vt:lpstr>
      <vt:lpstr>v_32_XAMX</vt:lpstr>
      <vt:lpstr>v_32_XAOB</vt:lpstr>
      <vt:lpstr>v_32_XASRO</vt:lpstr>
      <vt:lpstr>v_32_XB</vt:lpstr>
      <vt:lpstr>v_32_XBSH</vt:lpstr>
      <vt:lpstr>v_32_XCaCO3</vt:lpstr>
      <vt:lpstr>v_32_XCASTO</vt:lpstr>
      <vt:lpstr>v_32_XE</vt:lpstr>
      <vt:lpstr>v_32_XE_ana</vt:lpstr>
      <vt:lpstr>v_32_XFeS</vt:lpstr>
      <vt:lpstr>v_32_XGLY</vt:lpstr>
      <vt:lpstr>v_32_XHAO_H</vt:lpstr>
      <vt:lpstr>v_32_XHAO_H_P</vt:lpstr>
      <vt:lpstr>v_32_XHAO_H_P_old</vt:lpstr>
      <vt:lpstr>v_32_XHAO_L</vt:lpstr>
      <vt:lpstr>v_32_XHAO_L_P</vt:lpstr>
      <vt:lpstr>v_32_XHAO_L_P_old</vt:lpstr>
      <vt:lpstr>v_32_XHAO_old</vt:lpstr>
      <vt:lpstr>v_32_XHFO_H</vt:lpstr>
      <vt:lpstr>v_32_XHFO_H_P</vt:lpstr>
      <vt:lpstr>v_32_XHFO_H_P_old</vt:lpstr>
      <vt:lpstr>v_32_XHFO_L</vt:lpstr>
      <vt:lpstr>v_32_XHFO_L_P</vt:lpstr>
      <vt:lpstr>v_32_XHFO_L_P_old</vt:lpstr>
      <vt:lpstr>v_32_XHFO_old</vt:lpstr>
      <vt:lpstr>v_32_XHMETO</vt:lpstr>
      <vt:lpstr>v_32_XHSRO</vt:lpstr>
      <vt:lpstr>v_32_XINORG</vt:lpstr>
      <vt:lpstr>v_32_XMEOLO</vt:lpstr>
      <vt:lpstr>v_32_XMOB</vt:lpstr>
      <vt:lpstr>v_32_XN_B</vt:lpstr>
      <vt:lpstr>v_32_XN_U</vt:lpstr>
      <vt:lpstr>v_32_XNOB</vt:lpstr>
      <vt:lpstr>v_32_XOHO</vt:lpstr>
      <vt:lpstr>v_32_XP_B</vt:lpstr>
      <vt:lpstr>v_32_XP_U</vt:lpstr>
      <vt:lpstr>v_32_XPHA</vt:lpstr>
      <vt:lpstr>v_32_XPP</vt:lpstr>
      <vt:lpstr>v_32_XS</vt:lpstr>
      <vt:lpstr>v_32_XSOO</vt:lpstr>
      <vt:lpstr>v_32_XSTR</vt:lpstr>
      <vt:lpstr>v_32_XU</vt:lpstr>
      <vt:lpstr>v_32_XVivi</vt:lpstr>
      <vt:lpstr>v_33_CB</vt:lpstr>
      <vt:lpstr>v_33_CU</vt:lpstr>
      <vt:lpstr>v_33_GCH4</vt:lpstr>
      <vt:lpstr>v_33_GCH4_atm</vt:lpstr>
      <vt:lpstr>v_33_GCO2</vt:lpstr>
      <vt:lpstr>v_33_GCO2_atm</vt:lpstr>
      <vt:lpstr>v_33_GH2</vt:lpstr>
      <vt:lpstr>v_33_GH2_atm</vt:lpstr>
      <vt:lpstr>v_33_GH2S</vt:lpstr>
      <vt:lpstr>v_33_GH2S_atm</vt:lpstr>
      <vt:lpstr>v_33_GN2</vt:lpstr>
      <vt:lpstr>v_33_GN2_atm</vt:lpstr>
      <vt:lpstr>v_33_GN2O</vt:lpstr>
      <vt:lpstr>v_33_GN2O_atm</vt:lpstr>
      <vt:lpstr>v_33_GNH3</vt:lpstr>
      <vt:lpstr>v_33_GNH3_atm</vt:lpstr>
      <vt:lpstr>v_33_GNO</vt:lpstr>
      <vt:lpstr>v_33_GNO_atm</vt:lpstr>
      <vt:lpstr>v_33_GO2</vt:lpstr>
      <vt:lpstr>v_33_GO2_atm</vt:lpstr>
      <vt:lpstr>v_33_H</vt:lpstr>
      <vt:lpstr>v_33_SALPHA</vt:lpstr>
      <vt:lpstr>v_33_SAN</vt:lpstr>
      <vt:lpstr>v_33_SB</vt:lpstr>
      <vt:lpstr>v_33_SCa</vt:lpstr>
      <vt:lpstr>v_33_SCAT</vt:lpstr>
      <vt:lpstr>v_33_SCH4</vt:lpstr>
      <vt:lpstr>v_33_SCO2</vt:lpstr>
      <vt:lpstr>v_33_SFe2</vt:lpstr>
      <vt:lpstr>v_33_SH2</vt:lpstr>
      <vt:lpstr>v_33_SH2S</vt:lpstr>
      <vt:lpstr>v_33_SK</vt:lpstr>
      <vt:lpstr>v_33_SMEOL</vt:lpstr>
      <vt:lpstr>v_33_SMg</vt:lpstr>
      <vt:lpstr>v_33_SMM_index</vt:lpstr>
      <vt:lpstr>v_33_SN_B</vt:lpstr>
      <vt:lpstr>v_33_SN2</vt:lpstr>
      <vt:lpstr>v_33_SN2O</vt:lpstr>
      <vt:lpstr>v_33_SNH2OH</vt:lpstr>
      <vt:lpstr>v_33_SNHx</vt:lpstr>
      <vt:lpstr>v_33_SNO_AOB</vt:lpstr>
      <vt:lpstr>v_33_SNO_OHO</vt:lpstr>
      <vt:lpstr>v_33_SNO2</vt:lpstr>
      <vt:lpstr>v_33_SNO3</vt:lpstr>
      <vt:lpstr>v_33_SO2</vt:lpstr>
      <vt:lpstr>v_33_SP_B</vt:lpstr>
      <vt:lpstr>v_33_SPO4</vt:lpstr>
      <vt:lpstr>v_33_SSO4</vt:lpstr>
      <vt:lpstr>v_33_SU</vt:lpstr>
      <vt:lpstr>v_33_SVFA</vt:lpstr>
      <vt:lpstr>v_33_XACP</vt:lpstr>
      <vt:lpstr>v_33_XAMETO</vt:lpstr>
      <vt:lpstr>v_33_XAMX</vt:lpstr>
      <vt:lpstr>v_33_XAOB</vt:lpstr>
      <vt:lpstr>v_33_XASRO</vt:lpstr>
      <vt:lpstr>v_33_XB</vt:lpstr>
      <vt:lpstr>v_33_XBSH</vt:lpstr>
      <vt:lpstr>v_33_XCaCO3</vt:lpstr>
      <vt:lpstr>v_33_XCASTO</vt:lpstr>
      <vt:lpstr>v_33_XE</vt:lpstr>
      <vt:lpstr>v_33_XE_ana</vt:lpstr>
      <vt:lpstr>v_33_XFeS</vt:lpstr>
      <vt:lpstr>v_33_XGLY</vt:lpstr>
      <vt:lpstr>v_33_XHAO_H</vt:lpstr>
      <vt:lpstr>v_33_XHAO_H_P</vt:lpstr>
      <vt:lpstr>v_33_XHAO_H_P_old</vt:lpstr>
      <vt:lpstr>v_33_XHAO_L</vt:lpstr>
      <vt:lpstr>v_33_XHAO_L_P</vt:lpstr>
      <vt:lpstr>v_33_XHAO_L_P_old</vt:lpstr>
      <vt:lpstr>v_33_XHAO_old</vt:lpstr>
      <vt:lpstr>v_33_XHFO_H</vt:lpstr>
      <vt:lpstr>v_33_XHFO_H_P</vt:lpstr>
      <vt:lpstr>v_33_XHFO_H_P_old</vt:lpstr>
      <vt:lpstr>v_33_XHFO_L</vt:lpstr>
      <vt:lpstr>v_33_XHFO_L_P</vt:lpstr>
      <vt:lpstr>v_33_XHFO_L_P_old</vt:lpstr>
      <vt:lpstr>v_33_XHFO_old</vt:lpstr>
      <vt:lpstr>v_33_XHMETO</vt:lpstr>
      <vt:lpstr>v_33_XHSRO</vt:lpstr>
      <vt:lpstr>v_33_XINORG</vt:lpstr>
      <vt:lpstr>v_33_XMEOLO</vt:lpstr>
      <vt:lpstr>v_33_XMOB</vt:lpstr>
      <vt:lpstr>v_33_XN_B</vt:lpstr>
      <vt:lpstr>v_33_XN_U</vt:lpstr>
      <vt:lpstr>v_33_XNOB</vt:lpstr>
      <vt:lpstr>v_33_XOHO</vt:lpstr>
      <vt:lpstr>v_33_XP_B</vt:lpstr>
      <vt:lpstr>v_33_XP_U</vt:lpstr>
      <vt:lpstr>v_33_XPHA</vt:lpstr>
      <vt:lpstr>v_33_XPP</vt:lpstr>
      <vt:lpstr>v_33_XS</vt:lpstr>
      <vt:lpstr>v_33_XSOO</vt:lpstr>
      <vt:lpstr>v_33_XSTR</vt:lpstr>
      <vt:lpstr>v_33_XU</vt:lpstr>
      <vt:lpstr>v_33_XVivi</vt:lpstr>
      <vt:lpstr>v_34_CB</vt:lpstr>
      <vt:lpstr>v_34_CU</vt:lpstr>
      <vt:lpstr>v_34_GCH4</vt:lpstr>
      <vt:lpstr>v_34_GCH4_atm</vt:lpstr>
      <vt:lpstr>v_34_GCO2</vt:lpstr>
      <vt:lpstr>v_34_GCO2_atm</vt:lpstr>
      <vt:lpstr>v_34_GH2</vt:lpstr>
      <vt:lpstr>v_34_GH2_atm</vt:lpstr>
      <vt:lpstr>v_34_GH2S</vt:lpstr>
      <vt:lpstr>v_34_GH2S_atm</vt:lpstr>
      <vt:lpstr>v_34_GN2</vt:lpstr>
      <vt:lpstr>v_34_GN2_atm</vt:lpstr>
      <vt:lpstr>v_34_GN2O</vt:lpstr>
      <vt:lpstr>v_34_GN2O_atm</vt:lpstr>
      <vt:lpstr>v_34_GNH3</vt:lpstr>
      <vt:lpstr>v_34_GNH3_atm</vt:lpstr>
      <vt:lpstr>v_34_GNO</vt:lpstr>
      <vt:lpstr>v_34_GNO_atm</vt:lpstr>
      <vt:lpstr>v_34_GO2</vt:lpstr>
      <vt:lpstr>v_34_GO2_atm</vt:lpstr>
      <vt:lpstr>v_34_H</vt:lpstr>
      <vt:lpstr>v_34_SALPHA</vt:lpstr>
      <vt:lpstr>v_34_SAN</vt:lpstr>
      <vt:lpstr>v_34_SB</vt:lpstr>
      <vt:lpstr>v_34_SCa</vt:lpstr>
      <vt:lpstr>v_34_SCAT</vt:lpstr>
      <vt:lpstr>v_34_SCH4</vt:lpstr>
      <vt:lpstr>v_34_SCO2</vt:lpstr>
      <vt:lpstr>v_34_SFe2</vt:lpstr>
      <vt:lpstr>v_34_SH2</vt:lpstr>
      <vt:lpstr>v_34_SH2S</vt:lpstr>
      <vt:lpstr>v_34_SK</vt:lpstr>
      <vt:lpstr>v_34_SMEOL</vt:lpstr>
      <vt:lpstr>v_34_SMg</vt:lpstr>
      <vt:lpstr>v_34_SMM_index</vt:lpstr>
      <vt:lpstr>v_34_SN_B</vt:lpstr>
      <vt:lpstr>v_34_SN2</vt:lpstr>
      <vt:lpstr>v_34_SN2O</vt:lpstr>
      <vt:lpstr>v_34_SNH2OH</vt:lpstr>
      <vt:lpstr>v_34_SNHx</vt:lpstr>
      <vt:lpstr>v_34_SNO_AOB</vt:lpstr>
      <vt:lpstr>v_34_SNO_OHO</vt:lpstr>
      <vt:lpstr>v_34_SNO2</vt:lpstr>
      <vt:lpstr>v_34_SNO3</vt:lpstr>
      <vt:lpstr>v_34_SO2</vt:lpstr>
      <vt:lpstr>v_34_SP_B</vt:lpstr>
      <vt:lpstr>v_34_SPO4</vt:lpstr>
      <vt:lpstr>v_34_SSO4</vt:lpstr>
      <vt:lpstr>v_34_SU</vt:lpstr>
      <vt:lpstr>v_34_SVFA</vt:lpstr>
      <vt:lpstr>v_34_XACP</vt:lpstr>
      <vt:lpstr>v_34_XAMETO</vt:lpstr>
      <vt:lpstr>v_34_XAMX</vt:lpstr>
      <vt:lpstr>v_34_XAOB</vt:lpstr>
      <vt:lpstr>v_34_XASRO</vt:lpstr>
      <vt:lpstr>v_34_XB</vt:lpstr>
      <vt:lpstr>v_34_XBSH</vt:lpstr>
      <vt:lpstr>v_34_XCaCO3</vt:lpstr>
      <vt:lpstr>v_34_XCASTO</vt:lpstr>
      <vt:lpstr>v_34_XE</vt:lpstr>
      <vt:lpstr>v_34_XE_ana</vt:lpstr>
      <vt:lpstr>v_34_XFeS</vt:lpstr>
      <vt:lpstr>v_34_XGLY</vt:lpstr>
      <vt:lpstr>v_34_XHAO_H</vt:lpstr>
      <vt:lpstr>v_34_XHAO_H_P</vt:lpstr>
      <vt:lpstr>v_34_XHAO_H_P_old</vt:lpstr>
      <vt:lpstr>v_34_XHAO_L</vt:lpstr>
      <vt:lpstr>v_34_XHAO_L_P</vt:lpstr>
      <vt:lpstr>v_34_XHAO_L_P_old</vt:lpstr>
      <vt:lpstr>v_34_XHAO_old</vt:lpstr>
      <vt:lpstr>v_34_XHFO_H</vt:lpstr>
      <vt:lpstr>v_34_XHFO_H_P</vt:lpstr>
      <vt:lpstr>v_34_XHFO_H_P_old</vt:lpstr>
      <vt:lpstr>v_34_XHFO_L</vt:lpstr>
      <vt:lpstr>v_34_XHFO_L_P</vt:lpstr>
      <vt:lpstr>v_34_XHFO_L_P_old</vt:lpstr>
      <vt:lpstr>v_34_XHFO_old</vt:lpstr>
      <vt:lpstr>v_34_XHMETO</vt:lpstr>
      <vt:lpstr>v_34_XHSRO</vt:lpstr>
      <vt:lpstr>v_34_XINORG</vt:lpstr>
      <vt:lpstr>v_34_XMEOLO</vt:lpstr>
      <vt:lpstr>v_34_XMOB</vt:lpstr>
      <vt:lpstr>v_34_XN_B</vt:lpstr>
      <vt:lpstr>v_34_XN_U</vt:lpstr>
      <vt:lpstr>v_34_XNOB</vt:lpstr>
      <vt:lpstr>v_34_XOHO</vt:lpstr>
      <vt:lpstr>v_34_XP_B</vt:lpstr>
      <vt:lpstr>v_34_XP_U</vt:lpstr>
      <vt:lpstr>v_34_XPHA</vt:lpstr>
      <vt:lpstr>v_34_XPP</vt:lpstr>
      <vt:lpstr>v_34_XS</vt:lpstr>
      <vt:lpstr>v_34_XSOO</vt:lpstr>
      <vt:lpstr>v_34_XSTR</vt:lpstr>
      <vt:lpstr>v_34_XU</vt:lpstr>
      <vt:lpstr>v_34_XVivi</vt:lpstr>
      <vt:lpstr>v_35_CB</vt:lpstr>
      <vt:lpstr>v_35_CU</vt:lpstr>
      <vt:lpstr>v_35_GCH4</vt:lpstr>
      <vt:lpstr>v_35_GCH4_atm</vt:lpstr>
      <vt:lpstr>v_35_GCO2</vt:lpstr>
      <vt:lpstr>v_35_GCO2_atm</vt:lpstr>
      <vt:lpstr>v_35_GH2</vt:lpstr>
      <vt:lpstr>v_35_GH2_atm</vt:lpstr>
      <vt:lpstr>v_35_GH2S</vt:lpstr>
      <vt:lpstr>v_35_GH2S_atm</vt:lpstr>
      <vt:lpstr>v_35_GN2</vt:lpstr>
      <vt:lpstr>v_35_GN2_atm</vt:lpstr>
      <vt:lpstr>v_35_GN2O</vt:lpstr>
      <vt:lpstr>v_35_GN2O_atm</vt:lpstr>
      <vt:lpstr>v_35_GNH3</vt:lpstr>
      <vt:lpstr>v_35_GNH3_atm</vt:lpstr>
      <vt:lpstr>v_35_GNO</vt:lpstr>
      <vt:lpstr>v_35_GNO_atm</vt:lpstr>
      <vt:lpstr>v_35_GO2</vt:lpstr>
      <vt:lpstr>v_35_GO2_atm</vt:lpstr>
      <vt:lpstr>v_35_H</vt:lpstr>
      <vt:lpstr>v_35_SALPHA</vt:lpstr>
      <vt:lpstr>v_35_SAN</vt:lpstr>
      <vt:lpstr>v_35_SB</vt:lpstr>
      <vt:lpstr>v_35_SCa</vt:lpstr>
      <vt:lpstr>v_35_SCAT</vt:lpstr>
      <vt:lpstr>v_35_SCH4</vt:lpstr>
      <vt:lpstr>v_35_SCO2</vt:lpstr>
      <vt:lpstr>v_35_SFe2</vt:lpstr>
      <vt:lpstr>v_35_SH2</vt:lpstr>
      <vt:lpstr>v_35_SH2S</vt:lpstr>
      <vt:lpstr>v_35_SK</vt:lpstr>
      <vt:lpstr>v_35_SMEOL</vt:lpstr>
      <vt:lpstr>v_35_SMg</vt:lpstr>
      <vt:lpstr>v_35_SMM_index</vt:lpstr>
      <vt:lpstr>v_35_SN_B</vt:lpstr>
      <vt:lpstr>v_35_SN2</vt:lpstr>
      <vt:lpstr>v_35_SN2O</vt:lpstr>
      <vt:lpstr>v_35_SNH2OH</vt:lpstr>
      <vt:lpstr>v_35_SNHx</vt:lpstr>
      <vt:lpstr>v_35_SNO_AOB</vt:lpstr>
      <vt:lpstr>v_35_SNO_OHO</vt:lpstr>
      <vt:lpstr>v_35_SNO2</vt:lpstr>
      <vt:lpstr>v_35_SNO3</vt:lpstr>
      <vt:lpstr>v_35_SO2</vt:lpstr>
      <vt:lpstr>v_35_SP_B</vt:lpstr>
      <vt:lpstr>v_35_SPO4</vt:lpstr>
      <vt:lpstr>v_35_SSO4</vt:lpstr>
      <vt:lpstr>v_35_SU</vt:lpstr>
      <vt:lpstr>v_35_SVFA</vt:lpstr>
      <vt:lpstr>v_35_XACP</vt:lpstr>
      <vt:lpstr>v_35_XAMETO</vt:lpstr>
      <vt:lpstr>v_35_XAMX</vt:lpstr>
      <vt:lpstr>v_35_XAOB</vt:lpstr>
      <vt:lpstr>v_35_XASRO</vt:lpstr>
      <vt:lpstr>v_35_XB</vt:lpstr>
      <vt:lpstr>v_35_XBSH</vt:lpstr>
      <vt:lpstr>v_35_XCaCO3</vt:lpstr>
      <vt:lpstr>v_35_XCASTO</vt:lpstr>
      <vt:lpstr>v_35_XE</vt:lpstr>
      <vt:lpstr>v_35_XE_ana</vt:lpstr>
      <vt:lpstr>v_35_XFeS</vt:lpstr>
      <vt:lpstr>v_35_XGLY</vt:lpstr>
      <vt:lpstr>v_35_XHAO_H</vt:lpstr>
      <vt:lpstr>v_35_XHAO_H_P</vt:lpstr>
      <vt:lpstr>v_35_XHAO_H_P_old</vt:lpstr>
      <vt:lpstr>v_35_XHAO_L</vt:lpstr>
      <vt:lpstr>v_35_XHAO_L_P</vt:lpstr>
      <vt:lpstr>v_35_XHAO_L_P_old</vt:lpstr>
      <vt:lpstr>v_35_XHAO_old</vt:lpstr>
      <vt:lpstr>v_35_XHFO_H</vt:lpstr>
      <vt:lpstr>v_35_XHFO_H_P</vt:lpstr>
      <vt:lpstr>v_35_XHFO_H_P_old</vt:lpstr>
      <vt:lpstr>v_35_XHFO_L</vt:lpstr>
      <vt:lpstr>v_35_XHFO_L_P</vt:lpstr>
      <vt:lpstr>v_35_XHFO_L_P_old</vt:lpstr>
      <vt:lpstr>v_35_XHFO_old</vt:lpstr>
      <vt:lpstr>v_35_XHMETO</vt:lpstr>
      <vt:lpstr>v_35_XHSRO</vt:lpstr>
      <vt:lpstr>v_35_XINORG</vt:lpstr>
      <vt:lpstr>v_35_XMEOLO</vt:lpstr>
      <vt:lpstr>v_35_XMOB</vt:lpstr>
      <vt:lpstr>v_35_XN_B</vt:lpstr>
      <vt:lpstr>v_35_XN_U</vt:lpstr>
      <vt:lpstr>v_35_XNOB</vt:lpstr>
      <vt:lpstr>v_35_XOHO</vt:lpstr>
      <vt:lpstr>v_35_XP_B</vt:lpstr>
      <vt:lpstr>v_35_XP_U</vt:lpstr>
      <vt:lpstr>v_35_XPHA</vt:lpstr>
      <vt:lpstr>v_35_XPP</vt:lpstr>
      <vt:lpstr>v_35_XS</vt:lpstr>
      <vt:lpstr>v_35_XSOO</vt:lpstr>
      <vt:lpstr>v_35_XSTR</vt:lpstr>
      <vt:lpstr>v_35_XU</vt:lpstr>
      <vt:lpstr>v_35_XVivi</vt:lpstr>
      <vt:lpstr>v_36_CB</vt:lpstr>
      <vt:lpstr>v_36_CU</vt:lpstr>
      <vt:lpstr>v_36_GCH4</vt:lpstr>
      <vt:lpstr>v_36_GCH4_atm</vt:lpstr>
      <vt:lpstr>v_36_GCO2</vt:lpstr>
      <vt:lpstr>v_36_GCO2_atm</vt:lpstr>
      <vt:lpstr>v_36_GH2</vt:lpstr>
      <vt:lpstr>v_36_GH2_atm</vt:lpstr>
      <vt:lpstr>v_36_GH2S</vt:lpstr>
      <vt:lpstr>v_36_GH2S_atm</vt:lpstr>
      <vt:lpstr>v_36_GN2</vt:lpstr>
      <vt:lpstr>v_36_GN2_atm</vt:lpstr>
      <vt:lpstr>v_36_GN2O</vt:lpstr>
      <vt:lpstr>v_36_GN2O_atm</vt:lpstr>
      <vt:lpstr>v_36_GNH3</vt:lpstr>
      <vt:lpstr>v_36_GNH3_atm</vt:lpstr>
      <vt:lpstr>v_36_GNO</vt:lpstr>
      <vt:lpstr>v_36_GNO_atm</vt:lpstr>
      <vt:lpstr>v_36_GO2</vt:lpstr>
      <vt:lpstr>v_36_GO2_atm</vt:lpstr>
      <vt:lpstr>v_36_H</vt:lpstr>
      <vt:lpstr>v_36_SALPHA</vt:lpstr>
      <vt:lpstr>v_36_SAN</vt:lpstr>
      <vt:lpstr>v_36_SB</vt:lpstr>
      <vt:lpstr>v_36_SCa</vt:lpstr>
      <vt:lpstr>v_36_SCAT</vt:lpstr>
      <vt:lpstr>v_36_SCH4</vt:lpstr>
      <vt:lpstr>v_36_SCO2</vt:lpstr>
      <vt:lpstr>v_36_SFe2</vt:lpstr>
      <vt:lpstr>v_36_SH2</vt:lpstr>
      <vt:lpstr>v_36_SH2S</vt:lpstr>
      <vt:lpstr>v_36_SK</vt:lpstr>
      <vt:lpstr>v_36_SMEOL</vt:lpstr>
      <vt:lpstr>v_36_SMg</vt:lpstr>
      <vt:lpstr>v_36_SMM_index</vt:lpstr>
      <vt:lpstr>v_36_SN_B</vt:lpstr>
      <vt:lpstr>v_36_SN2</vt:lpstr>
      <vt:lpstr>v_36_SN2O</vt:lpstr>
      <vt:lpstr>v_36_SNH2OH</vt:lpstr>
      <vt:lpstr>v_36_SNHx</vt:lpstr>
      <vt:lpstr>v_36_SNO_AOB</vt:lpstr>
      <vt:lpstr>v_36_SNO_OHO</vt:lpstr>
      <vt:lpstr>v_36_SNO2</vt:lpstr>
      <vt:lpstr>v_36_SNO3</vt:lpstr>
      <vt:lpstr>v_36_SO2</vt:lpstr>
      <vt:lpstr>v_36_SP_B</vt:lpstr>
      <vt:lpstr>v_36_SPO4</vt:lpstr>
      <vt:lpstr>v_36_SSO4</vt:lpstr>
      <vt:lpstr>v_36_SU</vt:lpstr>
      <vt:lpstr>v_36_SVFA</vt:lpstr>
      <vt:lpstr>v_36_XACP</vt:lpstr>
      <vt:lpstr>v_36_XAMETO</vt:lpstr>
      <vt:lpstr>v_36_XAMX</vt:lpstr>
      <vt:lpstr>v_36_XAOB</vt:lpstr>
      <vt:lpstr>v_36_XASRO</vt:lpstr>
      <vt:lpstr>v_36_XB</vt:lpstr>
      <vt:lpstr>v_36_XBSH</vt:lpstr>
      <vt:lpstr>v_36_XCaCO3</vt:lpstr>
      <vt:lpstr>v_36_XCASTO</vt:lpstr>
      <vt:lpstr>v_36_XE</vt:lpstr>
      <vt:lpstr>v_36_XE_ana</vt:lpstr>
      <vt:lpstr>v_36_XFeS</vt:lpstr>
      <vt:lpstr>v_36_XGLY</vt:lpstr>
      <vt:lpstr>v_36_XHAO_H</vt:lpstr>
      <vt:lpstr>v_36_XHAO_H_P</vt:lpstr>
      <vt:lpstr>v_36_XHAO_H_P_old</vt:lpstr>
      <vt:lpstr>v_36_XHAO_L</vt:lpstr>
      <vt:lpstr>v_36_XHAO_L_P</vt:lpstr>
      <vt:lpstr>v_36_XHAO_L_P_old</vt:lpstr>
      <vt:lpstr>v_36_XHAO_old</vt:lpstr>
      <vt:lpstr>v_36_XHFO_H</vt:lpstr>
      <vt:lpstr>v_36_XHFO_H_P</vt:lpstr>
      <vt:lpstr>v_36_XHFO_H_P_old</vt:lpstr>
      <vt:lpstr>v_36_XHFO_L</vt:lpstr>
      <vt:lpstr>v_36_XHFO_L_P</vt:lpstr>
      <vt:lpstr>v_36_XHFO_L_P_old</vt:lpstr>
      <vt:lpstr>v_36_XHFO_old</vt:lpstr>
      <vt:lpstr>v_36_XHMETO</vt:lpstr>
      <vt:lpstr>v_36_XHSRO</vt:lpstr>
      <vt:lpstr>v_36_XINORG</vt:lpstr>
      <vt:lpstr>v_36_XMEOLO</vt:lpstr>
      <vt:lpstr>v_36_XMOB</vt:lpstr>
      <vt:lpstr>v_36_XN_B</vt:lpstr>
      <vt:lpstr>v_36_XN_U</vt:lpstr>
      <vt:lpstr>v_36_XNOB</vt:lpstr>
      <vt:lpstr>v_36_XOHO</vt:lpstr>
      <vt:lpstr>v_36_XP_B</vt:lpstr>
      <vt:lpstr>v_36_XP_U</vt:lpstr>
      <vt:lpstr>v_36_XPHA</vt:lpstr>
      <vt:lpstr>v_36_XPP</vt:lpstr>
      <vt:lpstr>v_36_XS</vt:lpstr>
      <vt:lpstr>v_36_XSOO</vt:lpstr>
      <vt:lpstr>v_36_XSTR</vt:lpstr>
      <vt:lpstr>v_36_XU</vt:lpstr>
      <vt:lpstr>v_36_XVivi</vt:lpstr>
      <vt:lpstr>v_37_CB</vt:lpstr>
      <vt:lpstr>v_37_CU</vt:lpstr>
      <vt:lpstr>v_37_GCH4</vt:lpstr>
      <vt:lpstr>v_37_GCH4_atm</vt:lpstr>
      <vt:lpstr>v_37_GCO2</vt:lpstr>
      <vt:lpstr>v_37_GCO2_atm</vt:lpstr>
      <vt:lpstr>v_37_GH2</vt:lpstr>
      <vt:lpstr>v_37_GH2_atm</vt:lpstr>
      <vt:lpstr>v_37_GH2S</vt:lpstr>
      <vt:lpstr>v_37_GH2S_atm</vt:lpstr>
      <vt:lpstr>v_37_GN2</vt:lpstr>
      <vt:lpstr>v_37_GN2_atm</vt:lpstr>
      <vt:lpstr>v_37_GN2O</vt:lpstr>
      <vt:lpstr>v_37_GN2O_atm</vt:lpstr>
      <vt:lpstr>v_37_GNH3</vt:lpstr>
      <vt:lpstr>v_37_GNH3_atm</vt:lpstr>
      <vt:lpstr>v_37_GNO</vt:lpstr>
      <vt:lpstr>v_37_GNO_atm</vt:lpstr>
      <vt:lpstr>v_37_GO2</vt:lpstr>
      <vt:lpstr>v_37_GO2_atm</vt:lpstr>
      <vt:lpstr>v_37_H</vt:lpstr>
      <vt:lpstr>v_37_SALPHA</vt:lpstr>
      <vt:lpstr>v_37_SAN</vt:lpstr>
      <vt:lpstr>v_37_SB</vt:lpstr>
      <vt:lpstr>v_37_SCa</vt:lpstr>
      <vt:lpstr>v_37_SCAT</vt:lpstr>
      <vt:lpstr>v_37_SCH4</vt:lpstr>
      <vt:lpstr>v_37_SCO2</vt:lpstr>
      <vt:lpstr>v_37_SFe2</vt:lpstr>
      <vt:lpstr>v_37_SH2</vt:lpstr>
      <vt:lpstr>v_37_SH2S</vt:lpstr>
      <vt:lpstr>v_37_SK</vt:lpstr>
      <vt:lpstr>v_37_SMEOL</vt:lpstr>
      <vt:lpstr>v_37_SMg</vt:lpstr>
      <vt:lpstr>v_37_SMM_index</vt:lpstr>
      <vt:lpstr>v_37_SN_B</vt:lpstr>
      <vt:lpstr>v_37_SN2</vt:lpstr>
      <vt:lpstr>v_37_SN2O</vt:lpstr>
      <vt:lpstr>v_37_SNH2OH</vt:lpstr>
      <vt:lpstr>v_37_SNHx</vt:lpstr>
      <vt:lpstr>v_37_SNO_AOB</vt:lpstr>
      <vt:lpstr>v_37_SNO_OHO</vt:lpstr>
      <vt:lpstr>v_37_SNO2</vt:lpstr>
      <vt:lpstr>v_37_SNO3</vt:lpstr>
      <vt:lpstr>v_37_SO2</vt:lpstr>
      <vt:lpstr>v_37_SP_B</vt:lpstr>
      <vt:lpstr>v_37_SPO4</vt:lpstr>
      <vt:lpstr>v_37_SSO4</vt:lpstr>
      <vt:lpstr>v_37_SU</vt:lpstr>
      <vt:lpstr>v_37_SVFA</vt:lpstr>
      <vt:lpstr>v_37_XACP</vt:lpstr>
      <vt:lpstr>v_37_XAMETO</vt:lpstr>
      <vt:lpstr>v_37_XAMX</vt:lpstr>
      <vt:lpstr>v_37_XAOB</vt:lpstr>
      <vt:lpstr>v_37_XASRO</vt:lpstr>
      <vt:lpstr>v_37_XB</vt:lpstr>
      <vt:lpstr>v_37_XBSH</vt:lpstr>
      <vt:lpstr>v_37_XCaCO3</vt:lpstr>
      <vt:lpstr>v_37_XCASTO</vt:lpstr>
      <vt:lpstr>v_37_XE</vt:lpstr>
      <vt:lpstr>v_37_XE_ana</vt:lpstr>
      <vt:lpstr>v_37_XFeS</vt:lpstr>
      <vt:lpstr>v_37_XGLY</vt:lpstr>
      <vt:lpstr>v_37_XHAO_H</vt:lpstr>
      <vt:lpstr>v_37_XHAO_H_P</vt:lpstr>
      <vt:lpstr>v_37_XHAO_H_P_old</vt:lpstr>
      <vt:lpstr>v_37_XHAO_L</vt:lpstr>
      <vt:lpstr>v_37_XHAO_L_P</vt:lpstr>
      <vt:lpstr>v_37_XHAO_L_P_old</vt:lpstr>
      <vt:lpstr>v_37_XHAO_old</vt:lpstr>
      <vt:lpstr>v_37_XHFO_H</vt:lpstr>
      <vt:lpstr>v_37_XHFO_H_P</vt:lpstr>
      <vt:lpstr>v_37_XHFO_H_P_old</vt:lpstr>
      <vt:lpstr>v_37_XHFO_L</vt:lpstr>
      <vt:lpstr>v_37_XHFO_L_P</vt:lpstr>
      <vt:lpstr>v_37_XHFO_L_P_old</vt:lpstr>
      <vt:lpstr>v_37_XHFO_old</vt:lpstr>
      <vt:lpstr>v_37_XHMETO</vt:lpstr>
      <vt:lpstr>v_37_XHSRO</vt:lpstr>
      <vt:lpstr>v_37_XINORG</vt:lpstr>
      <vt:lpstr>v_37_XMEOLO</vt:lpstr>
      <vt:lpstr>v_37_XMOB</vt:lpstr>
      <vt:lpstr>v_37_XN_B</vt:lpstr>
      <vt:lpstr>v_37_XN_U</vt:lpstr>
      <vt:lpstr>v_37_XNOB</vt:lpstr>
      <vt:lpstr>v_37_XOHO</vt:lpstr>
      <vt:lpstr>v_37_XP_B</vt:lpstr>
      <vt:lpstr>v_37_XP_U</vt:lpstr>
      <vt:lpstr>v_37_XPHA</vt:lpstr>
      <vt:lpstr>v_37_XPP</vt:lpstr>
      <vt:lpstr>v_37_XS</vt:lpstr>
      <vt:lpstr>v_37_XSOO</vt:lpstr>
      <vt:lpstr>v_37_XSTR</vt:lpstr>
      <vt:lpstr>v_37_XU</vt:lpstr>
      <vt:lpstr>v_37_XVivi</vt:lpstr>
      <vt:lpstr>v_38_CB</vt:lpstr>
      <vt:lpstr>v_38_CU</vt:lpstr>
      <vt:lpstr>v_38_GCH4</vt:lpstr>
      <vt:lpstr>v_38_GCH4_atm</vt:lpstr>
      <vt:lpstr>v_38_GCO2</vt:lpstr>
      <vt:lpstr>v_38_GCO2_atm</vt:lpstr>
      <vt:lpstr>v_38_GH2</vt:lpstr>
      <vt:lpstr>v_38_GH2_atm</vt:lpstr>
      <vt:lpstr>v_38_GH2S</vt:lpstr>
      <vt:lpstr>v_38_GH2S_atm</vt:lpstr>
      <vt:lpstr>v_38_GN2</vt:lpstr>
      <vt:lpstr>v_38_GN2_atm</vt:lpstr>
      <vt:lpstr>v_38_GN2O</vt:lpstr>
      <vt:lpstr>v_38_GN2O_atm</vt:lpstr>
      <vt:lpstr>v_38_GNH3</vt:lpstr>
      <vt:lpstr>v_38_GNH3_atm</vt:lpstr>
      <vt:lpstr>v_38_GNO</vt:lpstr>
      <vt:lpstr>v_38_GNO_atm</vt:lpstr>
      <vt:lpstr>v_38_GO2</vt:lpstr>
      <vt:lpstr>v_38_GO2_atm</vt:lpstr>
      <vt:lpstr>v_38_H</vt:lpstr>
      <vt:lpstr>v_38_SALPHA</vt:lpstr>
      <vt:lpstr>v_38_SAN</vt:lpstr>
      <vt:lpstr>v_38_SB</vt:lpstr>
      <vt:lpstr>v_38_SCa</vt:lpstr>
      <vt:lpstr>v_38_SCAT</vt:lpstr>
      <vt:lpstr>v_38_SCH4</vt:lpstr>
      <vt:lpstr>v_38_SCO2</vt:lpstr>
      <vt:lpstr>v_38_SFe2</vt:lpstr>
      <vt:lpstr>v_38_SH2</vt:lpstr>
      <vt:lpstr>v_38_SH2S</vt:lpstr>
      <vt:lpstr>v_38_SK</vt:lpstr>
      <vt:lpstr>v_38_SMEOL</vt:lpstr>
      <vt:lpstr>v_38_SMg</vt:lpstr>
      <vt:lpstr>v_38_SMM_index</vt:lpstr>
      <vt:lpstr>v_38_SN_B</vt:lpstr>
      <vt:lpstr>v_38_SN2</vt:lpstr>
      <vt:lpstr>v_38_SN2O</vt:lpstr>
      <vt:lpstr>v_38_SNH2OH</vt:lpstr>
      <vt:lpstr>v_38_SNHx</vt:lpstr>
      <vt:lpstr>v_38_SNO_AOB</vt:lpstr>
      <vt:lpstr>v_38_SNO_OHO</vt:lpstr>
      <vt:lpstr>v_38_SNO2</vt:lpstr>
      <vt:lpstr>v_38_SNO3</vt:lpstr>
      <vt:lpstr>v_38_SO2</vt:lpstr>
      <vt:lpstr>v_38_SP_B</vt:lpstr>
      <vt:lpstr>v_38_SPO4</vt:lpstr>
      <vt:lpstr>v_38_SSO4</vt:lpstr>
      <vt:lpstr>v_38_SU</vt:lpstr>
      <vt:lpstr>v_38_SVFA</vt:lpstr>
      <vt:lpstr>v_38_XACP</vt:lpstr>
      <vt:lpstr>v_38_XAMETO</vt:lpstr>
      <vt:lpstr>v_38_XAMX</vt:lpstr>
      <vt:lpstr>v_38_XAOB</vt:lpstr>
      <vt:lpstr>v_38_XASRO</vt:lpstr>
      <vt:lpstr>v_38_XB</vt:lpstr>
      <vt:lpstr>v_38_XBSH</vt:lpstr>
      <vt:lpstr>v_38_XCaCO3</vt:lpstr>
      <vt:lpstr>v_38_XCASTO</vt:lpstr>
      <vt:lpstr>v_38_XE</vt:lpstr>
      <vt:lpstr>v_38_XE_ana</vt:lpstr>
      <vt:lpstr>v_38_XFeS</vt:lpstr>
      <vt:lpstr>v_38_XGLY</vt:lpstr>
      <vt:lpstr>v_38_XHAO_H</vt:lpstr>
      <vt:lpstr>v_38_XHAO_H_P</vt:lpstr>
      <vt:lpstr>v_38_XHAO_H_P_old</vt:lpstr>
      <vt:lpstr>v_38_XHAO_L</vt:lpstr>
      <vt:lpstr>v_38_XHAO_L_P</vt:lpstr>
      <vt:lpstr>v_38_XHAO_L_P_old</vt:lpstr>
      <vt:lpstr>v_38_XHAO_old</vt:lpstr>
      <vt:lpstr>v_38_XHFO_H</vt:lpstr>
      <vt:lpstr>v_38_XHFO_H_P</vt:lpstr>
      <vt:lpstr>v_38_XHFO_H_P_old</vt:lpstr>
      <vt:lpstr>v_38_XHFO_L</vt:lpstr>
      <vt:lpstr>v_38_XHFO_L_P</vt:lpstr>
      <vt:lpstr>v_38_XHFO_L_P_old</vt:lpstr>
      <vt:lpstr>v_38_XHFO_old</vt:lpstr>
      <vt:lpstr>v_38_XHMETO</vt:lpstr>
      <vt:lpstr>v_38_XHSRO</vt:lpstr>
      <vt:lpstr>v_38_XINORG</vt:lpstr>
      <vt:lpstr>v_38_XMEOLO</vt:lpstr>
      <vt:lpstr>v_38_XMOB</vt:lpstr>
      <vt:lpstr>v_38_XN_B</vt:lpstr>
      <vt:lpstr>v_38_XN_U</vt:lpstr>
      <vt:lpstr>v_38_XNOB</vt:lpstr>
      <vt:lpstr>v_38_XOHO</vt:lpstr>
      <vt:lpstr>v_38_XP_B</vt:lpstr>
      <vt:lpstr>v_38_XP_U</vt:lpstr>
      <vt:lpstr>v_38_XPHA</vt:lpstr>
      <vt:lpstr>v_38_XPP</vt:lpstr>
      <vt:lpstr>v_38_XS</vt:lpstr>
      <vt:lpstr>v_38_XSOO</vt:lpstr>
      <vt:lpstr>v_38_XSTR</vt:lpstr>
      <vt:lpstr>v_38_XU</vt:lpstr>
      <vt:lpstr>v_38_XVivi</vt:lpstr>
      <vt:lpstr>v_39_CB</vt:lpstr>
      <vt:lpstr>v_39_CU</vt:lpstr>
      <vt:lpstr>v_39_GCH4</vt:lpstr>
      <vt:lpstr>v_39_GCH4_atm</vt:lpstr>
      <vt:lpstr>v_39_GCO2</vt:lpstr>
      <vt:lpstr>v_39_GCO2_atm</vt:lpstr>
      <vt:lpstr>v_39_GH2</vt:lpstr>
      <vt:lpstr>v_39_GH2_atm</vt:lpstr>
      <vt:lpstr>v_39_GH2S</vt:lpstr>
      <vt:lpstr>v_39_GH2S_atm</vt:lpstr>
      <vt:lpstr>v_39_GN2</vt:lpstr>
      <vt:lpstr>v_39_GN2_atm</vt:lpstr>
      <vt:lpstr>v_39_GN2O</vt:lpstr>
      <vt:lpstr>v_39_GN2O_atm</vt:lpstr>
      <vt:lpstr>v_39_GNH3</vt:lpstr>
      <vt:lpstr>v_39_GNH3_atm</vt:lpstr>
      <vt:lpstr>v_39_GNO</vt:lpstr>
      <vt:lpstr>v_39_GNO_atm</vt:lpstr>
      <vt:lpstr>v_39_GO2</vt:lpstr>
      <vt:lpstr>v_39_GO2_atm</vt:lpstr>
      <vt:lpstr>v_39_H</vt:lpstr>
      <vt:lpstr>v_39_SALPHA</vt:lpstr>
      <vt:lpstr>v_39_SAN</vt:lpstr>
      <vt:lpstr>v_39_SB</vt:lpstr>
      <vt:lpstr>v_39_SCa</vt:lpstr>
      <vt:lpstr>v_39_SCAT</vt:lpstr>
      <vt:lpstr>v_39_SCH4</vt:lpstr>
      <vt:lpstr>v_39_SCO2</vt:lpstr>
      <vt:lpstr>v_39_SFe2</vt:lpstr>
      <vt:lpstr>v_39_SH2</vt:lpstr>
      <vt:lpstr>v_39_SH2S</vt:lpstr>
      <vt:lpstr>v_39_SK</vt:lpstr>
      <vt:lpstr>v_39_SMEOL</vt:lpstr>
      <vt:lpstr>v_39_SMg</vt:lpstr>
      <vt:lpstr>v_39_SMM_index</vt:lpstr>
      <vt:lpstr>v_39_SN_B</vt:lpstr>
      <vt:lpstr>v_39_SN2</vt:lpstr>
      <vt:lpstr>v_39_SN2O</vt:lpstr>
      <vt:lpstr>v_39_SNH2OH</vt:lpstr>
      <vt:lpstr>v_39_SNHx</vt:lpstr>
      <vt:lpstr>v_39_SNO_AOB</vt:lpstr>
      <vt:lpstr>v_39_SNO_OHO</vt:lpstr>
      <vt:lpstr>v_39_SNO2</vt:lpstr>
      <vt:lpstr>v_39_SNO3</vt:lpstr>
      <vt:lpstr>v_39_SO2</vt:lpstr>
      <vt:lpstr>v_39_SP_B</vt:lpstr>
      <vt:lpstr>v_39_SPO4</vt:lpstr>
      <vt:lpstr>v_39_SSO4</vt:lpstr>
      <vt:lpstr>v_39_SU</vt:lpstr>
      <vt:lpstr>v_39_SVFA</vt:lpstr>
      <vt:lpstr>v_39_XACP</vt:lpstr>
      <vt:lpstr>v_39_XAMETO</vt:lpstr>
      <vt:lpstr>v_39_XAMX</vt:lpstr>
      <vt:lpstr>v_39_XAOB</vt:lpstr>
      <vt:lpstr>v_39_XASRO</vt:lpstr>
      <vt:lpstr>v_39_XB</vt:lpstr>
      <vt:lpstr>v_39_XBSH</vt:lpstr>
      <vt:lpstr>v_39_XCaCO3</vt:lpstr>
      <vt:lpstr>v_39_XCASTO</vt:lpstr>
      <vt:lpstr>v_39_XE</vt:lpstr>
      <vt:lpstr>v_39_XE_ana</vt:lpstr>
      <vt:lpstr>v_39_XFeS</vt:lpstr>
      <vt:lpstr>v_39_XGLY</vt:lpstr>
      <vt:lpstr>v_39_XHAO_H</vt:lpstr>
      <vt:lpstr>v_39_XHAO_H_P</vt:lpstr>
      <vt:lpstr>v_39_XHAO_H_P_old</vt:lpstr>
      <vt:lpstr>v_39_XHAO_L</vt:lpstr>
      <vt:lpstr>v_39_XHAO_L_P</vt:lpstr>
      <vt:lpstr>v_39_XHAO_L_P_old</vt:lpstr>
      <vt:lpstr>v_39_XHAO_old</vt:lpstr>
      <vt:lpstr>v_39_XHFO_H</vt:lpstr>
      <vt:lpstr>v_39_XHFO_H_P</vt:lpstr>
      <vt:lpstr>v_39_XHFO_H_P_old</vt:lpstr>
      <vt:lpstr>v_39_XHFO_L</vt:lpstr>
      <vt:lpstr>v_39_XHFO_L_P</vt:lpstr>
      <vt:lpstr>v_39_XHFO_L_P_old</vt:lpstr>
      <vt:lpstr>v_39_XHFO_old</vt:lpstr>
      <vt:lpstr>v_39_XHMETO</vt:lpstr>
      <vt:lpstr>v_39_XHSRO</vt:lpstr>
      <vt:lpstr>v_39_XINORG</vt:lpstr>
      <vt:lpstr>v_39_XMEOLO</vt:lpstr>
      <vt:lpstr>v_39_XMOB</vt:lpstr>
      <vt:lpstr>v_39_XN_B</vt:lpstr>
      <vt:lpstr>v_39_XN_U</vt:lpstr>
      <vt:lpstr>v_39_XNOB</vt:lpstr>
      <vt:lpstr>v_39_XOHO</vt:lpstr>
      <vt:lpstr>v_39_XP_B</vt:lpstr>
      <vt:lpstr>v_39_XP_U</vt:lpstr>
      <vt:lpstr>v_39_XPHA</vt:lpstr>
      <vt:lpstr>v_39_XPP</vt:lpstr>
      <vt:lpstr>v_39_XS</vt:lpstr>
      <vt:lpstr>v_39_XSOO</vt:lpstr>
      <vt:lpstr>v_39_XSTR</vt:lpstr>
      <vt:lpstr>v_39_XU</vt:lpstr>
      <vt:lpstr>v_39_XVivi</vt:lpstr>
      <vt:lpstr>v_4_CB</vt:lpstr>
      <vt:lpstr>v_4_CU</vt:lpstr>
      <vt:lpstr>v_4_GCH4</vt:lpstr>
      <vt:lpstr>v_4_GCH4_atm</vt:lpstr>
      <vt:lpstr>v_4_GCO2</vt:lpstr>
      <vt:lpstr>v_4_GCO2_atm</vt:lpstr>
      <vt:lpstr>v_4_GH2</vt:lpstr>
      <vt:lpstr>v_4_GH2_atm</vt:lpstr>
      <vt:lpstr>v_4_GH2S</vt:lpstr>
      <vt:lpstr>v_4_GH2S_atm</vt:lpstr>
      <vt:lpstr>v_4_GN2</vt:lpstr>
      <vt:lpstr>v_4_GN2_atm</vt:lpstr>
      <vt:lpstr>v_4_GN2O</vt:lpstr>
      <vt:lpstr>v_4_GN2O_atm</vt:lpstr>
      <vt:lpstr>v_4_GNH3</vt:lpstr>
      <vt:lpstr>v_4_GNH3_atm</vt:lpstr>
      <vt:lpstr>v_4_GNO</vt:lpstr>
      <vt:lpstr>v_4_GNO_atm</vt:lpstr>
      <vt:lpstr>v_4_GO2</vt:lpstr>
      <vt:lpstr>v_4_GO2_atm</vt:lpstr>
      <vt:lpstr>v_4_H</vt:lpstr>
      <vt:lpstr>v_4_SALPHA</vt:lpstr>
      <vt:lpstr>v_4_SAN</vt:lpstr>
      <vt:lpstr>v_4_SB</vt:lpstr>
      <vt:lpstr>v_4_SCa</vt:lpstr>
      <vt:lpstr>v_4_SCAT</vt:lpstr>
      <vt:lpstr>v_4_SCH4</vt:lpstr>
      <vt:lpstr>v_4_SCO2</vt:lpstr>
      <vt:lpstr>v_4_SFe2</vt:lpstr>
      <vt:lpstr>v_4_SH2</vt:lpstr>
      <vt:lpstr>v_4_SH2S</vt:lpstr>
      <vt:lpstr>v_4_SK</vt:lpstr>
      <vt:lpstr>v_4_SMEOL</vt:lpstr>
      <vt:lpstr>v_4_SMg</vt:lpstr>
      <vt:lpstr>v_4_SMM_index</vt:lpstr>
      <vt:lpstr>v_4_SN_B</vt:lpstr>
      <vt:lpstr>v_4_SN2</vt:lpstr>
      <vt:lpstr>v_4_SN2O</vt:lpstr>
      <vt:lpstr>v_4_SNH2OH</vt:lpstr>
      <vt:lpstr>v_4_SNHx</vt:lpstr>
      <vt:lpstr>v_4_SNO_AOB</vt:lpstr>
      <vt:lpstr>v_4_SNO_OHO</vt:lpstr>
      <vt:lpstr>v_4_SNO2</vt:lpstr>
      <vt:lpstr>v_4_SNO3</vt:lpstr>
      <vt:lpstr>v_4_SO2</vt:lpstr>
      <vt:lpstr>v_4_SP_B</vt:lpstr>
      <vt:lpstr>v_4_SPO4</vt:lpstr>
      <vt:lpstr>v_4_SSO4</vt:lpstr>
      <vt:lpstr>v_4_SU</vt:lpstr>
      <vt:lpstr>v_4_SVFA</vt:lpstr>
      <vt:lpstr>v_4_XACP</vt:lpstr>
      <vt:lpstr>v_4_XAMETO</vt:lpstr>
      <vt:lpstr>v_4_XAMX</vt:lpstr>
      <vt:lpstr>v_4_XAOB</vt:lpstr>
      <vt:lpstr>v_4_XASRO</vt:lpstr>
      <vt:lpstr>v_4_XB</vt:lpstr>
      <vt:lpstr>v_4_XBSH</vt:lpstr>
      <vt:lpstr>v_4_XCaCO3</vt:lpstr>
      <vt:lpstr>v_4_XCASTO</vt:lpstr>
      <vt:lpstr>v_4_XE</vt:lpstr>
      <vt:lpstr>v_4_XE_ana</vt:lpstr>
      <vt:lpstr>v_4_XFeS</vt:lpstr>
      <vt:lpstr>v_4_XGLY</vt:lpstr>
      <vt:lpstr>v_4_XHAO_H</vt:lpstr>
      <vt:lpstr>v_4_XHAO_H_P</vt:lpstr>
      <vt:lpstr>v_4_XHAO_H_P_old</vt:lpstr>
      <vt:lpstr>v_4_XHAO_L</vt:lpstr>
      <vt:lpstr>v_4_XHAO_L_P</vt:lpstr>
      <vt:lpstr>v_4_XHAO_L_P_old</vt:lpstr>
      <vt:lpstr>v_4_XHAO_old</vt:lpstr>
      <vt:lpstr>v_4_XHFO_H</vt:lpstr>
      <vt:lpstr>v_4_XHFO_H_P</vt:lpstr>
      <vt:lpstr>v_4_XHFO_H_P_old</vt:lpstr>
      <vt:lpstr>v_4_XHFO_L</vt:lpstr>
      <vt:lpstr>v_4_XHFO_L_P</vt:lpstr>
      <vt:lpstr>v_4_XHFO_L_P_old</vt:lpstr>
      <vt:lpstr>v_4_XHFO_old</vt:lpstr>
      <vt:lpstr>v_4_XHMETO</vt:lpstr>
      <vt:lpstr>v_4_XHSRO</vt:lpstr>
      <vt:lpstr>v_4_XINORG</vt:lpstr>
      <vt:lpstr>v_4_XMEOLO</vt:lpstr>
      <vt:lpstr>v_4_XMOB</vt:lpstr>
      <vt:lpstr>v_4_XN_B</vt:lpstr>
      <vt:lpstr>v_4_XN_U</vt:lpstr>
      <vt:lpstr>v_4_XNOB</vt:lpstr>
      <vt:lpstr>v_4_XOHO</vt:lpstr>
      <vt:lpstr>v_4_XP_B</vt:lpstr>
      <vt:lpstr>v_4_XP_U</vt:lpstr>
      <vt:lpstr>v_4_XPHA</vt:lpstr>
      <vt:lpstr>v_4_XPP</vt:lpstr>
      <vt:lpstr>v_4_XS</vt:lpstr>
      <vt:lpstr>v_4_XSOO</vt:lpstr>
      <vt:lpstr>v_4_XSTR</vt:lpstr>
      <vt:lpstr>v_4_XU</vt:lpstr>
      <vt:lpstr>v_4_XVivi</vt:lpstr>
      <vt:lpstr>v_40_CB</vt:lpstr>
      <vt:lpstr>v_40_CU</vt:lpstr>
      <vt:lpstr>v_40_GCH4</vt:lpstr>
      <vt:lpstr>v_40_GCH4_atm</vt:lpstr>
      <vt:lpstr>v_40_GCO2</vt:lpstr>
      <vt:lpstr>v_40_GCO2_atm</vt:lpstr>
      <vt:lpstr>v_40_GH2</vt:lpstr>
      <vt:lpstr>v_40_GH2_atm</vt:lpstr>
      <vt:lpstr>v_40_GH2S</vt:lpstr>
      <vt:lpstr>v_40_GH2S_atm</vt:lpstr>
      <vt:lpstr>v_40_GN2</vt:lpstr>
      <vt:lpstr>v_40_GN2_atm</vt:lpstr>
      <vt:lpstr>v_40_GN2O</vt:lpstr>
      <vt:lpstr>v_40_GN2O_atm</vt:lpstr>
      <vt:lpstr>v_40_GNH3</vt:lpstr>
      <vt:lpstr>v_40_GNH3_atm</vt:lpstr>
      <vt:lpstr>v_40_GNO</vt:lpstr>
      <vt:lpstr>v_40_GNO_atm</vt:lpstr>
      <vt:lpstr>v_40_GO2</vt:lpstr>
      <vt:lpstr>v_40_GO2_atm</vt:lpstr>
      <vt:lpstr>v_40_H</vt:lpstr>
      <vt:lpstr>v_40_SALPHA</vt:lpstr>
      <vt:lpstr>v_40_SAN</vt:lpstr>
      <vt:lpstr>v_40_SB</vt:lpstr>
      <vt:lpstr>v_40_SCa</vt:lpstr>
      <vt:lpstr>v_40_SCAT</vt:lpstr>
      <vt:lpstr>v_40_SCH4</vt:lpstr>
      <vt:lpstr>v_40_SCO2</vt:lpstr>
      <vt:lpstr>v_40_SFe2</vt:lpstr>
      <vt:lpstr>v_40_SH2</vt:lpstr>
      <vt:lpstr>v_40_SH2S</vt:lpstr>
      <vt:lpstr>v_40_SK</vt:lpstr>
      <vt:lpstr>v_40_SMEOL</vt:lpstr>
      <vt:lpstr>v_40_SMg</vt:lpstr>
      <vt:lpstr>v_40_SMM_index</vt:lpstr>
      <vt:lpstr>v_40_SN_B</vt:lpstr>
      <vt:lpstr>v_40_SN2</vt:lpstr>
      <vt:lpstr>v_40_SN2O</vt:lpstr>
      <vt:lpstr>v_40_SNH2OH</vt:lpstr>
      <vt:lpstr>v_40_SNHx</vt:lpstr>
      <vt:lpstr>v_40_SNO_AOB</vt:lpstr>
      <vt:lpstr>v_40_SNO_OHO</vt:lpstr>
      <vt:lpstr>v_40_SNO2</vt:lpstr>
      <vt:lpstr>v_40_SNO3</vt:lpstr>
      <vt:lpstr>v_40_SO2</vt:lpstr>
      <vt:lpstr>v_40_SP_B</vt:lpstr>
      <vt:lpstr>v_40_SPO4</vt:lpstr>
      <vt:lpstr>v_40_SSO4</vt:lpstr>
      <vt:lpstr>v_40_SU</vt:lpstr>
      <vt:lpstr>v_40_SVFA</vt:lpstr>
      <vt:lpstr>v_40_XACP</vt:lpstr>
      <vt:lpstr>v_40_XAMETO</vt:lpstr>
      <vt:lpstr>v_40_XAMX</vt:lpstr>
      <vt:lpstr>v_40_XAOB</vt:lpstr>
      <vt:lpstr>v_40_XASRO</vt:lpstr>
      <vt:lpstr>v_40_XB</vt:lpstr>
      <vt:lpstr>v_40_XBSH</vt:lpstr>
      <vt:lpstr>v_40_XCaCO3</vt:lpstr>
      <vt:lpstr>v_40_XCASTO</vt:lpstr>
      <vt:lpstr>v_40_XE</vt:lpstr>
      <vt:lpstr>v_40_XE_ana</vt:lpstr>
      <vt:lpstr>v_40_XFeS</vt:lpstr>
      <vt:lpstr>v_40_XGLY</vt:lpstr>
      <vt:lpstr>v_40_XHAO_H</vt:lpstr>
      <vt:lpstr>v_40_XHAO_H_P</vt:lpstr>
      <vt:lpstr>v_40_XHAO_H_P_old</vt:lpstr>
      <vt:lpstr>v_40_XHAO_L</vt:lpstr>
      <vt:lpstr>v_40_XHAO_L_P</vt:lpstr>
      <vt:lpstr>v_40_XHAO_L_P_old</vt:lpstr>
      <vt:lpstr>v_40_XHAO_old</vt:lpstr>
      <vt:lpstr>v_40_XHFO_H</vt:lpstr>
      <vt:lpstr>v_40_XHFO_H_P</vt:lpstr>
      <vt:lpstr>v_40_XHFO_H_P_old</vt:lpstr>
      <vt:lpstr>v_40_XHFO_L</vt:lpstr>
      <vt:lpstr>v_40_XHFO_L_P</vt:lpstr>
      <vt:lpstr>v_40_XHFO_L_P_old</vt:lpstr>
      <vt:lpstr>v_40_XHFO_old</vt:lpstr>
      <vt:lpstr>v_40_XHMETO</vt:lpstr>
      <vt:lpstr>v_40_XHSRO</vt:lpstr>
      <vt:lpstr>v_40_XINORG</vt:lpstr>
      <vt:lpstr>v_40_XMEOLO</vt:lpstr>
      <vt:lpstr>v_40_XMOB</vt:lpstr>
      <vt:lpstr>v_40_XN_B</vt:lpstr>
      <vt:lpstr>v_40_XN_U</vt:lpstr>
      <vt:lpstr>v_40_XNOB</vt:lpstr>
      <vt:lpstr>v_40_XOHO</vt:lpstr>
      <vt:lpstr>v_40_XP_B</vt:lpstr>
      <vt:lpstr>v_40_XP_U</vt:lpstr>
      <vt:lpstr>v_40_XPHA</vt:lpstr>
      <vt:lpstr>v_40_XPP</vt:lpstr>
      <vt:lpstr>v_40_XS</vt:lpstr>
      <vt:lpstr>v_40_XSOO</vt:lpstr>
      <vt:lpstr>v_40_XSTR</vt:lpstr>
      <vt:lpstr>v_40_XU</vt:lpstr>
      <vt:lpstr>v_40_XVivi</vt:lpstr>
      <vt:lpstr>v_41_CB</vt:lpstr>
      <vt:lpstr>v_41_CU</vt:lpstr>
      <vt:lpstr>v_41_GCH4</vt:lpstr>
      <vt:lpstr>v_41_GCH4_atm</vt:lpstr>
      <vt:lpstr>v_41_GCO2</vt:lpstr>
      <vt:lpstr>v_41_GCO2_atm</vt:lpstr>
      <vt:lpstr>v_41_GH2</vt:lpstr>
      <vt:lpstr>v_41_GH2_atm</vt:lpstr>
      <vt:lpstr>v_41_GH2S</vt:lpstr>
      <vt:lpstr>v_41_GH2S_atm</vt:lpstr>
      <vt:lpstr>v_41_GN2</vt:lpstr>
      <vt:lpstr>v_41_GN2_atm</vt:lpstr>
      <vt:lpstr>v_41_GN2O</vt:lpstr>
      <vt:lpstr>v_41_GN2O_atm</vt:lpstr>
      <vt:lpstr>v_41_GNH3</vt:lpstr>
      <vt:lpstr>v_41_GNH3_atm</vt:lpstr>
      <vt:lpstr>v_41_GNO</vt:lpstr>
      <vt:lpstr>v_41_GNO_atm</vt:lpstr>
      <vt:lpstr>v_41_GO2</vt:lpstr>
      <vt:lpstr>v_41_GO2_atm</vt:lpstr>
      <vt:lpstr>v_41_H</vt:lpstr>
      <vt:lpstr>v_41_SALPHA</vt:lpstr>
      <vt:lpstr>v_41_SAN</vt:lpstr>
      <vt:lpstr>v_41_SB</vt:lpstr>
      <vt:lpstr>v_41_SCa</vt:lpstr>
      <vt:lpstr>v_41_SCAT</vt:lpstr>
      <vt:lpstr>v_41_SCH4</vt:lpstr>
      <vt:lpstr>v_41_SCO2</vt:lpstr>
      <vt:lpstr>v_41_SFe2</vt:lpstr>
      <vt:lpstr>v_41_SH2</vt:lpstr>
      <vt:lpstr>v_41_SH2S</vt:lpstr>
      <vt:lpstr>v_41_SK</vt:lpstr>
      <vt:lpstr>v_41_SMEOL</vt:lpstr>
      <vt:lpstr>v_41_SMg</vt:lpstr>
      <vt:lpstr>v_41_SMM_index</vt:lpstr>
      <vt:lpstr>v_41_SN_B</vt:lpstr>
      <vt:lpstr>v_41_SN2</vt:lpstr>
      <vt:lpstr>v_41_SN2O</vt:lpstr>
      <vt:lpstr>v_41_SNH2OH</vt:lpstr>
      <vt:lpstr>v_41_SNHx</vt:lpstr>
      <vt:lpstr>v_41_SNO_AOB</vt:lpstr>
      <vt:lpstr>v_41_SNO_OHO</vt:lpstr>
      <vt:lpstr>v_41_SNO2</vt:lpstr>
      <vt:lpstr>v_41_SNO3</vt:lpstr>
      <vt:lpstr>v_41_SO2</vt:lpstr>
      <vt:lpstr>v_41_SP_B</vt:lpstr>
      <vt:lpstr>v_41_SPO4</vt:lpstr>
      <vt:lpstr>v_41_SSO4</vt:lpstr>
      <vt:lpstr>v_41_SU</vt:lpstr>
      <vt:lpstr>v_41_SVFA</vt:lpstr>
      <vt:lpstr>v_41_XACP</vt:lpstr>
      <vt:lpstr>v_41_XAMETO</vt:lpstr>
      <vt:lpstr>v_41_XAMX</vt:lpstr>
      <vt:lpstr>v_41_XAOB</vt:lpstr>
      <vt:lpstr>v_41_XASRO</vt:lpstr>
      <vt:lpstr>v_41_XB</vt:lpstr>
      <vt:lpstr>v_41_XBSH</vt:lpstr>
      <vt:lpstr>v_41_XCaCO3</vt:lpstr>
      <vt:lpstr>v_41_XCASTO</vt:lpstr>
      <vt:lpstr>v_41_XE</vt:lpstr>
      <vt:lpstr>v_41_XE_ana</vt:lpstr>
      <vt:lpstr>v_41_XFeS</vt:lpstr>
      <vt:lpstr>v_41_XGLY</vt:lpstr>
      <vt:lpstr>v_41_XHAO_H</vt:lpstr>
      <vt:lpstr>v_41_XHAO_H_P</vt:lpstr>
      <vt:lpstr>v_41_XHAO_H_P_old</vt:lpstr>
      <vt:lpstr>v_41_XHAO_L</vt:lpstr>
      <vt:lpstr>v_41_XHAO_L_P</vt:lpstr>
      <vt:lpstr>v_41_XHAO_L_P_old</vt:lpstr>
      <vt:lpstr>v_41_XHAO_old</vt:lpstr>
      <vt:lpstr>v_41_XHFO_H</vt:lpstr>
      <vt:lpstr>v_41_XHFO_H_P</vt:lpstr>
      <vt:lpstr>v_41_XHFO_H_P_old</vt:lpstr>
      <vt:lpstr>v_41_XHFO_L</vt:lpstr>
      <vt:lpstr>v_41_XHFO_L_P</vt:lpstr>
      <vt:lpstr>v_41_XHFO_L_P_old</vt:lpstr>
      <vt:lpstr>v_41_XHFO_old</vt:lpstr>
      <vt:lpstr>v_41_XHMETO</vt:lpstr>
      <vt:lpstr>v_41_XHSRO</vt:lpstr>
      <vt:lpstr>v_41_XINORG</vt:lpstr>
      <vt:lpstr>v_41_XMEOLO</vt:lpstr>
      <vt:lpstr>v_41_XMOB</vt:lpstr>
      <vt:lpstr>v_41_XN_B</vt:lpstr>
      <vt:lpstr>v_41_XN_U</vt:lpstr>
      <vt:lpstr>v_41_XNOB</vt:lpstr>
      <vt:lpstr>v_41_XOHO</vt:lpstr>
      <vt:lpstr>v_41_XP_B</vt:lpstr>
      <vt:lpstr>v_41_XP_U</vt:lpstr>
      <vt:lpstr>v_41_XPHA</vt:lpstr>
      <vt:lpstr>v_41_XPP</vt:lpstr>
      <vt:lpstr>v_41_XS</vt:lpstr>
      <vt:lpstr>v_41_XSOO</vt:lpstr>
      <vt:lpstr>v_41_XSTR</vt:lpstr>
      <vt:lpstr>v_41_XU</vt:lpstr>
      <vt:lpstr>v_41_XVivi</vt:lpstr>
      <vt:lpstr>v_42_CB</vt:lpstr>
      <vt:lpstr>v_42_CU</vt:lpstr>
      <vt:lpstr>v_42_GCH4</vt:lpstr>
      <vt:lpstr>v_42_GCH4_atm</vt:lpstr>
      <vt:lpstr>v_42_GCO2</vt:lpstr>
      <vt:lpstr>v_42_GCO2_atm</vt:lpstr>
      <vt:lpstr>v_42_GH2</vt:lpstr>
      <vt:lpstr>v_42_GH2_atm</vt:lpstr>
      <vt:lpstr>v_42_GH2S</vt:lpstr>
      <vt:lpstr>v_42_GH2S_atm</vt:lpstr>
      <vt:lpstr>v_42_GN2</vt:lpstr>
      <vt:lpstr>v_42_GN2_atm</vt:lpstr>
      <vt:lpstr>v_42_GN2O</vt:lpstr>
      <vt:lpstr>v_42_GN2O_atm</vt:lpstr>
      <vt:lpstr>v_42_GNH3</vt:lpstr>
      <vt:lpstr>v_42_GNH3_atm</vt:lpstr>
      <vt:lpstr>v_42_GNO</vt:lpstr>
      <vt:lpstr>v_42_GNO_atm</vt:lpstr>
      <vt:lpstr>v_42_GO2</vt:lpstr>
      <vt:lpstr>v_42_GO2_atm</vt:lpstr>
      <vt:lpstr>v_42_H</vt:lpstr>
      <vt:lpstr>v_42_SALPHA</vt:lpstr>
      <vt:lpstr>v_42_SAN</vt:lpstr>
      <vt:lpstr>v_42_SB</vt:lpstr>
      <vt:lpstr>v_42_SCa</vt:lpstr>
      <vt:lpstr>v_42_SCAT</vt:lpstr>
      <vt:lpstr>v_42_SCH4</vt:lpstr>
      <vt:lpstr>v_42_SCO2</vt:lpstr>
      <vt:lpstr>v_42_SFe2</vt:lpstr>
      <vt:lpstr>v_42_SH2</vt:lpstr>
      <vt:lpstr>v_42_SH2S</vt:lpstr>
      <vt:lpstr>v_42_SK</vt:lpstr>
      <vt:lpstr>v_42_SMEOL</vt:lpstr>
      <vt:lpstr>v_42_SMg</vt:lpstr>
      <vt:lpstr>v_42_SMM_index</vt:lpstr>
      <vt:lpstr>v_42_SN_B</vt:lpstr>
      <vt:lpstr>v_42_SN2</vt:lpstr>
      <vt:lpstr>v_42_SN2O</vt:lpstr>
      <vt:lpstr>v_42_SNH2OH</vt:lpstr>
      <vt:lpstr>v_42_SNHx</vt:lpstr>
      <vt:lpstr>v_42_SNO_AOB</vt:lpstr>
      <vt:lpstr>v_42_SNO_OHO</vt:lpstr>
      <vt:lpstr>v_42_SNO2</vt:lpstr>
      <vt:lpstr>v_42_SNO3</vt:lpstr>
      <vt:lpstr>v_42_SO2</vt:lpstr>
      <vt:lpstr>v_42_SP_B</vt:lpstr>
      <vt:lpstr>v_42_SPO4</vt:lpstr>
      <vt:lpstr>v_42_SSO4</vt:lpstr>
      <vt:lpstr>v_42_SU</vt:lpstr>
      <vt:lpstr>v_42_SVFA</vt:lpstr>
      <vt:lpstr>v_42_XACP</vt:lpstr>
      <vt:lpstr>v_42_XAMETO</vt:lpstr>
      <vt:lpstr>v_42_XAMX</vt:lpstr>
      <vt:lpstr>v_42_XAOB</vt:lpstr>
      <vt:lpstr>v_42_XASRO</vt:lpstr>
      <vt:lpstr>v_42_XB</vt:lpstr>
      <vt:lpstr>v_42_XBSH</vt:lpstr>
      <vt:lpstr>v_42_XCaCO3</vt:lpstr>
      <vt:lpstr>v_42_XCASTO</vt:lpstr>
      <vt:lpstr>v_42_XE</vt:lpstr>
      <vt:lpstr>v_42_XE_ana</vt:lpstr>
      <vt:lpstr>v_42_XFeS</vt:lpstr>
      <vt:lpstr>v_42_XGLY</vt:lpstr>
      <vt:lpstr>v_42_XHAO_H</vt:lpstr>
      <vt:lpstr>v_42_XHAO_H_P</vt:lpstr>
      <vt:lpstr>v_42_XHAO_H_P_old</vt:lpstr>
      <vt:lpstr>v_42_XHAO_L</vt:lpstr>
      <vt:lpstr>v_42_XHAO_L_P</vt:lpstr>
      <vt:lpstr>v_42_XHAO_L_P_old</vt:lpstr>
      <vt:lpstr>v_42_XHAO_old</vt:lpstr>
      <vt:lpstr>v_42_XHFO_H</vt:lpstr>
      <vt:lpstr>v_42_XHFO_H_P</vt:lpstr>
      <vt:lpstr>v_42_XHFO_H_P_old</vt:lpstr>
      <vt:lpstr>v_42_XHFO_L</vt:lpstr>
      <vt:lpstr>v_42_XHFO_L_P</vt:lpstr>
      <vt:lpstr>v_42_XHFO_L_P_old</vt:lpstr>
      <vt:lpstr>v_42_XHFO_old</vt:lpstr>
      <vt:lpstr>v_42_XHMETO</vt:lpstr>
      <vt:lpstr>v_42_XHSRO</vt:lpstr>
      <vt:lpstr>v_42_XINORG</vt:lpstr>
      <vt:lpstr>v_42_XMEOLO</vt:lpstr>
      <vt:lpstr>v_42_XMOB</vt:lpstr>
      <vt:lpstr>v_42_XN_B</vt:lpstr>
      <vt:lpstr>v_42_XN_U</vt:lpstr>
      <vt:lpstr>v_42_XNOB</vt:lpstr>
      <vt:lpstr>v_42_XOHO</vt:lpstr>
      <vt:lpstr>v_42_XP_B</vt:lpstr>
      <vt:lpstr>v_42_XP_U</vt:lpstr>
      <vt:lpstr>v_42_XPHA</vt:lpstr>
      <vt:lpstr>v_42_XPP</vt:lpstr>
      <vt:lpstr>v_42_XS</vt:lpstr>
      <vt:lpstr>v_42_XSOO</vt:lpstr>
      <vt:lpstr>v_42_XSTR</vt:lpstr>
      <vt:lpstr>v_42_XU</vt:lpstr>
      <vt:lpstr>v_42_XVivi</vt:lpstr>
      <vt:lpstr>v_43_CB</vt:lpstr>
      <vt:lpstr>v_43_CU</vt:lpstr>
      <vt:lpstr>v_43_GCH4</vt:lpstr>
      <vt:lpstr>v_43_GCH4_atm</vt:lpstr>
      <vt:lpstr>v_43_GCO2</vt:lpstr>
      <vt:lpstr>v_43_GCO2_atm</vt:lpstr>
      <vt:lpstr>v_43_GH2</vt:lpstr>
      <vt:lpstr>v_43_GH2_atm</vt:lpstr>
      <vt:lpstr>v_43_GH2S</vt:lpstr>
      <vt:lpstr>v_43_GH2S_atm</vt:lpstr>
      <vt:lpstr>v_43_GN2</vt:lpstr>
      <vt:lpstr>v_43_GN2_atm</vt:lpstr>
      <vt:lpstr>v_43_GN2O</vt:lpstr>
      <vt:lpstr>v_43_GN2O_atm</vt:lpstr>
      <vt:lpstr>v_43_GNH3</vt:lpstr>
      <vt:lpstr>v_43_GNH3_atm</vt:lpstr>
      <vt:lpstr>v_43_GNO</vt:lpstr>
      <vt:lpstr>v_43_GNO_atm</vt:lpstr>
      <vt:lpstr>v_43_GO2</vt:lpstr>
      <vt:lpstr>v_43_GO2_atm</vt:lpstr>
      <vt:lpstr>v_43_H</vt:lpstr>
      <vt:lpstr>v_43_SALPHA</vt:lpstr>
      <vt:lpstr>v_43_SAN</vt:lpstr>
      <vt:lpstr>v_43_SB</vt:lpstr>
      <vt:lpstr>v_43_SCa</vt:lpstr>
      <vt:lpstr>v_43_SCAT</vt:lpstr>
      <vt:lpstr>v_43_SCH4</vt:lpstr>
      <vt:lpstr>v_43_SCO2</vt:lpstr>
      <vt:lpstr>v_43_SFe2</vt:lpstr>
      <vt:lpstr>v_43_SH2</vt:lpstr>
      <vt:lpstr>v_43_SH2S</vt:lpstr>
      <vt:lpstr>v_43_SK</vt:lpstr>
      <vt:lpstr>v_43_SMEOL</vt:lpstr>
      <vt:lpstr>v_43_SMg</vt:lpstr>
      <vt:lpstr>v_43_SMM_index</vt:lpstr>
      <vt:lpstr>v_43_SN_B</vt:lpstr>
      <vt:lpstr>v_43_SN2</vt:lpstr>
      <vt:lpstr>v_43_SN2O</vt:lpstr>
      <vt:lpstr>v_43_SNH2OH</vt:lpstr>
      <vt:lpstr>v_43_SNHx</vt:lpstr>
      <vt:lpstr>v_43_SNO_AOB</vt:lpstr>
      <vt:lpstr>v_43_SNO_OHO</vt:lpstr>
      <vt:lpstr>v_43_SNO2</vt:lpstr>
      <vt:lpstr>v_43_SNO3</vt:lpstr>
      <vt:lpstr>v_43_SO2</vt:lpstr>
      <vt:lpstr>v_43_SP_B</vt:lpstr>
      <vt:lpstr>v_43_SPO4</vt:lpstr>
      <vt:lpstr>v_43_SSO4</vt:lpstr>
      <vt:lpstr>v_43_SU</vt:lpstr>
      <vt:lpstr>v_43_SVFA</vt:lpstr>
      <vt:lpstr>v_43_XACP</vt:lpstr>
      <vt:lpstr>v_43_XAMETO</vt:lpstr>
      <vt:lpstr>v_43_XAMX</vt:lpstr>
      <vt:lpstr>v_43_XAOB</vt:lpstr>
      <vt:lpstr>v_43_XASRO</vt:lpstr>
      <vt:lpstr>v_43_XB</vt:lpstr>
      <vt:lpstr>v_43_XBSH</vt:lpstr>
      <vt:lpstr>v_43_XCaCO3</vt:lpstr>
      <vt:lpstr>v_43_XCASTO</vt:lpstr>
      <vt:lpstr>v_43_XE</vt:lpstr>
      <vt:lpstr>v_43_XE_ana</vt:lpstr>
      <vt:lpstr>v_43_XFeS</vt:lpstr>
      <vt:lpstr>v_43_XGLY</vt:lpstr>
      <vt:lpstr>v_43_XHAO_H</vt:lpstr>
      <vt:lpstr>v_43_XHAO_H_P</vt:lpstr>
      <vt:lpstr>v_43_XHAO_H_P_old</vt:lpstr>
      <vt:lpstr>v_43_XHAO_L</vt:lpstr>
      <vt:lpstr>v_43_XHAO_L_P</vt:lpstr>
      <vt:lpstr>v_43_XHAO_L_P_old</vt:lpstr>
      <vt:lpstr>v_43_XHAO_old</vt:lpstr>
      <vt:lpstr>v_43_XHFO_H</vt:lpstr>
      <vt:lpstr>v_43_XHFO_H_P</vt:lpstr>
      <vt:lpstr>v_43_XHFO_H_P_old</vt:lpstr>
      <vt:lpstr>v_43_XHFO_L</vt:lpstr>
      <vt:lpstr>v_43_XHFO_L_P</vt:lpstr>
      <vt:lpstr>v_43_XHFO_L_P_old</vt:lpstr>
      <vt:lpstr>v_43_XHFO_old</vt:lpstr>
      <vt:lpstr>v_43_XHMETO</vt:lpstr>
      <vt:lpstr>v_43_XHSRO</vt:lpstr>
      <vt:lpstr>v_43_XINORG</vt:lpstr>
      <vt:lpstr>v_43_XMEOLO</vt:lpstr>
      <vt:lpstr>v_43_XMOB</vt:lpstr>
      <vt:lpstr>v_43_XN_B</vt:lpstr>
      <vt:lpstr>v_43_XN_U</vt:lpstr>
      <vt:lpstr>v_43_XNOB</vt:lpstr>
      <vt:lpstr>v_43_XOHO</vt:lpstr>
      <vt:lpstr>v_43_XP_B</vt:lpstr>
      <vt:lpstr>v_43_XP_U</vt:lpstr>
      <vt:lpstr>v_43_XPHA</vt:lpstr>
      <vt:lpstr>v_43_XPP</vt:lpstr>
      <vt:lpstr>v_43_XS</vt:lpstr>
      <vt:lpstr>v_43_XSOO</vt:lpstr>
      <vt:lpstr>v_43_XSTR</vt:lpstr>
      <vt:lpstr>v_43_XU</vt:lpstr>
      <vt:lpstr>v_43_XVivi</vt:lpstr>
      <vt:lpstr>v_44_CB</vt:lpstr>
      <vt:lpstr>v_44_CU</vt:lpstr>
      <vt:lpstr>v_44_GCH4</vt:lpstr>
      <vt:lpstr>v_44_GCH4_atm</vt:lpstr>
      <vt:lpstr>v_44_GCO2</vt:lpstr>
      <vt:lpstr>v_44_GCO2_atm</vt:lpstr>
      <vt:lpstr>v_44_GH2</vt:lpstr>
      <vt:lpstr>v_44_GH2_atm</vt:lpstr>
      <vt:lpstr>v_44_GH2S</vt:lpstr>
      <vt:lpstr>v_44_GH2S_atm</vt:lpstr>
      <vt:lpstr>v_44_GN2</vt:lpstr>
      <vt:lpstr>v_44_GN2_atm</vt:lpstr>
      <vt:lpstr>v_44_GN2O</vt:lpstr>
      <vt:lpstr>v_44_GN2O_atm</vt:lpstr>
      <vt:lpstr>v_44_GNH3</vt:lpstr>
      <vt:lpstr>v_44_GNH3_atm</vt:lpstr>
      <vt:lpstr>v_44_GNO</vt:lpstr>
      <vt:lpstr>v_44_GNO_atm</vt:lpstr>
      <vt:lpstr>v_44_GO2</vt:lpstr>
      <vt:lpstr>v_44_GO2_atm</vt:lpstr>
      <vt:lpstr>v_44_H</vt:lpstr>
      <vt:lpstr>v_44_SALPHA</vt:lpstr>
      <vt:lpstr>v_44_SAN</vt:lpstr>
      <vt:lpstr>v_44_SB</vt:lpstr>
      <vt:lpstr>v_44_SCa</vt:lpstr>
      <vt:lpstr>v_44_SCAT</vt:lpstr>
      <vt:lpstr>v_44_SCH4</vt:lpstr>
      <vt:lpstr>v_44_SCO2</vt:lpstr>
      <vt:lpstr>v_44_SFe2</vt:lpstr>
      <vt:lpstr>v_44_SH2</vt:lpstr>
      <vt:lpstr>v_44_SH2S</vt:lpstr>
      <vt:lpstr>v_44_SK</vt:lpstr>
      <vt:lpstr>v_44_SMEOL</vt:lpstr>
      <vt:lpstr>v_44_SMg</vt:lpstr>
      <vt:lpstr>v_44_SMM_index</vt:lpstr>
      <vt:lpstr>v_44_SN_B</vt:lpstr>
      <vt:lpstr>v_44_SN2</vt:lpstr>
      <vt:lpstr>v_44_SN2O</vt:lpstr>
      <vt:lpstr>v_44_SNH2OH</vt:lpstr>
      <vt:lpstr>v_44_SNHx</vt:lpstr>
      <vt:lpstr>v_44_SNO_AOB</vt:lpstr>
      <vt:lpstr>v_44_SNO_OHO</vt:lpstr>
      <vt:lpstr>v_44_SNO2</vt:lpstr>
      <vt:lpstr>v_44_SNO3</vt:lpstr>
      <vt:lpstr>v_44_SO2</vt:lpstr>
      <vt:lpstr>v_44_SP_B</vt:lpstr>
      <vt:lpstr>v_44_SPO4</vt:lpstr>
      <vt:lpstr>v_44_SSO4</vt:lpstr>
      <vt:lpstr>v_44_SU</vt:lpstr>
      <vt:lpstr>v_44_SVFA</vt:lpstr>
      <vt:lpstr>v_44_XACP</vt:lpstr>
      <vt:lpstr>v_44_XAMETO</vt:lpstr>
      <vt:lpstr>v_44_XAMX</vt:lpstr>
      <vt:lpstr>v_44_XAOB</vt:lpstr>
      <vt:lpstr>v_44_XASRO</vt:lpstr>
      <vt:lpstr>v_44_XB</vt:lpstr>
      <vt:lpstr>v_44_XBSH</vt:lpstr>
      <vt:lpstr>v_44_XCaCO3</vt:lpstr>
      <vt:lpstr>v_44_XCASTO</vt:lpstr>
      <vt:lpstr>v_44_XE</vt:lpstr>
      <vt:lpstr>v_44_XE_ana</vt:lpstr>
      <vt:lpstr>v_44_XFeS</vt:lpstr>
      <vt:lpstr>v_44_XGLY</vt:lpstr>
      <vt:lpstr>v_44_XHAO_H</vt:lpstr>
      <vt:lpstr>v_44_XHAO_H_P</vt:lpstr>
      <vt:lpstr>v_44_XHAO_H_P_old</vt:lpstr>
      <vt:lpstr>v_44_XHAO_L</vt:lpstr>
      <vt:lpstr>v_44_XHAO_L_P</vt:lpstr>
      <vt:lpstr>v_44_XHAO_L_P_old</vt:lpstr>
      <vt:lpstr>v_44_XHAO_old</vt:lpstr>
      <vt:lpstr>v_44_XHFO_H</vt:lpstr>
      <vt:lpstr>v_44_XHFO_H_P</vt:lpstr>
      <vt:lpstr>v_44_XHFO_H_P_old</vt:lpstr>
      <vt:lpstr>v_44_XHFO_L</vt:lpstr>
      <vt:lpstr>v_44_XHFO_L_P</vt:lpstr>
      <vt:lpstr>v_44_XHFO_L_P_old</vt:lpstr>
      <vt:lpstr>v_44_XHFO_old</vt:lpstr>
      <vt:lpstr>v_44_XHMETO</vt:lpstr>
      <vt:lpstr>v_44_XHSRO</vt:lpstr>
      <vt:lpstr>v_44_XINORG</vt:lpstr>
      <vt:lpstr>v_44_XMEOLO</vt:lpstr>
      <vt:lpstr>v_44_XMOB</vt:lpstr>
      <vt:lpstr>v_44_XN_B</vt:lpstr>
      <vt:lpstr>v_44_XN_U</vt:lpstr>
      <vt:lpstr>v_44_XNOB</vt:lpstr>
      <vt:lpstr>v_44_XOHO</vt:lpstr>
      <vt:lpstr>v_44_XP_B</vt:lpstr>
      <vt:lpstr>v_44_XP_U</vt:lpstr>
      <vt:lpstr>v_44_XPHA</vt:lpstr>
      <vt:lpstr>v_44_XPP</vt:lpstr>
      <vt:lpstr>v_44_XS</vt:lpstr>
      <vt:lpstr>v_44_XSOO</vt:lpstr>
      <vt:lpstr>v_44_XSTR</vt:lpstr>
      <vt:lpstr>v_44_XU</vt:lpstr>
      <vt:lpstr>v_44_XVivi</vt:lpstr>
      <vt:lpstr>v_45_CB</vt:lpstr>
      <vt:lpstr>v_45_CU</vt:lpstr>
      <vt:lpstr>v_45_GCH4</vt:lpstr>
      <vt:lpstr>v_45_GCH4_atm</vt:lpstr>
      <vt:lpstr>v_45_GCO2</vt:lpstr>
      <vt:lpstr>v_45_GCO2_atm</vt:lpstr>
      <vt:lpstr>v_45_GH2</vt:lpstr>
      <vt:lpstr>v_45_GH2_atm</vt:lpstr>
      <vt:lpstr>v_45_GH2S</vt:lpstr>
      <vt:lpstr>v_45_GH2S_atm</vt:lpstr>
      <vt:lpstr>v_45_GN2</vt:lpstr>
      <vt:lpstr>v_45_GN2_atm</vt:lpstr>
      <vt:lpstr>v_45_GN2O</vt:lpstr>
      <vt:lpstr>v_45_GN2O_atm</vt:lpstr>
      <vt:lpstr>v_45_GNH3</vt:lpstr>
      <vt:lpstr>v_45_GNH3_atm</vt:lpstr>
      <vt:lpstr>v_45_GNO</vt:lpstr>
      <vt:lpstr>v_45_GNO_atm</vt:lpstr>
      <vt:lpstr>v_45_GO2</vt:lpstr>
      <vt:lpstr>v_45_GO2_atm</vt:lpstr>
      <vt:lpstr>v_45_H</vt:lpstr>
      <vt:lpstr>v_45_SALPHA</vt:lpstr>
      <vt:lpstr>v_45_SAN</vt:lpstr>
      <vt:lpstr>v_45_SB</vt:lpstr>
      <vt:lpstr>v_45_SCa</vt:lpstr>
      <vt:lpstr>v_45_SCAT</vt:lpstr>
      <vt:lpstr>v_45_SCH4</vt:lpstr>
      <vt:lpstr>v_45_SCO2</vt:lpstr>
      <vt:lpstr>v_45_SFe2</vt:lpstr>
      <vt:lpstr>v_45_SH2</vt:lpstr>
      <vt:lpstr>v_45_SH2S</vt:lpstr>
      <vt:lpstr>v_45_SK</vt:lpstr>
      <vt:lpstr>v_45_SMEOL</vt:lpstr>
      <vt:lpstr>v_45_SMg</vt:lpstr>
      <vt:lpstr>v_45_SMM_index</vt:lpstr>
      <vt:lpstr>v_45_SN_B</vt:lpstr>
      <vt:lpstr>v_45_SN2</vt:lpstr>
      <vt:lpstr>v_45_SN2O</vt:lpstr>
      <vt:lpstr>v_45_SNH2OH</vt:lpstr>
      <vt:lpstr>v_45_SNHx</vt:lpstr>
      <vt:lpstr>v_45_SNO_AOB</vt:lpstr>
      <vt:lpstr>v_45_SNO_OHO</vt:lpstr>
      <vt:lpstr>v_45_SNO2</vt:lpstr>
      <vt:lpstr>v_45_SNO3</vt:lpstr>
      <vt:lpstr>v_45_SO2</vt:lpstr>
      <vt:lpstr>v_45_SP_B</vt:lpstr>
      <vt:lpstr>v_45_SPO4</vt:lpstr>
      <vt:lpstr>v_45_SSO4</vt:lpstr>
      <vt:lpstr>v_45_SU</vt:lpstr>
      <vt:lpstr>v_45_SVFA</vt:lpstr>
      <vt:lpstr>v_45_XACP</vt:lpstr>
      <vt:lpstr>v_45_XAMETO</vt:lpstr>
      <vt:lpstr>v_45_XAMX</vt:lpstr>
      <vt:lpstr>v_45_XAOB</vt:lpstr>
      <vt:lpstr>v_45_XASRO</vt:lpstr>
      <vt:lpstr>v_45_XB</vt:lpstr>
      <vt:lpstr>v_45_XBSH</vt:lpstr>
      <vt:lpstr>v_45_XCaCO3</vt:lpstr>
      <vt:lpstr>v_45_XCASTO</vt:lpstr>
      <vt:lpstr>v_45_XE</vt:lpstr>
      <vt:lpstr>v_45_XE_ana</vt:lpstr>
      <vt:lpstr>v_45_XFeS</vt:lpstr>
      <vt:lpstr>v_45_XGLY</vt:lpstr>
      <vt:lpstr>v_45_XHAO_H</vt:lpstr>
      <vt:lpstr>v_45_XHAO_H_P</vt:lpstr>
      <vt:lpstr>v_45_XHAO_H_P_old</vt:lpstr>
      <vt:lpstr>v_45_XHAO_L</vt:lpstr>
      <vt:lpstr>v_45_XHAO_L_P</vt:lpstr>
      <vt:lpstr>v_45_XHAO_L_P_old</vt:lpstr>
      <vt:lpstr>v_45_XHAO_old</vt:lpstr>
      <vt:lpstr>v_45_XHFO_H</vt:lpstr>
      <vt:lpstr>v_45_XHFO_H_P</vt:lpstr>
      <vt:lpstr>v_45_XHFO_H_P_old</vt:lpstr>
      <vt:lpstr>v_45_XHFO_L</vt:lpstr>
      <vt:lpstr>v_45_XHFO_L_P</vt:lpstr>
      <vt:lpstr>v_45_XHFO_L_P_old</vt:lpstr>
      <vt:lpstr>v_45_XHFO_old</vt:lpstr>
      <vt:lpstr>v_45_XHMETO</vt:lpstr>
      <vt:lpstr>v_45_XHSRO</vt:lpstr>
      <vt:lpstr>v_45_XINORG</vt:lpstr>
      <vt:lpstr>v_45_XMEOLO</vt:lpstr>
      <vt:lpstr>v_45_XMOB</vt:lpstr>
      <vt:lpstr>v_45_XN_B</vt:lpstr>
      <vt:lpstr>v_45_XN_U</vt:lpstr>
      <vt:lpstr>v_45_XNOB</vt:lpstr>
      <vt:lpstr>v_45_XOHO</vt:lpstr>
      <vt:lpstr>v_45_XP_B</vt:lpstr>
      <vt:lpstr>v_45_XP_U</vt:lpstr>
      <vt:lpstr>v_45_XPHA</vt:lpstr>
      <vt:lpstr>v_45_XPP</vt:lpstr>
      <vt:lpstr>v_45_XS</vt:lpstr>
      <vt:lpstr>v_45_XSOO</vt:lpstr>
      <vt:lpstr>v_45_XSTR</vt:lpstr>
      <vt:lpstr>v_45_XU</vt:lpstr>
      <vt:lpstr>v_45_XVivi</vt:lpstr>
      <vt:lpstr>v_46_CB</vt:lpstr>
      <vt:lpstr>v_46_CU</vt:lpstr>
      <vt:lpstr>v_46_GCH4</vt:lpstr>
      <vt:lpstr>v_46_GCH4_atm</vt:lpstr>
      <vt:lpstr>v_46_GCO2</vt:lpstr>
      <vt:lpstr>v_46_GCO2_atm</vt:lpstr>
      <vt:lpstr>v_46_GH2</vt:lpstr>
      <vt:lpstr>v_46_GH2_atm</vt:lpstr>
      <vt:lpstr>v_46_GH2S</vt:lpstr>
      <vt:lpstr>v_46_GH2S_atm</vt:lpstr>
      <vt:lpstr>v_46_GN2</vt:lpstr>
      <vt:lpstr>v_46_GN2_atm</vt:lpstr>
      <vt:lpstr>v_46_GN2O</vt:lpstr>
      <vt:lpstr>v_46_GN2O_atm</vt:lpstr>
      <vt:lpstr>v_46_GNH3</vt:lpstr>
      <vt:lpstr>v_46_GNH3_atm</vt:lpstr>
      <vt:lpstr>v_46_GNO</vt:lpstr>
      <vt:lpstr>v_46_GNO_atm</vt:lpstr>
      <vt:lpstr>v_46_GO2</vt:lpstr>
      <vt:lpstr>v_46_GO2_atm</vt:lpstr>
      <vt:lpstr>v_46_H</vt:lpstr>
      <vt:lpstr>v_46_SALPHA</vt:lpstr>
      <vt:lpstr>v_46_SAN</vt:lpstr>
      <vt:lpstr>v_46_SB</vt:lpstr>
      <vt:lpstr>v_46_SCa</vt:lpstr>
      <vt:lpstr>v_46_SCAT</vt:lpstr>
      <vt:lpstr>v_46_SCH4</vt:lpstr>
      <vt:lpstr>v_46_SCO2</vt:lpstr>
      <vt:lpstr>v_46_SFe2</vt:lpstr>
      <vt:lpstr>v_46_SH2</vt:lpstr>
      <vt:lpstr>v_46_SH2S</vt:lpstr>
      <vt:lpstr>v_46_SK</vt:lpstr>
      <vt:lpstr>v_46_SMEOL</vt:lpstr>
      <vt:lpstr>v_46_SMg</vt:lpstr>
      <vt:lpstr>v_46_SMM_index</vt:lpstr>
      <vt:lpstr>v_46_SN_B</vt:lpstr>
      <vt:lpstr>v_46_SN2</vt:lpstr>
      <vt:lpstr>v_46_SN2O</vt:lpstr>
      <vt:lpstr>v_46_SNH2OH</vt:lpstr>
      <vt:lpstr>v_46_SNHx</vt:lpstr>
      <vt:lpstr>v_46_SNO_AOB</vt:lpstr>
      <vt:lpstr>v_46_SNO_OHO</vt:lpstr>
      <vt:lpstr>v_46_SNO2</vt:lpstr>
      <vt:lpstr>v_46_SNO3</vt:lpstr>
      <vt:lpstr>v_46_SO2</vt:lpstr>
      <vt:lpstr>v_46_SP_B</vt:lpstr>
      <vt:lpstr>v_46_SPO4</vt:lpstr>
      <vt:lpstr>v_46_SSO4</vt:lpstr>
      <vt:lpstr>v_46_SU</vt:lpstr>
      <vt:lpstr>v_46_SVFA</vt:lpstr>
      <vt:lpstr>v_46_XACP</vt:lpstr>
      <vt:lpstr>v_46_XAMETO</vt:lpstr>
      <vt:lpstr>v_46_XAMX</vt:lpstr>
      <vt:lpstr>v_46_XAOB</vt:lpstr>
      <vt:lpstr>v_46_XASRO</vt:lpstr>
      <vt:lpstr>v_46_XB</vt:lpstr>
      <vt:lpstr>v_46_XBSH</vt:lpstr>
      <vt:lpstr>v_46_XCaCO3</vt:lpstr>
      <vt:lpstr>v_46_XCASTO</vt:lpstr>
      <vt:lpstr>v_46_XE</vt:lpstr>
      <vt:lpstr>v_46_XE_ana</vt:lpstr>
      <vt:lpstr>v_46_XFeS</vt:lpstr>
      <vt:lpstr>v_46_XGLY</vt:lpstr>
      <vt:lpstr>v_46_XHAO_H</vt:lpstr>
      <vt:lpstr>v_46_XHAO_H_P</vt:lpstr>
      <vt:lpstr>v_46_XHAO_H_P_old</vt:lpstr>
      <vt:lpstr>v_46_XHAO_L</vt:lpstr>
      <vt:lpstr>v_46_XHAO_L_P</vt:lpstr>
      <vt:lpstr>v_46_XHAO_L_P_old</vt:lpstr>
      <vt:lpstr>v_46_XHAO_old</vt:lpstr>
      <vt:lpstr>v_46_XHFO_H</vt:lpstr>
      <vt:lpstr>v_46_XHFO_H_P</vt:lpstr>
      <vt:lpstr>v_46_XHFO_H_P_old</vt:lpstr>
      <vt:lpstr>v_46_XHFO_L</vt:lpstr>
      <vt:lpstr>v_46_XHFO_L_P</vt:lpstr>
      <vt:lpstr>v_46_XHFO_L_P_old</vt:lpstr>
      <vt:lpstr>v_46_XHFO_old</vt:lpstr>
      <vt:lpstr>v_46_XHMETO</vt:lpstr>
      <vt:lpstr>v_46_XHSRO</vt:lpstr>
      <vt:lpstr>v_46_XINORG</vt:lpstr>
      <vt:lpstr>v_46_XMEOLO</vt:lpstr>
      <vt:lpstr>v_46_XMOB</vt:lpstr>
      <vt:lpstr>v_46_XN_B</vt:lpstr>
      <vt:lpstr>v_46_XN_U</vt:lpstr>
      <vt:lpstr>v_46_XNOB</vt:lpstr>
      <vt:lpstr>v_46_XOHO</vt:lpstr>
      <vt:lpstr>v_46_XP_B</vt:lpstr>
      <vt:lpstr>v_46_XP_U</vt:lpstr>
      <vt:lpstr>v_46_XPHA</vt:lpstr>
      <vt:lpstr>v_46_XPP</vt:lpstr>
      <vt:lpstr>v_46_XS</vt:lpstr>
      <vt:lpstr>v_46_XSOO</vt:lpstr>
      <vt:lpstr>v_46_XSTR</vt:lpstr>
      <vt:lpstr>v_46_XU</vt:lpstr>
      <vt:lpstr>v_46_XVivi</vt:lpstr>
      <vt:lpstr>v_47_CB</vt:lpstr>
      <vt:lpstr>v_47_CU</vt:lpstr>
      <vt:lpstr>v_47_GCH4</vt:lpstr>
      <vt:lpstr>v_47_GCH4_atm</vt:lpstr>
      <vt:lpstr>v_47_GCO2</vt:lpstr>
      <vt:lpstr>v_47_GCO2_atm</vt:lpstr>
      <vt:lpstr>v_47_GH2</vt:lpstr>
      <vt:lpstr>v_47_GH2_atm</vt:lpstr>
      <vt:lpstr>v_47_GH2S</vt:lpstr>
      <vt:lpstr>v_47_GH2S_atm</vt:lpstr>
      <vt:lpstr>v_47_GN2</vt:lpstr>
      <vt:lpstr>v_47_GN2_atm</vt:lpstr>
      <vt:lpstr>v_47_GN2O</vt:lpstr>
      <vt:lpstr>v_47_GN2O_atm</vt:lpstr>
      <vt:lpstr>v_47_GNH3</vt:lpstr>
      <vt:lpstr>v_47_GNH3_atm</vt:lpstr>
      <vt:lpstr>v_47_GNO</vt:lpstr>
      <vt:lpstr>v_47_GNO_atm</vt:lpstr>
      <vt:lpstr>v_47_GO2</vt:lpstr>
      <vt:lpstr>v_47_GO2_atm</vt:lpstr>
      <vt:lpstr>v_47_H</vt:lpstr>
      <vt:lpstr>v_47_SALPHA</vt:lpstr>
      <vt:lpstr>v_47_SAN</vt:lpstr>
      <vt:lpstr>v_47_SB</vt:lpstr>
      <vt:lpstr>v_47_SCa</vt:lpstr>
      <vt:lpstr>v_47_SCAT</vt:lpstr>
      <vt:lpstr>v_47_SCH4</vt:lpstr>
      <vt:lpstr>v_47_SCO2</vt:lpstr>
      <vt:lpstr>v_47_SFe2</vt:lpstr>
      <vt:lpstr>v_47_SH2</vt:lpstr>
      <vt:lpstr>v_47_SH2S</vt:lpstr>
      <vt:lpstr>v_47_SK</vt:lpstr>
      <vt:lpstr>v_47_SMEOL</vt:lpstr>
      <vt:lpstr>v_47_SMg</vt:lpstr>
      <vt:lpstr>v_47_SMM_index</vt:lpstr>
      <vt:lpstr>v_47_SN_B</vt:lpstr>
      <vt:lpstr>v_47_SN2</vt:lpstr>
      <vt:lpstr>v_47_SN2O</vt:lpstr>
      <vt:lpstr>v_47_SNH2OH</vt:lpstr>
      <vt:lpstr>v_47_SNHx</vt:lpstr>
      <vt:lpstr>v_47_SNO_AOB</vt:lpstr>
      <vt:lpstr>v_47_SNO_OHO</vt:lpstr>
      <vt:lpstr>v_47_SNO2</vt:lpstr>
      <vt:lpstr>v_47_SNO3</vt:lpstr>
      <vt:lpstr>v_47_SO2</vt:lpstr>
      <vt:lpstr>v_47_SP_B</vt:lpstr>
      <vt:lpstr>v_47_SPO4</vt:lpstr>
      <vt:lpstr>v_47_SSO4</vt:lpstr>
      <vt:lpstr>v_47_SU</vt:lpstr>
      <vt:lpstr>v_47_SVFA</vt:lpstr>
      <vt:lpstr>v_47_XACP</vt:lpstr>
      <vt:lpstr>v_47_XAMETO</vt:lpstr>
      <vt:lpstr>v_47_XAMX</vt:lpstr>
      <vt:lpstr>v_47_XAOB</vt:lpstr>
      <vt:lpstr>v_47_XASRO</vt:lpstr>
      <vt:lpstr>v_47_XB</vt:lpstr>
      <vt:lpstr>v_47_XBSH</vt:lpstr>
      <vt:lpstr>v_47_XCaCO3</vt:lpstr>
      <vt:lpstr>v_47_XCASTO</vt:lpstr>
      <vt:lpstr>v_47_XE</vt:lpstr>
      <vt:lpstr>v_47_XE_ana</vt:lpstr>
      <vt:lpstr>v_47_XFeS</vt:lpstr>
      <vt:lpstr>v_47_XGLY</vt:lpstr>
      <vt:lpstr>v_47_XHAO_H</vt:lpstr>
      <vt:lpstr>v_47_XHAO_H_P</vt:lpstr>
      <vt:lpstr>v_47_XHAO_H_P_old</vt:lpstr>
      <vt:lpstr>v_47_XHAO_L</vt:lpstr>
      <vt:lpstr>v_47_XHAO_L_P</vt:lpstr>
      <vt:lpstr>v_47_XHAO_L_P_old</vt:lpstr>
      <vt:lpstr>v_47_XHAO_old</vt:lpstr>
      <vt:lpstr>v_47_XHFO_H</vt:lpstr>
      <vt:lpstr>v_47_XHFO_H_P</vt:lpstr>
      <vt:lpstr>v_47_XHFO_H_P_old</vt:lpstr>
      <vt:lpstr>v_47_XHFO_L</vt:lpstr>
      <vt:lpstr>v_47_XHFO_L_P</vt:lpstr>
      <vt:lpstr>v_47_XHFO_L_P_old</vt:lpstr>
      <vt:lpstr>v_47_XHFO_old</vt:lpstr>
      <vt:lpstr>v_47_XHMETO</vt:lpstr>
      <vt:lpstr>v_47_XHSRO</vt:lpstr>
      <vt:lpstr>v_47_XINORG</vt:lpstr>
      <vt:lpstr>v_47_XMEOLO</vt:lpstr>
      <vt:lpstr>v_47_XMOB</vt:lpstr>
      <vt:lpstr>v_47_XN_B</vt:lpstr>
      <vt:lpstr>v_47_XN_U</vt:lpstr>
      <vt:lpstr>v_47_XNOB</vt:lpstr>
      <vt:lpstr>v_47_XOHO</vt:lpstr>
      <vt:lpstr>v_47_XP_B</vt:lpstr>
      <vt:lpstr>v_47_XP_U</vt:lpstr>
      <vt:lpstr>v_47_XPHA</vt:lpstr>
      <vt:lpstr>v_47_XPP</vt:lpstr>
      <vt:lpstr>v_47_XS</vt:lpstr>
      <vt:lpstr>v_47_XSOO</vt:lpstr>
      <vt:lpstr>v_47_XSTR</vt:lpstr>
      <vt:lpstr>v_47_XU</vt:lpstr>
      <vt:lpstr>v_47_XVivi</vt:lpstr>
      <vt:lpstr>v_48_CB</vt:lpstr>
      <vt:lpstr>v_48_CU</vt:lpstr>
      <vt:lpstr>v_48_GCH4</vt:lpstr>
      <vt:lpstr>v_48_GCH4_atm</vt:lpstr>
      <vt:lpstr>v_48_GCO2</vt:lpstr>
      <vt:lpstr>v_48_GCO2_atm</vt:lpstr>
      <vt:lpstr>v_48_GH2</vt:lpstr>
      <vt:lpstr>v_48_GH2_atm</vt:lpstr>
      <vt:lpstr>v_48_GH2S</vt:lpstr>
      <vt:lpstr>v_48_GH2S_atm</vt:lpstr>
      <vt:lpstr>v_48_GN2</vt:lpstr>
      <vt:lpstr>v_48_GN2_atm</vt:lpstr>
      <vt:lpstr>v_48_GN2O</vt:lpstr>
      <vt:lpstr>v_48_GN2O_atm</vt:lpstr>
      <vt:lpstr>v_48_GNH3</vt:lpstr>
      <vt:lpstr>v_48_GNH3_atm</vt:lpstr>
      <vt:lpstr>v_48_GNO</vt:lpstr>
      <vt:lpstr>v_48_GNO_atm</vt:lpstr>
      <vt:lpstr>v_48_GO2</vt:lpstr>
      <vt:lpstr>v_48_GO2_atm</vt:lpstr>
      <vt:lpstr>v_48_H</vt:lpstr>
      <vt:lpstr>v_48_SALPHA</vt:lpstr>
      <vt:lpstr>v_48_SAN</vt:lpstr>
      <vt:lpstr>v_48_SB</vt:lpstr>
      <vt:lpstr>v_48_SCa</vt:lpstr>
      <vt:lpstr>v_48_SCAT</vt:lpstr>
      <vt:lpstr>v_48_SCH4</vt:lpstr>
      <vt:lpstr>v_48_SCO2</vt:lpstr>
      <vt:lpstr>v_48_SFe2</vt:lpstr>
      <vt:lpstr>v_48_SH2</vt:lpstr>
      <vt:lpstr>v_48_SH2S</vt:lpstr>
      <vt:lpstr>v_48_SK</vt:lpstr>
      <vt:lpstr>v_48_SMEOL</vt:lpstr>
      <vt:lpstr>v_48_SMg</vt:lpstr>
      <vt:lpstr>v_48_SMM_index</vt:lpstr>
      <vt:lpstr>v_48_SN_B</vt:lpstr>
      <vt:lpstr>v_48_SN2</vt:lpstr>
      <vt:lpstr>v_48_SN2O</vt:lpstr>
      <vt:lpstr>v_48_SNH2OH</vt:lpstr>
      <vt:lpstr>v_48_SNHx</vt:lpstr>
      <vt:lpstr>v_48_SNO_AOB</vt:lpstr>
      <vt:lpstr>v_48_SNO_OHO</vt:lpstr>
      <vt:lpstr>v_48_SNO2</vt:lpstr>
      <vt:lpstr>v_48_SNO3</vt:lpstr>
      <vt:lpstr>v_48_SO2</vt:lpstr>
      <vt:lpstr>v_48_SP_B</vt:lpstr>
      <vt:lpstr>v_48_SPO4</vt:lpstr>
      <vt:lpstr>v_48_SSO4</vt:lpstr>
      <vt:lpstr>v_48_SU</vt:lpstr>
      <vt:lpstr>v_48_SVFA</vt:lpstr>
      <vt:lpstr>v_48_XACP</vt:lpstr>
      <vt:lpstr>v_48_XAMETO</vt:lpstr>
      <vt:lpstr>v_48_XAMX</vt:lpstr>
      <vt:lpstr>v_48_XAOB</vt:lpstr>
      <vt:lpstr>v_48_XASRO</vt:lpstr>
      <vt:lpstr>v_48_XB</vt:lpstr>
      <vt:lpstr>v_48_XBSH</vt:lpstr>
      <vt:lpstr>v_48_XCaCO3</vt:lpstr>
      <vt:lpstr>v_48_XCASTO</vt:lpstr>
      <vt:lpstr>v_48_XE</vt:lpstr>
      <vt:lpstr>v_48_XE_ana</vt:lpstr>
      <vt:lpstr>v_48_XFeS</vt:lpstr>
      <vt:lpstr>v_48_XGLY</vt:lpstr>
      <vt:lpstr>v_48_XHAO_H</vt:lpstr>
      <vt:lpstr>v_48_XHAO_H_P</vt:lpstr>
      <vt:lpstr>v_48_XHAO_H_P_old</vt:lpstr>
      <vt:lpstr>v_48_XHAO_L</vt:lpstr>
      <vt:lpstr>v_48_XHAO_L_P</vt:lpstr>
      <vt:lpstr>v_48_XHAO_L_P_old</vt:lpstr>
      <vt:lpstr>v_48_XHAO_old</vt:lpstr>
      <vt:lpstr>v_48_XHFO_H</vt:lpstr>
      <vt:lpstr>v_48_XHFO_H_P</vt:lpstr>
      <vt:lpstr>v_48_XHFO_H_P_old</vt:lpstr>
      <vt:lpstr>v_48_XHFO_L</vt:lpstr>
      <vt:lpstr>v_48_XHFO_L_P</vt:lpstr>
      <vt:lpstr>v_48_XHFO_L_P_old</vt:lpstr>
      <vt:lpstr>v_48_XHFO_old</vt:lpstr>
      <vt:lpstr>v_48_XHMETO</vt:lpstr>
      <vt:lpstr>v_48_XHSRO</vt:lpstr>
      <vt:lpstr>v_48_XINORG</vt:lpstr>
      <vt:lpstr>v_48_XMEOLO</vt:lpstr>
      <vt:lpstr>v_48_XMOB</vt:lpstr>
      <vt:lpstr>v_48_XN_B</vt:lpstr>
      <vt:lpstr>v_48_XN_U</vt:lpstr>
      <vt:lpstr>v_48_XNOB</vt:lpstr>
      <vt:lpstr>v_48_XOHO</vt:lpstr>
      <vt:lpstr>v_48_XP_B</vt:lpstr>
      <vt:lpstr>v_48_XP_U</vt:lpstr>
      <vt:lpstr>v_48_XPHA</vt:lpstr>
      <vt:lpstr>v_48_XPP</vt:lpstr>
      <vt:lpstr>v_48_XS</vt:lpstr>
      <vt:lpstr>v_48_XSOO</vt:lpstr>
      <vt:lpstr>v_48_XSTR</vt:lpstr>
      <vt:lpstr>v_48_XU</vt:lpstr>
      <vt:lpstr>v_48_XVivi</vt:lpstr>
      <vt:lpstr>v_49_CB</vt:lpstr>
      <vt:lpstr>v_49_CU</vt:lpstr>
      <vt:lpstr>v_49_GCH4</vt:lpstr>
      <vt:lpstr>v_49_GCH4_atm</vt:lpstr>
      <vt:lpstr>v_49_GCO2</vt:lpstr>
      <vt:lpstr>v_49_GCO2_atm</vt:lpstr>
      <vt:lpstr>v_49_GH2</vt:lpstr>
      <vt:lpstr>v_49_GH2_atm</vt:lpstr>
      <vt:lpstr>v_49_GH2S</vt:lpstr>
      <vt:lpstr>v_49_GH2S_atm</vt:lpstr>
      <vt:lpstr>v_49_GN2</vt:lpstr>
      <vt:lpstr>v_49_GN2_atm</vt:lpstr>
      <vt:lpstr>v_49_GN2O</vt:lpstr>
      <vt:lpstr>v_49_GN2O_atm</vt:lpstr>
      <vt:lpstr>v_49_GNH3</vt:lpstr>
      <vt:lpstr>v_49_GNH3_atm</vt:lpstr>
      <vt:lpstr>v_49_GNO</vt:lpstr>
      <vt:lpstr>v_49_GNO_atm</vt:lpstr>
      <vt:lpstr>v_49_GO2</vt:lpstr>
      <vt:lpstr>v_49_GO2_atm</vt:lpstr>
      <vt:lpstr>v_49_H</vt:lpstr>
      <vt:lpstr>v_49_SALPHA</vt:lpstr>
      <vt:lpstr>v_49_SAN</vt:lpstr>
      <vt:lpstr>v_49_SB</vt:lpstr>
      <vt:lpstr>v_49_SCa</vt:lpstr>
      <vt:lpstr>v_49_SCAT</vt:lpstr>
      <vt:lpstr>v_49_SCH4</vt:lpstr>
      <vt:lpstr>v_49_SCO2</vt:lpstr>
      <vt:lpstr>v_49_SFe2</vt:lpstr>
      <vt:lpstr>v_49_SH2</vt:lpstr>
      <vt:lpstr>v_49_SH2S</vt:lpstr>
      <vt:lpstr>v_49_SK</vt:lpstr>
      <vt:lpstr>v_49_SMEOL</vt:lpstr>
      <vt:lpstr>v_49_SMg</vt:lpstr>
      <vt:lpstr>v_49_SMM_index</vt:lpstr>
      <vt:lpstr>v_49_SN_B</vt:lpstr>
      <vt:lpstr>v_49_SN2</vt:lpstr>
      <vt:lpstr>v_49_SN2O</vt:lpstr>
      <vt:lpstr>v_49_SNH2OH</vt:lpstr>
      <vt:lpstr>v_49_SNHx</vt:lpstr>
      <vt:lpstr>v_49_SNO_AOB</vt:lpstr>
      <vt:lpstr>v_49_SNO_OHO</vt:lpstr>
      <vt:lpstr>v_49_SNO2</vt:lpstr>
      <vt:lpstr>v_49_SNO3</vt:lpstr>
      <vt:lpstr>v_49_SO2</vt:lpstr>
      <vt:lpstr>v_49_SP_B</vt:lpstr>
      <vt:lpstr>v_49_SPO4</vt:lpstr>
      <vt:lpstr>v_49_SSO4</vt:lpstr>
      <vt:lpstr>v_49_SU</vt:lpstr>
      <vt:lpstr>v_49_SVFA</vt:lpstr>
      <vt:lpstr>v_49_XACP</vt:lpstr>
      <vt:lpstr>v_49_XAMETO</vt:lpstr>
      <vt:lpstr>v_49_XAMX</vt:lpstr>
      <vt:lpstr>v_49_XAOB</vt:lpstr>
      <vt:lpstr>v_49_XASRO</vt:lpstr>
      <vt:lpstr>v_49_XB</vt:lpstr>
      <vt:lpstr>v_49_XBSH</vt:lpstr>
      <vt:lpstr>v_49_XCaCO3</vt:lpstr>
      <vt:lpstr>v_49_XCASTO</vt:lpstr>
      <vt:lpstr>v_49_XE</vt:lpstr>
      <vt:lpstr>v_49_XE_ana</vt:lpstr>
      <vt:lpstr>v_49_XFeS</vt:lpstr>
      <vt:lpstr>v_49_XGLY</vt:lpstr>
      <vt:lpstr>v_49_XHAO_H</vt:lpstr>
      <vt:lpstr>v_49_XHAO_H_P</vt:lpstr>
      <vt:lpstr>v_49_XHAO_H_P_old</vt:lpstr>
      <vt:lpstr>v_49_XHAO_L</vt:lpstr>
      <vt:lpstr>v_49_XHAO_L_P</vt:lpstr>
      <vt:lpstr>v_49_XHAO_L_P_old</vt:lpstr>
      <vt:lpstr>v_49_XHAO_old</vt:lpstr>
      <vt:lpstr>v_49_XHFO_H</vt:lpstr>
      <vt:lpstr>v_49_XHFO_H_P</vt:lpstr>
      <vt:lpstr>v_49_XHFO_H_P_old</vt:lpstr>
      <vt:lpstr>v_49_XHFO_L</vt:lpstr>
      <vt:lpstr>v_49_XHFO_L_P</vt:lpstr>
      <vt:lpstr>v_49_XHFO_L_P_old</vt:lpstr>
      <vt:lpstr>v_49_XHFO_old</vt:lpstr>
      <vt:lpstr>v_49_XHMETO</vt:lpstr>
      <vt:lpstr>v_49_XHSRO</vt:lpstr>
      <vt:lpstr>v_49_XINORG</vt:lpstr>
      <vt:lpstr>v_49_XMEOLO</vt:lpstr>
      <vt:lpstr>v_49_XMOB</vt:lpstr>
      <vt:lpstr>v_49_XN_B</vt:lpstr>
      <vt:lpstr>v_49_XN_U</vt:lpstr>
      <vt:lpstr>v_49_XNOB</vt:lpstr>
      <vt:lpstr>v_49_XOHO</vt:lpstr>
      <vt:lpstr>v_49_XP_B</vt:lpstr>
      <vt:lpstr>v_49_XP_U</vt:lpstr>
      <vt:lpstr>v_49_XPHA</vt:lpstr>
      <vt:lpstr>v_49_XPP</vt:lpstr>
      <vt:lpstr>v_49_XS</vt:lpstr>
      <vt:lpstr>v_49_XSOO</vt:lpstr>
      <vt:lpstr>v_49_XSTR</vt:lpstr>
      <vt:lpstr>v_49_XU</vt:lpstr>
      <vt:lpstr>v_49_XVivi</vt:lpstr>
      <vt:lpstr>v_5_CB</vt:lpstr>
      <vt:lpstr>v_5_CU</vt:lpstr>
      <vt:lpstr>v_5_GCH4</vt:lpstr>
      <vt:lpstr>v_5_GCH4_atm</vt:lpstr>
      <vt:lpstr>v_5_GCO2</vt:lpstr>
      <vt:lpstr>v_5_GCO2_atm</vt:lpstr>
      <vt:lpstr>v_5_GH2</vt:lpstr>
      <vt:lpstr>v_5_GH2_atm</vt:lpstr>
      <vt:lpstr>v_5_GH2S</vt:lpstr>
      <vt:lpstr>v_5_GH2S_atm</vt:lpstr>
      <vt:lpstr>v_5_GN2</vt:lpstr>
      <vt:lpstr>v_5_GN2_atm</vt:lpstr>
      <vt:lpstr>v_5_GN2O</vt:lpstr>
      <vt:lpstr>v_5_GN2O_atm</vt:lpstr>
      <vt:lpstr>v_5_GNH3</vt:lpstr>
      <vt:lpstr>v_5_GNH3_atm</vt:lpstr>
      <vt:lpstr>v_5_GNO</vt:lpstr>
      <vt:lpstr>v_5_GNO_atm</vt:lpstr>
      <vt:lpstr>v_5_GO2</vt:lpstr>
      <vt:lpstr>v_5_GO2_atm</vt:lpstr>
      <vt:lpstr>v_5_H</vt:lpstr>
      <vt:lpstr>v_5_SALPHA</vt:lpstr>
      <vt:lpstr>v_5_SAN</vt:lpstr>
      <vt:lpstr>v_5_SB</vt:lpstr>
      <vt:lpstr>v_5_SCa</vt:lpstr>
      <vt:lpstr>v_5_SCAT</vt:lpstr>
      <vt:lpstr>v_5_SCH4</vt:lpstr>
      <vt:lpstr>v_5_SCO2</vt:lpstr>
      <vt:lpstr>v_5_SFe2</vt:lpstr>
      <vt:lpstr>v_5_SH2</vt:lpstr>
      <vt:lpstr>v_5_SH2S</vt:lpstr>
      <vt:lpstr>v_5_SK</vt:lpstr>
      <vt:lpstr>v_5_SMEOL</vt:lpstr>
      <vt:lpstr>v_5_SMg</vt:lpstr>
      <vt:lpstr>v_5_SMM_index</vt:lpstr>
      <vt:lpstr>v_5_SN_B</vt:lpstr>
      <vt:lpstr>v_5_SN2</vt:lpstr>
      <vt:lpstr>v_5_SN2O</vt:lpstr>
      <vt:lpstr>v_5_SNH2OH</vt:lpstr>
      <vt:lpstr>v_5_SNHx</vt:lpstr>
      <vt:lpstr>v_5_SNO_AOB</vt:lpstr>
      <vt:lpstr>v_5_SNO_OHO</vt:lpstr>
      <vt:lpstr>v_5_SNO2</vt:lpstr>
      <vt:lpstr>v_5_SNO3</vt:lpstr>
      <vt:lpstr>v_5_SO2</vt:lpstr>
      <vt:lpstr>v_5_SP_B</vt:lpstr>
      <vt:lpstr>v_5_SPO4</vt:lpstr>
      <vt:lpstr>v_5_SSO4</vt:lpstr>
      <vt:lpstr>v_5_SU</vt:lpstr>
      <vt:lpstr>v_5_SVFA</vt:lpstr>
      <vt:lpstr>v_5_XACP</vt:lpstr>
      <vt:lpstr>v_5_XAMETO</vt:lpstr>
      <vt:lpstr>v_5_XAMX</vt:lpstr>
      <vt:lpstr>v_5_XAOB</vt:lpstr>
      <vt:lpstr>v_5_XASRO</vt:lpstr>
      <vt:lpstr>v_5_XB</vt:lpstr>
      <vt:lpstr>v_5_XBSH</vt:lpstr>
      <vt:lpstr>v_5_XCaCO3</vt:lpstr>
      <vt:lpstr>v_5_XCASTO</vt:lpstr>
      <vt:lpstr>v_5_XE</vt:lpstr>
      <vt:lpstr>v_5_XE_ana</vt:lpstr>
      <vt:lpstr>v_5_XFeS</vt:lpstr>
      <vt:lpstr>v_5_XGLY</vt:lpstr>
      <vt:lpstr>v_5_XHAO_H</vt:lpstr>
      <vt:lpstr>v_5_XHAO_H_P</vt:lpstr>
      <vt:lpstr>v_5_XHAO_H_P_old</vt:lpstr>
      <vt:lpstr>v_5_XHAO_L</vt:lpstr>
      <vt:lpstr>v_5_XHAO_L_P</vt:lpstr>
      <vt:lpstr>v_5_XHAO_L_P_old</vt:lpstr>
      <vt:lpstr>v_5_XHAO_old</vt:lpstr>
      <vt:lpstr>v_5_XHFO_H</vt:lpstr>
      <vt:lpstr>v_5_XHFO_H_P</vt:lpstr>
      <vt:lpstr>v_5_XHFO_H_P_old</vt:lpstr>
      <vt:lpstr>v_5_XHFO_L</vt:lpstr>
      <vt:lpstr>v_5_XHFO_L_P</vt:lpstr>
      <vt:lpstr>v_5_XHFO_L_P_old</vt:lpstr>
      <vt:lpstr>v_5_XHFO_old</vt:lpstr>
      <vt:lpstr>v_5_XHMETO</vt:lpstr>
      <vt:lpstr>v_5_XHSRO</vt:lpstr>
      <vt:lpstr>v_5_XINORG</vt:lpstr>
      <vt:lpstr>v_5_XMEOLO</vt:lpstr>
      <vt:lpstr>v_5_XMOB</vt:lpstr>
      <vt:lpstr>v_5_XN_B</vt:lpstr>
      <vt:lpstr>v_5_XN_U</vt:lpstr>
      <vt:lpstr>v_5_XNOB</vt:lpstr>
      <vt:lpstr>v_5_XOHO</vt:lpstr>
      <vt:lpstr>v_5_XP_B</vt:lpstr>
      <vt:lpstr>v_5_XP_U</vt:lpstr>
      <vt:lpstr>v_5_XPHA</vt:lpstr>
      <vt:lpstr>v_5_XPP</vt:lpstr>
      <vt:lpstr>v_5_XS</vt:lpstr>
      <vt:lpstr>v_5_XSOO</vt:lpstr>
      <vt:lpstr>v_5_XSTR</vt:lpstr>
      <vt:lpstr>v_5_XU</vt:lpstr>
      <vt:lpstr>v_5_XVivi</vt:lpstr>
      <vt:lpstr>v_50_CB</vt:lpstr>
      <vt:lpstr>v_50_CU</vt:lpstr>
      <vt:lpstr>v_50_GCH4</vt:lpstr>
      <vt:lpstr>v_50_GCH4_atm</vt:lpstr>
      <vt:lpstr>v_50_GCO2</vt:lpstr>
      <vt:lpstr>v_50_GCO2_atm</vt:lpstr>
      <vt:lpstr>v_50_GH2</vt:lpstr>
      <vt:lpstr>v_50_GH2_atm</vt:lpstr>
      <vt:lpstr>v_50_GH2S</vt:lpstr>
      <vt:lpstr>v_50_GH2S_atm</vt:lpstr>
      <vt:lpstr>v_50_GN2</vt:lpstr>
      <vt:lpstr>v_50_GN2_atm</vt:lpstr>
      <vt:lpstr>v_50_GN2O</vt:lpstr>
      <vt:lpstr>v_50_GN2O_atm</vt:lpstr>
      <vt:lpstr>v_50_GNH3</vt:lpstr>
      <vt:lpstr>v_50_GNH3_atm</vt:lpstr>
      <vt:lpstr>v_50_GNO</vt:lpstr>
      <vt:lpstr>v_50_GNO_atm</vt:lpstr>
      <vt:lpstr>v_50_GO2</vt:lpstr>
      <vt:lpstr>v_50_GO2_atm</vt:lpstr>
      <vt:lpstr>v_50_H</vt:lpstr>
      <vt:lpstr>v_50_SALPHA</vt:lpstr>
      <vt:lpstr>v_50_SAN</vt:lpstr>
      <vt:lpstr>v_50_SB</vt:lpstr>
      <vt:lpstr>v_50_SCa</vt:lpstr>
      <vt:lpstr>v_50_SCAT</vt:lpstr>
      <vt:lpstr>v_50_SCH4</vt:lpstr>
      <vt:lpstr>v_50_SCO2</vt:lpstr>
      <vt:lpstr>v_50_SFe2</vt:lpstr>
      <vt:lpstr>v_50_SH2</vt:lpstr>
      <vt:lpstr>v_50_SH2S</vt:lpstr>
      <vt:lpstr>v_50_SK</vt:lpstr>
      <vt:lpstr>v_50_SMEOL</vt:lpstr>
      <vt:lpstr>v_50_SMg</vt:lpstr>
      <vt:lpstr>v_50_SMM_index</vt:lpstr>
      <vt:lpstr>v_50_SN_B</vt:lpstr>
      <vt:lpstr>v_50_SN2</vt:lpstr>
      <vt:lpstr>v_50_SN2O</vt:lpstr>
      <vt:lpstr>v_50_SNH2OH</vt:lpstr>
      <vt:lpstr>v_50_SNHx</vt:lpstr>
      <vt:lpstr>v_50_SNO_AOB</vt:lpstr>
      <vt:lpstr>v_50_SNO_OHO</vt:lpstr>
      <vt:lpstr>v_50_SNO2</vt:lpstr>
      <vt:lpstr>v_50_SNO3</vt:lpstr>
      <vt:lpstr>v_50_SO2</vt:lpstr>
      <vt:lpstr>v_50_SP_B</vt:lpstr>
      <vt:lpstr>v_50_SPO4</vt:lpstr>
      <vt:lpstr>v_50_SSO4</vt:lpstr>
      <vt:lpstr>v_50_SU</vt:lpstr>
      <vt:lpstr>v_50_SVFA</vt:lpstr>
      <vt:lpstr>v_50_XACP</vt:lpstr>
      <vt:lpstr>v_50_XAMETO</vt:lpstr>
      <vt:lpstr>v_50_XAMX</vt:lpstr>
      <vt:lpstr>v_50_XAOB</vt:lpstr>
      <vt:lpstr>v_50_XASRO</vt:lpstr>
      <vt:lpstr>v_50_XB</vt:lpstr>
      <vt:lpstr>v_50_XBSH</vt:lpstr>
      <vt:lpstr>v_50_XCaCO3</vt:lpstr>
      <vt:lpstr>v_50_XCASTO</vt:lpstr>
      <vt:lpstr>v_50_XE</vt:lpstr>
      <vt:lpstr>v_50_XE_ana</vt:lpstr>
      <vt:lpstr>v_50_XFeS</vt:lpstr>
      <vt:lpstr>v_50_XGLY</vt:lpstr>
      <vt:lpstr>v_50_XHAO_H</vt:lpstr>
      <vt:lpstr>v_50_XHAO_H_P</vt:lpstr>
      <vt:lpstr>v_50_XHAO_H_P_old</vt:lpstr>
      <vt:lpstr>v_50_XHAO_L</vt:lpstr>
      <vt:lpstr>v_50_XHAO_L_P</vt:lpstr>
      <vt:lpstr>v_50_XHAO_L_P_old</vt:lpstr>
      <vt:lpstr>v_50_XHAO_old</vt:lpstr>
      <vt:lpstr>v_50_XHFO_H</vt:lpstr>
      <vt:lpstr>v_50_XHFO_H_P</vt:lpstr>
      <vt:lpstr>v_50_XHFO_H_P_old</vt:lpstr>
      <vt:lpstr>v_50_XHFO_L</vt:lpstr>
      <vt:lpstr>v_50_XHFO_L_P</vt:lpstr>
      <vt:lpstr>v_50_XHFO_L_P_old</vt:lpstr>
      <vt:lpstr>v_50_XHFO_old</vt:lpstr>
      <vt:lpstr>v_50_XHMETO</vt:lpstr>
      <vt:lpstr>v_50_XHSRO</vt:lpstr>
      <vt:lpstr>v_50_XINORG</vt:lpstr>
      <vt:lpstr>v_50_XMEOLO</vt:lpstr>
      <vt:lpstr>v_50_XMOB</vt:lpstr>
      <vt:lpstr>v_50_XN_B</vt:lpstr>
      <vt:lpstr>v_50_XN_U</vt:lpstr>
      <vt:lpstr>v_50_XNOB</vt:lpstr>
      <vt:lpstr>v_50_XOHO</vt:lpstr>
      <vt:lpstr>v_50_XP_B</vt:lpstr>
      <vt:lpstr>v_50_XP_U</vt:lpstr>
      <vt:lpstr>v_50_XPHA</vt:lpstr>
      <vt:lpstr>v_50_XPP</vt:lpstr>
      <vt:lpstr>v_50_XS</vt:lpstr>
      <vt:lpstr>v_50_XSOO</vt:lpstr>
      <vt:lpstr>v_50_XSTR</vt:lpstr>
      <vt:lpstr>v_50_XU</vt:lpstr>
      <vt:lpstr>v_50_XVivi</vt:lpstr>
      <vt:lpstr>v_51_CB</vt:lpstr>
      <vt:lpstr>v_51_CU</vt:lpstr>
      <vt:lpstr>v_51_GCH4</vt:lpstr>
      <vt:lpstr>v_51_GCH4_atm</vt:lpstr>
      <vt:lpstr>v_51_GCO2</vt:lpstr>
      <vt:lpstr>v_51_GCO2_atm</vt:lpstr>
      <vt:lpstr>v_51_GH2</vt:lpstr>
      <vt:lpstr>v_51_GH2_atm</vt:lpstr>
      <vt:lpstr>v_51_GH2S</vt:lpstr>
      <vt:lpstr>v_51_GH2S_atm</vt:lpstr>
      <vt:lpstr>v_51_GN2</vt:lpstr>
      <vt:lpstr>v_51_GN2_atm</vt:lpstr>
      <vt:lpstr>v_51_GN2O</vt:lpstr>
      <vt:lpstr>v_51_GN2O_atm</vt:lpstr>
      <vt:lpstr>v_51_GNH3</vt:lpstr>
      <vt:lpstr>v_51_GNH3_atm</vt:lpstr>
      <vt:lpstr>v_51_GNO</vt:lpstr>
      <vt:lpstr>v_51_GNO_atm</vt:lpstr>
      <vt:lpstr>v_51_GO2</vt:lpstr>
      <vt:lpstr>v_51_GO2_atm</vt:lpstr>
      <vt:lpstr>v_51_H</vt:lpstr>
      <vt:lpstr>v_51_SALPHA</vt:lpstr>
      <vt:lpstr>v_51_SAN</vt:lpstr>
      <vt:lpstr>v_51_SB</vt:lpstr>
      <vt:lpstr>v_51_SCa</vt:lpstr>
      <vt:lpstr>v_51_SCAT</vt:lpstr>
      <vt:lpstr>v_51_SCH4</vt:lpstr>
      <vt:lpstr>v_51_SCO2</vt:lpstr>
      <vt:lpstr>v_51_SFe2</vt:lpstr>
      <vt:lpstr>v_51_SH2</vt:lpstr>
      <vt:lpstr>v_51_SH2S</vt:lpstr>
      <vt:lpstr>v_51_SK</vt:lpstr>
      <vt:lpstr>v_51_SMEOL</vt:lpstr>
      <vt:lpstr>v_51_SMg</vt:lpstr>
      <vt:lpstr>v_51_SMM_index</vt:lpstr>
      <vt:lpstr>v_51_SN_B</vt:lpstr>
      <vt:lpstr>v_51_SN2</vt:lpstr>
      <vt:lpstr>v_51_SN2O</vt:lpstr>
      <vt:lpstr>v_51_SNH2OH</vt:lpstr>
      <vt:lpstr>v_51_SNHx</vt:lpstr>
      <vt:lpstr>v_51_SNO_AOB</vt:lpstr>
      <vt:lpstr>v_51_SNO_OHO</vt:lpstr>
      <vt:lpstr>v_51_SNO2</vt:lpstr>
      <vt:lpstr>v_51_SNO3</vt:lpstr>
      <vt:lpstr>v_51_SO2</vt:lpstr>
      <vt:lpstr>v_51_SP_B</vt:lpstr>
      <vt:lpstr>v_51_SPO4</vt:lpstr>
      <vt:lpstr>v_51_SSO4</vt:lpstr>
      <vt:lpstr>v_51_SU</vt:lpstr>
      <vt:lpstr>v_51_SVFA</vt:lpstr>
      <vt:lpstr>v_51_XACP</vt:lpstr>
      <vt:lpstr>v_51_XAMETO</vt:lpstr>
      <vt:lpstr>v_51_XAMX</vt:lpstr>
      <vt:lpstr>v_51_XAOB</vt:lpstr>
      <vt:lpstr>v_51_XASRO</vt:lpstr>
      <vt:lpstr>v_51_XB</vt:lpstr>
      <vt:lpstr>v_51_XBSH</vt:lpstr>
      <vt:lpstr>v_51_XCaCO3</vt:lpstr>
      <vt:lpstr>v_51_XCASTO</vt:lpstr>
      <vt:lpstr>v_51_XE</vt:lpstr>
      <vt:lpstr>v_51_XE_ana</vt:lpstr>
      <vt:lpstr>v_51_XFeS</vt:lpstr>
      <vt:lpstr>v_51_XGLY</vt:lpstr>
      <vt:lpstr>v_51_XHAO_H</vt:lpstr>
      <vt:lpstr>v_51_XHAO_H_P</vt:lpstr>
      <vt:lpstr>v_51_XHAO_H_P_old</vt:lpstr>
      <vt:lpstr>v_51_XHAO_L</vt:lpstr>
      <vt:lpstr>v_51_XHAO_L_P</vt:lpstr>
      <vt:lpstr>v_51_XHAO_L_P_old</vt:lpstr>
      <vt:lpstr>v_51_XHAO_old</vt:lpstr>
      <vt:lpstr>v_51_XHFO_H</vt:lpstr>
      <vt:lpstr>v_51_XHFO_H_P</vt:lpstr>
      <vt:lpstr>v_51_XHFO_H_P_old</vt:lpstr>
      <vt:lpstr>v_51_XHFO_L</vt:lpstr>
      <vt:lpstr>v_51_XHFO_L_P</vt:lpstr>
      <vt:lpstr>v_51_XHFO_L_P_old</vt:lpstr>
      <vt:lpstr>v_51_XHFO_old</vt:lpstr>
      <vt:lpstr>v_51_XHMETO</vt:lpstr>
      <vt:lpstr>v_51_XHSRO</vt:lpstr>
      <vt:lpstr>v_51_XINORG</vt:lpstr>
      <vt:lpstr>v_51_XMEOLO</vt:lpstr>
      <vt:lpstr>v_51_XMOB</vt:lpstr>
      <vt:lpstr>v_51_XN_B</vt:lpstr>
      <vt:lpstr>v_51_XN_U</vt:lpstr>
      <vt:lpstr>v_51_XNOB</vt:lpstr>
      <vt:lpstr>v_51_XOHO</vt:lpstr>
      <vt:lpstr>v_51_XP_B</vt:lpstr>
      <vt:lpstr>v_51_XP_U</vt:lpstr>
      <vt:lpstr>v_51_XPHA</vt:lpstr>
      <vt:lpstr>v_51_XPP</vt:lpstr>
      <vt:lpstr>v_51_XS</vt:lpstr>
      <vt:lpstr>v_51_XSOO</vt:lpstr>
      <vt:lpstr>v_51_XSTR</vt:lpstr>
      <vt:lpstr>v_51_XU</vt:lpstr>
      <vt:lpstr>v_51_XVivi</vt:lpstr>
      <vt:lpstr>v_52_CB</vt:lpstr>
      <vt:lpstr>v_52_CU</vt:lpstr>
      <vt:lpstr>v_52_GCH4</vt:lpstr>
      <vt:lpstr>v_52_GCH4_atm</vt:lpstr>
      <vt:lpstr>v_52_GCO2</vt:lpstr>
      <vt:lpstr>v_52_GCO2_atm</vt:lpstr>
      <vt:lpstr>v_52_GH2</vt:lpstr>
      <vt:lpstr>v_52_GH2_atm</vt:lpstr>
      <vt:lpstr>v_52_GH2S</vt:lpstr>
      <vt:lpstr>v_52_GH2S_atm</vt:lpstr>
      <vt:lpstr>v_52_GN2</vt:lpstr>
      <vt:lpstr>v_52_GN2_atm</vt:lpstr>
      <vt:lpstr>v_52_GN2O</vt:lpstr>
      <vt:lpstr>v_52_GN2O_atm</vt:lpstr>
      <vt:lpstr>v_52_GNH3</vt:lpstr>
      <vt:lpstr>v_52_GNH3_atm</vt:lpstr>
      <vt:lpstr>v_52_GNO</vt:lpstr>
      <vt:lpstr>v_52_GNO_atm</vt:lpstr>
      <vt:lpstr>v_52_GO2</vt:lpstr>
      <vt:lpstr>v_52_GO2_atm</vt:lpstr>
      <vt:lpstr>v_52_H</vt:lpstr>
      <vt:lpstr>v_52_SALPHA</vt:lpstr>
      <vt:lpstr>v_52_SAN</vt:lpstr>
      <vt:lpstr>v_52_SB</vt:lpstr>
      <vt:lpstr>v_52_SCa</vt:lpstr>
      <vt:lpstr>v_52_SCAT</vt:lpstr>
      <vt:lpstr>v_52_SCH4</vt:lpstr>
      <vt:lpstr>v_52_SCO2</vt:lpstr>
      <vt:lpstr>v_52_SFe2</vt:lpstr>
      <vt:lpstr>v_52_SH2</vt:lpstr>
      <vt:lpstr>v_52_SH2S</vt:lpstr>
      <vt:lpstr>v_52_SK</vt:lpstr>
      <vt:lpstr>v_52_SMEOL</vt:lpstr>
      <vt:lpstr>v_52_SMg</vt:lpstr>
      <vt:lpstr>v_52_SMM_index</vt:lpstr>
      <vt:lpstr>v_52_SN_B</vt:lpstr>
      <vt:lpstr>v_52_SN2</vt:lpstr>
      <vt:lpstr>v_52_SN2O</vt:lpstr>
      <vt:lpstr>v_52_SNH2OH</vt:lpstr>
      <vt:lpstr>v_52_SNHx</vt:lpstr>
      <vt:lpstr>v_52_SNO_AOB</vt:lpstr>
      <vt:lpstr>v_52_SNO_OHO</vt:lpstr>
      <vt:lpstr>v_52_SNO2</vt:lpstr>
      <vt:lpstr>v_52_SNO3</vt:lpstr>
      <vt:lpstr>v_52_SO2</vt:lpstr>
      <vt:lpstr>v_52_SP_B</vt:lpstr>
      <vt:lpstr>v_52_SPO4</vt:lpstr>
      <vt:lpstr>v_52_SSO4</vt:lpstr>
      <vt:lpstr>v_52_SU</vt:lpstr>
      <vt:lpstr>v_52_SVFA</vt:lpstr>
      <vt:lpstr>v_52_XACP</vt:lpstr>
      <vt:lpstr>v_52_XAMETO</vt:lpstr>
      <vt:lpstr>v_52_XAMX</vt:lpstr>
      <vt:lpstr>v_52_XAOB</vt:lpstr>
      <vt:lpstr>v_52_XASRO</vt:lpstr>
      <vt:lpstr>v_52_XB</vt:lpstr>
      <vt:lpstr>v_52_XBSH</vt:lpstr>
      <vt:lpstr>v_52_XCaCO3</vt:lpstr>
      <vt:lpstr>v_52_XCASTO</vt:lpstr>
      <vt:lpstr>v_52_XE</vt:lpstr>
      <vt:lpstr>v_52_XE_ana</vt:lpstr>
      <vt:lpstr>v_52_XFeS</vt:lpstr>
      <vt:lpstr>v_52_XGLY</vt:lpstr>
      <vt:lpstr>v_52_XHAO_H</vt:lpstr>
      <vt:lpstr>v_52_XHAO_H_P</vt:lpstr>
      <vt:lpstr>v_52_XHAO_H_P_old</vt:lpstr>
      <vt:lpstr>v_52_XHAO_L</vt:lpstr>
      <vt:lpstr>v_52_XHAO_L_P</vt:lpstr>
      <vt:lpstr>v_52_XHAO_L_P_old</vt:lpstr>
      <vt:lpstr>v_52_XHAO_old</vt:lpstr>
      <vt:lpstr>v_52_XHFO_H</vt:lpstr>
      <vt:lpstr>v_52_XHFO_H_P</vt:lpstr>
      <vt:lpstr>v_52_XHFO_H_P_old</vt:lpstr>
      <vt:lpstr>v_52_XHFO_L</vt:lpstr>
      <vt:lpstr>v_52_XHFO_L_P</vt:lpstr>
      <vt:lpstr>v_52_XHFO_L_P_old</vt:lpstr>
      <vt:lpstr>v_52_XHFO_old</vt:lpstr>
      <vt:lpstr>v_52_XHMETO</vt:lpstr>
      <vt:lpstr>v_52_XHSRO</vt:lpstr>
      <vt:lpstr>v_52_XINORG</vt:lpstr>
      <vt:lpstr>v_52_XMEOLO</vt:lpstr>
      <vt:lpstr>v_52_XMOB</vt:lpstr>
      <vt:lpstr>v_52_XN_B</vt:lpstr>
      <vt:lpstr>v_52_XN_U</vt:lpstr>
      <vt:lpstr>v_52_XNOB</vt:lpstr>
      <vt:lpstr>v_52_XOHO</vt:lpstr>
      <vt:lpstr>v_52_XP_B</vt:lpstr>
      <vt:lpstr>v_52_XP_U</vt:lpstr>
      <vt:lpstr>v_52_XPHA</vt:lpstr>
      <vt:lpstr>v_52_XPP</vt:lpstr>
      <vt:lpstr>v_52_XS</vt:lpstr>
      <vt:lpstr>v_52_XSOO</vt:lpstr>
      <vt:lpstr>v_52_XSTR</vt:lpstr>
      <vt:lpstr>v_52_XU</vt:lpstr>
      <vt:lpstr>v_52_XVivi</vt:lpstr>
      <vt:lpstr>v_53_CB</vt:lpstr>
      <vt:lpstr>v_53_CU</vt:lpstr>
      <vt:lpstr>v_53_GCH4</vt:lpstr>
      <vt:lpstr>v_53_GCH4_atm</vt:lpstr>
      <vt:lpstr>v_53_GCO2</vt:lpstr>
      <vt:lpstr>v_53_GCO2_atm</vt:lpstr>
      <vt:lpstr>v_53_GH2</vt:lpstr>
      <vt:lpstr>v_53_GH2_atm</vt:lpstr>
      <vt:lpstr>v_53_GH2S</vt:lpstr>
      <vt:lpstr>v_53_GH2S_atm</vt:lpstr>
      <vt:lpstr>v_53_GN2</vt:lpstr>
      <vt:lpstr>v_53_GN2_atm</vt:lpstr>
      <vt:lpstr>v_53_GN2O</vt:lpstr>
      <vt:lpstr>v_53_GN2O_atm</vt:lpstr>
      <vt:lpstr>v_53_GNH3</vt:lpstr>
      <vt:lpstr>v_53_GNH3_atm</vt:lpstr>
      <vt:lpstr>v_53_GNO</vt:lpstr>
      <vt:lpstr>v_53_GNO_atm</vt:lpstr>
      <vt:lpstr>v_53_GO2</vt:lpstr>
      <vt:lpstr>v_53_GO2_atm</vt:lpstr>
      <vt:lpstr>v_53_H</vt:lpstr>
      <vt:lpstr>v_53_SALPHA</vt:lpstr>
      <vt:lpstr>v_53_SAN</vt:lpstr>
      <vt:lpstr>v_53_SB</vt:lpstr>
      <vt:lpstr>v_53_SCa</vt:lpstr>
      <vt:lpstr>v_53_SCAT</vt:lpstr>
      <vt:lpstr>v_53_SCH4</vt:lpstr>
      <vt:lpstr>v_53_SCO2</vt:lpstr>
      <vt:lpstr>v_53_SFe2</vt:lpstr>
      <vt:lpstr>v_53_SH2</vt:lpstr>
      <vt:lpstr>v_53_SH2S</vt:lpstr>
      <vt:lpstr>v_53_SK</vt:lpstr>
      <vt:lpstr>v_53_SMEOL</vt:lpstr>
      <vt:lpstr>v_53_SMg</vt:lpstr>
      <vt:lpstr>v_53_SMM_index</vt:lpstr>
      <vt:lpstr>v_53_SN_B</vt:lpstr>
      <vt:lpstr>v_53_SN2</vt:lpstr>
      <vt:lpstr>v_53_SN2O</vt:lpstr>
      <vt:lpstr>v_53_SNH2OH</vt:lpstr>
      <vt:lpstr>v_53_SNHx</vt:lpstr>
      <vt:lpstr>v_53_SNO_AOB</vt:lpstr>
      <vt:lpstr>v_53_SNO_OHO</vt:lpstr>
      <vt:lpstr>v_53_SNO2</vt:lpstr>
      <vt:lpstr>v_53_SNO3</vt:lpstr>
      <vt:lpstr>v_53_SO2</vt:lpstr>
      <vt:lpstr>v_53_SP_B</vt:lpstr>
      <vt:lpstr>v_53_SPO4</vt:lpstr>
      <vt:lpstr>v_53_SSO4</vt:lpstr>
      <vt:lpstr>v_53_SU</vt:lpstr>
      <vt:lpstr>v_53_SVFA</vt:lpstr>
      <vt:lpstr>v_53_XACP</vt:lpstr>
      <vt:lpstr>v_53_XAMETO</vt:lpstr>
      <vt:lpstr>v_53_XAMX</vt:lpstr>
      <vt:lpstr>v_53_XAOB</vt:lpstr>
      <vt:lpstr>v_53_XASRO</vt:lpstr>
      <vt:lpstr>v_53_XB</vt:lpstr>
      <vt:lpstr>v_53_XBSH</vt:lpstr>
      <vt:lpstr>v_53_XCaCO3</vt:lpstr>
      <vt:lpstr>v_53_XCASTO</vt:lpstr>
      <vt:lpstr>v_53_XE</vt:lpstr>
      <vt:lpstr>v_53_XE_ana</vt:lpstr>
      <vt:lpstr>v_53_XFeS</vt:lpstr>
      <vt:lpstr>v_53_XGLY</vt:lpstr>
      <vt:lpstr>v_53_XHAO_H</vt:lpstr>
      <vt:lpstr>v_53_XHAO_H_P</vt:lpstr>
      <vt:lpstr>v_53_XHAO_H_P_old</vt:lpstr>
      <vt:lpstr>v_53_XHAO_L</vt:lpstr>
      <vt:lpstr>v_53_XHAO_L_P</vt:lpstr>
      <vt:lpstr>v_53_XHAO_L_P_old</vt:lpstr>
      <vt:lpstr>v_53_XHAO_old</vt:lpstr>
      <vt:lpstr>v_53_XHFO_H</vt:lpstr>
      <vt:lpstr>v_53_XHFO_H_P</vt:lpstr>
      <vt:lpstr>v_53_XHFO_H_P_old</vt:lpstr>
      <vt:lpstr>v_53_XHFO_L</vt:lpstr>
      <vt:lpstr>v_53_XHFO_L_P</vt:lpstr>
      <vt:lpstr>v_53_XHFO_L_P_old</vt:lpstr>
      <vt:lpstr>v_53_XHFO_old</vt:lpstr>
      <vt:lpstr>v_53_XHMETO</vt:lpstr>
      <vt:lpstr>v_53_XHSRO</vt:lpstr>
      <vt:lpstr>v_53_XINORG</vt:lpstr>
      <vt:lpstr>v_53_XMEOLO</vt:lpstr>
      <vt:lpstr>v_53_XMOB</vt:lpstr>
      <vt:lpstr>v_53_XN_B</vt:lpstr>
      <vt:lpstr>v_53_XN_U</vt:lpstr>
      <vt:lpstr>v_53_XNOB</vt:lpstr>
      <vt:lpstr>v_53_XOHO</vt:lpstr>
      <vt:lpstr>v_53_XP_B</vt:lpstr>
      <vt:lpstr>v_53_XP_U</vt:lpstr>
      <vt:lpstr>v_53_XPHA</vt:lpstr>
      <vt:lpstr>v_53_XPP</vt:lpstr>
      <vt:lpstr>v_53_XS</vt:lpstr>
      <vt:lpstr>v_53_XSOO</vt:lpstr>
      <vt:lpstr>v_53_XSTR</vt:lpstr>
      <vt:lpstr>v_53_XU</vt:lpstr>
      <vt:lpstr>v_53_XVivi</vt:lpstr>
      <vt:lpstr>v_54_CB</vt:lpstr>
      <vt:lpstr>v_54_CU</vt:lpstr>
      <vt:lpstr>v_54_GCH4</vt:lpstr>
      <vt:lpstr>v_54_GCH4_atm</vt:lpstr>
      <vt:lpstr>v_54_GCO2</vt:lpstr>
      <vt:lpstr>v_54_GCO2_atm</vt:lpstr>
      <vt:lpstr>v_54_GH2</vt:lpstr>
      <vt:lpstr>v_54_GH2_atm</vt:lpstr>
      <vt:lpstr>v_54_GH2S</vt:lpstr>
      <vt:lpstr>v_54_GH2S_atm</vt:lpstr>
      <vt:lpstr>v_54_GN2</vt:lpstr>
      <vt:lpstr>v_54_GN2_atm</vt:lpstr>
      <vt:lpstr>v_54_GN2O</vt:lpstr>
      <vt:lpstr>v_54_GN2O_atm</vt:lpstr>
      <vt:lpstr>v_54_GNH3</vt:lpstr>
      <vt:lpstr>v_54_GNH3_atm</vt:lpstr>
      <vt:lpstr>v_54_GNO</vt:lpstr>
      <vt:lpstr>v_54_GNO_atm</vt:lpstr>
      <vt:lpstr>v_54_GO2</vt:lpstr>
      <vt:lpstr>v_54_GO2_atm</vt:lpstr>
      <vt:lpstr>v_54_H</vt:lpstr>
      <vt:lpstr>v_54_SALPHA</vt:lpstr>
      <vt:lpstr>v_54_SAN</vt:lpstr>
      <vt:lpstr>v_54_SB</vt:lpstr>
      <vt:lpstr>v_54_SCa</vt:lpstr>
      <vt:lpstr>v_54_SCAT</vt:lpstr>
      <vt:lpstr>v_54_SCH4</vt:lpstr>
      <vt:lpstr>v_54_SCO2</vt:lpstr>
      <vt:lpstr>v_54_SFe2</vt:lpstr>
      <vt:lpstr>v_54_SH2</vt:lpstr>
      <vt:lpstr>v_54_SH2S</vt:lpstr>
      <vt:lpstr>v_54_SK</vt:lpstr>
      <vt:lpstr>v_54_SMEOL</vt:lpstr>
      <vt:lpstr>v_54_SMg</vt:lpstr>
      <vt:lpstr>v_54_SMM_index</vt:lpstr>
      <vt:lpstr>v_54_SN_B</vt:lpstr>
      <vt:lpstr>v_54_SN2</vt:lpstr>
      <vt:lpstr>v_54_SN2O</vt:lpstr>
      <vt:lpstr>v_54_SNH2OH</vt:lpstr>
      <vt:lpstr>v_54_SNHx</vt:lpstr>
      <vt:lpstr>v_54_SNO_AOB</vt:lpstr>
      <vt:lpstr>v_54_SNO_OHO</vt:lpstr>
      <vt:lpstr>v_54_SNO2</vt:lpstr>
      <vt:lpstr>v_54_SNO3</vt:lpstr>
      <vt:lpstr>v_54_SO2</vt:lpstr>
      <vt:lpstr>v_54_SP_B</vt:lpstr>
      <vt:lpstr>v_54_SPO4</vt:lpstr>
      <vt:lpstr>v_54_SSO4</vt:lpstr>
      <vt:lpstr>v_54_SU</vt:lpstr>
      <vt:lpstr>v_54_SVFA</vt:lpstr>
      <vt:lpstr>v_54_XACP</vt:lpstr>
      <vt:lpstr>v_54_XAMETO</vt:lpstr>
      <vt:lpstr>v_54_XAMX</vt:lpstr>
      <vt:lpstr>v_54_XAOB</vt:lpstr>
      <vt:lpstr>v_54_XASRO</vt:lpstr>
      <vt:lpstr>v_54_XB</vt:lpstr>
      <vt:lpstr>v_54_XBSH</vt:lpstr>
      <vt:lpstr>v_54_XCaCO3</vt:lpstr>
      <vt:lpstr>v_54_XCASTO</vt:lpstr>
      <vt:lpstr>v_54_XE</vt:lpstr>
      <vt:lpstr>v_54_XE_ana</vt:lpstr>
      <vt:lpstr>v_54_XFeS</vt:lpstr>
      <vt:lpstr>v_54_XGLY</vt:lpstr>
      <vt:lpstr>v_54_XHAO_H</vt:lpstr>
      <vt:lpstr>v_54_XHAO_H_P</vt:lpstr>
      <vt:lpstr>v_54_XHAO_H_P_old</vt:lpstr>
      <vt:lpstr>v_54_XHAO_L</vt:lpstr>
      <vt:lpstr>v_54_XHAO_L_P</vt:lpstr>
      <vt:lpstr>v_54_XHAO_L_P_old</vt:lpstr>
      <vt:lpstr>v_54_XHAO_old</vt:lpstr>
      <vt:lpstr>v_54_XHFO_H</vt:lpstr>
      <vt:lpstr>v_54_XHFO_H_P</vt:lpstr>
      <vt:lpstr>v_54_XHFO_H_P_old</vt:lpstr>
      <vt:lpstr>v_54_XHFO_L</vt:lpstr>
      <vt:lpstr>v_54_XHFO_L_P</vt:lpstr>
      <vt:lpstr>v_54_XHFO_L_P_old</vt:lpstr>
      <vt:lpstr>v_54_XHFO_old</vt:lpstr>
      <vt:lpstr>v_54_XHMETO</vt:lpstr>
      <vt:lpstr>v_54_XHSRO</vt:lpstr>
      <vt:lpstr>v_54_XINORG</vt:lpstr>
      <vt:lpstr>v_54_XMEOLO</vt:lpstr>
      <vt:lpstr>v_54_XMOB</vt:lpstr>
      <vt:lpstr>v_54_XN_B</vt:lpstr>
      <vt:lpstr>v_54_XN_U</vt:lpstr>
      <vt:lpstr>v_54_XNOB</vt:lpstr>
      <vt:lpstr>v_54_XOHO</vt:lpstr>
      <vt:lpstr>v_54_XP_B</vt:lpstr>
      <vt:lpstr>v_54_XP_U</vt:lpstr>
      <vt:lpstr>v_54_XPHA</vt:lpstr>
      <vt:lpstr>v_54_XPP</vt:lpstr>
      <vt:lpstr>v_54_XS</vt:lpstr>
      <vt:lpstr>v_54_XSOO</vt:lpstr>
      <vt:lpstr>v_54_XSTR</vt:lpstr>
      <vt:lpstr>v_54_XU</vt:lpstr>
      <vt:lpstr>v_54_XVivi</vt:lpstr>
      <vt:lpstr>v_55_CB</vt:lpstr>
      <vt:lpstr>v_55_CU</vt:lpstr>
      <vt:lpstr>v_55_GCH4</vt:lpstr>
      <vt:lpstr>v_55_GCH4_atm</vt:lpstr>
      <vt:lpstr>v_55_GCO2</vt:lpstr>
      <vt:lpstr>v_55_GCO2_atm</vt:lpstr>
      <vt:lpstr>v_55_GH2</vt:lpstr>
      <vt:lpstr>v_55_GH2_atm</vt:lpstr>
      <vt:lpstr>v_55_GH2S</vt:lpstr>
      <vt:lpstr>v_55_GH2S_atm</vt:lpstr>
      <vt:lpstr>v_55_GN2</vt:lpstr>
      <vt:lpstr>v_55_GN2_atm</vt:lpstr>
      <vt:lpstr>v_55_GN2O</vt:lpstr>
      <vt:lpstr>v_55_GN2O_atm</vt:lpstr>
      <vt:lpstr>v_55_GNH3</vt:lpstr>
      <vt:lpstr>v_55_GNH3_atm</vt:lpstr>
      <vt:lpstr>v_55_GNO</vt:lpstr>
      <vt:lpstr>v_55_GNO_atm</vt:lpstr>
      <vt:lpstr>v_55_GO2</vt:lpstr>
      <vt:lpstr>v_55_GO2_atm</vt:lpstr>
      <vt:lpstr>v_55_H</vt:lpstr>
      <vt:lpstr>v_55_SALPHA</vt:lpstr>
      <vt:lpstr>v_55_SAN</vt:lpstr>
      <vt:lpstr>v_55_SB</vt:lpstr>
      <vt:lpstr>v_55_SCa</vt:lpstr>
      <vt:lpstr>v_55_SCAT</vt:lpstr>
      <vt:lpstr>v_55_SCH4</vt:lpstr>
      <vt:lpstr>v_55_SCO2</vt:lpstr>
      <vt:lpstr>v_55_SFe2</vt:lpstr>
      <vt:lpstr>v_55_SH2</vt:lpstr>
      <vt:lpstr>v_55_SH2S</vt:lpstr>
      <vt:lpstr>v_55_SK</vt:lpstr>
      <vt:lpstr>v_55_SMEOL</vt:lpstr>
      <vt:lpstr>v_55_SMg</vt:lpstr>
      <vt:lpstr>v_55_SMM_index</vt:lpstr>
      <vt:lpstr>v_55_SN_B</vt:lpstr>
      <vt:lpstr>v_55_SN2</vt:lpstr>
      <vt:lpstr>v_55_SN2O</vt:lpstr>
      <vt:lpstr>v_55_SNH2OH</vt:lpstr>
      <vt:lpstr>v_55_SNHx</vt:lpstr>
      <vt:lpstr>v_55_SNO_AOB</vt:lpstr>
      <vt:lpstr>v_55_SNO_OHO</vt:lpstr>
      <vt:lpstr>v_55_SNO2</vt:lpstr>
      <vt:lpstr>v_55_SNO3</vt:lpstr>
      <vt:lpstr>v_55_SO2</vt:lpstr>
      <vt:lpstr>v_55_SP_B</vt:lpstr>
      <vt:lpstr>v_55_SPO4</vt:lpstr>
      <vt:lpstr>v_55_SSO4</vt:lpstr>
      <vt:lpstr>v_55_SU</vt:lpstr>
      <vt:lpstr>v_55_SVFA</vt:lpstr>
      <vt:lpstr>v_55_XACP</vt:lpstr>
      <vt:lpstr>v_55_XAMETO</vt:lpstr>
      <vt:lpstr>v_55_XAMX</vt:lpstr>
      <vt:lpstr>v_55_XAOB</vt:lpstr>
      <vt:lpstr>v_55_XASRO</vt:lpstr>
      <vt:lpstr>v_55_XB</vt:lpstr>
      <vt:lpstr>v_55_XBSH</vt:lpstr>
      <vt:lpstr>v_55_XCaCO3</vt:lpstr>
      <vt:lpstr>v_55_XCASTO</vt:lpstr>
      <vt:lpstr>v_55_XE</vt:lpstr>
      <vt:lpstr>v_55_XE_ana</vt:lpstr>
      <vt:lpstr>v_55_XFeS</vt:lpstr>
      <vt:lpstr>v_55_XGLY</vt:lpstr>
      <vt:lpstr>v_55_XHAO_H</vt:lpstr>
      <vt:lpstr>v_55_XHAO_H_P</vt:lpstr>
      <vt:lpstr>v_55_XHAO_H_P_old</vt:lpstr>
      <vt:lpstr>v_55_XHAO_L</vt:lpstr>
      <vt:lpstr>v_55_XHAO_L_P</vt:lpstr>
      <vt:lpstr>v_55_XHAO_L_P_old</vt:lpstr>
      <vt:lpstr>v_55_XHAO_old</vt:lpstr>
      <vt:lpstr>v_55_XHFO_H</vt:lpstr>
      <vt:lpstr>v_55_XHFO_H_P</vt:lpstr>
      <vt:lpstr>v_55_XHFO_H_P_old</vt:lpstr>
      <vt:lpstr>v_55_XHFO_L</vt:lpstr>
      <vt:lpstr>v_55_XHFO_L_P</vt:lpstr>
      <vt:lpstr>v_55_XHFO_L_P_old</vt:lpstr>
      <vt:lpstr>v_55_XHFO_old</vt:lpstr>
      <vt:lpstr>v_55_XHMETO</vt:lpstr>
      <vt:lpstr>v_55_XHSRO</vt:lpstr>
      <vt:lpstr>v_55_XINORG</vt:lpstr>
      <vt:lpstr>v_55_XMEOLO</vt:lpstr>
      <vt:lpstr>v_55_XMOB</vt:lpstr>
      <vt:lpstr>v_55_XN_B</vt:lpstr>
      <vt:lpstr>v_55_XN_U</vt:lpstr>
      <vt:lpstr>v_55_XNOB</vt:lpstr>
      <vt:lpstr>v_55_XOHO</vt:lpstr>
      <vt:lpstr>v_55_XP_B</vt:lpstr>
      <vt:lpstr>v_55_XP_U</vt:lpstr>
      <vt:lpstr>v_55_XPHA</vt:lpstr>
      <vt:lpstr>v_55_XPP</vt:lpstr>
      <vt:lpstr>v_55_XS</vt:lpstr>
      <vt:lpstr>v_55_XSOO</vt:lpstr>
      <vt:lpstr>v_55_XSTR</vt:lpstr>
      <vt:lpstr>v_55_XU</vt:lpstr>
      <vt:lpstr>v_55_XVivi</vt:lpstr>
      <vt:lpstr>v_56_CB</vt:lpstr>
      <vt:lpstr>v_56_CU</vt:lpstr>
      <vt:lpstr>v_56_GCH4</vt:lpstr>
      <vt:lpstr>v_56_GCH4_atm</vt:lpstr>
      <vt:lpstr>v_56_GCO2</vt:lpstr>
      <vt:lpstr>v_56_GCO2_atm</vt:lpstr>
      <vt:lpstr>v_56_GH2</vt:lpstr>
      <vt:lpstr>v_56_GH2_atm</vt:lpstr>
      <vt:lpstr>v_56_GH2S</vt:lpstr>
      <vt:lpstr>v_56_GH2S_atm</vt:lpstr>
      <vt:lpstr>v_56_GN2</vt:lpstr>
      <vt:lpstr>v_56_GN2_atm</vt:lpstr>
      <vt:lpstr>v_56_GN2O</vt:lpstr>
      <vt:lpstr>v_56_GN2O_atm</vt:lpstr>
      <vt:lpstr>v_56_GNH3</vt:lpstr>
      <vt:lpstr>v_56_GNH3_atm</vt:lpstr>
      <vt:lpstr>v_56_GNO</vt:lpstr>
      <vt:lpstr>v_56_GNO_atm</vt:lpstr>
      <vt:lpstr>v_56_GO2</vt:lpstr>
      <vt:lpstr>v_56_GO2_atm</vt:lpstr>
      <vt:lpstr>v_56_H</vt:lpstr>
      <vt:lpstr>v_56_SALPHA</vt:lpstr>
      <vt:lpstr>v_56_SAN</vt:lpstr>
      <vt:lpstr>v_56_SB</vt:lpstr>
      <vt:lpstr>v_56_SCa</vt:lpstr>
      <vt:lpstr>v_56_SCAT</vt:lpstr>
      <vt:lpstr>v_56_SCH4</vt:lpstr>
      <vt:lpstr>v_56_SCO2</vt:lpstr>
      <vt:lpstr>v_56_SFe2</vt:lpstr>
      <vt:lpstr>v_56_SH2</vt:lpstr>
      <vt:lpstr>v_56_SH2S</vt:lpstr>
      <vt:lpstr>v_56_SK</vt:lpstr>
      <vt:lpstr>v_56_SMEOL</vt:lpstr>
      <vt:lpstr>v_56_SMg</vt:lpstr>
      <vt:lpstr>v_56_SMM_index</vt:lpstr>
      <vt:lpstr>v_56_SN_B</vt:lpstr>
      <vt:lpstr>v_56_SN2</vt:lpstr>
      <vt:lpstr>v_56_SN2O</vt:lpstr>
      <vt:lpstr>v_56_SNH2OH</vt:lpstr>
      <vt:lpstr>v_56_SNHx</vt:lpstr>
      <vt:lpstr>v_56_SNO_AOB</vt:lpstr>
      <vt:lpstr>v_56_SNO_OHO</vt:lpstr>
      <vt:lpstr>v_56_SNO2</vt:lpstr>
      <vt:lpstr>v_56_SNO3</vt:lpstr>
      <vt:lpstr>v_56_SO2</vt:lpstr>
      <vt:lpstr>v_56_SP_B</vt:lpstr>
      <vt:lpstr>v_56_SPO4</vt:lpstr>
      <vt:lpstr>v_56_SSO4</vt:lpstr>
      <vt:lpstr>v_56_SU</vt:lpstr>
      <vt:lpstr>v_56_SVFA</vt:lpstr>
      <vt:lpstr>v_56_XACP</vt:lpstr>
      <vt:lpstr>v_56_XAMETO</vt:lpstr>
      <vt:lpstr>v_56_XAMX</vt:lpstr>
      <vt:lpstr>v_56_XAOB</vt:lpstr>
      <vt:lpstr>v_56_XASRO</vt:lpstr>
      <vt:lpstr>v_56_XB</vt:lpstr>
      <vt:lpstr>v_56_XBSH</vt:lpstr>
      <vt:lpstr>v_56_XCaCO3</vt:lpstr>
      <vt:lpstr>v_56_XCASTO</vt:lpstr>
      <vt:lpstr>v_56_XE</vt:lpstr>
      <vt:lpstr>v_56_XE_ana</vt:lpstr>
      <vt:lpstr>v_56_XFeS</vt:lpstr>
      <vt:lpstr>v_56_XGLY</vt:lpstr>
      <vt:lpstr>v_56_XHAO_H</vt:lpstr>
      <vt:lpstr>v_56_XHAO_H_P</vt:lpstr>
      <vt:lpstr>v_56_XHAO_H_P_old</vt:lpstr>
      <vt:lpstr>v_56_XHAO_L</vt:lpstr>
      <vt:lpstr>v_56_XHAO_L_P</vt:lpstr>
      <vt:lpstr>v_56_XHAO_L_P_old</vt:lpstr>
      <vt:lpstr>v_56_XHAO_old</vt:lpstr>
      <vt:lpstr>v_56_XHFO_H</vt:lpstr>
      <vt:lpstr>v_56_XHFO_H_P</vt:lpstr>
      <vt:lpstr>v_56_XHFO_H_P_old</vt:lpstr>
      <vt:lpstr>v_56_XHFO_L</vt:lpstr>
      <vt:lpstr>v_56_XHFO_L_P</vt:lpstr>
      <vt:lpstr>v_56_XHFO_L_P_old</vt:lpstr>
      <vt:lpstr>v_56_XHFO_old</vt:lpstr>
      <vt:lpstr>v_56_XHMETO</vt:lpstr>
      <vt:lpstr>v_56_XHSRO</vt:lpstr>
      <vt:lpstr>v_56_XINORG</vt:lpstr>
      <vt:lpstr>v_56_XMEOLO</vt:lpstr>
      <vt:lpstr>v_56_XMOB</vt:lpstr>
      <vt:lpstr>v_56_XN_B</vt:lpstr>
      <vt:lpstr>v_56_XN_U</vt:lpstr>
      <vt:lpstr>v_56_XNOB</vt:lpstr>
      <vt:lpstr>v_56_XOHO</vt:lpstr>
      <vt:lpstr>v_56_XP_B</vt:lpstr>
      <vt:lpstr>v_56_XP_U</vt:lpstr>
      <vt:lpstr>v_56_XPHA</vt:lpstr>
      <vt:lpstr>v_56_XPP</vt:lpstr>
      <vt:lpstr>v_56_XS</vt:lpstr>
      <vt:lpstr>v_56_XSOO</vt:lpstr>
      <vt:lpstr>v_56_XSTR</vt:lpstr>
      <vt:lpstr>v_56_XU</vt:lpstr>
      <vt:lpstr>v_56_XVivi</vt:lpstr>
      <vt:lpstr>v_57_CB</vt:lpstr>
      <vt:lpstr>v_57_CU</vt:lpstr>
      <vt:lpstr>v_57_GCH4</vt:lpstr>
      <vt:lpstr>v_57_GCH4_atm</vt:lpstr>
      <vt:lpstr>v_57_GCO2</vt:lpstr>
      <vt:lpstr>v_57_GCO2_atm</vt:lpstr>
      <vt:lpstr>v_57_GH2</vt:lpstr>
      <vt:lpstr>v_57_GH2_atm</vt:lpstr>
      <vt:lpstr>v_57_GH2S</vt:lpstr>
      <vt:lpstr>v_57_GH2S_atm</vt:lpstr>
      <vt:lpstr>v_57_GN2</vt:lpstr>
      <vt:lpstr>v_57_GN2_atm</vt:lpstr>
      <vt:lpstr>v_57_GN2O</vt:lpstr>
      <vt:lpstr>v_57_GN2O_atm</vt:lpstr>
      <vt:lpstr>v_57_GNH3</vt:lpstr>
      <vt:lpstr>v_57_GNH3_atm</vt:lpstr>
      <vt:lpstr>v_57_GNO</vt:lpstr>
      <vt:lpstr>v_57_GNO_atm</vt:lpstr>
      <vt:lpstr>v_57_GO2</vt:lpstr>
      <vt:lpstr>v_57_GO2_atm</vt:lpstr>
      <vt:lpstr>v_57_H</vt:lpstr>
      <vt:lpstr>v_57_SALPHA</vt:lpstr>
      <vt:lpstr>v_57_SAN</vt:lpstr>
      <vt:lpstr>v_57_SB</vt:lpstr>
      <vt:lpstr>v_57_SCa</vt:lpstr>
      <vt:lpstr>v_57_SCAT</vt:lpstr>
      <vt:lpstr>v_57_SCH4</vt:lpstr>
      <vt:lpstr>v_57_SCO2</vt:lpstr>
      <vt:lpstr>v_57_SFe2</vt:lpstr>
      <vt:lpstr>v_57_SH2</vt:lpstr>
      <vt:lpstr>v_57_SH2S</vt:lpstr>
      <vt:lpstr>v_57_SK</vt:lpstr>
      <vt:lpstr>v_57_SMEOL</vt:lpstr>
      <vt:lpstr>v_57_SMg</vt:lpstr>
      <vt:lpstr>v_57_SMM_index</vt:lpstr>
      <vt:lpstr>v_57_SN_B</vt:lpstr>
      <vt:lpstr>v_57_SN2</vt:lpstr>
      <vt:lpstr>v_57_SN2O</vt:lpstr>
      <vt:lpstr>v_57_SNH2OH</vt:lpstr>
      <vt:lpstr>v_57_SNHx</vt:lpstr>
      <vt:lpstr>v_57_SNO_AOB</vt:lpstr>
      <vt:lpstr>v_57_SNO_OHO</vt:lpstr>
      <vt:lpstr>v_57_SNO2</vt:lpstr>
      <vt:lpstr>v_57_SNO3</vt:lpstr>
      <vt:lpstr>v_57_SO2</vt:lpstr>
      <vt:lpstr>v_57_SP_B</vt:lpstr>
      <vt:lpstr>v_57_SPO4</vt:lpstr>
      <vt:lpstr>v_57_SSO4</vt:lpstr>
      <vt:lpstr>v_57_SU</vt:lpstr>
      <vt:lpstr>v_57_SVFA</vt:lpstr>
      <vt:lpstr>v_57_XACP</vt:lpstr>
      <vt:lpstr>v_57_XAMETO</vt:lpstr>
      <vt:lpstr>v_57_XAMX</vt:lpstr>
      <vt:lpstr>v_57_XAOB</vt:lpstr>
      <vt:lpstr>v_57_XASRO</vt:lpstr>
      <vt:lpstr>v_57_XB</vt:lpstr>
      <vt:lpstr>v_57_XBSH</vt:lpstr>
      <vt:lpstr>v_57_XCaCO3</vt:lpstr>
      <vt:lpstr>v_57_XCASTO</vt:lpstr>
      <vt:lpstr>v_57_XE</vt:lpstr>
      <vt:lpstr>v_57_XE_ana</vt:lpstr>
      <vt:lpstr>v_57_XFeS</vt:lpstr>
      <vt:lpstr>v_57_XGLY</vt:lpstr>
      <vt:lpstr>v_57_XHAO_H</vt:lpstr>
      <vt:lpstr>v_57_XHAO_H_P</vt:lpstr>
      <vt:lpstr>v_57_XHAO_H_P_old</vt:lpstr>
      <vt:lpstr>v_57_XHAO_L</vt:lpstr>
      <vt:lpstr>v_57_XHAO_L_P</vt:lpstr>
      <vt:lpstr>v_57_XHAO_L_P_old</vt:lpstr>
      <vt:lpstr>v_57_XHAO_old</vt:lpstr>
      <vt:lpstr>v_57_XHFO_H</vt:lpstr>
      <vt:lpstr>v_57_XHFO_H_P</vt:lpstr>
      <vt:lpstr>v_57_XHFO_H_P_old</vt:lpstr>
      <vt:lpstr>v_57_XHFO_L</vt:lpstr>
      <vt:lpstr>v_57_XHFO_L_P</vt:lpstr>
      <vt:lpstr>v_57_XHFO_L_P_old</vt:lpstr>
      <vt:lpstr>v_57_XHFO_old</vt:lpstr>
      <vt:lpstr>v_57_XHMETO</vt:lpstr>
      <vt:lpstr>v_57_XHSRO</vt:lpstr>
      <vt:lpstr>v_57_XINORG</vt:lpstr>
      <vt:lpstr>v_57_XMEOLO</vt:lpstr>
      <vt:lpstr>v_57_XMOB</vt:lpstr>
      <vt:lpstr>v_57_XN_B</vt:lpstr>
      <vt:lpstr>v_57_XN_U</vt:lpstr>
      <vt:lpstr>v_57_XNOB</vt:lpstr>
      <vt:lpstr>v_57_XOHO</vt:lpstr>
      <vt:lpstr>v_57_XP_B</vt:lpstr>
      <vt:lpstr>v_57_XP_U</vt:lpstr>
      <vt:lpstr>v_57_XPHA</vt:lpstr>
      <vt:lpstr>v_57_XPP</vt:lpstr>
      <vt:lpstr>v_57_XS</vt:lpstr>
      <vt:lpstr>v_57_XSOO</vt:lpstr>
      <vt:lpstr>v_57_XSTR</vt:lpstr>
      <vt:lpstr>v_57_XU</vt:lpstr>
      <vt:lpstr>v_57_XVivi</vt:lpstr>
      <vt:lpstr>v_58_CB</vt:lpstr>
      <vt:lpstr>v_58_CU</vt:lpstr>
      <vt:lpstr>v_58_GCH4</vt:lpstr>
      <vt:lpstr>v_58_GCH4_atm</vt:lpstr>
      <vt:lpstr>v_58_GCO2</vt:lpstr>
      <vt:lpstr>v_58_GCO2_atm</vt:lpstr>
      <vt:lpstr>v_58_GH2</vt:lpstr>
      <vt:lpstr>v_58_GH2_atm</vt:lpstr>
      <vt:lpstr>v_58_GH2S</vt:lpstr>
      <vt:lpstr>v_58_GH2S_atm</vt:lpstr>
      <vt:lpstr>v_58_GN2</vt:lpstr>
      <vt:lpstr>v_58_GN2_atm</vt:lpstr>
      <vt:lpstr>v_58_GN2O</vt:lpstr>
      <vt:lpstr>v_58_GN2O_atm</vt:lpstr>
      <vt:lpstr>v_58_GNH3</vt:lpstr>
      <vt:lpstr>v_58_GNH3_atm</vt:lpstr>
      <vt:lpstr>v_58_GNO</vt:lpstr>
      <vt:lpstr>v_58_GNO_atm</vt:lpstr>
      <vt:lpstr>v_58_GO2</vt:lpstr>
      <vt:lpstr>v_58_GO2_atm</vt:lpstr>
      <vt:lpstr>v_58_H</vt:lpstr>
      <vt:lpstr>v_58_SALPHA</vt:lpstr>
      <vt:lpstr>v_58_SAN</vt:lpstr>
      <vt:lpstr>v_58_SB</vt:lpstr>
      <vt:lpstr>v_58_SCa</vt:lpstr>
      <vt:lpstr>v_58_SCAT</vt:lpstr>
      <vt:lpstr>v_58_SCH4</vt:lpstr>
      <vt:lpstr>v_58_SCO2</vt:lpstr>
      <vt:lpstr>v_58_SFe2</vt:lpstr>
      <vt:lpstr>v_58_SH2</vt:lpstr>
      <vt:lpstr>v_58_SH2S</vt:lpstr>
      <vt:lpstr>v_58_SK</vt:lpstr>
      <vt:lpstr>v_58_SMEOL</vt:lpstr>
      <vt:lpstr>v_58_SMg</vt:lpstr>
      <vt:lpstr>v_58_SMM_index</vt:lpstr>
      <vt:lpstr>v_58_SN_B</vt:lpstr>
      <vt:lpstr>v_58_SN2</vt:lpstr>
      <vt:lpstr>v_58_SN2O</vt:lpstr>
      <vt:lpstr>v_58_SNH2OH</vt:lpstr>
      <vt:lpstr>v_58_SNHx</vt:lpstr>
      <vt:lpstr>v_58_SNO_AOB</vt:lpstr>
      <vt:lpstr>v_58_SNO_OHO</vt:lpstr>
      <vt:lpstr>v_58_SNO2</vt:lpstr>
      <vt:lpstr>v_58_SNO3</vt:lpstr>
      <vt:lpstr>v_58_SO2</vt:lpstr>
      <vt:lpstr>v_58_SP_B</vt:lpstr>
      <vt:lpstr>v_58_SPO4</vt:lpstr>
      <vt:lpstr>v_58_SSO4</vt:lpstr>
      <vt:lpstr>v_58_SU</vt:lpstr>
      <vt:lpstr>v_58_SVFA</vt:lpstr>
      <vt:lpstr>v_58_XACP</vt:lpstr>
      <vt:lpstr>v_58_XAMETO</vt:lpstr>
      <vt:lpstr>v_58_XAMX</vt:lpstr>
      <vt:lpstr>v_58_XAOB</vt:lpstr>
      <vt:lpstr>v_58_XASRO</vt:lpstr>
      <vt:lpstr>v_58_XB</vt:lpstr>
      <vt:lpstr>v_58_XBSH</vt:lpstr>
      <vt:lpstr>v_58_XCaCO3</vt:lpstr>
      <vt:lpstr>v_58_XCASTO</vt:lpstr>
      <vt:lpstr>v_58_XE</vt:lpstr>
      <vt:lpstr>v_58_XE_ana</vt:lpstr>
      <vt:lpstr>v_58_XFeS</vt:lpstr>
      <vt:lpstr>v_58_XGLY</vt:lpstr>
      <vt:lpstr>v_58_XHAO_H</vt:lpstr>
      <vt:lpstr>v_58_XHAO_H_P</vt:lpstr>
      <vt:lpstr>v_58_XHAO_H_P_old</vt:lpstr>
      <vt:lpstr>v_58_XHAO_L</vt:lpstr>
      <vt:lpstr>v_58_XHAO_L_P</vt:lpstr>
      <vt:lpstr>v_58_XHAO_L_P_old</vt:lpstr>
      <vt:lpstr>v_58_XHAO_old</vt:lpstr>
      <vt:lpstr>v_58_XHFO_H</vt:lpstr>
      <vt:lpstr>v_58_XHFO_H_P</vt:lpstr>
      <vt:lpstr>v_58_XHFO_H_P_old</vt:lpstr>
      <vt:lpstr>v_58_XHFO_L</vt:lpstr>
      <vt:lpstr>v_58_XHFO_L_P</vt:lpstr>
      <vt:lpstr>v_58_XHFO_L_P_old</vt:lpstr>
      <vt:lpstr>v_58_XHFO_old</vt:lpstr>
      <vt:lpstr>v_58_XHMETO</vt:lpstr>
      <vt:lpstr>v_58_XHSRO</vt:lpstr>
      <vt:lpstr>v_58_XINORG</vt:lpstr>
      <vt:lpstr>v_58_XMEOLO</vt:lpstr>
      <vt:lpstr>v_58_XMOB</vt:lpstr>
      <vt:lpstr>v_58_XN_B</vt:lpstr>
      <vt:lpstr>v_58_XN_U</vt:lpstr>
      <vt:lpstr>v_58_XNOB</vt:lpstr>
      <vt:lpstr>v_58_XOHO</vt:lpstr>
      <vt:lpstr>v_58_XP_B</vt:lpstr>
      <vt:lpstr>v_58_XP_U</vt:lpstr>
      <vt:lpstr>v_58_XPHA</vt:lpstr>
      <vt:lpstr>v_58_XPP</vt:lpstr>
      <vt:lpstr>v_58_XS</vt:lpstr>
      <vt:lpstr>v_58_XSOO</vt:lpstr>
      <vt:lpstr>v_58_XSTR</vt:lpstr>
      <vt:lpstr>v_58_XU</vt:lpstr>
      <vt:lpstr>v_58_XVivi</vt:lpstr>
      <vt:lpstr>v_59_CB</vt:lpstr>
      <vt:lpstr>v_59_CU</vt:lpstr>
      <vt:lpstr>v_59_GCH4</vt:lpstr>
      <vt:lpstr>v_59_GCH4_atm</vt:lpstr>
      <vt:lpstr>v_59_GCO2</vt:lpstr>
      <vt:lpstr>v_59_GCO2_atm</vt:lpstr>
      <vt:lpstr>v_59_GH2</vt:lpstr>
      <vt:lpstr>v_59_GH2_atm</vt:lpstr>
      <vt:lpstr>v_59_GH2S</vt:lpstr>
      <vt:lpstr>v_59_GH2S_atm</vt:lpstr>
      <vt:lpstr>v_59_GN2</vt:lpstr>
      <vt:lpstr>v_59_GN2_atm</vt:lpstr>
      <vt:lpstr>v_59_GN2O</vt:lpstr>
      <vt:lpstr>v_59_GN2O_atm</vt:lpstr>
      <vt:lpstr>v_59_GNH3</vt:lpstr>
      <vt:lpstr>v_59_GNH3_atm</vt:lpstr>
      <vt:lpstr>v_59_GNO</vt:lpstr>
      <vt:lpstr>v_59_GNO_atm</vt:lpstr>
      <vt:lpstr>v_59_GO2</vt:lpstr>
      <vt:lpstr>v_59_GO2_atm</vt:lpstr>
      <vt:lpstr>v_59_H</vt:lpstr>
      <vt:lpstr>v_59_SALPHA</vt:lpstr>
      <vt:lpstr>v_59_SAN</vt:lpstr>
      <vt:lpstr>v_59_SB</vt:lpstr>
      <vt:lpstr>v_59_SCa</vt:lpstr>
      <vt:lpstr>v_59_SCAT</vt:lpstr>
      <vt:lpstr>v_59_SCH4</vt:lpstr>
      <vt:lpstr>v_59_SCO2</vt:lpstr>
      <vt:lpstr>v_59_SFe2</vt:lpstr>
      <vt:lpstr>v_59_SH2</vt:lpstr>
      <vt:lpstr>v_59_SH2S</vt:lpstr>
      <vt:lpstr>v_59_SK</vt:lpstr>
      <vt:lpstr>v_59_SMEOL</vt:lpstr>
      <vt:lpstr>v_59_SMg</vt:lpstr>
      <vt:lpstr>v_59_SMM_index</vt:lpstr>
      <vt:lpstr>v_59_SN_B</vt:lpstr>
      <vt:lpstr>v_59_SN2</vt:lpstr>
      <vt:lpstr>v_59_SN2O</vt:lpstr>
      <vt:lpstr>v_59_SNH2OH</vt:lpstr>
      <vt:lpstr>v_59_SNHx</vt:lpstr>
      <vt:lpstr>v_59_SNO_AOB</vt:lpstr>
      <vt:lpstr>v_59_SNO_OHO</vt:lpstr>
      <vt:lpstr>v_59_SNO2</vt:lpstr>
      <vt:lpstr>v_59_SNO3</vt:lpstr>
      <vt:lpstr>v_59_SO2</vt:lpstr>
      <vt:lpstr>v_59_SP_B</vt:lpstr>
      <vt:lpstr>v_59_SPO4</vt:lpstr>
      <vt:lpstr>v_59_SSO4</vt:lpstr>
      <vt:lpstr>v_59_SU</vt:lpstr>
      <vt:lpstr>v_59_SVFA</vt:lpstr>
      <vt:lpstr>v_59_XACP</vt:lpstr>
      <vt:lpstr>v_59_XAMETO</vt:lpstr>
      <vt:lpstr>v_59_XAMX</vt:lpstr>
      <vt:lpstr>v_59_XAOB</vt:lpstr>
      <vt:lpstr>v_59_XASRO</vt:lpstr>
      <vt:lpstr>v_59_XB</vt:lpstr>
      <vt:lpstr>v_59_XBSH</vt:lpstr>
      <vt:lpstr>v_59_XCaCO3</vt:lpstr>
      <vt:lpstr>v_59_XCASTO</vt:lpstr>
      <vt:lpstr>v_59_XE</vt:lpstr>
      <vt:lpstr>v_59_XE_ana</vt:lpstr>
      <vt:lpstr>v_59_XFeS</vt:lpstr>
      <vt:lpstr>v_59_XGLY</vt:lpstr>
      <vt:lpstr>v_59_XHAO_H</vt:lpstr>
      <vt:lpstr>v_59_XHAO_H_P</vt:lpstr>
      <vt:lpstr>v_59_XHAO_H_P_old</vt:lpstr>
      <vt:lpstr>v_59_XHAO_L</vt:lpstr>
      <vt:lpstr>v_59_XHAO_L_P</vt:lpstr>
      <vt:lpstr>v_59_XHAO_L_P_old</vt:lpstr>
      <vt:lpstr>v_59_XHAO_old</vt:lpstr>
      <vt:lpstr>v_59_XHFO_H</vt:lpstr>
      <vt:lpstr>v_59_XHFO_H_P</vt:lpstr>
      <vt:lpstr>v_59_XHFO_H_P_old</vt:lpstr>
      <vt:lpstr>v_59_XHFO_L</vt:lpstr>
      <vt:lpstr>v_59_XHFO_L_P</vt:lpstr>
      <vt:lpstr>v_59_XHFO_L_P_old</vt:lpstr>
      <vt:lpstr>v_59_XHFO_old</vt:lpstr>
      <vt:lpstr>v_59_XHMETO</vt:lpstr>
      <vt:lpstr>v_59_XHSRO</vt:lpstr>
      <vt:lpstr>v_59_XINORG</vt:lpstr>
      <vt:lpstr>v_59_XMEOLO</vt:lpstr>
      <vt:lpstr>v_59_XMOB</vt:lpstr>
      <vt:lpstr>v_59_XN_B</vt:lpstr>
      <vt:lpstr>v_59_XN_U</vt:lpstr>
      <vt:lpstr>v_59_XNOB</vt:lpstr>
      <vt:lpstr>v_59_XOHO</vt:lpstr>
      <vt:lpstr>v_59_XP_B</vt:lpstr>
      <vt:lpstr>v_59_XP_U</vt:lpstr>
      <vt:lpstr>v_59_XPHA</vt:lpstr>
      <vt:lpstr>v_59_XPP</vt:lpstr>
      <vt:lpstr>v_59_XS</vt:lpstr>
      <vt:lpstr>v_59_XSOO</vt:lpstr>
      <vt:lpstr>v_59_XSTR</vt:lpstr>
      <vt:lpstr>v_59_XU</vt:lpstr>
      <vt:lpstr>v_59_XVivi</vt:lpstr>
      <vt:lpstr>v_6_CB</vt:lpstr>
      <vt:lpstr>v_6_CU</vt:lpstr>
      <vt:lpstr>v_6_GCH4</vt:lpstr>
      <vt:lpstr>v_6_GCH4_atm</vt:lpstr>
      <vt:lpstr>v_6_GCO2</vt:lpstr>
      <vt:lpstr>v_6_GCO2_atm</vt:lpstr>
      <vt:lpstr>v_6_GH2</vt:lpstr>
      <vt:lpstr>v_6_GH2_atm</vt:lpstr>
      <vt:lpstr>v_6_GH2S</vt:lpstr>
      <vt:lpstr>v_6_GH2S_atm</vt:lpstr>
      <vt:lpstr>v_6_GN2</vt:lpstr>
      <vt:lpstr>v_6_GN2_atm</vt:lpstr>
      <vt:lpstr>v_6_GN2O</vt:lpstr>
      <vt:lpstr>v_6_GN2O_atm</vt:lpstr>
      <vt:lpstr>v_6_GNH3</vt:lpstr>
      <vt:lpstr>v_6_GNH3_atm</vt:lpstr>
      <vt:lpstr>v_6_GNO</vt:lpstr>
      <vt:lpstr>v_6_GNO_atm</vt:lpstr>
      <vt:lpstr>v_6_GO2</vt:lpstr>
      <vt:lpstr>v_6_GO2_atm</vt:lpstr>
      <vt:lpstr>v_6_H</vt:lpstr>
      <vt:lpstr>v_6_SALPHA</vt:lpstr>
      <vt:lpstr>v_6_SAN</vt:lpstr>
      <vt:lpstr>v_6_SB</vt:lpstr>
      <vt:lpstr>v_6_SCa</vt:lpstr>
      <vt:lpstr>v_6_SCAT</vt:lpstr>
      <vt:lpstr>v_6_SCH4</vt:lpstr>
      <vt:lpstr>v_6_SCO2</vt:lpstr>
      <vt:lpstr>v_6_SFe2</vt:lpstr>
      <vt:lpstr>v_6_SH2</vt:lpstr>
      <vt:lpstr>v_6_SH2S</vt:lpstr>
      <vt:lpstr>v_6_SK</vt:lpstr>
      <vt:lpstr>v_6_SMEOL</vt:lpstr>
      <vt:lpstr>v_6_SMg</vt:lpstr>
      <vt:lpstr>v_6_SMM_index</vt:lpstr>
      <vt:lpstr>v_6_SN_B</vt:lpstr>
      <vt:lpstr>v_6_SN2</vt:lpstr>
      <vt:lpstr>v_6_SN2O</vt:lpstr>
      <vt:lpstr>v_6_SNH2OH</vt:lpstr>
      <vt:lpstr>v_6_SNHx</vt:lpstr>
      <vt:lpstr>v_6_SNO_AOB</vt:lpstr>
      <vt:lpstr>v_6_SNO_OHO</vt:lpstr>
      <vt:lpstr>v_6_SNO2</vt:lpstr>
      <vt:lpstr>v_6_SNO3</vt:lpstr>
      <vt:lpstr>v_6_SO2</vt:lpstr>
      <vt:lpstr>v_6_SP_B</vt:lpstr>
      <vt:lpstr>v_6_SPO4</vt:lpstr>
      <vt:lpstr>v_6_SSO4</vt:lpstr>
      <vt:lpstr>v_6_SU</vt:lpstr>
      <vt:lpstr>v_6_SVFA</vt:lpstr>
      <vt:lpstr>v_6_XACP</vt:lpstr>
      <vt:lpstr>v_6_XAMETO</vt:lpstr>
      <vt:lpstr>v_6_XAMX</vt:lpstr>
      <vt:lpstr>v_6_XAOB</vt:lpstr>
      <vt:lpstr>v_6_XASRO</vt:lpstr>
      <vt:lpstr>v_6_XB</vt:lpstr>
      <vt:lpstr>v_6_XBSH</vt:lpstr>
      <vt:lpstr>v_6_XCaCO3</vt:lpstr>
      <vt:lpstr>v_6_XCASTO</vt:lpstr>
      <vt:lpstr>v_6_XE</vt:lpstr>
      <vt:lpstr>v_6_XE_ana</vt:lpstr>
      <vt:lpstr>v_6_XFeS</vt:lpstr>
      <vt:lpstr>v_6_XGLY</vt:lpstr>
      <vt:lpstr>v_6_XHAO_H</vt:lpstr>
      <vt:lpstr>v_6_XHAO_H_P</vt:lpstr>
      <vt:lpstr>v_6_XHAO_H_P_old</vt:lpstr>
      <vt:lpstr>v_6_XHAO_L</vt:lpstr>
      <vt:lpstr>v_6_XHAO_L_P</vt:lpstr>
      <vt:lpstr>v_6_XHAO_L_P_old</vt:lpstr>
      <vt:lpstr>v_6_XHAO_old</vt:lpstr>
      <vt:lpstr>v_6_XHFO_H</vt:lpstr>
      <vt:lpstr>v_6_XHFO_H_P</vt:lpstr>
      <vt:lpstr>v_6_XHFO_H_P_old</vt:lpstr>
      <vt:lpstr>v_6_XHFO_L</vt:lpstr>
      <vt:lpstr>v_6_XHFO_L_P</vt:lpstr>
      <vt:lpstr>v_6_XHFO_L_P_old</vt:lpstr>
      <vt:lpstr>v_6_XHFO_old</vt:lpstr>
      <vt:lpstr>v_6_XHMETO</vt:lpstr>
      <vt:lpstr>v_6_XHSRO</vt:lpstr>
      <vt:lpstr>v_6_XINORG</vt:lpstr>
      <vt:lpstr>v_6_XMEOLO</vt:lpstr>
      <vt:lpstr>v_6_XMOB</vt:lpstr>
      <vt:lpstr>v_6_XN_B</vt:lpstr>
      <vt:lpstr>v_6_XN_U</vt:lpstr>
      <vt:lpstr>v_6_XNOB</vt:lpstr>
      <vt:lpstr>v_6_XOHO</vt:lpstr>
      <vt:lpstr>v_6_XP_B</vt:lpstr>
      <vt:lpstr>v_6_XP_U</vt:lpstr>
      <vt:lpstr>v_6_XPHA</vt:lpstr>
      <vt:lpstr>v_6_XPP</vt:lpstr>
      <vt:lpstr>v_6_XS</vt:lpstr>
      <vt:lpstr>v_6_XSOO</vt:lpstr>
      <vt:lpstr>v_6_XSTR</vt:lpstr>
      <vt:lpstr>v_6_XU</vt:lpstr>
      <vt:lpstr>v_6_XVivi</vt:lpstr>
      <vt:lpstr>v_60_CB</vt:lpstr>
      <vt:lpstr>v_60_CU</vt:lpstr>
      <vt:lpstr>v_60_GCH4</vt:lpstr>
      <vt:lpstr>v_60_GCH4_atm</vt:lpstr>
      <vt:lpstr>v_60_GCO2</vt:lpstr>
      <vt:lpstr>v_60_GCO2_atm</vt:lpstr>
      <vt:lpstr>v_60_GH2</vt:lpstr>
      <vt:lpstr>v_60_GH2_atm</vt:lpstr>
      <vt:lpstr>v_60_GH2S</vt:lpstr>
      <vt:lpstr>v_60_GH2S_atm</vt:lpstr>
      <vt:lpstr>v_60_GN2</vt:lpstr>
      <vt:lpstr>v_60_GN2_atm</vt:lpstr>
      <vt:lpstr>v_60_GN2O</vt:lpstr>
      <vt:lpstr>v_60_GN2O_atm</vt:lpstr>
      <vt:lpstr>v_60_GNH3</vt:lpstr>
      <vt:lpstr>v_60_GNH3_atm</vt:lpstr>
      <vt:lpstr>v_60_GNO</vt:lpstr>
      <vt:lpstr>v_60_GNO_atm</vt:lpstr>
      <vt:lpstr>v_60_GO2</vt:lpstr>
      <vt:lpstr>v_60_GO2_atm</vt:lpstr>
      <vt:lpstr>v_60_H</vt:lpstr>
      <vt:lpstr>v_60_SALPHA</vt:lpstr>
      <vt:lpstr>v_60_SAN</vt:lpstr>
      <vt:lpstr>v_60_SB</vt:lpstr>
      <vt:lpstr>v_60_SCa</vt:lpstr>
      <vt:lpstr>v_60_SCAT</vt:lpstr>
      <vt:lpstr>v_60_SCH4</vt:lpstr>
      <vt:lpstr>v_60_SCO2</vt:lpstr>
      <vt:lpstr>v_60_SFe2</vt:lpstr>
      <vt:lpstr>v_60_SH2</vt:lpstr>
      <vt:lpstr>v_60_SH2S</vt:lpstr>
      <vt:lpstr>v_60_SK</vt:lpstr>
      <vt:lpstr>v_60_SMEOL</vt:lpstr>
      <vt:lpstr>v_60_SMg</vt:lpstr>
      <vt:lpstr>v_60_SMM_index</vt:lpstr>
      <vt:lpstr>v_60_SN_B</vt:lpstr>
      <vt:lpstr>v_60_SN2</vt:lpstr>
      <vt:lpstr>v_60_SN2O</vt:lpstr>
      <vt:lpstr>v_60_SNH2OH</vt:lpstr>
      <vt:lpstr>v_60_SNHx</vt:lpstr>
      <vt:lpstr>v_60_SNO_AOB</vt:lpstr>
      <vt:lpstr>v_60_SNO_OHO</vt:lpstr>
      <vt:lpstr>v_60_SNO2</vt:lpstr>
      <vt:lpstr>v_60_SNO3</vt:lpstr>
      <vt:lpstr>v_60_SO2</vt:lpstr>
      <vt:lpstr>v_60_SP_B</vt:lpstr>
      <vt:lpstr>v_60_SPO4</vt:lpstr>
      <vt:lpstr>v_60_SSO4</vt:lpstr>
      <vt:lpstr>v_60_SU</vt:lpstr>
      <vt:lpstr>v_60_SVFA</vt:lpstr>
      <vt:lpstr>v_60_XACP</vt:lpstr>
      <vt:lpstr>v_60_XAMETO</vt:lpstr>
      <vt:lpstr>v_60_XAMX</vt:lpstr>
      <vt:lpstr>v_60_XAOB</vt:lpstr>
      <vt:lpstr>v_60_XASRO</vt:lpstr>
      <vt:lpstr>v_60_XB</vt:lpstr>
      <vt:lpstr>v_60_XBSH</vt:lpstr>
      <vt:lpstr>v_60_XCaCO3</vt:lpstr>
      <vt:lpstr>v_60_XCASTO</vt:lpstr>
      <vt:lpstr>v_60_XE</vt:lpstr>
      <vt:lpstr>v_60_XE_ana</vt:lpstr>
      <vt:lpstr>v_60_XFeS</vt:lpstr>
      <vt:lpstr>v_60_XGLY</vt:lpstr>
      <vt:lpstr>v_60_XHAO_H</vt:lpstr>
      <vt:lpstr>v_60_XHAO_H_P</vt:lpstr>
      <vt:lpstr>v_60_XHAO_H_P_old</vt:lpstr>
      <vt:lpstr>v_60_XHAO_L</vt:lpstr>
      <vt:lpstr>v_60_XHAO_L_P</vt:lpstr>
      <vt:lpstr>v_60_XHAO_L_P_old</vt:lpstr>
      <vt:lpstr>v_60_XHAO_old</vt:lpstr>
      <vt:lpstr>v_60_XHFO_H</vt:lpstr>
      <vt:lpstr>v_60_XHFO_H_P</vt:lpstr>
      <vt:lpstr>v_60_XHFO_H_P_old</vt:lpstr>
      <vt:lpstr>v_60_XHFO_L</vt:lpstr>
      <vt:lpstr>v_60_XHFO_L_P</vt:lpstr>
      <vt:lpstr>v_60_XHFO_L_P_old</vt:lpstr>
      <vt:lpstr>v_60_XHFO_old</vt:lpstr>
      <vt:lpstr>v_60_XHMETO</vt:lpstr>
      <vt:lpstr>v_60_XHSRO</vt:lpstr>
      <vt:lpstr>v_60_XINORG</vt:lpstr>
      <vt:lpstr>v_60_XMEOLO</vt:lpstr>
      <vt:lpstr>v_60_XMOB</vt:lpstr>
      <vt:lpstr>v_60_XN_B</vt:lpstr>
      <vt:lpstr>v_60_XN_U</vt:lpstr>
      <vt:lpstr>v_60_XNOB</vt:lpstr>
      <vt:lpstr>v_60_XOHO</vt:lpstr>
      <vt:lpstr>v_60_XP_B</vt:lpstr>
      <vt:lpstr>v_60_XP_U</vt:lpstr>
      <vt:lpstr>v_60_XPHA</vt:lpstr>
      <vt:lpstr>v_60_XPP</vt:lpstr>
      <vt:lpstr>v_60_XS</vt:lpstr>
      <vt:lpstr>v_60_XSOO</vt:lpstr>
      <vt:lpstr>v_60_XSTR</vt:lpstr>
      <vt:lpstr>v_60_XU</vt:lpstr>
      <vt:lpstr>v_60_XVivi</vt:lpstr>
      <vt:lpstr>v_61_CB</vt:lpstr>
      <vt:lpstr>v_61_CU</vt:lpstr>
      <vt:lpstr>v_61_GCH4</vt:lpstr>
      <vt:lpstr>v_61_GCH4_atm</vt:lpstr>
      <vt:lpstr>v_61_GCO2</vt:lpstr>
      <vt:lpstr>v_61_GCO2_atm</vt:lpstr>
      <vt:lpstr>v_61_GH2</vt:lpstr>
      <vt:lpstr>v_61_GH2_atm</vt:lpstr>
      <vt:lpstr>v_61_GH2S</vt:lpstr>
      <vt:lpstr>v_61_GH2S_atm</vt:lpstr>
      <vt:lpstr>v_61_GN2</vt:lpstr>
      <vt:lpstr>v_61_GN2_atm</vt:lpstr>
      <vt:lpstr>v_61_GN2O</vt:lpstr>
      <vt:lpstr>v_61_GN2O_atm</vt:lpstr>
      <vt:lpstr>v_61_GNH3</vt:lpstr>
      <vt:lpstr>v_61_GNH3_atm</vt:lpstr>
      <vt:lpstr>v_61_GNO</vt:lpstr>
      <vt:lpstr>v_61_GNO_atm</vt:lpstr>
      <vt:lpstr>v_61_GO2</vt:lpstr>
      <vt:lpstr>v_61_GO2_atm</vt:lpstr>
      <vt:lpstr>v_61_H</vt:lpstr>
      <vt:lpstr>v_61_SALPHA</vt:lpstr>
      <vt:lpstr>v_61_SAN</vt:lpstr>
      <vt:lpstr>v_61_SB</vt:lpstr>
      <vt:lpstr>v_61_SCa</vt:lpstr>
      <vt:lpstr>v_61_SCAT</vt:lpstr>
      <vt:lpstr>v_61_SCH4</vt:lpstr>
      <vt:lpstr>v_61_SCO2</vt:lpstr>
      <vt:lpstr>v_61_SFe2</vt:lpstr>
      <vt:lpstr>v_61_SH2</vt:lpstr>
      <vt:lpstr>v_61_SH2S</vt:lpstr>
      <vt:lpstr>v_61_SK</vt:lpstr>
      <vt:lpstr>v_61_SMEOL</vt:lpstr>
      <vt:lpstr>v_61_SMg</vt:lpstr>
      <vt:lpstr>v_61_SMM_index</vt:lpstr>
      <vt:lpstr>v_61_SN_B</vt:lpstr>
      <vt:lpstr>v_61_SN2</vt:lpstr>
      <vt:lpstr>v_61_SN2O</vt:lpstr>
      <vt:lpstr>v_61_SNH2OH</vt:lpstr>
      <vt:lpstr>v_61_SNHx</vt:lpstr>
      <vt:lpstr>v_61_SNO_AOB</vt:lpstr>
      <vt:lpstr>v_61_SNO_OHO</vt:lpstr>
      <vt:lpstr>v_61_SNO2</vt:lpstr>
      <vt:lpstr>v_61_SNO3</vt:lpstr>
      <vt:lpstr>v_61_SO2</vt:lpstr>
      <vt:lpstr>v_61_SP_B</vt:lpstr>
      <vt:lpstr>v_61_SPO4</vt:lpstr>
      <vt:lpstr>v_61_SSO4</vt:lpstr>
      <vt:lpstr>v_61_SU</vt:lpstr>
      <vt:lpstr>v_61_SVFA</vt:lpstr>
      <vt:lpstr>v_61_XACP</vt:lpstr>
      <vt:lpstr>v_61_XAMETO</vt:lpstr>
      <vt:lpstr>v_61_XAMX</vt:lpstr>
      <vt:lpstr>v_61_XAOB</vt:lpstr>
      <vt:lpstr>v_61_XASRO</vt:lpstr>
      <vt:lpstr>v_61_XB</vt:lpstr>
      <vt:lpstr>v_61_XBSH</vt:lpstr>
      <vt:lpstr>v_61_XCaCO3</vt:lpstr>
      <vt:lpstr>v_61_XCASTO</vt:lpstr>
      <vt:lpstr>v_61_XE</vt:lpstr>
      <vt:lpstr>v_61_XE_ana</vt:lpstr>
      <vt:lpstr>v_61_XFeS</vt:lpstr>
      <vt:lpstr>v_61_XGLY</vt:lpstr>
      <vt:lpstr>v_61_XHAO_H</vt:lpstr>
      <vt:lpstr>v_61_XHAO_H_P</vt:lpstr>
      <vt:lpstr>v_61_XHAO_H_P_old</vt:lpstr>
      <vt:lpstr>v_61_XHAO_L</vt:lpstr>
      <vt:lpstr>v_61_XHAO_L_P</vt:lpstr>
      <vt:lpstr>v_61_XHAO_L_P_old</vt:lpstr>
      <vt:lpstr>v_61_XHAO_old</vt:lpstr>
      <vt:lpstr>v_61_XHFO_H</vt:lpstr>
      <vt:lpstr>v_61_XHFO_H_P</vt:lpstr>
      <vt:lpstr>v_61_XHFO_H_P_old</vt:lpstr>
      <vt:lpstr>v_61_XHFO_L</vt:lpstr>
      <vt:lpstr>v_61_XHFO_L_P</vt:lpstr>
      <vt:lpstr>v_61_XHFO_L_P_old</vt:lpstr>
      <vt:lpstr>v_61_XHFO_old</vt:lpstr>
      <vt:lpstr>v_61_XHMETO</vt:lpstr>
      <vt:lpstr>v_61_XHSRO</vt:lpstr>
      <vt:lpstr>v_61_XINORG</vt:lpstr>
      <vt:lpstr>v_61_XMEOLO</vt:lpstr>
      <vt:lpstr>v_61_XMOB</vt:lpstr>
      <vt:lpstr>v_61_XN_B</vt:lpstr>
      <vt:lpstr>v_61_XN_U</vt:lpstr>
      <vt:lpstr>v_61_XNOB</vt:lpstr>
      <vt:lpstr>v_61_XOHO</vt:lpstr>
      <vt:lpstr>v_61_XP_B</vt:lpstr>
      <vt:lpstr>v_61_XP_U</vt:lpstr>
      <vt:lpstr>v_61_XPHA</vt:lpstr>
      <vt:lpstr>v_61_XPP</vt:lpstr>
      <vt:lpstr>v_61_XS</vt:lpstr>
      <vt:lpstr>v_61_XSOO</vt:lpstr>
      <vt:lpstr>v_61_XSTR</vt:lpstr>
      <vt:lpstr>v_61_XU</vt:lpstr>
      <vt:lpstr>v_61_XVivi</vt:lpstr>
      <vt:lpstr>v_62_CB</vt:lpstr>
      <vt:lpstr>v_62_CU</vt:lpstr>
      <vt:lpstr>v_62_GCH4</vt:lpstr>
      <vt:lpstr>v_62_GCH4_atm</vt:lpstr>
      <vt:lpstr>v_62_GCO2</vt:lpstr>
      <vt:lpstr>v_62_GCO2_atm</vt:lpstr>
      <vt:lpstr>v_62_GH2</vt:lpstr>
      <vt:lpstr>v_62_GH2_atm</vt:lpstr>
      <vt:lpstr>v_62_GH2S</vt:lpstr>
      <vt:lpstr>v_62_GH2S_atm</vt:lpstr>
      <vt:lpstr>v_62_GN2</vt:lpstr>
      <vt:lpstr>v_62_GN2_atm</vt:lpstr>
      <vt:lpstr>v_62_GN2O</vt:lpstr>
      <vt:lpstr>v_62_GN2O_atm</vt:lpstr>
      <vt:lpstr>v_62_GNH3</vt:lpstr>
      <vt:lpstr>v_62_GNH3_atm</vt:lpstr>
      <vt:lpstr>v_62_GNO</vt:lpstr>
      <vt:lpstr>v_62_GNO_atm</vt:lpstr>
      <vt:lpstr>v_62_GO2</vt:lpstr>
      <vt:lpstr>v_62_GO2_atm</vt:lpstr>
      <vt:lpstr>v_62_H</vt:lpstr>
      <vt:lpstr>v_62_SALPHA</vt:lpstr>
      <vt:lpstr>v_62_SAN</vt:lpstr>
      <vt:lpstr>v_62_SB</vt:lpstr>
      <vt:lpstr>v_62_SCa</vt:lpstr>
      <vt:lpstr>v_62_SCAT</vt:lpstr>
      <vt:lpstr>v_62_SCH4</vt:lpstr>
      <vt:lpstr>v_62_SCO2</vt:lpstr>
      <vt:lpstr>v_62_SFe2</vt:lpstr>
      <vt:lpstr>v_62_SH2</vt:lpstr>
      <vt:lpstr>v_62_SH2S</vt:lpstr>
      <vt:lpstr>v_62_SK</vt:lpstr>
      <vt:lpstr>v_62_SMEOL</vt:lpstr>
      <vt:lpstr>v_62_SMg</vt:lpstr>
      <vt:lpstr>v_62_SMM_index</vt:lpstr>
      <vt:lpstr>v_62_SN_B</vt:lpstr>
      <vt:lpstr>v_62_SN2</vt:lpstr>
      <vt:lpstr>v_62_SN2O</vt:lpstr>
      <vt:lpstr>v_62_SNH2OH</vt:lpstr>
      <vt:lpstr>v_62_SNHx</vt:lpstr>
      <vt:lpstr>v_62_SNO_AOB</vt:lpstr>
      <vt:lpstr>v_62_SNO_OHO</vt:lpstr>
      <vt:lpstr>v_62_SNO2</vt:lpstr>
      <vt:lpstr>v_62_SNO3</vt:lpstr>
      <vt:lpstr>v_62_SO2</vt:lpstr>
      <vt:lpstr>v_62_SP_B</vt:lpstr>
      <vt:lpstr>v_62_SPO4</vt:lpstr>
      <vt:lpstr>v_62_SSO4</vt:lpstr>
      <vt:lpstr>v_62_SU</vt:lpstr>
      <vt:lpstr>v_62_SVFA</vt:lpstr>
      <vt:lpstr>v_62_XACP</vt:lpstr>
      <vt:lpstr>v_62_XAMETO</vt:lpstr>
      <vt:lpstr>v_62_XAMX</vt:lpstr>
      <vt:lpstr>v_62_XAOB</vt:lpstr>
      <vt:lpstr>v_62_XASRO</vt:lpstr>
      <vt:lpstr>v_62_XB</vt:lpstr>
      <vt:lpstr>v_62_XBSH</vt:lpstr>
      <vt:lpstr>v_62_XCaCO3</vt:lpstr>
      <vt:lpstr>v_62_XCASTO</vt:lpstr>
      <vt:lpstr>v_62_XE</vt:lpstr>
      <vt:lpstr>v_62_XE_ana</vt:lpstr>
      <vt:lpstr>v_62_XFeS</vt:lpstr>
      <vt:lpstr>v_62_XGLY</vt:lpstr>
      <vt:lpstr>v_62_XHAO_H</vt:lpstr>
      <vt:lpstr>v_62_XHAO_H_P</vt:lpstr>
      <vt:lpstr>v_62_XHAO_H_P_old</vt:lpstr>
      <vt:lpstr>v_62_XHAO_L</vt:lpstr>
      <vt:lpstr>v_62_XHAO_L_P</vt:lpstr>
      <vt:lpstr>v_62_XHAO_L_P_old</vt:lpstr>
      <vt:lpstr>v_62_XHAO_old</vt:lpstr>
      <vt:lpstr>v_62_XHFO_H</vt:lpstr>
      <vt:lpstr>v_62_XHFO_H_P</vt:lpstr>
      <vt:lpstr>v_62_XHFO_H_P_old</vt:lpstr>
      <vt:lpstr>v_62_XHFO_L</vt:lpstr>
      <vt:lpstr>v_62_XHFO_L_P</vt:lpstr>
      <vt:lpstr>v_62_XHFO_L_P_old</vt:lpstr>
      <vt:lpstr>v_62_XHFO_old</vt:lpstr>
      <vt:lpstr>v_62_XHMETO</vt:lpstr>
      <vt:lpstr>v_62_XHSRO</vt:lpstr>
      <vt:lpstr>v_62_XINORG</vt:lpstr>
      <vt:lpstr>v_62_XMEOLO</vt:lpstr>
      <vt:lpstr>v_62_XMOB</vt:lpstr>
      <vt:lpstr>v_62_XN_B</vt:lpstr>
      <vt:lpstr>v_62_XN_U</vt:lpstr>
      <vt:lpstr>v_62_XNOB</vt:lpstr>
      <vt:lpstr>v_62_XOHO</vt:lpstr>
      <vt:lpstr>v_62_XP_B</vt:lpstr>
      <vt:lpstr>v_62_XP_U</vt:lpstr>
      <vt:lpstr>v_62_XPHA</vt:lpstr>
      <vt:lpstr>v_62_XPP</vt:lpstr>
      <vt:lpstr>v_62_XS</vt:lpstr>
      <vt:lpstr>v_62_XSOO</vt:lpstr>
      <vt:lpstr>v_62_XSTR</vt:lpstr>
      <vt:lpstr>v_62_XU</vt:lpstr>
      <vt:lpstr>v_62_XVivi</vt:lpstr>
      <vt:lpstr>v_63_CB</vt:lpstr>
      <vt:lpstr>v_63_CU</vt:lpstr>
      <vt:lpstr>v_63_GCH4</vt:lpstr>
      <vt:lpstr>v_63_GCH4_atm</vt:lpstr>
      <vt:lpstr>v_63_GCO2</vt:lpstr>
      <vt:lpstr>v_63_GCO2_atm</vt:lpstr>
      <vt:lpstr>v_63_GH2</vt:lpstr>
      <vt:lpstr>v_63_GH2_atm</vt:lpstr>
      <vt:lpstr>v_63_GH2S</vt:lpstr>
      <vt:lpstr>v_63_GH2S_atm</vt:lpstr>
      <vt:lpstr>v_63_GN2</vt:lpstr>
      <vt:lpstr>v_63_GN2_atm</vt:lpstr>
      <vt:lpstr>v_63_GN2O</vt:lpstr>
      <vt:lpstr>v_63_GN2O_atm</vt:lpstr>
      <vt:lpstr>v_63_GNH3</vt:lpstr>
      <vt:lpstr>v_63_GNH3_atm</vt:lpstr>
      <vt:lpstr>v_63_GNO</vt:lpstr>
      <vt:lpstr>v_63_GNO_atm</vt:lpstr>
      <vt:lpstr>v_63_GO2</vt:lpstr>
      <vt:lpstr>v_63_GO2_atm</vt:lpstr>
      <vt:lpstr>v_63_H</vt:lpstr>
      <vt:lpstr>v_63_SALPHA</vt:lpstr>
      <vt:lpstr>v_63_SAN</vt:lpstr>
      <vt:lpstr>v_63_SB</vt:lpstr>
      <vt:lpstr>v_63_SCa</vt:lpstr>
      <vt:lpstr>v_63_SCAT</vt:lpstr>
      <vt:lpstr>v_63_SCH4</vt:lpstr>
      <vt:lpstr>v_63_SCO2</vt:lpstr>
      <vt:lpstr>v_63_SFe2</vt:lpstr>
      <vt:lpstr>v_63_SH2</vt:lpstr>
      <vt:lpstr>v_63_SH2S</vt:lpstr>
      <vt:lpstr>v_63_SK</vt:lpstr>
      <vt:lpstr>v_63_SMEOL</vt:lpstr>
      <vt:lpstr>v_63_SMg</vt:lpstr>
      <vt:lpstr>v_63_SMM_index</vt:lpstr>
      <vt:lpstr>v_63_SN_B</vt:lpstr>
      <vt:lpstr>v_63_SN2</vt:lpstr>
      <vt:lpstr>v_63_SN2O</vt:lpstr>
      <vt:lpstr>v_63_SNH2OH</vt:lpstr>
      <vt:lpstr>v_63_SNHx</vt:lpstr>
      <vt:lpstr>v_63_SNO_AOB</vt:lpstr>
      <vt:lpstr>v_63_SNO_OHO</vt:lpstr>
      <vt:lpstr>v_63_SNO2</vt:lpstr>
      <vt:lpstr>v_63_SNO3</vt:lpstr>
      <vt:lpstr>v_63_SO2</vt:lpstr>
      <vt:lpstr>v_63_SP_B</vt:lpstr>
      <vt:lpstr>v_63_SPO4</vt:lpstr>
      <vt:lpstr>v_63_SSO4</vt:lpstr>
      <vt:lpstr>v_63_SU</vt:lpstr>
      <vt:lpstr>v_63_SVFA</vt:lpstr>
      <vt:lpstr>v_63_XACP</vt:lpstr>
      <vt:lpstr>v_63_XAMETO</vt:lpstr>
      <vt:lpstr>v_63_XAMX</vt:lpstr>
      <vt:lpstr>v_63_XAOB</vt:lpstr>
      <vt:lpstr>v_63_XASRO</vt:lpstr>
      <vt:lpstr>v_63_XB</vt:lpstr>
      <vt:lpstr>v_63_XBSH</vt:lpstr>
      <vt:lpstr>v_63_XCaCO3</vt:lpstr>
      <vt:lpstr>v_63_XCASTO</vt:lpstr>
      <vt:lpstr>v_63_XE</vt:lpstr>
      <vt:lpstr>v_63_XE_ana</vt:lpstr>
      <vt:lpstr>v_63_XFeS</vt:lpstr>
      <vt:lpstr>v_63_XGLY</vt:lpstr>
      <vt:lpstr>v_63_XHAO_H</vt:lpstr>
      <vt:lpstr>v_63_XHAO_H_P</vt:lpstr>
      <vt:lpstr>v_63_XHAO_H_P_old</vt:lpstr>
      <vt:lpstr>v_63_XHAO_L</vt:lpstr>
      <vt:lpstr>v_63_XHAO_L_P</vt:lpstr>
      <vt:lpstr>v_63_XHAO_L_P_old</vt:lpstr>
      <vt:lpstr>v_63_XHAO_old</vt:lpstr>
      <vt:lpstr>v_63_XHFO_H</vt:lpstr>
      <vt:lpstr>v_63_XHFO_H_P</vt:lpstr>
      <vt:lpstr>v_63_XHFO_H_P_old</vt:lpstr>
      <vt:lpstr>v_63_XHFO_L</vt:lpstr>
      <vt:lpstr>v_63_XHFO_L_P</vt:lpstr>
      <vt:lpstr>v_63_XHFO_L_P_old</vt:lpstr>
      <vt:lpstr>v_63_XHFO_old</vt:lpstr>
      <vt:lpstr>v_63_XHMETO</vt:lpstr>
      <vt:lpstr>v_63_XHSRO</vt:lpstr>
      <vt:lpstr>v_63_XINORG</vt:lpstr>
      <vt:lpstr>v_63_XMEOLO</vt:lpstr>
      <vt:lpstr>v_63_XMOB</vt:lpstr>
      <vt:lpstr>v_63_XN_B</vt:lpstr>
      <vt:lpstr>v_63_XN_U</vt:lpstr>
      <vt:lpstr>v_63_XNOB</vt:lpstr>
      <vt:lpstr>v_63_XOHO</vt:lpstr>
      <vt:lpstr>v_63_XP_B</vt:lpstr>
      <vt:lpstr>v_63_XP_U</vt:lpstr>
      <vt:lpstr>v_63_XPHA</vt:lpstr>
      <vt:lpstr>v_63_XPP</vt:lpstr>
      <vt:lpstr>v_63_XS</vt:lpstr>
      <vt:lpstr>v_63_XSOO</vt:lpstr>
      <vt:lpstr>v_63_XSTR</vt:lpstr>
      <vt:lpstr>v_63_XU</vt:lpstr>
      <vt:lpstr>v_63_XVivi</vt:lpstr>
      <vt:lpstr>v_64_CB</vt:lpstr>
      <vt:lpstr>v_64_CU</vt:lpstr>
      <vt:lpstr>v_64_GCH4</vt:lpstr>
      <vt:lpstr>v_64_GCH4_atm</vt:lpstr>
      <vt:lpstr>v_64_GCO2</vt:lpstr>
      <vt:lpstr>v_64_GCO2_atm</vt:lpstr>
      <vt:lpstr>v_64_GH2</vt:lpstr>
      <vt:lpstr>v_64_GH2_atm</vt:lpstr>
      <vt:lpstr>v_64_GH2S</vt:lpstr>
      <vt:lpstr>v_64_GH2S_atm</vt:lpstr>
      <vt:lpstr>v_64_GN2</vt:lpstr>
      <vt:lpstr>v_64_GN2_atm</vt:lpstr>
      <vt:lpstr>v_64_GN2O</vt:lpstr>
      <vt:lpstr>v_64_GN2O_atm</vt:lpstr>
      <vt:lpstr>v_64_GNH3</vt:lpstr>
      <vt:lpstr>v_64_GNH3_atm</vt:lpstr>
      <vt:lpstr>v_64_GNO</vt:lpstr>
      <vt:lpstr>v_64_GNO_atm</vt:lpstr>
      <vt:lpstr>v_64_GO2</vt:lpstr>
      <vt:lpstr>v_64_GO2_atm</vt:lpstr>
      <vt:lpstr>v_64_H</vt:lpstr>
      <vt:lpstr>v_64_SALPHA</vt:lpstr>
      <vt:lpstr>v_64_SAN</vt:lpstr>
      <vt:lpstr>v_64_SB</vt:lpstr>
      <vt:lpstr>v_64_SCa</vt:lpstr>
      <vt:lpstr>v_64_SCAT</vt:lpstr>
      <vt:lpstr>v_64_SCH4</vt:lpstr>
      <vt:lpstr>v_64_SCO2</vt:lpstr>
      <vt:lpstr>v_64_SFe2</vt:lpstr>
      <vt:lpstr>v_64_SH2</vt:lpstr>
      <vt:lpstr>v_64_SH2S</vt:lpstr>
      <vt:lpstr>v_64_SK</vt:lpstr>
      <vt:lpstr>v_64_SMEOL</vt:lpstr>
      <vt:lpstr>v_64_SMg</vt:lpstr>
      <vt:lpstr>v_64_SMM_index</vt:lpstr>
      <vt:lpstr>v_64_SN_B</vt:lpstr>
      <vt:lpstr>v_64_SN2</vt:lpstr>
      <vt:lpstr>v_64_SN2O</vt:lpstr>
      <vt:lpstr>v_64_SNH2OH</vt:lpstr>
      <vt:lpstr>v_64_SNHx</vt:lpstr>
      <vt:lpstr>v_64_SNO_AOB</vt:lpstr>
      <vt:lpstr>v_64_SNO_OHO</vt:lpstr>
      <vt:lpstr>v_64_SNO2</vt:lpstr>
      <vt:lpstr>v_64_SNO3</vt:lpstr>
      <vt:lpstr>v_64_SO2</vt:lpstr>
      <vt:lpstr>v_64_SP_B</vt:lpstr>
      <vt:lpstr>v_64_SPO4</vt:lpstr>
      <vt:lpstr>v_64_SSO4</vt:lpstr>
      <vt:lpstr>v_64_SU</vt:lpstr>
      <vt:lpstr>v_64_SVFA</vt:lpstr>
      <vt:lpstr>v_64_XACP</vt:lpstr>
      <vt:lpstr>v_64_XAMETO</vt:lpstr>
      <vt:lpstr>v_64_XAMX</vt:lpstr>
      <vt:lpstr>v_64_XAOB</vt:lpstr>
      <vt:lpstr>v_64_XASRO</vt:lpstr>
      <vt:lpstr>v_64_XB</vt:lpstr>
      <vt:lpstr>v_64_XBSH</vt:lpstr>
      <vt:lpstr>v_64_XCaCO3</vt:lpstr>
      <vt:lpstr>v_64_XCASTO</vt:lpstr>
      <vt:lpstr>v_64_XE</vt:lpstr>
      <vt:lpstr>v_64_XE_ana</vt:lpstr>
      <vt:lpstr>v_64_XFeS</vt:lpstr>
      <vt:lpstr>v_64_XGLY</vt:lpstr>
      <vt:lpstr>v_64_XHAO_H</vt:lpstr>
      <vt:lpstr>v_64_XHAO_H_P</vt:lpstr>
      <vt:lpstr>v_64_XHAO_H_P_old</vt:lpstr>
      <vt:lpstr>v_64_XHAO_L</vt:lpstr>
      <vt:lpstr>v_64_XHAO_L_P</vt:lpstr>
      <vt:lpstr>v_64_XHAO_L_P_old</vt:lpstr>
      <vt:lpstr>v_64_XHAO_old</vt:lpstr>
      <vt:lpstr>v_64_XHFO_H</vt:lpstr>
      <vt:lpstr>v_64_XHFO_H_P</vt:lpstr>
      <vt:lpstr>v_64_XHFO_H_P_old</vt:lpstr>
      <vt:lpstr>v_64_XHFO_L</vt:lpstr>
      <vt:lpstr>v_64_XHFO_L_P</vt:lpstr>
      <vt:lpstr>v_64_XHFO_L_P_old</vt:lpstr>
      <vt:lpstr>v_64_XHFO_old</vt:lpstr>
      <vt:lpstr>v_64_XHMETO</vt:lpstr>
      <vt:lpstr>v_64_XHSRO</vt:lpstr>
      <vt:lpstr>v_64_XINORG</vt:lpstr>
      <vt:lpstr>v_64_XMEOLO</vt:lpstr>
      <vt:lpstr>v_64_XMOB</vt:lpstr>
      <vt:lpstr>v_64_XN_B</vt:lpstr>
      <vt:lpstr>v_64_XN_U</vt:lpstr>
      <vt:lpstr>v_64_XNOB</vt:lpstr>
      <vt:lpstr>v_64_XOHO</vt:lpstr>
      <vt:lpstr>v_64_XP_B</vt:lpstr>
      <vt:lpstr>v_64_XP_U</vt:lpstr>
      <vt:lpstr>v_64_XPHA</vt:lpstr>
      <vt:lpstr>v_64_XPP</vt:lpstr>
      <vt:lpstr>v_64_XS</vt:lpstr>
      <vt:lpstr>v_64_XSOO</vt:lpstr>
      <vt:lpstr>v_64_XSTR</vt:lpstr>
      <vt:lpstr>v_64_XU</vt:lpstr>
      <vt:lpstr>v_64_XVivi</vt:lpstr>
      <vt:lpstr>v_65_CB</vt:lpstr>
      <vt:lpstr>v_65_CU</vt:lpstr>
      <vt:lpstr>v_65_GCH4</vt:lpstr>
      <vt:lpstr>v_65_GCH4_atm</vt:lpstr>
      <vt:lpstr>v_65_GCO2</vt:lpstr>
      <vt:lpstr>v_65_GCO2_atm</vt:lpstr>
      <vt:lpstr>v_65_GH2</vt:lpstr>
      <vt:lpstr>v_65_GH2_atm</vt:lpstr>
      <vt:lpstr>v_65_GH2S</vt:lpstr>
      <vt:lpstr>v_65_GH2S_atm</vt:lpstr>
      <vt:lpstr>v_65_GN2</vt:lpstr>
      <vt:lpstr>v_65_GN2_atm</vt:lpstr>
      <vt:lpstr>v_65_GN2O</vt:lpstr>
      <vt:lpstr>v_65_GN2O_atm</vt:lpstr>
      <vt:lpstr>v_65_GNH3</vt:lpstr>
      <vt:lpstr>v_65_GNH3_atm</vt:lpstr>
      <vt:lpstr>v_65_GNO</vt:lpstr>
      <vt:lpstr>v_65_GNO_atm</vt:lpstr>
      <vt:lpstr>v_65_GO2</vt:lpstr>
      <vt:lpstr>v_65_GO2_atm</vt:lpstr>
      <vt:lpstr>v_65_H</vt:lpstr>
      <vt:lpstr>v_65_SALPHA</vt:lpstr>
      <vt:lpstr>v_65_SAN</vt:lpstr>
      <vt:lpstr>v_65_SB</vt:lpstr>
      <vt:lpstr>v_65_SCa</vt:lpstr>
      <vt:lpstr>v_65_SCAT</vt:lpstr>
      <vt:lpstr>v_65_SCH4</vt:lpstr>
      <vt:lpstr>v_65_SCO2</vt:lpstr>
      <vt:lpstr>v_65_SFe2</vt:lpstr>
      <vt:lpstr>v_65_SH2</vt:lpstr>
      <vt:lpstr>v_65_SH2S</vt:lpstr>
      <vt:lpstr>v_65_SK</vt:lpstr>
      <vt:lpstr>v_65_SMEOL</vt:lpstr>
      <vt:lpstr>v_65_SMg</vt:lpstr>
      <vt:lpstr>v_65_SMM_index</vt:lpstr>
      <vt:lpstr>v_65_SN_B</vt:lpstr>
      <vt:lpstr>v_65_SN2</vt:lpstr>
      <vt:lpstr>v_65_SN2O</vt:lpstr>
      <vt:lpstr>v_65_SNH2OH</vt:lpstr>
      <vt:lpstr>v_65_SNHx</vt:lpstr>
      <vt:lpstr>v_65_SNO_AOB</vt:lpstr>
      <vt:lpstr>v_65_SNO_OHO</vt:lpstr>
      <vt:lpstr>v_65_SNO2</vt:lpstr>
      <vt:lpstr>v_65_SNO3</vt:lpstr>
      <vt:lpstr>v_65_SO2</vt:lpstr>
      <vt:lpstr>v_65_SP_B</vt:lpstr>
      <vt:lpstr>v_65_SPO4</vt:lpstr>
      <vt:lpstr>v_65_SSO4</vt:lpstr>
      <vt:lpstr>v_65_SU</vt:lpstr>
      <vt:lpstr>v_65_SVFA</vt:lpstr>
      <vt:lpstr>v_65_XACP</vt:lpstr>
      <vt:lpstr>v_65_XAMETO</vt:lpstr>
      <vt:lpstr>v_65_XAMX</vt:lpstr>
      <vt:lpstr>v_65_XAOB</vt:lpstr>
      <vt:lpstr>v_65_XASRO</vt:lpstr>
      <vt:lpstr>v_65_XB</vt:lpstr>
      <vt:lpstr>v_65_XBSH</vt:lpstr>
      <vt:lpstr>v_65_XCaCO3</vt:lpstr>
      <vt:lpstr>v_65_XCASTO</vt:lpstr>
      <vt:lpstr>v_65_XE</vt:lpstr>
      <vt:lpstr>v_65_XE_ana</vt:lpstr>
      <vt:lpstr>v_65_XFeS</vt:lpstr>
      <vt:lpstr>v_65_XGLY</vt:lpstr>
      <vt:lpstr>v_65_XHAO_H</vt:lpstr>
      <vt:lpstr>v_65_XHAO_H_P</vt:lpstr>
      <vt:lpstr>v_65_XHAO_H_P_old</vt:lpstr>
      <vt:lpstr>v_65_XHAO_L</vt:lpstr>
      <vt:lpstr>v_65_XHAO_L_P</vt:lpstr>
      <vt:lpstr>v_65_XHAO_L_P_old</vt:lpstr>
      <vt:lpstr>v_65_XHAO_old</vt:lpstr>
      <vt:lpstr>v_65_XHFO_H</vt:lpstr>
      <vt:lpstr>v_65_XHFO_H_P</vt:lpstr>
      <vt:lpstr>v_65_XHFO_H_P_old</vt:lpstr>
      <vt:lpstr>v_65_XHFO_L</vt:lpstr>
      <vt:lpstr>v_65_XHFO_L_P</vt:lpstr>
      <vt:lpstr>v_65_XHFO_L_P_old</vt:lpstr>
      <vt:lpstr>v_65_XHFO_old</vt:lpstr>
      <vt:lpstr>v_65_XHMETO</vt:lpstr>
      <vt:lpstr>v_65_XHSRO</vt:lpstr>
      <vt:lpstr>v_65_XINORG</vt:lpstr>
      <vt:lpstr>v_65_XMEOLO</vt:lpstr>
      <vt:lpstr>v_65_XMOB</vt:lpstr>
      <vt:lpstr>v_65_XN_B</vt:lpstr>
      <vt:lpstr>v_65_XN_U</vt:lpstr>
      <vt:lpstr>v_65_XNOB</vt:lpstr>
      <vt:lpstr>v_65_XOHO</vt:lpstr>
      <vt:lpstr>v_65_XP_B</vt:lpstr>
      <vt:lpstr>v_65_XP_U</vt:lpstr>
      <vt:lpstr>v_65_XPHA</vt:lpstr>
      <vt:lpstr>v_65_XPP</vt:lpstr>
      <vt:lpstr>v_65_XS</vt:lpstr>
      <vt:lpstr>v_65_XSOO</vt:lpstr>
      <vt:lpstr>v_65_XSTR</vt:lpstr>
      <vt:lpstr>v_65_XU</vt:lpstr>
      <vt:lpstr>v_65_XVivi</vt:lpstr>
      <vt:lpstr>v_66_CB</vt:lpstr>
      <vt:lpstr>v_66_CU</vt:lpstr>
      <vt:lpstr>v_66_GCH4</vt:lpstr>
      <vt:lpstr>v_66_GCH4_atm</vt:lpstr>
      <vt:lpstr>v_66_GCO2</vt:lpstr>
      <vt:lpstr>v_66_GCO2_atm</vt:lpstr>
      <vt:lpstr>v_66_GH2</vt:lpstr>
      <vt:lpstr>v_66_GH2_atm</vt:lpstr>
      <vt:lpstr>v_66_GH2S</vt:lpstr>
      <vt:lpstr>v_66_GH2S_atm</vt:lpstr>
      <vt:lpstr>v_66_GN2</vt:lpstr>
      <vt:lpstr>v_66_GN2_atm</vt:lpstr>
      <vt:lpstr>v_66_GN2O</vt:lpstr>
      <vt:lpstr>v_66_GN2O_atm</vt:lpstr>
      <vt:lpstr>v_66_GNH3</vt:lpstr>
      <vt:lpstr>v_66_GNH3_atm</vt:lpstr>
      <vt:lpstr>v_66_GNO</vt:lpstr>
      <vt:lpstr>v_66_GNO_atm</vt:lpstr>
      <vt:lpstr>v_66_GO2</vt:lpstr>
      <vt:lpstr>v_66_GO2_atm</vt:lpstr>
      <vt:lpstr>v_66_H</vt:lpstr>
      <vt:lpstr>v_66_SALPHA</vt:lpstr>
      <vt:lpstr>v_66_SAN</vt:lpstr>
      <vt:lpstr>v_66_SB</vt:lpstr>
      <vt:lpstr>v_66_SCa</vt:lpstr>
      <vt:lpstr>v_66_SCAT</vt:lpstr>
      <vt:lpstr>v_66_SCH4</vt:lpstr>
      <vt:lpstr>v_66_SCO2</vt:lpstr>
      <vt:lpstr>v_66_SFe2</vt:lpstr>
      <vt:lpstr>v_66_SH2</vt:lpstr>
      <vt:lpstr>v_66_SH2S</vt:lpstr>
      <vt:lpstr>v_66_SK</vt:lpstr>
      <vt:lpstr>v_66_SMEOL</vt:lpstr>
      <vt:lpstr>v_66_SMg</vt:lpstr>
      <vt:lpstr>v_66_SMM_index</vt:lpstr>
      <vt:lpstr>v_66_SN_B</vt:lpstr>
      <vt:lpstr>v_66_SN2</vt:lpstr>
      <vt:lpstr>v_66_SN2O</vt:lpstr>
      <vt:lpstr>v_66_SNH2OH</vt:lpstr>
      <vt:lpstr>v_66_SNHx</vt:lpstr>
      <vt:lpstr>v_66_SNO_AOB</vt:lpstr>
      <vt:lpstr>v_66_SNO_OHO</vt:lpstr>
      <vt:lpstr>v_66_SNO2</vt:lpstr>
      <vt:lpstr>v_66_SNO3</vt:lpstr>
      <vt:lpstr>v_66_SO2</vt:lpstr>
      <vt:lpstr>v_66_SP_B</vt:lpstr>
      <vt:lpstr>v_66_SPO4</vt:lpstr>
      <vt:lpstr>v_66_SSO4</vt:lpstr>
      <vt:lpstr>v_66_SU</vt:lpstr>
      <vt:lpstr>v_66_SVFA</vt:lpstr>
      <vt:lpstr>v_66_XACP</vt:lpstr>
      <vt:lpstr>v_66_XAMETO</vt:lpstr>
      <vt:lpstr>v_66_XAMX</vt:lpstr>
      <vt:lpstr>v_66_XAOB</vt:lpstr>
      <vt:lpstr>v_66_XASRO</vt:lpstr>
      <vt:lpstr>v_66_XB</vt:lpstr>
      <vt:lpstr>v_66_XBSH</vt:lpstr>
      <vt:lpstr>v_66_XCaCO3</vt:lpstr>
      <vt:lpstr>v_66_XCASTO</vt:lpstr>
      <vt:lpstr>v_66_XE</vt:lpstr>
      <vt:lpstr>v_66_XE_ana</vt:lpstr>
      <vt:lpstr>v_66_XFeS</vt:lpstr>
      <vt:lpstr>v_66_XGLY</vt:lpstr>
      <vt:lpstr>v_66_XHAO_H</vt:lpstr>
      <vt:lpstr>v_66_XHAO_H_P</vt:lpstr>
      <vt:lpstr>v_66_XHAO_H_P_old</vt:lpstr>
      <vt:lpstr>v_66_XHAO_L</vt:lpstr>
      <vt:lpstr>v_66_XHAO_L_P</vt:lpstr>
      <vt:lpstr>v_66_XHAO_L_P_old</vt:lpstr>
      <vt:lpstr>v_66_XHAO_old</vt:lpstr>
      <vt:lpstr>v_66_XHFO_H</vt:lpstr>
      <vt:lpstr>v_66_XHFO_H_P</vt:lpstr>
      <vt:lpstr>v_66_XHFO_H_P_old</vt:lpstr>
      <vt:lpstr>v_66_XHFO_L</vt:lpstr>
      <vt:lpstr>v_66_XHFO_L_P</vt:lpstr>
      <vt:lpstr>v_66_XHFO_L_P_old</vt:lpstr>
      <vt:lpstr>v_66_XHFO_old</vt:lpstr>
      <vt:lpstr>v_66_XHMETO</vt:lpstr>
      <vt:lpstr>v_66_XHSRO</vt:lpstr>
      <vt:lpstr>v_66_XINORG</vt:lpstr>
      <vt:lpstr>v_66_XMEOLO</vt:lpstr>
      <vt:lpstr>v_66_XMOB</vt:lpstr>
      <vt:lpstr>v_66_XN_B</vt:lpstr>
      <vt:lpstr>v_66_XN_U</vt:lpstr>
      <vt:lpstr>v_66_XNOB</vt:lpstr>
      <vt:lpstr>v_66_XOHO</vt:lpstr>
      <vt:lpstr>v_66_XP_B</vt:lpstr>
      <vt:lpstr>v_66_XP_U</vt:lpstr>
      <vt:lpstr>v_66_XPHA</vt:lpstr>
      <vt:lpstr>v_66_XPP</vt:lpstr>
      <vt:lpstr>v_66_XS</vt:lpstr>
      <vt:lpstr>v_66_XSOO</vt:lpstr>
      <vt:lpstr>v_66_XSTR</vt:lpstr>
      <vt:lpstr>v_66_XU</vt:lpstr>
      <vt:lpstr>v_66_XVivi</vt:lpstr>
      <vt:lpstr>v_67_CB</vt:lpstr>
      <vt:lpstr>v_67_CU</vt:lpstr>
      <vt:lpstr>v_67_GCH4</vt:lpstr>
      <vt:lpstr>v_67_GCH4_atm</vt:lpstr>
      <vt:lpstr>v_67_GCO2</vt:lpstr>
      <vt:lpstr>v_67_GCO2_atm</vt:lpstr>
      <vt:lpstr>v_67_GH2</vt:lpstr>
      <vt:lpstr>v_67_GH2_atm</vt:lpstr>
      <vt:lpstr>v_67_GH2S</vt:lpstr>
      <vt:lpstr>v_67_GH2S_atm</vt:lpstr>
      <vt:lpstr>v_67_GN2</vt:lpstr>
      <vt:lpstr>v_67_GN2_atm</vt:lpstr>
      <vt:lpstr>v_67_GN2O</vt:lpstr>
      <vt:lpstr>v_67_GN2O_atm</vt:lpstr>
      <vt:lpstr>v_67_GNH3</vt:lpstr>
      <vt:lpstr>v_67_GNH3_atm</vt:lpstr>
      <vt:lpstr>v_67_GNO</vt:lpstr>
      <vt:lpstr>v_67_GNO_atm</vt:lpstr>
      <vt:lpstr>v_67_GO2</vt:lpstr>
      <vt:lpstr>v_67_GO2_atm</vt:lpstr>
      <vt:lpstr>v_67_H</vt:lpstr>
      <vt:lpstr>v_67_SALPHA</vt:lpstr>
      <vt:lpstr>v_67_SAN</vt:lpstr>
      <vt:lpstr>v_67_SB</vt:lpstr>
      <vt:lpstr>v_67_SCa</vt:lpstr>
      <vt:lpstr>v_67_SCAT</vt:lpstr>
      <vt:lpstr>v_67_SCH4</vt:lpstr>
      <vt:lpstr>v_67_SCO2</vt:lpstr>
      <vt:lpstr>v_67_SFe2</vt:lpstr>
      <vt:lpstr>v_67_SH2</vt:lpstr>
      <vt:lpstr>v_67_SH2S</vt:lpstr>
      <vt:lpstr>v_67_SK</vt:lpstr>
      <vt:lpstr>v_67_SMEOL</vt:lpstr>
      <vt:lpstr>v_67_SMg</vt:lpstr>
      <vt:lpstr>v_67_SMM_index</vt:lpstr>
      <vt:lpstr>v_67_SN_B</vt:lpstr>
      <vt:lpstr>v_67_SN2</vt:lpstr>
      <vt:lpstr>v_67_SN2O</vt:lpstr>
      <vt:lpstr>v_67_SNH2OH</vt:lpstr>
      <vt:lpstr>v_67_SNHx</vt:lpstr>
      <vt:lpstr>v_67_SNO_AOB</vt:lpstr>
      <vt:lpstr>v_67_SNO_OHO</vt:lpstr>
      <vt:lpstr>v_67_SNO2</vt:lpstr>
      <vt:lpstr>v_67_SNO3</vt:lpstr>
      <vt:lpstr>v_67_SO2</vt:lpstr>
      <vt:lpstr>v_67_SP_B</vt:lpstr>
      <vt:lpstr>v_67_SPO4</vt:lpstr>
      <vt:lpstr>v_67_SSO4</vt:lpstr>
      <vt:lpstr>v_67_SU</vt:lpstr>
      <vt:lpstr>v_67_SVFA</vt:lpstr>
      <vt:lpstr>v_67_XACP</vt:lpstr>
      <vt:lpstr>v_67_XAMETO</vt:lpstr>
      <vt:lpstr>v_67_XAMX</vt:lpstr>
      <vt:lpstr>v_67_XAOB</vt:lpstr>
      <vt:lpstr>v_67_XASRO</vt:lpstr>
      <vt:lpstr>v_67_XB</vt:lpstr>
      <vt:lpstr>v_67_XBSH</vt:lpstr>
      <vt:lpstr>v_67_XCaCO3</vt:lpstr>
      <vt:lpstr>v_67_XCASTO</vt:lpstr>
      <vt:lpstr>v_67_XE</vt:lpstr>
      <vt:lpstr>v_67_XE_ana</vt:lpstr>
      <vt:lpstr>v_67_XFeS</vt:lpstr>
      <vt:lpstr>v_67_XGLY</vt:lpstr>
      <vt:lpstr>v_67_XHAO_H</vt:lpstr>
      <vt:lpstr>v_67_XHAO_H_P</vt:lpstr>
      <vt:lpstr>v_67_XHAO_H_P_old</vt:lpstr>
      <vt:lpstr>v_67_XHAO_L</vt:lpstr>
      <vt:lpstr>v_67_XHAO_L_P</vt:lpstr>
      <vt:lpstr>v_67_XHAO_L_P_old</vt:lpstr>
      <vt:lpstr>v_67_XHAO_old</vt:lpstr>
      <vt:lpstr>v_67_XHFO_H</vt:lpstr>
      <vt:lpstr>v_67_XHFO_H_P</vt:lpstr>
      <vt:lpstr>v_67_XHFO_H_P_old</vt:lpstr>
      <vt:lpstr>v_67_XHFO_L</vt:lpstr>
      <vt:lpstr>v_67_XHFO_L_P</vt:lpstr>
      <vt:lpstr>v_67_XHFO_L_P_old</vt:lpstr>
      <vt:lpstr>v_67_XHFO_old</vt:lpstr>
      <vt:lpstr>v_67_XHMETO</vt:lpstr>
      <vt:lpstr>v_67_XHSRO</vt:lpstr>
      <vt:lpstr>v_67_XINORG</vt:lpstr>
      <vt:lpstr>v_67_XMEOLO</vt:lpstr>
      <vt:lpstr>v_67_XMOB</vt:lpstr>
      <vt:lpstr>v_67_XN_B</vt:lpstr>
      <vt:lpstr>v_67_XN_U</vt:lpstr>
      <vt:lpstr>v_67_XNOB</vt:lpstr>
      <vt:lpstr>v_67_XOHO</vt:lpstr>
      <vt:lpstr>v_67_XP_B</vt:lpstr>
      <vt:lpstr>v_67_XP_U</vt:lpstr>
      <vt:lpstr>v_67_XPHA</vt:lpstr>
      <vt:lpstr>v_67_XPP</vt:lpstr>
      <vt:lpstr>v_67_XS</vt:lpstr>
      <vt:lpstr>v_67_XSOO</vt:lpstr>
      <vt:lpstr>v_67_XSTR</vt:lpstr>
      <vt:lpstr>v_67_XU</vt:lpstr>
      <vt:lpstr>v_67_XVivi</vt:lpstr>
      <vt:lpstr>v_68_CB</vt:lpstr>
      <vt:lpstr>v_68_CU</vt:lpstr>
      <vt:lpstr>v_68_GCH4</vt:lpstr>
      <vt:lpstr>v_68_GCH4_atm</vt:lpstr>
      <vt:lpstr>v_68_GCO2</vt:lpstr>
      <vt:lpstr>v_68_GCO2_atm</vt:lpstr>
      <vt:lpstr>v_68_GH2</vt:lpstr>
      <vt:lpstr>v_68_GH2_atm</vt:lpstr>
      <vt:lpstr>v_68_GH2S</vt:lpstr>
      <vt:lpstr>v_68_GH2S_atm</vt:lpstr>
      <vt:lpstr>v_68_GN2</vt:lpstr>
      <vt:lpstr>v_68_GN2_atm</vt:lpstr>
      <vt:lpstr>v_68_GN2O</vt:lpstr>
      <vt:lpstr>v_68_GN2O_atm</vt:lpstr>
      <vt:lpstr>v_68_GNH3</vt:lpstr>
      <vt:lpstr>v_68_GNH3_atm</vt:lpstr>
      <vt:lpstr>v_68_GNO</vt:lpstr>
      <vt:lpstr>v_68_GNO_atm</vt:lpstr>
      <vt:lpstr>v_68_GO2</vt:lpstr>
      <vt:lpstr>v_68_GO2_atm</vt:lpstr>
      <vt:lpstr>v_68_H</vt:lpstr>
      <vt:lpstr>v_68_SALPHA</vt:lpstr>
      <vt:lpstr>v_68_SAN</vt:lpstr>
      <vt:lpstr>v_68_SB</vt:lpstr>
      <vt:lpstr>v_68_SCa</vt:lpstr>
      <vt:lpstr>v_68_SCAT</vt:lpstr>
      <vt:lpstr>v_68_SCH4</vt:lpstr>
      <vt:lpstr>v_68_SCO2</vt:lpstr>
      <vt:lpstr>v_68_SFe2</vt:lpstr>
      <vt:lpstr>v_68_SH2</vt:lpstr>
      <vt:lpstr>v_68_SH2S</vt:lpstr>
      <vt:lpstr>v_68_SK</vt:lpstr>
      <vt:lpstr>v_68_SMEOL</vt:lpstr>
      <vt:lpstr>v_68_SMg</vt:lpstr>
      <vt:lpstr>v_68_SMM_index</vt:lpstr>
      <vt:lpstr>v_68_SN_B</vt:lpstr>
      <vt:lpstr>v_68_SN2</vt:lpstr>
      <vt:lpstr>v_68_SN2O</vt:lpstr>
      <vt:lpstr>v_68_SNH2OH</vt:lpstr>
      <vt:lpstr>v_68_SNHx</vt:lpstr>
      <vt:lpstr>v_68_SNO_AOB</vt:lpstr>
      <vt:lpstr>v_68_SNO_OHO</vt:lpstr>
      <vt:lpstr>v_68_SNO2</vt:lpstr>
      <vt:lpstr>v_68_SNO3</vt:lpstr>
      <vt:lpstr>v_68_SO2</vt:lpstr>
      <vt:lpstr>v_68_SP_B</vt:lpstr>
      <vt:lpstr>v_68_SPO4</vt:lpstr>
      <vt:lpstr>v_68_SSO4</vt:lpstr>
      <vt:lpstr>v_68_SU</vt:lpstr>
      <vt:lpstr>v_68_SVFA</vt:lpstr>
      <vt:lpstr>v_68_XACP</vt:lpstr>
      <vt:lpstr>v_68_XAMETO</vt:lpstr>
      <vt:lpstr>v_68_XAMX</vt:lpstr>
      <vt:lpstr>v_68_XAOB</vt:lpstr>
      <vt:lpstr>v_68_XASRO</vt:lpstr>
      <vt:lpstr>v_68_XB</vt:lpstr>
      <vt:lpstr>v_68_XBSH</vt:lpstr>
      <vt:lpstr>v_68_XCaCO3</vt:lpstr>
      <vt:lpstr>v_68_XCASTO</vt:lpstr>
      <vt:lpstr>v_68_XE</vt:lpstr>
      <vt:lpstr>v_68_XE_ana</vt:lpstr>
      <vt:lpstr>v_68_XFeS</vt:lpstr>
      <vt:lpstr>v_68_XGLY</vt:lpstr>
      <vt:lpstr>v_68_XHAO_H</vt:lpstr>
      <vt:lpstr>v_68_XHAO_H_P</vt:lpstr>
      <vt:lpstr>v_68_XHAO_H_P_old</vt:lpstr>
      <vt:lpstr>v_68_XHAO_L</vt:lpstr>
      <vt:lpstr>v_68_XHAO_L_P</vt:lpstr>
      <vt:lpstr>v_68_XHAO_L_P_old</vt:lpstr>
      <vt:lpstr>v_68_XHAO_old</vt:lpstr>
      <vt:lpstr>v_68_XHFO_H</vt:lpstr>
      <vt:lpstr>v_68_XHFO_H_P</vt:lpstr>
      <vt:lpstr>v_68_XHFO_H_P_old</vt:lpstr>
      <vt:lpstr>v_68_XHFO_L</vt:lpstr>
      <vt:lpstr>v_68_XHFO_L_P</vt:lpstr>
      <vt:lpstr>v_68_XHFO_L_P_old</vt:lpstr>
      <vt:lpstr>v_68_XHFO_old</vt:lpstr>
      <vt:lpstr>v_68_XHMETO</vt:lpstr>
      <vt:lpstr>v_68_XHSRO</vt:lpstr>
      <vt:lpstr>v_68_XINORG</vt:lpstr>
      <vt:lpstr>v_68_XMEOLO</vt:lpstr>
      <vt:lpstr>v_68_XMOB</vt:lpstr>
      <vt:lpstr>v_68_XN_B</vt:lpstr>
      <vt:lpstr>v_68_XN_U</vt:lpstr>
      <vt:lpstr>v_68_XNOB</vt:lpstr>
      <vt:lpstr>v_68_XOHO</vt:lpstr>
      <vt:lpstr>v_68_XP_B</vt:lpstr>
      <vt:lpstr>v_68_XP_U</vt:lpstr>
      <vt:lpstr>v_68_XPHA</vt:lpstr>
      <vt:lpstr>v_68_XPP</vt:lpstr>
      <vt:lpstr>v_68_XS</vt:lpstr>
      <vt:lpstr>v_68_XSOO</vt:lpstr>
      <vt:lpstr>v_68_XSTR</vt:lpstr>
      <vt:lpstr>v_68_XU</vt:lpstr>
      <vt:lpstr>v_68_XVivi</vt:lpstr>
      <vt:lpstr>v_69_CB</vt:lpstr>
      <vt:lpstr>v_69_CU</vt:lpstr>
      <vt:lpstr>v_69_GCH4</vt:lpstr>
      <vt:lpstr>v_69_GCH4_atm</vt:lpstr>
      <vt:lpstr>v_69_GCO2</vt:lpstr>
      <vt:lpstr>v_69_GCO2_atm</vt:lpstr>
      <vt:lpstr>v_69_GH2</vt:lpstr>
      <vt:lpstr>v_69_GH2_atm</vt:lpstr>
      <vt:lpstr>v_69_GH2S</vt:lpstr>
      <vt:lpstr>v_69_GH2S_atm</vt:lpstr>
      <vt:lpstr>v_69_GN2</vt:lpstr>
      <vt:lpstr>v_69_GN2_atm</vt:lpstr>
      <vt:lpstr>v_69_GN2O</vt:lpstr>
      <vt:lpstr>v_69_GN2O_atm</vt:lpstr>
      <vt:lpstr>v_69_GNH3</vt:lpstr>
      <vt:lpstr>v_69_GNH3_atm</vt:lpstr>
      <vt:lpstr>v_69_GNO</vt:lpstr>
      <vt:lpstr>v_69_GNO_atm</vt:lpstr>
      <vt:lpstr>v_69_GO2</vt:lpstr>
      <vt:lpstr>v_69_GO2_atm</vt:lpstr>
      <vt:lpstr>v_69_H</vt:lpstr>
      <vt:lpstr>v_69_SALPHA</vt:lpstr>
      <vt:lpstr>v_69_SAN</vt:lpstr>
      <vt:lpstr>v_69_SB</vt:lpstr>
      <vt:lpstr>v_69_SCa</vt:lpstr>
      <vt:lpstr>v_69_SCAT</vt:lpstr>
      <vt:lpstr>v_69_SCH4</vt:lpstr>
      <vt:lpstr>v_69_SCO2</vt:lpstr>
      <vt:lpstr>v_69_SFe2</vt:lpstr>
      <vt:lpstr>v_69_SH2</vt:lpstr>
      <vt:lpstr>v_69_SH2S</vt:lpstr>
      <vt:lpstr>v_69_SK</vt:lpstr>
      <vt:lpstr>v_69_SMEOL</vt:lpstr>
      <vt:lpstr>v_69_SMg</vt:lpstr>
      <vt:lpstr>v_69_SMM_index</vt:lpstr>
      <vt:lpstr>v_69_SN_B</vt:lpstr>
      <vt:lpstr>v_69_SN2</vt:lpstr>
      <vt:lpstr>v_69_SN2O</vt:lpstr>
      <vt:lpstr>v_69_SNH2OH</vt:lpstr>
      <vt:lpstr>v_69_SNHx</vt:lpstr>
      <vt:lpstr>v_69_SNO_AOB</vt:lpstr>
      <vt:lpstr>v_69_SNO_OHO</vt:lpstr>
      <vt:lpstr>v_69_SNO2</vt:lpstr>
      <vt:lpstr>v_69_SNO3</vt:lpstr>
      <vt:lpstr>v_69_SO2</vt:lpstr>
      <vt:lpstr>v_69_SP_B</vt:lpstr>
      <vt:lpstr>v_69_SPO4</vt:lpstr>
      <vt:lpstr>v_69_SSO4</vt:lpstr>
      <vt:lpstr>v_69_SU</vt:lpstr>
      <vt:lpstr>v_69_SVFA</vt:lpstr>
      <vt:lpstr>v_69_XACP</vt:lpstr>
      <vt:lpstr>v_69_XAMETO</vt:lpstr>
      <vt:lpstr>v_69_XAMX</vt:lpstr>
      <vt:lpstr>v_69_XAOB</vt:lpstr>
      <vt:lpstr>v_69_XASRO</vt:lpstr>
      <vt:lpstr>v_69_XB</vt:lpstr>
      <vt:lpstr>v_69_XBSH</vt:lpstr>
      <vt:lpstr>v_69_XCaCO3</vt:lpstr>
      <vt:lpstr>v_69_XCASTO</vt:lpstr>
      <vt:lpstr>v_69_XE</vt:lpstr>
      <vt:lpstr>v_69_XE_ana</vt:lpstr>
      <vt:lpstr>v_69_XFeS</vt:lpstr>
      <vt:lpstr>v_69_XGLY</vt:lpstr>
      <vt:lpstr>v_69_XHAO_H</vt:lpstr>
      <vt:lpstr>v_69_XHAO_H_P</vt:lpstr>
      <vt:lpstr>v_69_XHAO_H_P_old</vt:lpstr>
      <vt:lpstr>v_69_XHAO_L</vt:lpstr>
      <vt:lpstr>v_69_XHAO_L_P</vt:lpstr>
      <vt:lpstr>v_69_XHAO_L_P_old</vt:lpstr>
      <vt:lpstr>v_69_XHAO_old</vt:lpstr>
      <vt:lpstr>v_69_XHFO_H</vt:lpstr>
      <vt:lpstr>v_69_XHFO_H_P</vt:lpstr>
      <vt:lpstr>v_69_XHFO_H_P_old</vt:lpstr>
      <vt:lpstr>v_69_XHFO_L</vt:lpstr>
      <vt:lpstr>v_69_XHFO_L_P</vt:lpstr>
      <vt:lpstr>v_69_XHFO_L_P_old</vt:lpstr>
      <vt:lpstr>v_69_XHFO_old</vt:lpstr>
      <vt:lpstr>v_69_XHMETO</vt:lpstr>
      <vt:lpstr>v_69_XHSRO</vt:lpstr>
      <vt:lpstr>v_69_XINORG</vt:lpstr>
      <vt:lpstr>v_69_XMEOLO</vt:lpstr>
      <vt:lpstr>v_69_XMOB</vt:lpstr>
      <vt:lpstr>v_69_XN_B</vt:lpstr>
      <vt:lpstr>v_69_XN_U</vt:lpstr>
      <vt:lpstr>v_69_XNOB</vt:lpstr>
      <vt:lpstr>v_69_XOHO</vt:lpstr>
      <vt:lpstr>v_69_XP_B</vt:lpstr>
      <vt:lpstr>v_69_XP_U</vt:lpstr>
      <vt:lpstr>v_69_XPHA</vt:lpstr>
      <vt:lpstr>v_69_XPP</vt:lpstr>
      <vt:lpstr>v_69_XS</vt:lpstr>
      <vt:lpstr>v_69_XSOO</vt:lpstr>
      <vt:lpstr>v_69_XSTR</vt:lpstr>
      <vt:lpstr>v_69_XU</vt:lpstr>
      <vt:lpstr>v_69_XVivi</vt:lpstr>
      <vt:lpstr>v_7_CB</vt:lpstr>
      <vt:lpstr>v_7_CU</vt:lpstr>
      <vt:lpstr>v_7_GCH4</vt:lpstr>
      <vt:lpstr>v_7_GCH4_atm</vt:lpstr>
      <vt:lpstr>v_7_GCO2</vt:lpstr>
      <vt:lpstr>v_7_GCO2_atm</vt:lpstr>
      <vt:lpstr>v_7_GH2</vt:lpstr>
      <vt:lpstr>v_7_GH2_atm</vt:lpstr>
      <vt:lpstr>v_7_GH2S</vt:lpstr>
      <vt:lpstr>v_7_GH2S_atm</vt:lpstr>
      <vt:lpstr>v_7_GN2</vt:lpstr>
      <vt:lpstr>v_7_GN2_atm</vt:lpstr>
      <vt:lpstr>v_7_GN2O</vt:lpstr>
      <vt:lpstr>v_7_GN2O_atm</vt:lpstr>
      <vt:lpstr>v_7_GNH3</vt:lpstr>
      <vt:lpstr>v_7_GNH3_atm</vt:lpstr>
      <vt:lpstr>v_7_GNO</vt:lpstr>
      <vt:lpstr>v_7_GNO_atm</vt:lpstr>
      <vt:lpstr>v_7_GO2</vt:lpstr>
      <vt:lpstr>v_7_GO2_atm</vt:lpstr>
      <vt:lpstr>v_7_H</vt:lpstr>
      <vt:lpstr>v_7_SALPHA</vt:lpstr>
      <vt:lpstr>v_7_SAN</vt:lpstr>
      <vt:lpstr>v_7_SB</vt:lpstr>
      <vt:lpstr>v_7_SCa</vt:lpstr>
      <vt:lpstr>v_7_SCAT</vt:lpstr>
      <vt:lpstr>v_7_SCH4</vt:lpstr>
      <vt:lpstr>v_7_SCO2</vt:lpstr>
      <vt:lpstr>v_7_SFe2</vt:lpstr>
      <vt:lpstr>v_7_SH2</vt:lpstr>
      <vt:lpstr>v_7_SH2S</vt:lpstr>
      <vt:lpstr>v_7_SK</vt:lpstr>
      <vt:lpstr>v_7_SMEOL</vt:lpstr>
      <vt:lpstr>v_7_SMg</vt:lpstr>
      <vt:lpstr>v_7_SMM_index</vt:lpstr>
      <vt:lpstr>v_7_SN_B</vt:lpstr>
      <vt:lpstr>v_7_SN2</vt:lpstr>
      <vt:lpstr>v_7_SN2O</vt:lpstr>
      <vt:lpstr>v_7_SNH2OH</vt:lpstr>
      <vt:lpstr>v_7_SNHx</vt:lpstr>
      <vt:lpstr>v_7_SNO_AOB</vt:lpstr>
      <vt:lpstr>v_7_SNO_OHO</vt:lpstr>
      <vt:lpstr>v_7_SNO2</vt:lpstr>
      <vt:lpstr>v_7_SNO3</vt:lpstr>
      <vt:lpstr>v_7_SO2</vt:lpstr>
      <vt:lpstr>v_7_SP_B</vt:lpstr>
      <vt:lpstr>v_7_SPO4</vt:lpstr>
      <vt:lpstr>v_7_SSO4</vt:lpstr>
      <vt:lpstr>v_7_SU</vt:lpstr>
      <vt:lpstr>v_7_SVFA</vt:lpstr>
      <vt:lpstr>v_7_XACP</vt:lpstr>
      <vt:lpstr>v_7_XAMETO</vt:lpstr>
      <vt:lpstr>v_7_XAMX</vt:lpstr>
      <vt:lpstr>v_7_XAOB</vt:lpstr>
      <vt:lpstr>v_7_XASRO</vt:lpstr>
      <vt:lpstr>v_7_XB</vt:lpstr>
      <vt:lpstr>v_7_XBSH</vt:lpstr>
      <vt:lpstr>v_7_XCaCO3</vt:lpstr>
      <vt:lpstr>v_7_XCASTO</vt:lpstr>
      <vt:lpstr>v_7_XE</vt:lpstr>
      <vt:lpstr>v_7_XE_ana</vt:lpstr>
      <vt:lpstr>v_7_XFeS</vt:lpstr>
      <vt:lpstr>v_7_XGLY</vt:lpstr>
      <vt:lpstr>v_7_XHAO_H</vt:lpstr>
      <vt:lpstr>v_7_XHAO_H_P</vt:lpstr>
      <vt:lpstr>v_7_XHAO_H_P_old</vt:lpstr>
      <vt:lpstr>v_7_XHAO_L</vt:lpstr>
      <vt:lpstr>v_7_XHAO_L_P</vt:lpstr>
      <vt:lpstr>v_7_XHAO_L_P_old</vt:lpstr>
      <vt:lpstr>v_7_XHAO_old</vt:lpstr>
      <vt:lpstr>v_7_XHFO_H</vt:lpstr>
      <vt:lpstr>v_7_XHFO_H_P</vt:lpstr>
      <vt:lpstr>v_7_XHFO_H_P_old</vt:lpstr>
      <vt:lpstr>v_7_XHFO_L</vt:lpstr>
      <vt:lpstr>v_7_XHFO_L_P</vt:lpstr>
      <vt:lpstr>v_7_XHFO_L_P_old</vt:lpstr>
      <vt:lpstr>v_7_XHFO_old</vt:lpstr>
      <vt:lpstr>v_7_XHMETO</vt:lpstr>
      <vt:lpstr>v_7_XHSRO</vt:lpstr>
      <vt:lpstr>v_7_XINORG</vt:lpstr>
      <vt:lpstr>v_7_XMEOLO</vt:lpstr>
      <vt:lpstr>v_7_XMOB</vt:lpstr>
      <vt:lpstr>v_7_XN_B</vt:lpstr>
      <vt:lpstr>v_7_XN_U</vt:lpstr>
      <vt:lpstr>v_7_XNOB</vt:lpstr>
      <vt:lpstr>v_7_XOHO</vt:lpstr>
      <vt:lpstr>v_7_XP_B</vt:lpstr>
      <vt:lpstr>v_7_XP_U</vt:lpstr>
      <vt:lpstr>v_7_XPHA</vt:lpstr>
      <vt:lpstr>v_7_XPP</vt:lpstr>
      <vt:lpstr>v_7_XS</vt:lpstr>
      <vt:lpstr>v_7_XSOO</vt:lpstr>
      <vt:lpstr>v_7_XSTR</vt:lpstr>
      <vt:lpstr>v_7_XU</vt:lpstr>
      <vt:lpstr>v_7_XVivi</vt:lpstr>
      <vt:lpstr>v_70_CB</vt:lpstr>
      <vt:lpstr>v_70_CU</vt:lpstr>
      <vt:lpstr>v_70_GCH4</vt:lpstr>
      <vt:lpstr>v_70_GCH4_atm</vt:lpstr>
      <vt:lpstr>v_70_GCO2</vt:lpstr>
      <vt:lpstr>v_70_GCO2_atm</vt:lpstr>
      <vt:lpstr>v_70_GH2</vt:lpstr>
      <vt:lpstr>v_70_GH2_atm</vt:lpstr>
      <vt:lpstr>v_70_GH2S</vt:lpstr>
      <vt:lpstr>v_70_GH2S_atm</vt:lpstr>
      <vt:lpstr>v_70_GN2</vt:lpstr>
      <vt:lpstr>v_70_GN2_atm</vt:lpstr>
      <vt:lpstr>v_70_GN2O</vt:lpstr>
      <vt:lpstr>v_70_GN2O_atm</vt:lpstr>
      <vt:lpstr>v_70_GNH3</vt:lpstr>
      <vt:lpstr>v_70_GNH3_atm</vt:lpstr>
      <vt:lpstr>v_70_GNO</vt:lpstr>
      <vt:lpstr>v_70_GNO_atm</vt:lpstr>
      <vt:lpstr>v_70_GO2</vt:lpstr>
      <vt:lpstr>v_70_GO2_atm</vt:lpstr>
      <vt:lpstr>v_70_H</vt:lpstr>
      <vt:lpstr>v_70_SALPHA</vt:lpstr>
      <vt:lpstr>v_70_SAN</vt:lpstr>
      <vt:lpstr>v_70_SB</vt:lpstr>
      <vt:lpstr>v_70_SCa</vt:lpstr>
      <vt:lpstr>v_70_SCAT</vt:lpstr>
      <vt:lpstr>v_70_SCH4</vt:lpstr>
      <vt:lpstr>v_70_SCO2</vt:lpstr>
      <vt:lpstr>v_70_SFe2</vt:lpstr>
      <vt:lpstr>v_70_SH2</vt:lpstr>
      <vt:lpstr>v_70_SH2S</vt:lpstr>
      <vt:lpstr>v_70_SK</vt:lpstr>
      <vt:lpstr>v_70_SMEOL</vt:lpstr>
      <vt:lpstr>v_70_SMg</vt:lpstr>
      <vt:lpstr>v_70_SMM_index</vt:lpstr>
      <vt:lpstr>v_70_SN_B</vt:lpstr>
      <vt:lpstr>v_70_SN2</vt:lpstr>
      <vt:lpstr>v_70_SN2O</vt:lpstr>
      <vt:lpstr>v_70_SNH2OH</vt:lpstr>
      <vt:lpstr>v_70_SNHx</vt:lpstr>
      <vt:lpstr>v_70_SNO_AOB</vt:lpstr>
      <vt:lpstr>v_70_SNO_OHO</vt:lpstr>
      <vt:lpstr>v_70_SNO2</vt:lpstr>
      <vt:lpstr>v_70_SNO3</vt:lpstr>
      <vt:lpstr>v_70_SO2</vt:lpstr>
      <vt:lpstr>v_70_SP_B</vt:lpstr>
      <vt:lpstr>v_70_SPO4</vt:lpstr>
      <vt:lpstr>v_70_SSO4</vt:lpstr>
      <vt:lpstr>v_70_SU</vt:lpstr>
      <vt:lpstr>v_70_SVFA</vt:lpstr>
      <vt:lpstr>v_70_XACP</vt:lpstr>
      <vt:lpstr>v_70_XAMETO</vt:lpstr>
      <vt:lpstr>v_70_XAMX</vt:lpstr>
      <vt:lpstr>v_70_XAOB</vt:lpstr>
      <vt:lpstr>v_70_XASRO</vt:lpstr>
      <vt:lpstr>v_70_XB</vt:lpstr>
      <vt:lpstr>v_70_XBSH</vt:lpstr>
      <vt:lpstr>v_70_XCaCO3</vt:lpstr>
      <vt:lpstr>v_70_XCASTO</vt:lpstr>
      <vt:lpstr>v_70_XE</vt:lpstr>
      <vt:lpstr>v_70_XE_ana</vt:lpstr>
      <vt:lpstr>v_70_XFeS</vt:lpstr>
      <vt:lpstr>v_70_XGLY</vt:lpstr>
      <vt:lpstr>v_70_XHAO_H</vt:lpstr>
      <vt:lpstr>v_70_XHAO_H_P</vt:lpstr>
      <vt:lpstr>v_70_XHAO_H_P_old</vt:lpstr>
      <vt:lpstr>v_70_XHAO_L</vt:lpstr>
      <vt:lpstr>v_70_XHAO_L_P</vt:lpstr>
      <vt:lpstr>v_70_XHAO_L_P_old</vt:lpstr>
      <vt:lpstr>v_70_XHAO_old</vt:lpstr>
      <vt:lpstr>v_70_XHFO_H</vt:lpstr>
      <vt:lpstr>v_70_XHFO_H_P</vt:lpstr>
      <vt:lpstr>v_70_XHFO_H_P_old</vt:lpstr>
      <vt:lpstr>v_70_XHFO_L</vt:lpstr>
      <vt:lpstr>v_70_XHFO_L_P</vt:lpstr>
      <vt:lpstr>v_70_XHFO_L_P_old</vt:lpstr>
      <vt:lpstr>v_70_XHFO_old</vt:lpstr>
      <vt:lpstr>v_70_XHMETO</vt:lpstr>
      <vt:lpstr>v_70_XHSRO</vt:lpstr>
      <vt:lpstr>v_70_XINORG</vt:lpstr>
      <vt:lpstr>v_70_XMEOLO</vt:lpstr>
      <vt:lpstr>v_70_XMOB</vt:lpstr>
      <vt:lpstr>v_70_XN_B</vt:lpstr>
      <vt:lpstr>v_70_XN_U</vt:lpstr>
      <vt:lpstr>v_70_XNOB</vt:lpstr>
      <vt:lpstr>v_70_XOHO</vt:lpstr>
      <vt:lpstr>v_70_XP_B</vt:lpstr>
      <vt:lpstr>v_70_XP_U</vt:lpstr>
      <vt:lpstr>v_70_XPHA</vt:lpstr>
      <vt:lpstr>v_70_XPP</vt:lpstr>
      <vt:lpstr>v_70_XS</vt:lpstr>
      <vt:lpstr>v_70_XSOO</vt:lpstr>
      <vt:lpstr>v_70_XSTR</vt:lpstr>
      <vt:lpstr>v_70_XU</vt:lpstr>
      <vt:lpstr>v_70_XVivi</vt:lpstr>
      <vt:lpstr>v_71_CB</vt:lpstr>
      <vt:lpstr>v_71_CU</vt:lpstr>
      <vt:lpstr>v_71_GCH4</vt:lpstr>
      <vt:lpstr>v_71_GCH4_atm</vt:lpstr>
      <vt:lpstr>v_71_GCO2</vt:lpstr>
      <vt:lpstr>v_71_GCO2_atm</vt:lpstr>
      <vt:lpstr>v_71_GH2</vt:lpstr>
      <vt:lpstr>v_71_GH2_atm</vt:lpstr>
      <vt:lpstr>v_71_GH2S</vt:lpstr>
      <vt:lpstr>v_71_GH2S_atm</vt:lpstr>
      <vt:lpstr>v_71_GN2</vt:lpstr>
      <vt:lpstr>v_71_GN2_atm</vt:lpstr>
      <vt:lpstr>v_71_GN2O</vt:lpstr>
      <vt:lpstr>v_71_GN2O_atm</vt:lpstr>
      <vt:lpstr>v_71_GNH3</vt:lpstr>
      <vt:lpstr>v_71_GNH3_atm</vt:lpstr>
      <vt:lpstr>v_71_GNO</vt:lpstr>
      <vt:lpstr>v_71_GNO_atm</vt:lpstr>
      <vt:lpstr>v_71_GO2</vt:lpstr>
      <vt:lpstr>v_71_GO2_atm</vt:lpstr>
      <vt:lpstr>v_71_H</vt:lpstr>
      <vt:lpstr>v_71_SALPHA</vt:lpstr>
      <vt:lpstr>v_71_SAN</vt:lpstr>
      <vt:lpstr>v_71_SB</vt:lpstr>
      <vt:lpstr>v_71_SCa</vt:lpstr>
      <vt:lpstr>v_71_SCAT</vt:lpstr>
      <vt:lpstr>v_71_SCH4</vt:lpstr>
      <vt:lpstr>v_71_SCO2</vt:lpstr>
      <vt:lpstr>v_71_SFe2</vt:lpstr>
      <vt:lpstr>v_71_SH2</vt:lpstr>
      <vt:lpstr>v_71_SH2S</vt:lpstr>
      <vt:lpstr>v_71_SK</vt:lpstr>
      <vt:lpstr>v_71_SMEOL</vt:lpstr>
      <vt:lpstr>v_71_SMg</vt:lpstr>
      <vt:lpstr>v_71_SMM_index</vt:lpstr>
      <vt:lpstr>v_71_SN_B</vt:lpstr>
      <vt:lpstr>v_71_SN2</vt:lpstr>
      <vt:lpstr>v_71_SN2O</vt:lpstr>
      <vt:lpstr>v_71_SNH2OH</vt:lpstr>
      <vt:lpstr>v_71_SNHx</vt:lpstr>
      <vt:lpstr>v_71_SNO_AOB</vt:lpstr>
      <vt:lpstr>v_71_SNO_OHO</vt:lpstr>
      <vt:lpstr>v_71_SNO2</vt:lpstr>
      <vt:lpstr>v_71_SNO3</vt:lpstr>
      <vt:lpstr>v_71_SO2</vt:lpstr>
      <vt:lpstr>v_71_SP_B</vt:lpstr>
      <vt:lpstr>v_71_SPO4</vt:lpstr>
      <vt:lpstr>v_71_SSO4</vt:lpstr>
      <vt:lpstr>v_71_SU</vt:lpstr>
      <vt:lpstr>v_71_SVFA</vt:lpstr>
      <vt:lpstr>v_71_XACP</vt:lpstr>
      <vt:lpstr>v_71_XAMETO</vt:lpstr>
      <vt:lpstr>v_71_XAMX</vt:lpstr>
      <vt:lpstr>v_71_XAOB</vt:lpstr>
      <vt:lpstr>v_71_XASRO</vt:lpstr>
      <vt:lpstr>v_71_XB</vt:lpstr>
      <vt:lpstr>v_71_XBSH</vt:lpstr>
      <vt:lpstr>v_71_XCaCO3</vt:lpstr>
      <vt:lpstr>v_71_XCASTO</vt:lpstr>
      <vt:lpstr>v_71_XE</vt:lpstr>
      <vt:lpstr>v_71_XE_ana</vt:lpstr>
      <vt:lpstr>v_71_XFeS</vt:lpstr>
      <vt:lpstr>v_71_XGLY</vt:lpstr>
      <vt:lpstr>v_71_XHAO_H</vt:lpstr>
      <vt:lpstr>v_71_XHAO_H_P</vt:lpstr>
      <vt:lpstr>v_71_XHAO_H_P_old</vt:lpstr>
      <vt:lpstr>v_71_XHAO_L</vt:lpstr>
      <vt:lpstr>v_71_XHAO_L_P</vt:lpstr>
      <vt:lpstr>v_71_XHAO_L_P_old</vt:lpstr>
      <vt:lpstr>v_71_XHAO_old</vt:lpstr>
      <vt:lpstr>v_71_XHFO_H</vt:lpstr>
      <vt:lpstr>v_71_XHFO_H_P</vt:lpstr>
      <vt:lpstr>v_71_XHFO_H_P_old</vt:lpstr>
      <vt:lpstr>v_71_XHFO_L</vt:lpstr>
      <vt:lpstr>v_71_XHFO_L_P</vt:lpstr>
      <vt:lpstr>v_71_XHFO_L_P_old</vt:lpstr>
      <vt:lpstr>v_71_XHFO_old</vt:lpstr>
      <vt:lpstr>v_71_XHMETO</vt:lpstr>
      <vt:lpstr>v_71_XHSRO</vt:lpstr>
      <vt:lpstr>v_71_XINORG</vt:lpstr>
      <vt:lpstr>v_71_XMEOLO</vt:lpstr>
      <vt:lpstr>v_71_XMOB</vt:lpstr>
      <vt:lpstr>v_71_XN_B</vt:lpstr>
      <vt:lpstr>v_71_XN_U</vt:lpstr>
      <vt:lpstr>v_71_XNOB</vt:lpstr>
      <vt:lpstr>v_71_XOHO</vt:lpstr>
      <vt:lpstr>v_71_XP_B</vt:lpstr>
      <vt:lpstr>v_71_XP_U</vt:lpstr>
      <vt:lpstr>v_71_XPHA</vt:lpstr>
      <vt:lpstr>v_71_XPP</vt:lpstr>
      <vt:lpstr>v_71_XS</vt:lpstr>
      <vt:lpstr>v_71_XSOO</vt:lpstr>
      <vt:lpstr>v_71_XSTR</vt:lpstr>
      <vt:lpstr>v_71_XU</vt:lpstr>
      <vt:lpstr>v_71_XVivi</vt:lpstr>
      <vt:lpstr>v_72_CB</vt:lpstr>
      <vt:lpstr>v_72_CU</vt:lpstr>
      <vt:lpstr>v_72_GCH4</vt:lpstr>
      <vt:lpstr>v_72_GCH4_atm</vt:lpstr>
      <vt:lpstr>v_72_GCO2</vt:lpstr>
      <vt:lpstr>v_72_GCO2_atm</vt:lpstr>
      <vt:lpstr>v_72_GH2</vt:lpstr>
      <vt:lpstr>v_72_GH2_atm</vt:lpstr>
      <vt:lpstr>v_72_GH2S</vt:lpstr>
      <vt:lpstr>v_72_GH2S_atm</vt:lpstr>
      <vt:lpstr>v_72_GN2</vt:lpstr>
      <vt:lpstr>v_72_GN2_atm</vt:lpstr>
      <vt:lpstr>v_72_GN2O</vt:lpstr>
      <vt:lpstr>v_72_GN2O_atm</vt:lpstr>
      <vt:lpstr>v_72_GNH3</vt:lpstr>
      <vt:lpstr>v_72_GNH3_atm</vt:lpstr>
      <vt:lpstr>v_72_GNO</vt:lpstr>
      <vt:lpstr>v_72_GNO_atm</vt:lpstr>
      <vt:lpstr>v_72_GO2</vt:lpstr>
      <vt:lpstr>v_72_GO2_atm</vt:lpstr>
      <vt:lpstr>v_72_H</vt:lpstr>
      <vt:lpstr>v_72_SALPHA</vt:lpstr>
      <vt:lpstr>v_72_SAN</vt:lpstr>
      <vt:lpstr>v_72_SB</vt:lpstr>
      <vt:lpstr>v_72_SCa</vt:lpstr>
      <vt:lpstr>v_72_SCAT</vt:lpstr>
      <vt:lpstr>v_72_SCH4</vt:lpstr>
      <vt:lpstr>v_72_SCO2</vt:lpstr>
      <vt:lpstr>v_72_SFe2</vt:lpstr>
      <vt:lpstr>v_72_SH2</vt:lpstr>
      <vt:lpstr>v_72_SH2S</vt:lpstr>
      <vt:lpstr>v_72_SK</vt:lpstr>
      <vt:lpstr>v_72_SMEOL</vt:lpstr>
      <vt:lpstr>v_72_SMg</vt:lpstr>
      <vt:lpstr>v_72_SMM_index</vt:lpstr>
      <vt:lpstr>v_72_SN_B</vt:lpstr>
      <vt:lpstr>v_72_SN2</vt:lpstr>
      <vt:lpstr>v_72_SN2O</vt:lpstr>
      <vt:lpstr>v_72_SNH2OH</vt:lpstr>
      <vt:lpstr>v_72_SNHx</vt:lpstr>
      <vt:lpstr>v_72_SNO_AOB</vt:lpstr>
      <vt:lpstr>v_72_SNO_OHO</vt:lpstr>
      <vt:lpstr>v_72_SNO2</vt:lpstr>
      <vt:lpstr>v_72_SNO3</vt:lpstr>
      <vt:lpstr>v_72_SO2</vt:lpstr>
      <vt:lpstr>v_72_SP_B</vt:lpstr>
      <vt:lpstr>v_72_SPO4</vt:lpstr>
      <vt:lpstr>v_72_SSO4</vt:lpstr>
      <vt:lpstr>v_72_SU</vt:lpstr>
      <vt:lpstr>v_72_SVFA</vt:lpstr>
      <vt:lpstr>v_72_XACP</vt:lpstr>
      <vt:lpstr>v_72_XAMETO</vt:lpstr>
      <vt:lpstr>v_72_XAMX</vt:lpstr>
      <vt:lpstr>v_72_XAOB</vt:lpstr>
      <vt:lpstr>v_72_XASRO</vt:lpstr>
      <vt:lpstr>v_72_XB</vt:lpstr>
      <vt:lpstr>v_72_XBSH</vt:lpstr>
      <vt:lpstr>v_72_XCaCO3</vt:lpstr>
      <vt:lpstr>v_72_XCASTO</vt:lpstr>
      <vt:lpstr>v_72_XE</vt:lpstr>
      <vt:lpstr>v_72_XE_ana</vt:lpstr>
      <vt:lpstr>v_72_XFeS</vt:lpstr>
      <vt:lpstr>v_72_XGLY</vt:lpstr>
      <vt:lpstr>v_72_XHAO_H</vt:lpstr>
      <vt:lpstr>v_72_XHAO_H_P</vt:lpstr>
      <vt:lpstr>v_72_XHAO_H_P_old</vt:lpstr>
      <vt:lpstr>v_72_XHAO_L</vt:lpstr>
      <vt:lpstr>v_72_XHAO_L_P</vt:lpstr>
      <vt:lpstr>v_72_XHAO_L_P_old</vt:lpstr>
      <vt:lpstr>v_72_XHAO_old</vt:lpstr>
      <vt:lpstr>v_72_XHFO_H</vt:lpstr>
      <vt:lpstr>v_72_XHFO_H_P</vt:lpstr>
      <vt:lpstr>v_72_XHFO_H_P_old</vt:lpstr>
      <vt:lpstr>v_72_XHFO_L</vt:lpstr>
      <vt:lpstr>v_72_XHFO_L_P</vt:lpstr>
      <vt:lpstr>v_72_XHFO_L_P_old</vt:lpstr>
      <vt:lpstr>v_72_XHFO_old</vt:lpstr>
      <vt:lpstr>v_72_XHMETO</vt:lpstr>
      <vt:lpstr>v_72_XHSRO</vt:lpstr>
      <vt:lpstr>v_72_XINORG</vt:lpstr>
      <vt:lpstr>v_72_XMEOLO</vt:lpstr>
      <vt:lpstr>v_72_XMOB</vt:lpstr>
      <vt:lpstr>v_72_XN_B</vt:lpstr>
      <vt:lpstr>v_72_XN_U</vt:lpstr>
      <vt:lpstr>v_72_XNOB</vt:lpstr>
      <vt:lpstr>v_72_XOHO</vt:lpstr>
      <vt:lpstr>v_72_XP_B</vt:lpstr>
      <vt:lpstr>v_72_XP_U</vt:lpstr>
      <vt:lpstr>v_72_XPHA</vt:lpstr>
      <vt:lpstr>v_72_XPP</vt:lpstr>
      <vt:lpstr>v_72_XS</vt:lpstr>
      <vt:lpstr>v_72_XSOO</vt:lpstr>
      <vt:lpstr>v_72_XSTR</vt:lpstr>
      <vt:lpstr>v_72_XU</vt:lpstr>
      <vt:lpstr>v_72_XVivi</vt:lpstr>
      <vt:lpstr>v_73_CB</vt:lpstr>
      <vt:lpstr>v_73_CU</vt:lpstr>
      <vt:lpstr>v_73_GCH4</vt:lpstr>
      <vt:lpstr>v_73_GCH4_atm</vt:lpstr>
      <vt:lpstr>v_73_GCO2</vt:lpstr>
      <vt:lpstr>v_73_GCO2_atm</vt:lpstr>
      <vt:lpstr>v_73_GH2</vt:lpstr>
      <vt:lpstr>v_73_GH2_atm</vt:lpstr>
      <vt:lpstr>v_73_GH2S</vt:lpstr>
      <vt:lpstr>v_73_GH2S_atm</vt:lpstr>
      <vt:lpstr>v_73_GN2</vt:lpstr>
      <vt:lpstr>v_73_GN2_atm</vt:lpstr>
      <vt:lpstr>v_73_GN2O</vt:lpstr>
      <vt:lpstr>v_73_GN2O_atm</vt:lpstr>
      <vt:lpstr>v_73_GNH3</vt:lpstr>
      <vt:lpstr>v_73_GNH3_atm</vt:lpstr>
      <vt:lpstr>v_73_GNO</vt:lpstr>
      <vt:lpstr>v_73_GNO_atm</vt:lpstr>
      <vt:lpstr>v_73_GO2</vt:lpstr>
      <vt:lpstr>v_73_GO2_atm</vt:lpstr>
      <vt:lpstr>v_73_H</vt:lpstr>
      <vt:lpstr>v_73_SALPHA</vt:lpstr>
      <vt:lpstr>v_73_SAN</vt:lpstr>
      <vt:lpstr>v_73_SB</vt:lpstr>
      <vt:lpstr>v_73_SCa</vt:lpstr>
      <vt:lpstr>v_73_SCAT</vt:lpstr>
      <vt:lpstr>v_73_SCH4</vt:lpstr>
      <vt:lpstr>v_73_SCO2</vt:lpstr>
      <vt:lpstr>v_73_SFe2</vt:lpstr>
      <vt:lpstr>v_73_SH2</vt:lpstr>
      <vt:lpstr>v_73_SH2S</vt:lpstr>
      <vt:lpstr>v_73_SK</vt:lpstr>
      <vt:lpstr>v_73_SMEOL</vt:lpstr>
      <vt:lpstr>v_73_SMg</vt:lpstr>
      <vt:lpstr>v_73_SMM_index</vt:lpstr>
      <vt:lpstr>v_73_SN_B</vt:lpstr>
      <vt:lpstr>v_73_SN2</vt:lpstr>
      <vt:lpstr>v_73_SN2O</vt:lpstr>
      <vt:lpstr>v_73_SNH2OH</vt:lpstr>
      <vt:lpstr>v_73_SNHx</vt:lpstr>
      <vt:lpstr>v_73_SNO_AOB</vt:lpstr>
      <vt:lpstr>v_73_SNO_OHO</vt:lpstr>
      <vt:lpstr>v_73_SNO2</vt:lpstr>
      <vt:lpstr>v_73_SNO3</vt:lpstr>
      <vt:lpstr>v_73_SO2</vt:lpstr>
      <vt:lpstr>v_73_SP_B</vt:lpstr>
      <vt:lpstr>v_73_SPO4</vt:lpstr>
      <vt:lpstr>v_73_SSO4</vt:lpstr>
      <vt:lpstr>v_73_SU</vt:lpstr>
      <vt:lpstr>v_73_SVFA</vt:lpstr>
      <vt:lpstr>v_73_XACP</vt:lpstr>
      <vt:lpstr>v_73_XAMETO</vt:lpstr>
      <vt:lpstr>v_73_XAMX</vt:lpstr>
      <vt:lpstr>v_73_XAOB</vt:lpstr>
      <vt:lpstr>v_73_XASRO</vt:lpstr>
      <vt:lpstr>v_73_XB</vt:lpstr>
      <vt:lpstr>v_73_XBSH</vt:lpstr>
      <vt:lpstr>v_73_XCaCO3</vt:lpstr>
      <vt:lpstr>v_73_XCASTO</vt:lpstr>
      <vt:lpstr>v_73_XE</vt:lpstr>
      <vt:lpstr>v_73_XE_ana</vt:lpstr>
      <vt:lpstr>v_73_XFeS</vt:lpstr>
      <vt:lpstr>v_73_XGLY</vt:lpstr>
      <vt:lpstr>v_73_XHAO_H</vt:lpstr>
      <vt:lpstr>v_73_XHAO_H_P</vt:lpstr>
      <vt:lpstr>v_73_XHAO_H_P_old</vt:lpstr>
      <vt:lpstr>v_73_XHAO_L</vt:lpstr>
      <vt:lpstr>v_73_XHAO_L_P</vt:lpstr>
      <vt:lpstr>v_73_XHAO_L_P_old</vt:lpstr>
      <vt:lpstr>v_73_XHAO_old</vt:lpstr>
      <vt:lpstr>v_73_XHFO_H</vt:lpstr>
      <vt:lpstr>v_73_XHFO_H_P</vt:lpstr>
      <vt:lpstr>v_73_XHFO_H_P_old</vt:lpstr>
      <vt:lpstr>v_73_XHFO_L</vt:lpstr>
      <vt:lpstr>v_73_XHFO_L_P</vt:lpstr>
      <vt:lpstr>v_73_XHFO_L_P_old</vt:lpstr>
      <vt:lpstr>v_73_XHFO_old</vt:lpstr>
      <vt:lpstr>v_73_XHMETO</vt:lpstr>
      <vt:lpstr>v_73_XHSRO</vt:lpstr>
      <vt:lpstr>v_73_XINORG</vt:lpstr>
      <vt:lpstr>v_73_XMEOLO</vt:lpstr>
      <vt:lpstr>v_73_XMOB</vt:lpstr>
      <vt:lpstr>v_73_XN_B</vt:lpstr>
      <vt:lpstr>v_73_XN_U</vt:lpstr>
      <vt:lpstr>v_73_XNOB</vt:lpstr>
      <vt:lpstr>v_73_XOHO</vt:lpstr>
      <vt:lpstr>v_73_XP_B</vt:lpstr>
      <vt:lpstr>v_73_XP_U</vt:lpstr>
      <vt:lpstr>v_73_XPHA</vt:lpstr>
      <vt:lpstr>v_73_XPP</vt:lpstr>
      <vt:lpstr>v_73_XS</vt:lpstr>
      <vt:lpstr>v_73_XSOO</vt:lpstr>
      <vt:lpstr>v_73_XSTR</vt:lpstr>
      <vt:lpstr>v_73_XU</vt:lpstr>
      <vt:lpstr>v_73_XVivi</vt:lpstr>
      <vt:lpstr>v_74_CB</vt:lpstr>
      <vt:lpstr>v_74_CU</vt:lpstr>
      <vt:lpstr>v_74_GCH4</vt:lpstr>
      <vt:lpstr>v_74_GCH4_atm</vt:lpstr>
      <vt:lpstr>v_74_GCO2</vt:lpstr>
      <vt:lpstr>v_74_GCO2_atm</vt:lpstr>
      <vt:lpstr>v_74_GH2</vt:lpstr>
      <vt:lpstr>v_74_GH2_atm</vt:lpstr>
      <vt:lpstr>v_74_GH2S</vt:lpstr>
      <vt:lpstr>v_74_GH2S_atm</vt:lpstr>
      <vt:lpstr>v_74_GN2</vt:lpstr>
      <vt:lpstr>v_74_GN2_atm</vt:lpstr>
      <vt:lpstr>v_74_GN2O</vt:lpstr>
      <vt:lpstr>v_74_GN2O_atm</vt:lpstr>
      <vt:lpstr>v_74_GNH3</vt:lpstr>
      <vt:lpstr>v_74_GNH3_atm</vt:lpstr>
      <vt:lpstr>v_74_GNO</vt:lpstr>
      <vt:lpstr>v_74_GNO_atm</vt:lpstr>
      <vt:lpstr>v_74_GO2</vt:lpstr>
      <vt:lpstr>v_74_GO2_atm</vt:lpstr>
      <vt:lpstr>v_74_H</vt:lpstr>
      <vt:lpstr>v_74_SALPHA</vt:lpstr>
      <vt:lpstr>v_74_SAN</vt:lpstr>
      <vt:lpstr>v_74_SB</vt:lpstr>
      <vt:lpstr>v_74_SCa</vt:lpstr>
      <vt:lpstr>v_74_SCAT</vt:lpstr>
      <vt:lpstr>v_74_SCH4</vt:lpstr>
      <vt:lpstr>v_74_SCO2</vt:lpstr>
      <vt:lpstr>v_74_SFe2</vt:lpstr>
      <vt:lpstr>v_74_SH2</vt:lpstr>
      <vt:lpstr>v_74_SH2S</vt:lpstr>
      <vt:lpstr>v_74_SK</vt:lpstr>
      <vt:lpstr>v_74_SMEOL</vt:lpstr>
      <vt:lpstr>v_74_SMg</vt:lpstr>
      <vt:lpstr>v_74_SMM_index</vt:lpstr>
      <vt:lpstr>v_74_SN_B</vt:lpstr>
      <vt:lpstr>v_74_SN2</vt:lpstr>
      <vt:lpstr>v_74_SN2O</vt:lpstr>
      <vt:lpstr>v_74_SNH2OH</vt:lpstr>
      <vt:lpstr>v_74_SNHx</vt:lpstr>
      <vt:lpstr>v_74_SNO_AOB</vt:lpstr>
      <vt:lpstr>v_74_SNO_OHO</vt:lpstr>
      <vt:lpstr>v_74_SNO2</vt:lpstr>
      <vt:lpstr>v_74_SNO3</vt:lpstr>
      <vt:lpstr>v_74_SO2</vt:lpstr>
      <vt:lpstr>v_74_SP_B</vt:lpstr>
      <vt:lpstr>v_74_SPO4</vt:lpstr>
      <vt:lpstr>v_74_SSO4</vt:lpstr>
      <vt:lpstr>v_74_SU</vt:lpstr>
      <vt:lpstr>v_74_SVFA</vt:lpstr>
      <vt:lpstr>v_74_XACP</vt:lpstr>
      <vt:lpstr>v_74_XAMETO</vt:lpstr>
      <vt:lpstr>v_74_XAMX</vt:lpstr>
      <vt:lpstr>v_74_XAOB</vt:lpstr>
      <vt:lpstr>v_74_XASRO</vt:lpstr>
      <vt:lpstr>v_74_XB</vt:lpstr>
      <vt:lpstr>v_74_XBSH</vt:lpstr>
      <vt:lpstr>v_74_XCaCO3</vt:lpstr>
      <vt:lpstr>v_74_XCASTO</vt:lpstr>
      <vt:lpstr>v_74_XE</vt:lpstr>
      <vt:lpstr>v_74_XE_ana</vt:lpstr>
      <vt:lpstr>v_74_XFeS</vt:lpstr>
      <vt:lpstr>v_74_XGLY</vt:lpstr>
      <vt:lpstr>v_74_XHAO_H</vt:lpstr>
      <vt:lpstr>v_74_XHAO_H_P</vt:lpstr>
      <vt:lpstr>v_74_XHAO_H_P_old</vt:lpstr>
      <vt:lpstr>v_74_XHAO_L</vt:lpstr>
      <vt:lpstr>v_74_XHAO_L_P</vt:lpstr>
      <vt:lpstr>v_74_XHAO_L_P_old</vt:lpstr>
      <vt:lpstr>v_74_XHAO_old</vt:lpstr>
      <vt:lpstr>v_74_XHFO_H</vt:lpstr>
      <vt:lpstr>v_74_XHFO_H_P</vt:lpstr>
      <vt:lpstr>v_74_XHFO_H_P_old</vt:lpstr>
      <vt:lpstr>v_74_XHFO_L</vt:lpstr>
      <vt:lpstr>v_74_XHFO_L_P</vt:lpstr>
      <vt:lpstr>v_74_XHFO_L_P_old</vt:lpstr>
      <vt:lpstr>v_74_XHFO_old</vt:lpstr>
      <vt:lpstr>v_74_XHMETO</vt:lpstr>
      <vt:lpstr>v_74_XHSRO</vt:lpstr>
      <vt:lpstr>v_74_XINORG</vt:lpstr>
      <vt:lpstr>v_74_XMEOLO</vt:lpstr>
      <vt:lpstr>v_74_XMOB</vt:lpstr>
      <vt:lpstr>v_74_XN_B</vt:lpstr>
      <vt:lpstr>v_74_XN_U</vt:lpstr>
      <vt:lpstr>v_74_XNOB</vt:lpstr>
      <vt:lpstr>v_74_XOHO</vt:lpstr>
      <vt:lpstr>v_74_XP_B</vt:lpstr>
      <vt:lpstr>v_74_XP_U</vt:lpstr>
      <vt:lpstr>v_74_XPHA</vt:lpstr>
      <vt:lpstr>v_74_XPP</vt:lpstr>
      <vt:lpstr>v_74_XS</vt:lpstr>
      <vt:lpstr>v_74_XSOO</vt:lpstr>
      <vt:lpstr>v_74_XSTR</vt:lpstr>
      <vt:lpstr>v_74_XU</vt:lpstr>
      <vt:lpstr>v_74_XVivi</vt:lpstr>
      <vt:lpstr>v_75_CB</vt:lpstr>
      <vt:lpstr>v_75_CU</vt:lpstr>
      <vt:lpstr>v_75_GCH4</vt:lpstr>
      <vt:lpstr>v_75_GCH4_atm</vt:lpstr>
      <vt:lpstr>v_75_GCO2</vt:lpstr>
      <vt:lpstr>v_75_GCO2_atm</vt:lpstr>
      <vt:lpstr>v_75_GH2</vt:lpstr>
      <vt:lpstr>v_75_GH2_atm</vt:lpstr>
      <vt:lpstr>v_75_GH2S</vt:lpstr>
      <vt:lpstr>v_75_GH2S_atm</vt:lpstr>
      <vt:lpstr>v_75_GN2</vt:lpstr>
      <vt:lpstr>v_75_GN2_atm</vt:lpstr>
      <vt:lpstr>v_75_GN2O</vt:lpstr>
      <vt:lpstr>v_75_GN2O_atm</vt:lpstr>
      <vt:lpstr>v_75_GNH3</vt:lpstr>
      <vt:lpstr>v_75_GNH3_atm</vt:lpstr>
      <vt:lpstr>v_75_GNO</vt:lpstr>
      <vt:lpstr>v_75_GNO_atm</vt:lpstr>
      <vt:lpstr>v_75_GO2</vt:lpstr>
      <vt:lpstr>v_75_GO2_atm</vt:lpstr>
      <vt:lpstr>v_75_H</vt:lpstr>
      <vt:lpstr>v_75_SALPHA</vt:lpstr>
      <vt:lpstr>v_75_SAN</vt:lpstr>
      <vt:lpstr>v_75_SB</vt:lpstr>
      <vt:lpstr>v_75_SCa</vt:lpstr>
      <vt:lpstr>v_75_SCAT</vt:lpstr>
      <vt:lpstr>v_75_SCH4</vt:lpstr>
      <vt:lpstr>v_75_SCO2</vt:lpstr>
      <vt:lpstr>v_75_SFe2</vt:lpstr>
      <vt:lpstr>v_75_SH2</vt:lpstr>
      <vt:lpstr>v_75_SH2S</vt:lpstr>
      <vt:lpstr>v_75_SK</vt:lpstr>
      <vt:lpstr>v_75_SMEOL</vt:lpstr>
      <vt:lpstr>v_75_SMg</vt:lpstr>
      <vt:lpstr>v_75_SMM_index</vt:lpstr>
      <vt:lpstr>v_75_SN_B</vt:lpstr>
      <vt:lpstr>v_75_SN2</vt:lpstr>
      <vt:lpstr>v_75_SN2O</vt:lpstr>
      <vt:lpstr>v_75_SNH2OH</vt:lpstr>
      <vt:lpstr>v_75_SNHx</vt:lpstr>
      <vt:lpstr>v_75_SNO_AOB</vt:lpstr>
      <vt:lpstr>v_75_SNO_OHO</vt:lpstr>
      <vt:lpstr>v_75_SNO2</vt:lpstr>
      <vt:lpstr>v_75_SNO3</vt:lpstr>
      <vt:lpstr>v_75_SO2</vt:lpstr>
      <vt:lpstr>v_75_SP_B</vt:lpstr>
      <vt:lpstr>v_75_SPO4</vt:lpstr>
      <vt:lpstr>v_75_SSO4</vt:lpstr>
      <vt:lpstr>v_75_SU</vt:lpstr>
      <vt:lpstr>v_75_SVFA</vt:lpstr>
      <vt:lpstr>v_75_XACP</vt:lpstr>
      <vt:lpstr>v_75_XAMETO</vt:lpstr>
      <vt:lpstr>v_75_XAMX</vt:lpstr>
      <vt:lpstr>v_75_XAOB</vt:lpstr>
      <vt:lpstr>v_75_XASRO</vt:lpstr>
      <vt:lpstr>v_75_XB</vt:lpstr>
      <vt:lpstr>v_75_XBSH</vt:lpstr>
      <vt:lpstr>v_75_XCaCO3</vt:lpstr>
      <vt:lpstr>v_75_XCASTO</vt:lpstr>
      <vt:lpstr>v_75_XE</vt:lpstr>
      <vt:lpstr>v_75_XE_ana</vt:lpstr>
      <vt:lpstr>v_75_XFeS</vt:lpstr>
      <vt:lpstr>v_75_XGLY</vt:lpstr>
      <vt:lpstr>v_75_XHAO_H</vt:lpstr>
      <vt:lpstr>v_75_XHAO_H_P</vt:lpstr>
      <vt:lpstr>v_75_XHAO_H_P_old</vt:lpstr>
      <vt:lpstr>v_75_XHAO_L</vt:lpstr>
      <vt:lpstr>v_75_XHAO_L_P</vt:lpstr>
      <vt:lpstr>v_75_XHAO_L_P_old</vt:lpstr>
      <vt:lpstr>v_75_XHAO_old</vt:lpstr>
      <vt:lpstr>v_75_XHFO_H</vt:lpstr>
      <vt:lpstr>v_75_XHFO_H_P</vt:lpstr>
      <vt:lpstr>v_75_XHFO_H_P_old</vt:lpstr>
      <vt:lpstr>v_75_XHFO_L</vt:lpstr>
      <vt:lpstr>v_75_XHFO_L_P</vt:lpstr>
      <vt:lpstr>v_75_XHFO_L_P_old</vt:lpstr>
      <vt:lpstr>v_75_XHFO_old</vt:lpstr>
      <vt:lpstr>v_75_XHMETO</vt:lpstr>
      <vt:lpstr>v_75_XHSRO</vt:lpstr>
      <vt:lpstr>v_75_XINORG</vt:lpstr>
      <vt:lpstr>v_75_XMEOLO</vt:lpstr>
      <vt:lpstr>v_75_XMOB</vt:lpstr>
      <vt:lpstr>v_75_XN_B</vt:lpstr>
      <vt:lpstr>v_75_XN_U</vt:lpstr>
      <vt:lpstr>v_75_XNOB</vt:lpstr>
      <vt:lpstr>v_75_XOHO</vt:lpstr>
      <vt:lpstr>v_75_XP_B</vt:lpstr>
      <vt:lpstr>v_75_XP_U</vt:lpstr>
      <vt:lpstr>v_75_XPHA</vt:lpstr>
      <vt:lpstr>v_75_XPP</vt:lpstr>
      <vt:lpstr>v_75_XS</vt:lpstr>
      <vt:lpstr>v_75_XSOO</vt:lpstr>
      <vt:lpstr>v_75_XSTR</vt:lpstr>
      <vt:lpstr>v_75_XU</vt:lpstr>
      <vt:lpstr>v_75_XVivi</vt:lpstr>
      <vt:lpstr>v_76_CB</vt:lpstr>
      <vt:lpstr>v_76_CU</vt:lpstr>
      <vt:lpstr>v_76_GCH4</vt:lpstr>
      <vt:lpstr>v_76_GCH4_atm</vt:lpstr>
      <vt:lpstr>v_76_GCO2</vt:lpstr>
      <vt:lpstr>v_76_GCO2_atm</vt:lpstr>
      <vt:lpstr>v_76_GH2</vt:lpstr>
      <vt:lpstr>v_76_GH2_atm</vt:lpstr>
      <vt:lpstr>v_76_GH2S</vt:lpstr>
      <vt:lpstr>v_76_GH2S_atm</vt:lpstr>
      <vt:lpstr>v_76_GN2</vt:lpstr>
      <vt:lpstr>v_76_GN2_atm</vt:lpstr>
      <vt:lpstr>v_76_GN2O</vt:lpstr>
      <vt:lpstr>v_76_GN2O_atm</vt:lpstr>
      <vt:lpstr>v_76_GNH3</vt:lpstr>
      <vt:lpstr>v_76_GNH3_atm</vt:lpstr>
      <vt:lpstr>v_76_GNO</vt:lpstr>
      <vt:lpstr>v_76_GNO_atm</vt:lpstr>
      <vt:lpstr>v_76_GO2</vt:lpstr>
      <vt:lpstr>v_76_GO2_atm</vt:lpstr>
      <vt:lpstr>v_76_H</vt:lpstr>
      <vt:lpstr>v_76_SALPHA</vt:lpstr>
      <vt:lpstr>v_76_SAN</vt:lpstr>
      <vt:lpstr>v_76_SB</vt:lpstr>
      <vt:lpstr>v_76_SCa</vt:lpstr>
      <vt:lpstr>v_76_SCAT</vt:lpstr>
      <vt:lpstr>v_76_SCH4</vt:lpstr>
      <vt:lpstr>v_76_SCO2</vt:lpstr>
      <vt:lpstr>v_76_SFe2</vt:lpstr>
      <vt:lpstr>v_76_SH2</vt:lpstr>
      <vt:lpstr>v_76_SH2S</vt:lpstr>
      <vt:lpstr>v_76_SK</vt:lpstr>
      <vt:lpstr>v_76_SMEOL</vt:lpstr>
      <vt:lpstr>v_76_SMg</vt:lpstr>
      <vt:lpstr>v_76_SMM_index</vt:lpstr>
      <vt:lpstr>v_76_SN_B</vt:lpstr>
      <vt:lpstr>v_76_SN2</vt:lpstr>
      <vt:lpstr>v_76_SN2O</vt:lpstr>
      <vt:lpstr>v_76_SNH2OH</vt:lpstr>
      <vt:lpstr>v_76_SNHx</vt:lpstr>
      <vt:lpstr>v_76_SNO_AOB</vt:lpstr>
      <vt:lpstr>v_76_SNO_OHO</vt:lpstr>
      <vt:lpstr>v_76_SNO2</vt:lpstr>
      <vt:lpstr>v_76_SNO3</vt:lpstr>
      <vt:lpstr>v_76_SO2</vt:lpstr>
      <vt:lpstr>v_76_SP_B</vt:lpstr>
      <vt:lpstr>v_76_SPO4</vt:lpstr>
      <vt:lpstr>v_76_SSO4</vt:lpstr>
      <vt:lpstr>v_76_SU</vt:lpstr>
      <vt:lpstr>v_76_SVFA</vt:lpstr>
      <vt:lpstr>v_76_XACP</vt:lpstr>
      <vt:lpstr>v_76_XAMETO</vt:lpstr>
      <vt:lpstr>v_76_XAMX</vt:lpstr>
      <vt:lpstr>v_76_XAOB</vt:lpstr>
      <vt:lpstr>v_76_XASRO</vt:lpstr>
      <vt:lpstr>v_76_XB</vt:lpstr>
      <vt:lpstr>v_76_XBSH</vt:lpstr>
      <vt:lpstr>v_76_XCaCO3</vt:lpstr>
      <vt:lpstr>v_76_XCASTO</vt:lpstr>
      <vt:lpstr>v_76_XE</vt:lpstr>
      <vt:lpstr>v_76_XE_ana</vt:lpstr>
      <vt:lpstr>v_76_XFeS</vt:lpstr>
      <vt:lpstr>v_76_XGLY</vt:lpstr>
      <vt:lpstr>v_76_XHAO_H</vt:lpstr>
      <vt:lpstr>v_76_XHAO_H_P</vt:lpstr>
      <vt:lpstr>v_76_XHAO_H_P_old</vt:lpstr>
      <vt:lpstr>v_76_XHAO_L</vt:lpstr>
      <vt:lpstr>v_76_XHAO_L_P</vt:lpstr>
      <vt:lpstr>v_76_XHAO_L_P_old</vt:lpstr>
      <vt:lpstr>v_76_XHAO_old</vt:lpstr>
      <vt:lpstr>v_76_XHFO_H</vt:lpstr>
      <vt:lpstr>v_76_XHFO_H_P</vt:lpstr>
      <vt:lpstr>v_76_XHFO_H_P_old</vt:lpstr>
      <vt:lpstr>v_76_XHFO_L</vt:lpstr>
      <vt:lpstr>v_76_XHFO_L_P</vt:lpstr>
      <vt:lpstr>v_76_XHFO_L_P_old</vt:lpstr>
      <vt:lpstr>v_76_XHFO_old</vt:lpstr>
      <vt:lpstr>v_76_XHMETO</vt:lpstr>
      <vt:lpstr>v_76_XHSRO</vt:lpstr>
      <vt:lpstr>v_76_XINORG</vt:lpstr>
      <vt:lpstr>v_76_XMEOLO</vt:lpstr>
      <vt:lpstr>v_76_XMOB</vt:lpstr>
      <vt:lpstr>v_76_XN_B</vt:lpstr>
      <vt:lpstr>v_76_XN_U</vt:lpstr>
      <vt:lpstr>v_76_XNOB</vt:lpstr>
      <vt:lpstr>v_76_XOHO</vt:lpstr>
      <vt:lpstr>v_76_XP_B</vt:lpstr>
      <vt:lpstr>v_76_XP_U</vt:lpstr>
      <vt:lpstr>v_76_XPHA</vt:lpstr>
      <vt:lpstr>v_76_XPP</vt:lpstr>
      <vt:lpstr>v_76_XS</vt:lpstr>
      <vt:lpstr>v_76_XSOO</vt:lpstr>
      <vt:lpstr>v_76_XSTR</vt:lpstr>
      <vt:lpstr>v_76_XU</vt:lpstr>
      <vt:lpstr>v_76_XVivi</vt:lpstr>
      <vt:lpstr>v_77_CB</vt:lpstr>
      <vt:lpstr>v_77_CU</vt:lpstr>
      <vt:lpstr>v_77_GCH4</vt:lpstr>
      <vt:lpstr>v_77_GCH4_atm</vt:lpstr>
      <vt:lpstr>v_77_GCO2</vt:lpstr>
      <vt:lpstr>v_77_GCO2_atm</vt:lpstr>
      <vt:lpstr>v_77_GH2</vt:lpstr>
      <vt:lpstr>v_77_GH2_atm</vt:lpstr>
      <vt:lpstr>v_77_GH2S</vt:lpstr>
      <vt:lpstr>v_77_GH2S_atm</vt:lpstr>
      <vt:lpstr>v_77_GN2</vt:lpstr>
      <vt:lpstr>v_77_GN2_atm</vt:lpstr>
      <vt:lpstr>v_77_GN2O</vt:lpstr>
      <vt:lpstr>v_77_GN2O_atm</vt:lpstr>
      <vt:lpstr>v_77_GNH3</vt:lpstr>
      <vt:lpstr>v_77_GNH3_atm</vt:lpstr>
      <vt:lpstr>v_77_GNO</vt:lpstr>
      <vt:lpstr>v_77_GNO_atm</vt:lpstr>
      <vt:lpstr>v_77_GO2</vt:lpstr>
      <vt:lpstr>v_77_GO2_atm</vt:lpstr>
      <vt:lpstr>v_77_H</vt:lpstr>
      <vt:lpstr>v_77_SALPHA</vt:lpstr>
      <vt:lpstr>v_77_SAN</vt:lpstr>
      <vt:lpstr>v_77_SB</vt:lpstr>
      <vt:lpstr>v_77_SCa</vt:lpstr>
      <vt:lpstr>v_77_SCAT</vt:lpstr>
      <vt:lpstr>v_77_SCH4</vt:lpstr>
      <vt:lpstr>v_77_SCO2</vt:lpstr>
      <vt:lpstr>v_77_SFe2</vt:lpstr>
      <vt:lpstr>v_77_SH2</vt:lpstr>
      <vt:lpstr>v_77_SH2S</vt:lpstr>
      <vt:lpstr>v_77_SK</vt:lpstr>
      <vt:lpstr>v_77_SMEOL</vt:lpstr>
      <vt:lpstr>v_77_SMg</vt:lpstr>
      <vt:lpstr>v_77_SMM_index</vt:lpstr>
      <vt:lpstr>v_77_SN_B</vt:lpstr>
      <vt:lpstr>v_77_SN2</vt:lpstr>
      <vt:lpstr>v_77_SN2O</vt:lpstr>
      <vt:lpstr>v_77_SNH2OH</vt:lpstr>
      <vt:lpstr>v_77_SNHx</vt:lpstr>
      <vt:lpstr>v_77_SNO_AOB</vt:lpstr>
      <vt:lpstr>v_77_SNO_OHO</vt:lpstr>
      <vt:lpstr>v_77_SNO2</vt:lpstr>
      <vt:lpstr>v_77_SNO3</vt:lpstr>
      <vt:lpstr>v_77_SO2</vt:lpstr>
      <vt:lpstr>v_77_SP_B</vt:lpstr>
      <vt:lpstr>v_77_SPO4</vt:lpstr>
      <vt:lpstr>v_77_SSO4</vt:lpstr>
      <vt:lpstr>v_77_SU</vt:lpstr>
      <vt:lpstr>v_77_SVFA</vt:lpstr>
      <vt:lpstr>v_77_XACP</vt:lpstr>
      <vt:lpstr>v_77_XAMETO</vt:lpstr>
      <vt:lpstr>v_77_XAMX</vt:lpstr>
      <vt:lpstr>v_77_XAOB</vt:lpstr>
      <vt:lpstr>v_77_XASRO</vt:lpstr>
      <vt:lpstr>v_77_XB</vt:lpstr>
      <vt:lpstr>v_77_XBSH</vt:lpstr>
      <vt:lpstr>v_77_XCaCO3</vt:lpstr>
      <vt:lpstr>v_77_XCASTO</vt:lpstr>
      <vt:lpstr>v_77_XE</vt:lpstr>
      <vt:lpstr>v_77_XE_ana</vt:lpstr>
      <vt:lpstr>v_77_XFeS</vt:lpstr>
      <vt:lpstr>v_77_XGLY</vt:lpstr>
      <vt:lpstr>v_77_XHAO_H</vt:lpstr>
      <vt:lpstr>v_77_XHAO_H_P</vt:lpstr>
      <vt:lpstr>v_77_XHAO_H_P_old</vt:lpstr>
      <vt:lpstr>v_77_XHAO_L</vt:lpstr>
      <vt:lpstr>v_77_XHAO_L_P</vt:lpstr>
      <vt:lpstr>v_77_XHAO_L_P_old</vt:lpstr>
      <vt:lpstr>v_77_XHAO_old</vt:lpstr>
      <vt:lpstr>v_77_XHFO_H</vt:lpstr>
      <vt:lpstr>v_77_XHFO_H_P</vt:lpstr>
      <vt:lpstr>v_77_XHFO_H_P_old</vt:lpstr>
      <vt:lpstr>v_77_XHFO_L</vt:lpstr>
      <vt:lpstr>v_77_XHFO_L_P</vt:lpstr>
      <vt:lpstr>v_77_XHFO_L_P_old</vt:lpstr>
      <vt:lpstr>v_77_XHFO_old</vt:lpstr>
      <vt:lpstr>v_77_XHMETO</vt:lpstr>
      <vt:lpstr>v_77_XHSRO</vt:lpstr>
      <vt:lpstr>v_77_XINORG</vt:lpstr>
      <vt:lpstr>v_77_XMEOLO</vt:lpstr>
      <vt:lpstr>v_77_XMOB</vt:lpstr>
      <vt:lpstr>v_77_XN_B</vt:lpstr>
      <vt:lpstr>v_77_XN_U</vt:lpstr>
      <vt:lpstr>v_77_XNOB</vt:lpstr>
      <vt:lpstr>v_77_XOHO</vt:lpstr>
      <vt:lpstr>v_77_XP_B</vt:lpstr>
      <vt:lpstr>v_77_XP_U</vt:lpstr>
      <vt:lpstr>v_77_XPHA</vt:lpstr>
      <vt:lpstr>v_77_XPP</vt:lpstr>
      <vt:lpstr>v_77_XS</vt:lpstr>
      <vt:lpstr>v_77_XSOO</vt:lpstr>
      <vt:lpstr>v_77_XSTR</vt:lpstr>
      <vt:lpstr>v_77_XU</vt:lpstr>
      <vt:lpstr>v_77_XVivi</vt:lpstr>
      <vt:lpstr>v_78_CB</vt:lpstr>
      <vt:lpstr>v_78_CU</vt:lpstr>
      <vt:lpstr>v_78_GCH4</vt:lpstr>
      <vt:lpstr>v_78_GCH4_atm</vt:lpstr>
      <vt:lpstr>v_78_GCO2</vt:lpstr>
      <vt:lpstr>v_78_GCO2_atm</vt:lpstr>
      <vt:lpstr>v_78_GH2</vt:lpstr>
      <vt:lpstr>v_78_GH2_atm</vt:lpstr>
      <vt:lpstr>v_78_GH2S</vt:lpstr>
      <vt:lpstr>v_78_GH2S_atm</vt:lpstr>
      <vt:lpstr>v_78_GN2</vt:lpstr>
      <vt:lpstr>v_78_GN2_atm</vt:lpstr>
      <vt:lpstr>v_78_GN2O</vt:lpstr>
      <vt:lpstr>v_78_GN2O_atm</vt:lpstr>
      <vt:lpstr>v_78_GNH3</vt:lpstr>
      <vt:lpstr>v_78_GNH3_atm</vt:lpstr>
      <vt:lpstr>v_78_GNO</vt:lpstr>
      <vt:lpstr>v_78_GNO_atm</vt:lpstr>
      <vt:lpstr>v_78_GO2</vt:lpstr>
      <vt:lpstr>v_78_GO2_atm</vt:lpstr>
      <vt:lpstr>v_78_H</vt:lpstr>
      <vt:lpstr>v_78_SALPHA</vt:lpstr>
      <vt:lpstr>v_78_SAN</vt:lpstr>
      <vt:lpstr>v_78_SB</vt:lpstr>
      <vt:lpstr>v_78_SCa</vt:lpstr>
      <vt:lpstr>v_78_SCAT</vt:lpstr>
      <vt:lpstr>v_78_SCH4</vt:lpstr>
      <vt:lpstr>v_78_SCO2</vt:lpstr>
      <vt:lpstr>v_78_SFe2</vt:lpstr>
      <vt:lpstr>v_78_SH2</vt:lpstr>
      <vt:lpstr>v_78_SH2S</vt:lpstr>
      <vt:lpstr>v_78_SK</vt:lpstr>
      <vt:lpstr>v_78_SMEOL</vt:lpstr>
      <vt:lpstr>v_78_SMg</vt:lpstr>
      <vt:lpstr>v_78_SMM_index</vt:lpstr>
      <vt:lpstr>v_78_SN_B</vt:lpstr>
      <vt:lpstr>v_78_SN2</vt:lpstr>
      <vt:lpstr>v_78_SN2O</vt:lpstr>
      <vt:lpstr>v_78_SNH2OH</vt:lpstr>
      <vt:lpstr>v_78_SNHx</vt:lpstr>
      <vt:lpstr>v_78_SNO_AOB</vt:lpstr>
      <vt:lpstr>v_78_SNO_OHO</vt:lpstr>
      <vt:lpstr>v_78_SNO2</vt:lpstr>
      <vt:lpstr>v_78_SNO3</vt:lpstr>
      <vt:lpstr>v_78_SO2</vt:lpstr>
      <vt:lpstr>v_78_SP_B</vt:lpstr>
      <vt:lpstr>v_78_SPO4</vt:lpstr>
      <vt:lpstr>v_78_SSO4</vt:lpstr>
      <vt:lpstr>v_78_SU</vt:lpstr>
      <vt:lpstr>v_78_SVFA</vt:lpstr>
      <vt:lpstr>v_78_XACP</vt:lpstr>
      <vt:lpstr>v_78_XAMETO</vt:lpstr>
      <vt:lpstr>v_78_XAMX</vt:lpstr>
      <vt:lpstr>v_78_XAOB</vt:lpstr>
      <vt:lpstr>v_78_XASRO</vt:lpstr>
      <vt:lpstr>v_78_XB</vt:lpstr>
      <vt:lpstr>v_78_XBSH</vt:lpstr>
      <vt:lpstr>v_78_XCaCO3</vt:lpstr>
      <vt:lpstr>v_78_XCASTO</vt:lpstr>
      <vt:lpstr>v_78_XE</vt:lpstr>
      <vt:lpstr>v_78_XE_ana</vt:lpstr>
      <vt:lpstr>v_78_XFeS</vt:lpstr>
      <vt:lpstr>v_78_XGLY</vt:lpstr>
      <vt:lpstr>v_78_XHAO_H</vt:lpstr>
      <vt:lpstr>v_78_XHAO_H_P</vt:lpstr>
      <vt:lpstr>v_78_XHAO_H_P_old</vt:lpstr>
      <vt:lpstr>v_78_XHAO_L</vt:lpstr>
      <vt:lpstr>v_78_XHAO_L_P</vt:lpstr>
      <vt:lpstr>v_78_XHAO_L_P_old</vt:lpstr>
      <vt:lpstr>v_78_XHAO_old</vt:lpstr>
      <vt:lpstr>v_78_XHFO_H</vt:lpstr>
      <vt:lpstr>v_78_XHFO_H_P</vt:lpstr>
      <vt:lpstr>v_78_XHFO_H_P_old</vt:lpstr>
      <vt:lpstr>v_78_XHFO_L</vt:lpstr>
      <vt:lpstr>v_78_XHFO_L_P</vt:lpstr>
      <vt:lpstr>v_78_XHFO_L_P_old</vt:lpstr>
      <vt:lpstr>v_78_XHFO_old</vt:lpstr>
      <vt:lpstr>v_78_XHMETO</vt:lpstr>
      <vt:lpstr>v_78_XHSRO</vt:lpstr>
      <vt:lpstr>v_78_XINORG</vt:lpstr>
      <vt:lpstr>v_78_XMEOLO</vt:lpstr>
      <vt:lpstr>v_78_XMOB</vt:lpstr>
      <vt:lpstr>v_78_XN_B</vt:lpstr>
      <vt:lpstr>v_78_XN_U</vt:lpstr>
      <vt:lpstr>v_78_XNOB</vt:lpstr>
      <vt:lpstr>v_78_XOHO</vt:lpstr>
      <vt:lpstr>v_78_XP_B</vt:lpstr>
      <vt:lpstr>v_78_XP_U</vt:lpstr>
      <vt:lpstr>v_78_XPHA</vt:lpstr>
      <vt:lpstr>v_78_XPP</vt:lpstr>
      <vt:lpstr>v_78_XS</vt:lpstr>
      <vt:lpstr>v_78_XSOO</vt:lpstr>
      <vt:lpstr>v_78_XSTR</vt:lpstr>
      <vt:lpstr>v_78_XU</vt:lpstr>
      <vt:lpstr>v_78_XVivi</vt:lpstr>
      <vt:lpstr>v_79_CB</vt:lpstr>
      <vt:lpstr>v_79_CU</vt:lpstr>
      <vt:lpstr>v_79_GCH4</vt:lpstr>
      <vt:lpstr>v_79_GCH4_atm</vt:lpstr>
      <vt:lpstr>v_79_GCO2</vt:lpstr>
      <vt:lpstr>v_79_GCO2_atm</vt:lpstr>
      <vt:lpstr>v_79_GH2</vt:lpstr>
      <vt:lpstr>v_79_GH2_atm</vt:lpstr>
      <vt:lpstr>v_79_GH2S</vt:lpstr>
      <vt:lpstr>v_79_GH2S_atm</vt:lpstr>
      <vt:lpstr>v_79_GN2</vt:lpstr>
      <vt:lpstr>v_79_GN2_atm</vt:lpstr>
      <vt:lpstr>v_79_GN2O</vt:lpstr>
      <vt:lpstr>v_79_GN2O_atm</vt:lpstr>
      <vt:lpstr>v_79_GNH3</vt:lpstr>
      <vt:lpstr>v_79_GNH3_atm</vt:lpstr>
      <vt:lpstr>v_79_GNO</vt:lpstr>
      <vt:lpstr>v_79_GNO_atm</vt:lpstr>
      <vt:lpstr>v_79_GO2</vt:lpstr>
      <vt:lpstr>v_79_GO2_atm</vt:lpstr>
      <vt:lpstr>v_79_H</vt:lpstr>
      <vt:lpstr>v_79_SALPHA</vt:lpstr>
      <vt:lpstr>v_79_SAN</vt:lpstr>
      <vt:lpstr>v_79_SB</vt:lpstr>
      <vt:lpstr>v_79_SCa</vt:lpstr>
      <vt:lpstr>v_79_SCAT</vt:lpstr>
      <vt:lpstr>v_79_SCH4</vt:lpstr>
      <vt:lpstr>v_79_SCO2</vt:lpstr>
      <vt:lpstr>v_79_SFe2</vt:lpstr>
      <vt:lpstr>v_79_SH2</vt:lpstr>
      <vt:lpstr>v_79_SH2S</vt:lpstr>
      <vt:lpstr>v_79_SK</vt:lpstr>
      <vt:lpstr>v_79_SMEOL</vt:lpstr>
      <vt:lpstr>v_79_SMg</vt:lpstr>
      <vt:lpstr>v_79_SMM_index</vt:lpstr>
      <vt:lpstr>v_79_SN_B</vt:lpstr>
      <vt:lpstr>v_79_SN2</vt:lpstr>
      <vt:lpstr>v_79_SN2O</vt:lpstr>
      <vt:lpstr>v_79_SNH2OH</vt:lpstr>
      <vt:lpstr>v_79_SNHx</vt:lpstr>
      <vt:lpstr>v_79_SNO_AOB</vt:lpstr>
      <vt:lpstr>v_79_SNO_OHO</vt:lpstr>
      <vt:lpstr>v_79_SNO2</vt:lpstr>
      <vt:lpstr>v_79_SNO3</vt:lpstr>
      <vt:lpstr>v_79_SO2</vt:lpstr>
      <vt:lpstr>v_79_SP_B</vt:lpstr>
      <vt:lpstr>v_79_SPO4</vt:lpstr>
      <vt:lpstr>v_79_SSO4</vt:lpstr>
      <vt:lpstr>v_79_SU</vt:lpstr>
      <vt:lpstr>v_79_SVFA</vt:lpstr>
      <vt:lpstr>v_79_XACP</vt:lpstr>
      <vt:lpstr>v_79_XAMETO</vt:lpstr>
      <vt:lpstr>v_79_XAMX</vt:lpstr>
      <vt:lpstr>v_79_XAOB</vt:lpstr>
      <vt:lpstr>v_79_XASRO</vt:lpstr>
      <vt:lpstr>v_79_XB</vt:lpstr>
      <vt:lpstr>v_79_XBSH</vt:lpstr>
      <vt:lpstr>v_79_XCaCO3</vt:lpstr>
      <vt:lpstr>v_79_XCASTO</vt:lpstr>
      <vt:lpstr>v_79_XE</vt:lpstr>
      <vt:lpstr>v_79_XE_ana</vt:lpstr>
      <vt:lpstr>v_79_XFeS</vt:lpstr>
      <vt:lpstr>v_79_XGLY</vt:lpstr>
      <vt:lpstr>v_79_XHAO_H</vt:lpstr>
      <vt:lpstr>v_79_XHAO_H_P</vt:lpstr>
      <vt:lpstr>v_79_XHAO_H_P_old</vt:lpstr>
      <vt:lpstr>v_79_XHAO_L</vt:lpstr>
      <vt:lpstr>v_79_XHAO_L_P</vt:lpstr>
      <vt:lpstr>v_79_XHAO_L_P_old</vt:lpstr>
      <vt:lpstr>v_79_XHAO_old</vt:lpstr>
      <vt:lpstr>v_79_XHFO_H</vt:lpstr>
      <vt:lpstr>v_79_XHFO_H_P</vt:lpstr>
      <vt:lpstr>v_79_XHFO_H_P_old</vt:lpstr>
      <vt:lpstr>v_79_XHFO_L</vt:lpstr>
      <vt:lpstr>v_79_XHFO_L_P</vt:lpstr>
      <vt:lpstr>v_79_XHFO_L_P_old</vt:lpstr>
      <vt:lpstr>v_79_XHFO_old</vt:lpstr>
      <vt:lpstr>v_79_XHMETO</vt:lpstr>
      <vt:lpstr>v_79_XHSRO</vt:lpstr>
      <vt:lpstr>v_79_XINORG</vt:lpstr>
      <vt:lpstr>v_79_XMEOLO</vt:lpstr>
      <vt:lpstr>v_79_XMOB</vt:lpstr>
      <vt:lpstr>v_79_XN_B</vt:lpstr>
      <vt:lpstr>v_79_XN_U</vt:lpstr>
      <vt:lpstr>v_79_XNOB</vt:lpstr>
      <vt:lpstr>v_79_XOHO</vt:lpstr>
      <vt:lpstr>v_79_XP_B</vt:lpstr>
      <vt:lpstr>v_79_XP_U</vt:lpstr>
      <vt:lpstr>v_79_XPHA</vt:lpstr>
      <vt:lpstr>v_79_XPP</vt:lpstr>
      <vt:lpstr>v_79_XS</vt:lpstr>
      <vt:lpstr>v_79_XSOO</vt:lpstr>
      <vt:lpstr>v_79_XSTR</vt:lpstr>
      <vt:lpstr>v_79_XU</vt:lpstr>
      <vt:lpstr>v_79_XVivi</vt:lpstr>
      <vt:lpstr>v_8_CB</vt:lpstr>
      <vt:lpstr>v_8_CU</vt:lpstr>
      <vt:lpstr>v_8_GCH4</vt:lpstr>
      <vt:lpstr>v_8_GCH4_atm</vt:lpstr>
      <vt:lpstr>v_8_GCO2</vt:lpstr>
      <vt:lpstr>v_8_GCO2_atm</vt:lpstr>
      <vt:lpstr>v_8_GH2</vt:lpstr>
      <vt:lpstr>v_8_GH2_atm</vt:lpstr>
      <vt:lpstr>v_8_GH2S</vt:lpstr>
      <vt:lpstr>v_8_GH2S_atm</vt:lpstr>
      <vt:lpstr>v_8_GN2</vt:lpstr>
      <vt:lpstr>v_8_GN2_atm</vt:lpstr>
      <vt:lpstr>v_8_GN2O</vt:lpstr>
      <vt:lpstr>v_8_GN2O_atm</vt:lpstr>
      <vt:lpstr>v_8_GNH3</vt:lpstr>
      <vt:lpstr>v_8_GNH3_atm</vt:lpstr>
      <vt:lpstr>v_8_GNO</vt:lpstr>
      <vt:lpstr>v_8_GNO_atm</vt:lpstr>
      <vt:lpstr>v_8_GO2</vt:lpstr>
      <vt:lpstr>v_8_GO2_atm</vt:lpstr>
      <vt:lpstr>v_8_H</vt:lpstr>
      <vt:lpstr>v_8_SALPHA</vt:lpstr>
      <vt:lpstr>v_8_SAN</vt:lpstr>
      <vt:lpstr>v_8_SB</vt:lpstr>
      <vt:lpstr>v_8_SCa</vt:lpstr>
      <vt:lpstr>v_8_SCAT</vt:lpstr>
      <vt:lpstr>v_8_SCH4</vt:lpstr>
      <vt:lpstr>v_8_SCO2</vt:lpstr>
      <vt:lpstr>v_8_SFe2</vt:lpstr>
      <vt:lpstr>v_8_SH2</vt:lpstr>
      <vt:lpstr>v_8_SH2S</vt:lpstr>
      <vt:lpstr>v_8_SK</vt:lpstr>
      <vt:lpstr>v_8_SMEOL</vt:lpstr>
      <vt:lpstr>v_8_SMg</vt:lpstr>
      <vt:lpstr>v_8_SMM_index</vt:lpstr>
      <vt:lpstr>v_8_SN_B</vt:lpstr>
      <vt:lpstr>v_8_SN2</vt:lpstr>
      <vt:lpstr>v_8_SN2O</vt:lpstr>
      <vt:lpstr>v_8_SNH2OH</vt:lpstr>
      <vt:lpstr>v_8_SNHx</vt:lpstr>
      <vt:lpstr>v_8_SNO_AOB</vt:lpstr>
      <vt:lpstr>v_8_SNO_OHO</vt:lpstr>
      <vt:lpstr>v_8_SNO2</vt:lpstr>
      <vt:lpstr>v_8_SNO3</vt:lpstr>
      <vt:lpstr>v_8_SO2</vt:lpstr>
      <vt:lpstr>v_8_SP_B</vt:lpstr>
      <vt:lpstr>v_8_SPO4</vt:lpstr>
      <vt:lpstr>v_8_SSO4</vt:lpstr>
      <vt:lpstr>v_8_SU</vt:lpstr>
      <vt:lpstr>v_8_SVFA</vt:lpstr>
      <vt:lpstr>v_8_XACP</vt:lpstr>
      <vt:lpstr>v_8_XAMETO</vt:lpstr>
      <vt:lpstr>v_8_XAMX</vt:lpstr>
      <vt:lpstr>v_8_XAOB</vt:lpstr>
      <vt:lpstr>v_8_XASRO</vt:lpstr>
      <vt:lpstr>v_8_XB</vt:lpstr>
      <vt:lpstr>v_8_XBSH</vt:lpstr>
      <vt:lpstr>v_8_XCaCO3</vt:lpstr>
      <vt:lpstr>v_8_XCASTO</vt:lpstr>
      <vt:lpstr>v_8_XE</vt:lpstr>
      <vt:lpstr>v_8_XE_ana</vt:lpstr>
      <vt:lpstr>v_8_XFeS</vt:lpstr>
      <vt:lpstr>v_8_XGLY</vt:lpstr>
      <vt:lpstr>v_8_XHAO_H</vt:lpstr>
      <vt:lpstr>v_8_XHAO_H_P</vt:lpstr>
      <vt:lpstr>v_8_XHAO_H_P_old</vt:lpstr>
      <vt:lpstr>v_8_XHAO_L</vt:lpstr>
      <vt:lpstr>v_8_XHAO_L_P</vt:lpstr>
      <vt:lpstr>v_8_XHAO_L_P_old</vt:lpstr>
      <vt:lpstr>v_8_XHAO_old</vt:lpstr>
      <vt:lpstr>v_8_XHFO_H</vt:lpstr>
      <vt:lpstr>v_8_XHFO_H_P</vt:lpstr>
      <vt:lpstr>v_8_XHFO_H_P_old</vt:lpstr>
      <vt:lpstr>v_8_XHFO_L</vt:lpstr>
      <vt:lpstr>v_8_XHFO_L_P</vt:lpstr>
      <vt:lpstr>v_8_XHFO_L_P_old</vt:lpstr>
      <vt:lpstr>v_8_XHFO_old</vt:lpstr>
      <vt:lpstr>v_8_XHMETO</vt:lpstr>
      <vt:lpstr>v_8_XHSRO</vt:lpstr>
      <vt:lpstr>v_8_XINORG</vt:lpstr>
      <vt:lpstr>v_8_XMEOLO</vt:lpstr>
      <vt:lpstr>v_8_XMOB</vt:lpstr>
      <vt:lpstr>v_8_XN_B</vt:lpstr>
      <vt:lpstr>v_8_XN_U</vt:lpstr>
      <vt:lpstr>v_8_XNOB</vt:lpstr>
      <vt:lpstr>v_8_XOHO</vt:lpstr>
      <vt:lpstr>v_8_XP_B</vt:lpstr>
      <vt:lpstr>v_8_XP_U</vt:lpstr>
      <vt:lpstr>v_8_XPHA</vt:lpstr>
      <vt:lpstr>v_8_XPP</vt:lpstr>
      <vt:lpstr>v_8_XS</vt:lpstr>
      <vt:lpstr>v_8_XSOO</vt:lpstr>
      <vt:lpstr>v_8_XSTR</vt:lpstr>
      <vt:lpstr>v_8_XU</vt:lpstr>
      <vt:lpstr>v_8_XVivi</vt:lpstr>
      <vt:lpstr>v_80_CB</vt:lpstr>
      <vt:lpstr>v_80_CU</vt:lpstr>
      <vt:lpstr>v_80_GCH4</vt:lpstr>
      <vt:lpstr>v_80_GCH4_atm</vt:lpstr>
      <vt:lpstr>v_80_GCO2</vt:lpstr>
      <vt:lpstr>v_80_GCO2_atm</vt:lpstr>
      <vt:lpstr>v_80_GH2</vt:lpstr>
      <vt:lpstr>v_80_GH2_atm</vt:lpstr>
      <vt:lpstr>v_80_GH2S</vt:lpstr>
      <vt:lpstr>v_80_GH2S_atm</vt:lpstr>
      <vt:lpstr>v_80_GN2</vt:lpstr>
      <vt:lpstr>v_80_GN2_atm</vt:lpstr>
      <vt:lpstr>v_80_GN2O</vt:lpstr>
      <vt:lpstr>v_80_GN2O_atm</vt:lpstr>
      <vt:lpstr>v_80_GNH3</vt:lpstr>
      <vt:lpstr>v_80_GNH3_atm</vt:lpstr>
      <vt:lpstr>v_80_GNO</vt:lpstr>
      <vt:lpstr>v_80_GNO_atm</vt:lpstr>
      <vt:lpstr>v_80_GO2</vt:lpstr>
      <vt:lpstr>v_80_GO2_atm</vt:lpstr>
      <vt:lpstr>v_80_H</vt:lpstr>
      <vt:lpstr>v_80_SALPHA</vt:lpstr>
      <vt:lpstr>v_80_SAN</vt:lpstr>
      <vt:lpstr>v_80_SB</vt:lpstr>
      <vt:lpstr>v_80_SCa</vt:lpstr>
      <vt:lpstr>v_80_SCAT</vt:lpstr>
      <vt:lpstr>v_80_SCH4</vt:lpstr>
      <vt:lpstr>v_80_SCO2</vt:lpstr>
      <vt:lpstr>v_80_SFe2</vt:lpstr>
      <vt:lpstr>v_80_SH2</vt:lpstr>
      <vt:lpstr>v_80_SH2S</vt:lpstr>
      <vt:lpstr>v_80_SK</vt:lpstr>
      <vt:lpstr>v_80_SMEOL</vt:lpstr>
      <vt:lpstr>v_80_SMg</vt:lpstr>
      <vt:lpstr>v_80_SMM_index</vt:lpstr>
      <vt:lpstr>v_80_SN_B</vt:lpstr>
      <vt:lpstr>v_80_SN2</vt:lpstr>
      <vt:lpstr>v_80_SN2O</vt:lpstr>
      <vt:lpstr>v_80_SNH2OH</vt:lpstr>
      <vt:lpstr>v_80_SNHx</vt:lpstr>
      <vt:lpstr>v_80_SNO_AOB</vt:lpstr>
      <vt:lpstr>v_80_SNO_OHO</vt:lpstr>
      <vt:lpstr>v_80_SNO2</vt:lpstr>
      <vt:lpstr>v_80_SNO3</vt:lpstr>
      <vt:lpstr>v_80_SO2</vt:lpstr>
      <vt:lpstr>v_80_SP_B</vt:lpstr>
      <vt:lpstr>v_80_SPO4</vt:lpstr>
      <vt:lpstr>v_80_SSO4</vt:lpstr>
      <vt:lpstr>v_80_SU</vt:lpstr>
      <vt:lpstr>v_80_SVFA</vt:lpstr>
      <vt:lpstr>v_80_XACP</vt:lpstr>
      <vt:lpstr>v_80_XAMETO</vt:lpstr>
      <vt:lpstr>v_80_XAMX</vt:lpstr>
      <vt:lpstr>v_80_XAOB</vt:lpstr>
      <vt:lpstr>v_80_XASRO</vt:lpstr>
      <vt:lpstr>v_80_XB</vt:lpstr>
      <vt:lpstr>v_80_XBSH</vt:lpstr>
      <vt:lpstr>v_80_XCaCO3</vt:lpstr>
      <vt:lpstr>v_80_XCASTO</vt:lpstr>
      <vt:lpstr>v_80_XE</vt:lpstr>
      <vt:lpstr>v_80_XE_ana</vt:lpstr>
      <vt:lpstr>v_80_XFeS</vt:lpstr>
      <vt:lpstr>v_80_XGLY</vt:lpstr>
      <vt:lpstr>v_80_XHAO_H</vt:lpstr>
      <vt:lpstr>v_80_XHAO_H_P</vt:lpstr>
      <vt:lpstr>v_80_XHAO_H_P_old</vt:lpstr>
      <vt:lpstr>v_80_XHAO_L</vt:lpstr>
      <vt:lpstr>v_80_XHAO_L_P</vt:lpstr>
      <vt:lpstr>v_80_XHAO_L_P_old</vt:lpstr>
      <vt:lpstr>v_80_XHAO_old</vt:lpstr>
      <vt:lpstr>v_80_XHFO_H</vt:lpstr>
      <vt:lpstr>v_80_XHFO_H_P</vt:lpstr>
      <vt:lpstr>v_80_XHFO_H_P_old</vt:lpstr>
      <vt:lpstr>v_80_XHFO_L</vt:lpstr>
      <vt:lpstr>v_80_XHFO_L_P</vt:lpstr>
      <vt:lpstr>v_80_XHFO_L_P_old</vt:lpstr>
      <vt:lpstr>v_80_XHFO_old</vt:lpstr>
      <vt:lpstr>v_80_XHMETO</vt:lpstr>
      <vt:lpstr>v_80_XHSRO</vt:lpstr>
      <vt:lpstr>v_80_XINORG</vt:lpstr>
      <vt:lpstr>v_80_XMEOLO</vt:lpstr>
      <vt:lpstr>v_80_XMOB</vt:lpstr>
      <vt:lpstr>v_80_XN_B</vt:lpstr>
      <vt:lpstr>v_80_XN_U</vt:lpstr>
      <vt:lpstr>v_80_XNOB</vt:lpstr>
      <vt:lpstr>v_80_XOHO</vt:lpstr>
      <vt:lpstr>v_80_XP_B</vt:lpstr>
      <vt:lpstr>v_80_XP_U</vt:lpstr>
      <vt:lpstr>v_80_XPHA</vt:lpstr>
      <vt:lpstr>v_80_XPP</vt:lpstr>
      <vt:lpstr>v_80_XS</vt:lpstr>
      <vt:lpstr>v_80_XSOO</vt:lpstr>
      <vt:lpstr>v_80_XSTR</vt:lpstr>
      <vt:lpstr>v_80_XU</vt:lpstr>
      <vt:lpstr>v_80_XVivi</vt:lpstr>
      <vt:lpstr>v_81_CB</vt:lpstr>
      <vt:lpstr>v_81_CU</vt:lpstr>
      <vt:lpstr>v_81_GCH4</vt:lpstr>
      <vt:lpstr>v_81_GCH4_atm</vt:lpstr>
      <vt:lpstr>v_81_GCO2</vt:lpstr>
      <vt:lpstr>v_81_GCO2_atm</vt:lpstr>
      <vt:lpstr>v_81_GH2</vt:lpstr>
      <vt:lpstr>v_81_GH2_atm</vt:lpstr>
      <vt:lpstr>v_81_GH2S</vt:lpstr>
      <vt:lpstr>v_81_GH2S_atm</vt:lpstr>
      <vt:lpstr>v_81_GN2</vt:lpstr>
      <vt:lpstr>v_81_GN2_atm</vt:lpstr>
      <vt:lpstr>v_81_GN2O</vt:lpstr>
      <vt:lpstr>v_81_GN2O_atm</vt:lpstr>
      <vt:lpstr>v_81_GNH3</vt:lpstr>
      <vt:lpstr>v_81_GNH3_atm</vt:lpstr>
      <vt:lpstr>v_81_GNO</vt:lpstr>
      <vt:lpstr>v_81_GNO_atm</vt:lpstr>
      <vt:lpstr>v_81_GO2</vt:lpstr>
      <vt:lpstr>v_81_GO2_atm</vt:lpstr>
      <vt:lpstr>v_81_H</vt:lpstr>
      <vt:lpstr>v_81_SALPHA</vt:lpstr>
      <vt:lpstr>v_81_SAN</vt:lpstr>
      <vt:lpstr>v_81_SB</vt:lpstr>
      <vt:lpstr>v_81_SCa</vt:lpstr>
      <vt:lpstr>v_81_SCAT</vt:lpstr>
      <vt:lpstr>v_81_SCH4</vt:lpstr>
      <vt:lpstr>v_81_SCO2</vt:lpstr>
      <vt:lpstr>v_81_SFe2</vt:lpstr>
      <vt:lpstr>v_81_SH2</vt:lpstr>
      <vt:lpstr>v_81_SH2S</vt:lpstr>
      <vt:lpstr>v_81_SK</vt:lpstr>
      <vt:lpstr>v_81_SMEOL</vt:lpstr>
      <vt:lpstr>v_81_SMg</vt:lpstr>
      <vt:lpstr>v_81_SMM_index</vt:lpstr>
      <vt:lpstr>v_81_SN_B</vt:lpstr>
      <vt:lpstr>v_81_SN2</vt:lpstr>
      <vt:lpstr>v_81_SN2O</vt:lpstr>
      <vt:lpstr>v_81_SNH2OH</vt:lpstr>
      <vt:lpstr>v_81_SNHx</vt:lpstr>
      <vt:lpstr>v_81_SNO_AOB</vt:lpstr>
      <vt:lpstr>v_81_SNO_OHO</vt:lpstr>
      <vt:lpstr>v_81_SNO2</vt:lpstr>
      <vt:lpstr>v_81_SNO3</vt:lpstr>
      <vt:lpstr>v_81_SO2</vt:lpstr>
      <vt:lpstr>v_81_SP_B</vt:lpstr>
      <vt:lpstr>v_81_SPO4</vt:lpstr>
      <vt:lpstr>v_81_SSO4</vt:lpstr>
      <vt:lpstr>v_81_SU</vt:lpstr>
      <vt:lpstr>v_81_SVFA</vt:lpstr>
      <vt:lpstr>v_81_XACP</vt:lpstr>
      <vt:lpstr>v_81_XAMETO</vt:lpstr>
      <vt:lpstr>v_81_XAMX</vt:lpstr>
      <vt:lpstr>v_81_XAOB</vt:lpstr>
      <vt:lpstr>v_81_XASRO</vt:lpstr>
      <vt:lpstr>v_81_XB</vt:lpstr>
      <vt:lpstr>v_81_XBSH</vt:lpstr>
      <vt:lpstr>v_81_XCaCO3</vt:lpstr>
      <vt:lpstr>v_81_XCASTO</vt:lpstr>
      <vt:lpstr>v_81_XE</vt:lpstr>
      <vt:lpstr>v_81_XE_ana</vt:lpstr>
      <vt:lpstr>v_81_XFeS</vt:lpstr>
      <vt:lpstr>v_81_XGLY</vt:lpstr>
      <vt:lpstr>v_81_XHAO_H</vt:lpstr>
      <vt:lpstr>v_81_XHAO_H_P</vt:lpstr>
      <vt:lpstr>v_81_XHAO_H_P_old</vt:lpstr>
      <vt:lpstr>v_81_XHAO_L</vt:lpstr>
      <vt:lpstr>v_81_XHAO_L_P</vt:lpstr>
      <vt:lpstr>v_81_XHAO_L_P_old</vt:lpstr>
      <vt:lpstr>v_81_XHAO_old</vt:lpstr>
      <vt:lpstr>v_81_XHFO_H</vt:lpstr>
      <vt:lpstr>v_81_XHFO_H_P</vt:lpstr>
      <vt:lpstr>v_81_XHFO_H_P_old</vt:lpstr>
      <vt:lpstr>v_81_XHFO_L</vt:lpstr>
      <vt:lpstr>v_81_XHFO_L_P</vt:lpstr>
      <vt:lpstr>v_81_XHFO_L_P_old</vt:lpstr>
      <vt:lpstr>v_81_XHFO_old</vt:lpstr>
      <vt:lpstr>v_81_XHMETO</vt:lpstr>
      <vt:lpstr>v_81_XHSRO</vt:lpstr>
      <vt:lpstr>v_81_XINORG</vt:lpstr>
      <vt:lpstr>v_81_XMEOLO</vt:lpstr>
      <vt:lpstr>v_81_XMOB</vt:lpstr>
      <vt:lpstr>v_81_XN_B</vt:lpstr>
      <vt:lpstr>v_81_XN_U</vt:lpstr>
      <vt:lpstr>v_81_XNOB</vt:lpstr>
      <vt:lpstr>v_81_XOHO</vt:lpstr>
      <vt:lpstr>v_81_XP_B</vt:lpstr>
      <vt:lpstr>v_81_XP_U</vt:lpstr>
      <vt:lpstr>v_81_XPHA</vt:lpstr>
      <vt:lpstr>v_81_XPP</vt:lpstr>
      <vt:lpstr>v_81_XS</vt:lpstr>
      <vt:lpstr>v_81_XSOO</vt:lpstr>
      <vt:lpstr>v_81_XSTR</vt:lpstr>
      <vt:lpstr>v_81_XU</vt:lpstr>
      <vt:lpstr>v_81_XVivi</vt:lpstr>
      <vt:lpstr>v_82_CB</vt:lpstr>
      <vt:lpstr>v_82_CU</vt:lpstr>
      <vt:lpstr>v_82_GCH4</vt:lpstr>
      <vt:lpstr>v_82_GCH4_atm</vt:lpstr>
      <vt:lpstr>v_82_GCO2</vt:lpstr>
      <vt:lpstr>v_82_GCO2_atm</vt:lpstr>
      <vt:lpstr>v_82_GH2</vt:lpstr>
      <vt:lpstr>v_82_GH2_atm</vt:lpstr>
      <vt:lpstr>v_82_GH2S</vt:lpstr>
      <vt:lpstr>v_82_GH2S_atm</vt:lpstr>
      <vt:lpstr>v_82_GN2</vt:lpstr>
      <vt:lpstr>v_82_GN2_atm</vt:lpstr>
      <vt:lpstr>v_82_GN2O</vt:lpstr>
      <vt:lpstr>v_82_GN2O_atm</vt:lpstr>
      <vt:lpstr>v_82_GNH3</vt:lpstr>
      <vt:lpstr>v_82_GNH3_atm</vt:lpstr>
      <vt:lpstr>v_82_GNO</vt:lpstr>
      <vt:lpstr>v_82_GNO_atm</vt:lpstr>
      <vt:lpstr>v_82_GO2</vt:lpstr>
      <vt:lpstr>v_82_GO2_atm</vt:lpstr>
      <vt:lpstr>v_82_H</vt:lpstr>
      <vt:lpstr>v_82_SALPHA</vt:lpstr>
      <vt:lpstr>v_82_SAN</vt:lpstr>
      <vt:lpstr>v_82_SB</vt:lpstr>
      <vt:lpstr>v_82_SCa</vt:lpstr>
      <vt:lpstr>v_82_SCAT</vt:lpstr>
      <vt:lpstr>v_82_SCH4</vt:lpstr>
      <vt:lpstr>v_82_SCO2</vt:lpstr>
      <vt:lpstr>v_82_SFe2</vt:lpstr>
      <vt:lpstr>v_82_SH2</vt:lpstr>
      <vt:lpstr>v_82_SH2S</vt:lpstr>
      <vt:lpstr>v_82_SK</vt:lpstr>
      <vt:lpstr>v_82_SMEOL</vt:lpstr>
      <vt:lpstr>v_82_SMg</vt:lpstr>
      <vt:lpstr>v_82_SMM_index</vt:lpstr>
      <vt:lpstr>v_82_SN_B</vt:lpstr>
      <vt:lpstr>v_82_SN2</vt:lpstr>
      <vt:lpstr>v_82_SN2O</vt:lpstr>
      <vt:lpstr>v_82_SNH2OH</vt:lpstr>
      <vt:lpstr>v_82_SNHx</vt:lpstr>
      <vt:lpstr>v_82_SNO_AOB</vt:lpstr>
      <vt:lpstr>v_82_SNO_OHO</vt:lpstr>
      <vt:lpstr>v_82_SNO2</vt:lpstr>
      <vt:lpstr>v_82_SNO3</vt:lpstr>
      <vt:lpstr>v_82_SO2</vt:lpstr>
      <vt:lpstr>v_82_SP_B</vt:lpstr>
      <vt:lpstr>v_82_SPO4</vt:lpstr>
      <vt:lpstr>v_82_SSO4</vt:lpstr>
      <vt:lpstr>v_82_SU</vt:lpstr>
      <vt:lpstr>v_82_SVFA</vt:lpstr>
      <vt:lpstr>v_82_XACP</vt:lpstr>
      <vt:lpstr>v_82_XAMETO</vt:lpstr>
      <vt:lpstr>v_82_XAMX</vt:lpstr>
      <vt:lpstr>v_82_XAOB</vt:lpstr>
      <vt:lpstr>v_82_XASRO</vt:lpstr>
      <vt:lpstr>v_82_XB</vt:lpstr>
      <vt:lpstr>v_82_XBSH</vt:lpstr>
      <vt:lpstr>v_82_XCaCO3</vt:lpstr>
      <vt:lpstr>v_82_XCASTO</vt:lpstr>
      <vt:lpstr>v_82_XE</vt:lpstr>
      <vt:lpstr>v_82_XE_ana</vt:lpstr>
      <vt:lpstr>v_82_XFeS</vt:lpstr>
      <vt:lpstr>v_82_XGLY</vt:lpstr>
      <vt:lpstr>v_82_XHAO_H</vt:lpstr>
      <vt:lpstr>v_82_XHAO_H_P</vt:lpstr>
      <vt:lpstr>v_82_XHAO_H_P_old</vt:lpstr>
      <vt:lpstr>v_82_XHAO_L</vt:lpstr>
      <vt:lpstr>v_82_XHAO_L_P</vt:lpstr>
      <vt:lpstr>v_82_XHAO_L_P_old</vt:lpstr>
      <vt:lpstr>v_82_XHAO_old</vt:lpstr>
      <vt:lpstr>v_82_XHFO_H</vt:lpstr>
      <vt:lpstr>v_82_XHFO_H_P</vt:lpstr>
      <vt:lpstr>v_82_XHFO_H_P_old</vt:lpstr>
      <vt:lpstr>v_82_XHFO_L</vt:lpstr>
      <vt:lpstr>v_82_XHFO_L_P</vt:lpstr>
      <vt:lpstr>v_82_XHFO_L_P_old</vt:lpstr>
      <vt:lpstr>v_82_XHFO_old</vt:lpstr>
      <vt:lpstr>v_82_XHMETO</vt:lpstr>
      <vt:lpstr>v_82_XHSRO</vt:lpstr>
      <vt:lpstr>v_82_XINORG</vt:lpstr>
      <vt:lpstr>v_82_XMEOLO</vt:lpstr>
      <vt:lpstr>v_82_XMOB</vt:lpstr>
      <vt:lpstr>v_82_XN_B</vt:lpstr>
      <vt:lpstr>v_82_XN_U</vt:lpstr>
      <vt:lpstr>v_82_XNOB</vt:lpstr>
      <vt:lpstr>v_82_XOHO</vt:lpstr>
      <vt:lpstr>v_82_XP_B</vt:lpstr>
      <vt:lpstr>v_82_XP_U</vt:lpstr>
      <vt:lpstr>v_82_XPHA</vt:lpstr>
      <vt:lpstr>v_82_XPP</vt:lpstr>
      <vt:lpstr>v_82_XS</vt:lpstr>
      <vt:lpstr>v_82_XSOO</vt:lpstr>
      <vt:lpstr>v_82_XSTR</vt:lpstr>
      <vt:lpstr>v_82_XU</vt:lpstr>
      <vt:lpstr>v_82_XVivi</vt:lpstr>
      <vt:lpstr>v_83_CB</vt:lpstr>
      <vt:lpstr>v_83_CU</vt:lpstr>
      <vt:lpstr>v_83_GCH4</vt:lpstr>
      <vt:lpstr>v_83_GCH4_atm</vt:lpstr>
      <vt:lpstr>v_83_GCO2</vt:lpstr>
      <vt:lpstr>v_83_GCO2_atm</vt:lpstr>
      <vt:lpstr>v_83_GH2</vt:lpstr>
      <vt:lpstr>v_83_GH2_atm</vt:lpstr>
      <vt:lpstr>v_83_GH2S</vt:lpstr>
      <vt:lpstr>v_83_GH2S_atm</vt:lpstr>
      <vt:lpstr>v_83_GN2</vt:lpstr>
      <vt:lpstr>v_83_GN2_atm</vt:lpstr>
      <vt:lpstr>v_83_GN2O</vt:lpstr>
      <vt:lpstr>v_83_GN2O_atm</vt:lpstr>
      <vt:lpstr>v_83_GNH3</vt:lpstr>
      <vt:lpstr>v_83_GNH3_atm</vt:lpstr>
      <vt:lpstr>v_83_GNO</vt:lpstr>
      <vt:lpstr>v_83_GNO_atm</vt:lpstr>
      <vt:lpstr>v_83_GO2</vt:lpstr>
      <vt:lpstr>v_83_GO2_atm</vt:lpstr>
      <vt:lpstr>v_83_H</vt:lpstr>
      <vt:lpstr>v_83_SALPHA</vt:lpstr>
      <vt:lpstr>v_83_SAN</vt:lpstr>
      <vt:lpstr>v_83_SB</vt:lpstr>
      <vt:lpstr>v_83_SCa</vt:lpstr>
      <vt:lpstr>v_83_SCAT</vt:lpstr>
      <vt:lpstr>v_83_SCH4</vt:lpstr>
      <vt:lpstr>v_83_SCO2</vt:lpstr>
      <vt:lpstr>v_83_SFe2</vt:lpstr>
      <vt:lpstr>v_83_SH2</vt:lpstr>
      <vt:lpstr>v_83_SH2S</vt:lpstr>
      <vt:lpstr>v_83_SK</vt:lpstr>
      <vt:lpstr>v_83_SMEOL</vt:lpstr>
      <vt:lpstr>v_83_SMg</vt:lpstr>
      <vt:lpstr>v_83_SMM_index</vt:lpstr>
      <vt:lpstr>v_83_SN_B</vt:lpstr>
      <vt:lpstr>v_83_SN2</vt:lpstr>
      <vt:lpstr>v_83_SN2O</vt:lpstr>
      <vt:lpstr>v_83_SNH2OH</vt:lpstr>
      <vt:lpstr>v_83_SNHx</vt:lpstr>
      <vt:lpstr>v_83_SNO_AOB</vt:lpstr>
      <vt:lpstr>v_83_SNO_OHO</vt:lpstr>
      <vt:lpstr>v_83_SNO2</vt:lpstr>
      <vt:lpstr>v_83_SNO3</vt:lpstr>
      <vt:lpstr>v_83_SO2</vt:lpstr>
      <vt:lpstr>v_83_SP_B</vt:lpstr>
      <vt:lpstr>v_83_SPO4</vt:lpstr>
      <vt:lpstr>v_83_SSO4</vt:lpstr>
      <vt:lpstr>v_83_SU</vt:lpstr>
      <vt:lpstr>v_83_SVFA</vt:lpstr>
      <vt:lpstr>v_83_XACP</vt:lpstr>
      <vt:lpstr>v_83_XAMETO</vt:lpstr>
      <vt:lpstr>v_83_XAMX</vt:lpstr>
      <vt:lpstr>v_83_XAOB</vt:lpstr>
      <vt:lpstr>v_83_XASRO</vt:lpstr>
      <vt:lpstr>v_83_XB</vt:lpstr>
      <vt:lpstr>v_83_XBSH</vt:lpstr>
      <vt:lpstr>v_83_XCaCO3</vt:lpstr>
      <vt:lpstr>v_83_XCASTO</vt:lpstr>
      <vt:lpstr>v_83_XE</vt:lpstr>
      <vt:lpstr>v_83_XE_ana</vt:lpstr>
      <vt:lpstr>v_83_XFeS</vt:lpstr>
      <vt:lpstr>v_83_XGLY</vt:lpstr>
      <vt:lpstr>v_83_XHAO_H</vt:lpstr>
      <vt:lpstr>v_83_XHAO_H_P</vt:lpstr>
      <vt:lpstr>v_83_XHAO_H_P_old</vt:lpstr>
      <vt:lpstr>v_83_XHAO_L</vt:lpstr>
      <vt:lpstr>v_83_XHAO_L_P</vt:lpstr>
      <vt:lpstr>v_83_XHAO_L_P_old</vt:lpstr>
      <vt:lpstr>v_83_XHAO_old</vt:lpstr>
      <vt:lpstr>v_83_XHFO_H</vt:lpstr>
      <vt:lpstr>v_83_XHFO_H_P</vt:lpstr>
      <vt:lpstr>v_83_XHFO_H_P_old</vt:lpstr>
      <vt:lpstr>v_83_XHFO_L</vt:lpstr>
      <vt:lpstr>v_83_XHFO_L_P</vt:lpstr>
      <vt:lpstr>v_83_XHFO_L_P_old</vt:lpstr>
      <vt:lpstr>v_83_XHFO_old</vt:lpstr>
      <vt:lpstr>v_83_XHMETO</vt:lpstr>
      <vt:lpstr>v_83_XHSRO</vt:lpstr>
      <vt:lpstr>v_83_XINORG</vt:lpstr>
      <vt:lpstr>v_83_XMEOLO</vt:lpstr>
      <vt:lpstr>v_83_XMOB</vt:lpstr>
      <vt:lpstr>v_83_XN_B</vt:lpstr>
      <vt:lpstr>v_83_XN_U</vt:lpstr>
      <vt:lpstr>v_83_XNOB</vt:lpstr>
      <vt:lpstr>v_83_XOHO</vt:lpstr>
      <vt:lpstr>v_83_XP_B</vt:lpstr>
      <vt:lpstr>v_83_XP_U</vt:lpstr>
      <vt:lpstr>v_83_XPHA</vt:lpstr>
      <vt:lpstr>v_83_XPP</vt:lpstr>
      <vt:lpstr>v_83_XS</vt:lpstr>
      <vt:lpstr>v_83_XSOO</vt:lpstr>
      <vt:lpstr>v_83_XSTR</vt:lpstr>
      <vt:lpstr>v_83_XU</vt:lpstr>
      <vt:lpstr>v_83_XVivi</vt:lpstr>
      <vt:lpstr>v_84_CB</vt:lpstr>
      <vt:lpstr>v_84_CU</vt:lpstr>
      <vt:lpstr>v_84_GCH4</vt:lpstr>
      <vt:lpstr>v_84_GCH4_atm</vt:lpstr>
      <vt:lpstr>v_84_GCO2</vt:lpstr>
      <vt:lpstr>v_84_GCO2_atm</vt:lpstr>
      <vt:lpstr>v_84_GH2</vt:lpstr>
      <vt:lpstr>v_84_GH2_atm</vt:lpstr>
      <vt:lpstr>v_84_GH2S</vt:lpstr>
      <vt:lpstr>v_84_GH2S_atm</vt:lpstr>
      <vt:lpstr>v_84_GN2</vt:lpstr>
      <vt:lpstr>v_84_GN2_atm</vt:lpstr>
      <vt:lpstr>v_84_GN2O</vt:lpstr>
      <vt:lpstr>v_84_GN2O_atm</vt:lpstr>
      <vt:lpstr>v_84_GNH3</vt:lpstr>
      <vt:lpstr>v_84_GNH3_atm</vt:lpstr>
      <vt:lpstr>v_84_GNO</vt:lpstr>
      <vt:lpstr>v_84_GNO_atm</vt:lpstr>
      <vt:lpstr>v_84_GO2</vt:lpstr>
      <vt:lpstr>v_84_GO2_atm</vt:lpstr>
      <vt:lpstr>v_84_H</vt:lpstr>
      <vt:lpstr>v_84_SALPHA</vt:lpstr>
      <vt:lpstr>v_84_SAN</vt:lpstr>
      <vt:lpstr>v_84_SB</vt:lpstr>
      <vt:lpstr>v_84_SCa</vt:lpstr>
      <vt:lpstr>v_84_SCAT</vt:lpstr>
      <vt:lpstr>v_84_SCH4</vt:lpstr>
      <vt:lpstr>v_84_SCO2</vt:lpstr>
      <vt:lpstr>v_84_SFe2</vt:lpstr>
      <vt:lpstr>v_84_SH2</vt:lpstr>
      <vt:lpstr>v_84_SH2S</vt:lpstr>
      <vt:lpstr>v_84_SK</vt:lpstr>
      <vt:lpstr>v_84_SMEOL</vt:lpstr>
      <vt:lpstr>v_84_SMg</vt:lpstr>
      <vt:lpstr>v_84_SMM_index</vt:lpstr>
      <vt:lpstr>v_84_SN_B</vt:lpstr>
      <vt:lpstr>v_84_SN2</vt:lpstr>
      <vt:lpstr>v_84_SN2O</vt:lpstr>
      <vt:lpstr>v_84_SNH2OH</vt:lpstr>
      <vt:lpstr>v_84_SNHx</vt:lpstr>
      <vt:lpstr>v_84_SNO_AOB</vt:lpstr>
      <vt:lpstr>v_84_SNO_OHO</vt:lpstr>
      <vt:lpstr>v_84_SNO2</vt:lpstr>
      <vt:lpstr>v_84_SNO3</vt:lpstr>
      <vt:lpstr>v_84_SO2</vt:lpstr>
      <vt:lpstr>v_84_SP_B</vt:lpstr>
      <vt:lpstr>v_84_SPO4</vt:lpstr>
      <vt:lpstr>v_84_SSO4</vt:lpstr>
      <vt:lpstr>v_84_SU</vt:lpstr>
      <vt:lpstr>v_84_SVFA</vt:lpstr>
      <vt:lpstr>v_84_XACP</vt:lpstr>
      <vt:lpstr>v_84_XAMETO</vt:lpstr>
      <vt:lpstr>v_84_XAMX</vt:lpstr>
      <vt:lpstr>v_84_XAOB</vt:lpstr>
      <vt:lpstr>v_84_XASRO</vt:lpstr>
      <vt:lpstr>v_84_XB</vt:lpstr>
      <vt:lpstr>v_84_XBSH</vt:lpstr>
      <vt:lpstr>v_84_XCaCO3</vt:lpstr>
      <vt:lpstr>v_84_XCASTO</vt:lpstr>
      <vt:lpstr>v_84_XE</vt:lpstr>
      <vt:lpstr>v_84_XE_ana</vt:lpstr>
      <vt:lpstr>v_84_XFeS</vt:lpstr>
      <vt:lpstr>v_84_XGLY</vt:lpstr>
      <vt:lpstr>v_84_XHAO_H</vt:lpstr>
      <vt:lpstr>v_84_XHAO_H_P</vt:lpstr>
      <vt:lpstr>v_84_XHAO_H_P_old</vt:lpstr>
      <vt:lpstr>v_84_XHAO_L</vt:lpstr>
      <vt:lpstr>v_84_XHAO_L_P</vt:lpstr>
      <vt:lpstr>v_84_XHAO_L_P_old</vt:lpstr>
      <vt:lpstr>v_84_XHAO_old</vt:lpstr>
      <vt:lpstr>v_84_XHFO_H</vt:lpstr>
      <vt:lpstr>v_84_XHFO_H_P</vt:lpstr>
      <vt:lpstr>v_84_XHFO_H_P_old</vt:lpstr>
      <vt:lpstr>v_84_XHFO_L</vt:lpstr>
      <vt:lpstr>v_84_XHFO_L_P</vt:lpstr>
      <vt:lpstr>v_84_XHFO_L_P_old</vt:lpstr>
      <vt:lpstr>v_84_XHFO_old</vt:lpstr>
      <vt:lpstr>v_84_XHMETO</vt:lpstr>
      <vt:lpstr>v_84_XHSRO</vt:lpstr>
      <vt:lpstr>v_84_XINORG</vt:lpstr>
      <vt:lpstr>v_84_XMEOLO</vt:lpstr>
      <vt:lpstr>v_84_XMOB</vt:lpstr>
      <vt:lpstr>v_84_XN_B</vt:lpstr>
      <vt:lpstr>v_84_XN_U</vt:lpstr>
      <vt:lpstr>v_84_XNOB</vt:lpstr>
      <vt:lpstr>v_84_XOHO</vt:lpstr>
      <vt:lpstr>v_84_XP_B</vt:lpstr>
      <vt:lpstr>v_84_XP_U</vt:lpstr>
      <vt:lpstr>v_84_XPHA</vt:lpstr>
      <vt:lpstr>v_84_XPP</vt:lpstr>
      <vt:lpstr>v_84_XS</vt:lpstr>
      <vt:lpstr>v_84_XSOO</vt:lpstr>
      <vt:lpstr>v_84_XSTR</vt:lpstr>
      <vt:lpstr>v_84_XU</vt:lpstr>
      <vt:lpstr>v_84_XVivi</vt:lpstr>
      <vt:lpstr>v_85_CB</vt:lpstr>
      <vt:lpstr>v_85_CU</vt:lpstr>
      <vt:lpstr>v_85_GCH4</vt:lpstr>
      <vt:lpstr>v_85_GCH4_atm</vt:lpstr>
      <vt:lpstr>v_85_GCO2</vt:lpstr>
      <vt:lpstr>v_85_GCO2_atm</vt:lpstr>
      <vt:lpstr>v_85_GH2</vt:lpstr>
      <vt:lpstr>v_85_GH2_atm</vt:lpstr>
      <vt:lpstr>v_85_GH2S</vt:lpstr>
      <vt:lpstr>v_85_GH2S_atm</vt:lpstr>
      <vt:lpstr>v_85_GN2</vt:lpstr>
      <vt:lpstr>v_85_GN2_atm</vt:lpstr>
      <vt:lpstr>v_85_GN2O</vt:lpstr>
      <vt:lpstr>v_85_GN2O_atm</vt:lpstr>
      <vt:lpstr>v_85_GNH3</vt:lpstr>
      <vt:lpstr>v_85_GNH3_atm</vt:lpstr>
      <vt:lpstr>v_85_GNO</vt:lpstr>
      <vt:lpstr>v_85_GNO_atm</vt:lpstr>
      <vt:lpstr>v_85_GO2</vt:lpstr>
      <vt:lpstr>v_85_GO2_atm</vt:lpstr>
      <vt:lpstr>v_85_H</vt:lpstr>
      <vt:lpstr>v_85_SALPHA</vt:lpstr>
      <vt:lpstr>v_85_SAN</vt:lpstr>
      <vt:lpstr>v_85_SB</vt:lpstr>
      <vt:lpstr>v_85_SCa</vt:lpstr>
      <vt:lpstr>v_85_SCAT</vt:lpstr>
      <vt:lpstr>v_85_SCH4</vt:lpstr>
      <vt:lpstr>v_85_SCO2</vt:lpstr>
      <vt:lpstr>v_85_SFe2</vt:lpstr>
      <vt:lpstr>v_85_SH2</vt:lpstr>
      <vt:lpstr>v_85_SH2S</vt:lpstr>
      <vt:lpstr>v_85_SK</vt:lpstr>
      <vt:lpstr>v_85_SMEOL</vt:lpstr>
      <vt:lpstr>v_85_SMg</vt:lpstr>
      <vt:lpstr>v_85_SMM_index</vt:lpstr>
      <vt:lpstr>v_85_SN_B</vt:lpstr>
      <vt:lpstr>v_85_SN2</vt:lpstr>
      <vt:lpstr>v_85_SN2O</vt:lpstr>
      <vt:lpstr>v_85_SNH2OH</vt:lpstr>
      <vt:lpstr>v_85_SNHx</vt:lpstr>
      <vt:lpstr>v_85_SNO_AOB</vt:lpstr>
      <vt:lpstr>v_85_SNO_OHO</vt:lpstr>
      <vt:lpstr>v_85_SNO2</vt:lpstr>
      <vt:lpstr>v_85_SNO3</vt:lpstr>
      <vt:lpstr>v_85_SO2</vt:lpstr>
      <vt:lpstr>v_85_SP_B</vt:lpstr>
      <vt:lpstr>v_85_SPO4</vt:lpstr>
      <vt:lpstr>v_85_SSO4</vt:lpstr>
      <vt:lpstr>v_85_SU</vt:lpstr>
      <vt:lpstr>v_85_SVFA</vt:lpstr>
      <vt:lpstr>v_85_XACP</vt:lpstr>
      <vt:lpstr>v_85_XAMETO</vt:lpstr>
      <vt:lpstr>v_85_XAMX</vt:lpstr>
      <vt:lpstr>v_85_XAOB</vt:lpstr>
      <vt:lpstr>v_85_XASRO</vt:lpstr>
      <vt:lpstr>v_85_XB</vt:lpstr>
      <vt:lpstr>v_85_XBSH</vt:lpstr>
      <vt:lpstr>v_85_XCaCO3</vt:lpstr>
      <vt:lpstr>v_85_XCASTO</vt:lpstr>
      <vt:lpstr>v_85_XE</vt:lpstr>
      <vt:lpstr>v_85_XE_ana</vt:lpstr>
      <vt:lpstr>v_85_XFeS</vt:lpstr>
      <vt:lpstr>v_85_XGLY</vt:lpstr>
      <vt:lpstr>v_85_XHAO_H</vt:lpstr>
      <vt:lpstr>v_85_XHAO_H_P</vt:lpstr>
      <vt:lpstr>v_85_XHAO_H_P_old</vt:lpstr>
      <vt:lpstr>v_85_XHAO_L</vt:lpstr>
      <vt:lpstr>v_85_XHAO_L_P</vt:lpstr>
      <vt:lpstr>v_85_XHAO_L_P_old</vt:lpstr>
      <vt:lpstr>v_85_XHAO_old</vt:lpstr>
      <vt:lpstr>v_85_XHFO_H</vt:lpstr>
      <vt:lpstr>v_85_XHFO_H_P</vt:lpstr>
      <vt:lpstr>v_85_XHFO_H_P_old</vt:lpstr>
      <vt:lpstr>v_85_XHFO_L</vt:lpstr>
      <vt:lpstr>v_85_XHFO_L_P</vt:lpstr>
      <vt:lpstr>v_85_XHFO_L_P_old</vt:lpstr>
      <vt:lpstr>v_85_XHFO_old</vt:lpstr>
      <vt:lpstr>v_85_XHMETO</vt:lpstr>
      <vt:lpstr>v_85_XHSRO</vt:lpstr>
      <vt:lpstr>v_85_XINORG</vt:lpstr>
      <vt:lpstr>v_85_XMEOLO</vt:lpstr>
      <vt:lpstr>v_85_XMOB</vt:lpstr>
      <vt:lpstr>v_85_XN_B</vt:lpstr>
      <vt:lpstr>v_85_XN_U</vt:lpstr>
      <vt:lpstr>v_85_XNOB</vt:lpstr>
      <vt:lpstr>v_85_XOHO</vt:lpstr>
      <vt:lpstr>v_85_XP_B</vt:lpstr>
      <vt:lpstr>v_85_XP_U</vt:lpstr>
      <vt:lpstr>v_85_XPHA</vt:lpstr>
      <vt:lpstr>v_85_XPP</vt:lpstr>
      <vt:lpstr>v_85_XS</vt:lpstr>
      <vt:lpstr>v_85_XSOO</vt:lpstr>
      <vt:lpstr>v_85_XSTR</vt:lpstr>
      <vt:lpstr>v_85_XU</vt:lpstr>
      <vt:lpstr>v_85_XVivi</vt:lpstr>
      <vt:lpstr>v_86_CB</vt:lpstr>
      <vt:lpstr>v_86_CU</vt:lpstr>
      <vt:lpstr>v_86_GCH4</vt:lpstr>
      <vt:lpstr>v_86_GCH4_atm</vt:lpstr>
      <vt:lpstr>v_86_GCO2</vt:lpstr>
      <vt:lpstr>v_86_GCO2_atm</vt:lpstr>
      <vt:lpstr>v_86_GH2</vt:lpstr>
      <vt:lpstr>v_86_GH2_atm</vt:lpstr>
      <vt:lpstr>v_86_GH2S</vt:lpstr>
      <vt:lpstr>v_86_GH2S_atm</vt:lpstr>
      <vt:lpstr>v_86_GN2</vt:lpstr>
      <vt:lpstr>v_86_GN2_atm</vt:lpstr>
      <vt:lpstr>v_86_GN2O</vt:lpstr>
      <vt:lpstr>v_86_GN2O_atm</vt:lpstr>
      <vt:lpstr>v_86_GNH3</vt:lpstr>
      <vt:lpstr>v_86_GNH3_atm</vt:lpstr>
      <vt:lpstr>v_86_GNO</vt:lpstr>
      <vt:lpstr>v_86_GNO_atm</vt:lpstr>
      <vt:lpstr>v_86_GO2</vt:lpstr>
      <vt:lpstr>v_86_GO2_atm</vt:lpstr>
      <vt:lpstr>v_86_H</vt:lpstr>
      <vt:lpstr>v_86_SALPHA</vt:lpstr>
      <vt:lpstr>v_86_SAN</vt:lpstr>
      <vt:lpstr>v_86_SB</vt:lpstr>
      <vt:lpstr>v_86_SCa</vt:lpstr>
      <vt:lpstr>v_86_SCAT</vt:lpstr>
      <vt:lpstr>v_86_SCH4</vt:lpstr>
      <vt:lpstr>v_86_SCO2</vt:lpstr>
      <vt:lpstr>v_86_SFe2</vt:lpstr>
      <vt:lpstr>v_86_SH2</vt:lpstr>
      <vt:lpstr>v_86_SH2S</vt:lpstr>
      <vt:lpstr>v_86_SK</vt:lpstr>
      <vt:lpstr>v_86_SMEOL</vt:lpstr>
      <vt:lpstr>v_86_SMg</vt:lpstr>
      <vt:lpstr>v_86_SMM_index</vt:lpstr>
      <vt:lpstr>v_86_SN_B</vt:lpstr>
      <vt:lpstr>v_86_SN2</vt:lpstr>
      <vt:lpstr>v_86_SN2O</vt:lpstr>
      <vt:lpstr>v_86_SNH2OH</vt:lpstr>
      <vt:lpstr>v_86_SNHx</vt:lpstr>
      <vt:lpstr>v_86_SNO_AOB</vt:lpstr>
      <vt:lpstr>v_86_SNO_OHO</vt:lpstr>
      <vt:lpstr>v_86_SNO2</vt:lpstr>
      <vt:lpstr>v_86_SNO3</vt:lpstr>
      <vt:lpstr>v_86_SO2</vt:lpstr>
      <vt:lpstr>v_86_SP_B</vt:lpstr>
      <vt:lpstr>v_86_SPO4</vt:lpstr>
      <vt:lpstr>v_86_SSO4</vt:lpstr>
      <vt:lpstr>v_86_SU</vt:lpstr>
      <vt:lpstr>v_86_SVFA</vt:lpstr>
      <vt:lpstr>v_86_XACP</vt:lpstr>
      <vt:lpstr>v_86_XAMETO</vt:lpstr>
      <vt:lpstr>v_86_XAMX</vt:lpstr>
      <vt:lpstr>v_86_XAOB</vt:lpstr>
      <vt:lpstr>v_86_XASRO</vt:lpstr>
      <vt:lpstr>v_86_XB</vt:lpstr>
      <vt:lpstr>v_86_XBSH</vt:lpstr>
      <vt:lpstr>v_86_XCaCO3</vt:lpstr>
      <vt:lpstr>v_86_XCASTO</vt:lpstr>
      <vt:lpstr>v_86_XE</vt:lpstr>
      <vt:lpstr>v_86_XE_ana</vt:lpstr>
      <vt:lpstr>v_86_XFeS</vt:lpstr>
      <vt:lpstr>v_86_XGLY</vt:lpstr>
      <vt:lpstr>v_86_XHAO_H</vt:lpstr>
      <vt:lpstr>v_86_XHAO_H_P</vt:lpstr>
      <vt:lpstr>v_86_XHAO_H_P_old</vt:lpstr>
      <vt:lpstr>v_86_XHAO_L</vt:lpstr>
      <vt:lpstr>v_86_XHAO_L_P</vt:lpstr>
      <vt:lpstr>v_86_XHAO_L_P_old</vt:lpstr>
      <vt:lpstr>v_86_XHAO_old</vt:lpstr>
      <vt:lpstr>v_86_XHFO_H</vt:lpstr>
      <vt:lpstr>v_86_XHFO_H_P</vt:lpstr>
      <vt:lpstr>v_86_XHFO_H_P_old</vt:lpstr>
      <vt:lpstr>v_86_XHFO_L</vt:lpstr>
      <vt:lpstr>v_86_XHFO_L_P</vt:lpstr>
      <vt:lpstr>v_86_XHFO_L_P_old</vt:lpstr>
      <vt:lpstr>v_86_XHFO_old</vt:lpstr>
      <vt:lpstr>v_86_XHMETO</vt:lpstr>
      <vt:lpstr>v_86_XHSRO</vt:lpstr>
      <vt:lpstr>v_86_XINORG</vt:lpstr>
      <vt:lpstr>v_86_XMEOLO</vt:lpstr>
      <vt:lpstr>v_86_XMOB</vt:lpstr>
      <vt:lpstr>v_86_XN_B</vt:lpstr>
      <vt:lpstr>v_86_XN_U</vt:lpstr>
      <vt:lpstr>v_86_XNOB</vt:lpstr>
      <vt:lpstr>v_86_XOHO</vt:lpstr>
      <vt:lpstr>v_86_XP_B</vt:lpstr>
      <vt:lpstr>v_86_XP_U</vt:lpstr>
      <vt:lpstr>v_86_XPHA</vt:lpstr>
      <vt:lpstr>v_86_XPP</vt:lpstr>
      <vt:lpstr>v_86_XS</vt:lpstr>
      <vt:lpstr>v_86_XSOO</vt:lpstr>
      <vt:lpstr>v_86_XSTR</vt:lpstr>
      <vt:lpstr>v_86_XU</vt:lpstr>
      <vt:lpstr>v_86_XVivi</vt:lpstr>
      <vt:lpstr>v_87_CB</vt:lpstr>
      <vt:lpstr>v_87_CU</vt:lpstr>
      <vt:lpstr>v_87_GCH4</vt:lpstr>
      <vt:lpstr>v_87_GCH4_atm</vt:lpstr>
      <vt:lpstr>v_87_GCO2</vt:lpstr>
      <vt:lpstr>v_87_GCO2_atm</vt:lpstr>
      <vt:lpstr>v_87_GH2</vt:lpstr>
      <vt:lpstr>v_87_GH2_atm</vt:lpstr>
      <vt:lpstr>v_87_GH2S</vt:lpstr>
      <vt:lpstr>v_87_GH2S_atm</vt:lpstr>
      <vt:lpstr>v_87_GN2</vt:lpstr>
      <vt:lpstr>v_87_GN2_atm</vt:lpstr>
      <vt:lpstr>v_87_GN2O</vt:lpstr>
      <vt:lpstr>v_87_GN2O_atm</vt:lpstr>
      <vt:lpstr>v_87_GNH3</vt:lpstr>
      <vt:lpstr>v_87_GNH3_atm</vt:lpstr>
      <vt:lpstr>v_87_GNO</vt:lpstr>
      <vt:lpstr>v_87_GNO_atm</vt:lpstr>
      <vt:lpstr>v_87_GO2</vt:lpstr>
      <vt:lpstr>v_87_GO2_atm</vt:lpstr>
      <vt:lpstr>v_87_H</vt:lpstr>
      <vt:lpstr>v_87_SALPHA</vt:lpstr>
      <vt:lpstr>v_87_SAN</vt:lpstr>
      <vt:lpstr>v_87_SB</vt:lpstr>
      <vt:lpstr>v_87_SCa</vt:lpstr>
      <vt:lpstr>v_87_SCAT</vt:lpstr>
      <vt:lpstr>v_87_SCH4</vt:lpstr>
      <vt:lpstr>v_87_SCO2</vt:lpstr>
      <vt:lpstr>v_87_SFe2</vt:lpstr>
      <vt:lpstr>v_87_SH2</vt:lpstr>
      <vt:lpstr>v_87_SH2S</vt:lpstr>
      <vt:lpstr>v_87_SK</vt:lpstr>
      <vt:lpstr>v_87_SMEOL</vt:lpstr>
      <vt:lpstr>v_87_SMg</vt:lpstr>
      <vt:lpstr>v_87_SMM_index</vt:lpstr>
      <vt:lpstr>v_87_SN_B</vt:lpstr>
      <vt:lpstr>v_87_SN2</vt:lpstr>
      <vt:lpstr>v_87_SN2O</vt:lpstr>
      <vt:lpstr>v_87_SNH2OH</vt:lpstr>
      <vt:lpstr>v_87_SNHx</vt:lpstr>
      <vt:lpstr>v_87_SNO_AOB</vt:lpstr>
      <vt:lpstr>v_87_SNO_OHO</vt:lpstr>
      <vt:lpstr>v_87_SNO2</vt:lpstr>
      <vt:lpstr>v_87_SNO3</vt:lpstr>
      <vt:lpstr>v_87_SO2</vt:lpstr>
      <vt:lpstr>v_87_SP_B</vt:lpstr>
      <vt:lpstr>v_87_SPO4</vt:lpstr>
      <vt:lpstr>v_87_SSO4</vt:lpstr>
      <vt:lpstr>v_87_SU</vt:lpstr>
      <vt:lpstr>v_87_SVFA</vt:lpstr>
      <vt:lpstr>v_87_XACP</vt:lpstr>
      <vt:lpstr>v_87_XAMETO</vt:lpstr>
      <vt:lpstr>v_87_XAMX</vt:lpstr>
      <vt:lpstr>v_87_XAOB</vt:lpstr>
      <vt:lpstr>v_87_XASRO</vt:lpstr>
      <vt:lpstr>v_87_XB</vt:lpstr>
      <vt:lpstr>v_87_XBSH</vt:lpstr>
      <vt:lpstr>v_87_XCaCO3</vt:lpstr>
      <vt:lpstr>v_87_XCASTO</vt:lpstr>
      <vt:lpstr>v_87_XE</vt:lpstr>
      <vt:lpstr>v_87_XE_ana</vt:lpstr>
      <vt:lpstr>v_87_XFeS</vt:lpstr>
      <vt:lpstr>v_87_XGLY</vt:lpstr>
      <vt:lpstr>v_87_XHAO_H</vt:lpstr>
      <vt:lpstr>v_87_XHAO_H_P</vt:lpstr>
      <vt:lpstr>v_87_XHAO_H_P_old</vt:lpstr>
      <vt:lpstr>v_87_XHAO_L</vt:lpstr>
      <vt:lpstr>v_87_XHAO_L_P</vt:lpstr>
      <vt:lpstr>v_87_XHAO_L_P_old</vt:lpstr>
      <vt:lpstr>v_87_XHAO_old</vt:lpstr>
      <vt:lpstr>v_87_XHFO_H</vt:lpstr>
      <vt:lpstr>v_87_XHFO_H_P</vt:lpstr>
      <vt:lpstr>v_87_XHFO_H_P_old</vt:lpstr>
      <vt:lpstr>v_87_XHFO_L</vt:lpstr>
      <vt:lpstr>v_87_XHFO_L_P</vt:lpstr>
      <vt:lpstr>v_87_XHFO_L_P_old</vt:lpstr>
      <vt:lpstr>v_87_XHFO_old</vt:lpstr>
      <vt:lpstr>v_87_XHMETO</vt:lpstr>
      <vt:lpstr>v_87_XHSRO</vt:lpstr>
      <vt:lpstr>v_87_XINORG</vt:lpstr>
      <vt:lpstr>v_87_XMEOLO</vt:lpstr>
      <vt:lpstr>v_87_XMOB</vt:lpstr>
      <vt:lpstr>v_87_XN_B</vt:lpstr>
      <vt:lpstr>v_87_XN_U</vt:lpstr>
      <vt:lpstr>v_87_XNOB</vt:lpstr>
      <vt:lpstr>v_87_XOHO</vt:lpstr>
      <vt:lpstr>v_87_XP_B</vt:lpstr>
      <vt:lpstr>v_87_XP_U</vt:lpstr>
      <vt:lpstr>v_87_XPHA</vt:lpstr>
      <vt:lpstr>v_87_XPP</vt:lpstr>
      <vt:lpstr>v_87_XS</vt:lpstr>
      <vt:lpstr>v_87_XSOO</vt:lpstr>
      <vt:lpstr>v_87_XSTR</vt:lpstr>
      <vt:lpstr>v_87_XU</vt:lpstr>
      <vt:lpstr>v_87_XVivi</vt:lpstr>
      <vt:lpstr>v_88_CB</vt:lpstr>
      <vt:lpstr>v_88_CU</vt:lpstr>
      <vt:lpstr>v_88_GCH4</vt:lpstr>
      <vt:lpstr>v_88_GCH4_atm</vt:lpstr>
      <vt:lpstr>v_88_GCO2</vt:lpstr>
      <vt:lpstr>v_88_GCO2_atm</vt:lpstr>
      <vt:lpstr>v_88_GH2</vt:lpstr>
      <vt:lpstr>v_88_GH2_atm</vt:lpstr>
      <vt:lpstr>v_88_GH2S</vt:lpstr>
      <vt:lpstr>v_88_GH2S_atm</vt:lpstr>
      <vt:lpstr>v_88_GN2</vt:lpstr>
      <vt:lpstr>v_88_GN2_atm</vt:lpstr>
      <vt:lpstr>v_88_GN2O</vt:lpstr>
      <vt:lpstr>v_88_GN2O_atm</vt:lpstr>
      <vt:lpstr>v_88_GNH3</vt:lpstr>
      <vt:lpstr>v_88_GNH3_atm</vt:lpstr>
      <vt:lpstr>v_88_GNO</vt:lpstr>
      <vt:lpstr>v_88_GNO_atm</vt:lpstr>
      <vt:lpstr>v_88_GO2</vt:lpstr>
      <vt:lpstr>v_88_GO2_atm</vt:lpstr>
      <vt:lpstr>v_88_H</vt:lpstr>
      <vt:lpstr>v_88_SALPHA</vt:lpstr>
      <vt:lpstr>v_88_SAN</vt:lpstr>
      <vt:lpstr>v_88_SB</vt:lpstr>
      <vt:lpstr>v_88_SCa</vt:lpstr>
      <vt:lpstr>v_88_SCAT</vt:lpstr>
      <vt:lpstr>v_88_SCH4</vt:lpstr>
      <vt:lpstr>v_88_SCO2</vt:lpstr>
      <vt:lpstr>v_88_SFe2</vt:lpstr>
      <vt:lpstr>v_88_SH2</vt:lpstr>
      <vt:lpstr>v_88_SH2S</vt:lpstr>
      <vt:lpstr>v_88_SK</vt:lpstr>
      <vt:lpstr>v_88_SMEOL</vt:lpstr>
      <vt:lpstr>v_88_SMg</vt:lpstr>
      <vt:lpstr>v_88_SMM_index</vt:lpstr>
      <vt:lpstr>v_88_SN_B</vt:lpstr>
      <vt:lpstr>v_88_SN2</vt:lpstr>
      <vt:lpstr>v_88_SN2O</vt:lpstr>
      <vt:lpstr>v_88_SNH2OH</vt:lpstr>
      <vt:lpstr>v_88_SNHx</vt:lpstr>
      <vt:lpstr>v_88_SNO_AOB</vt:lpstr>
      <vt:lpstr>v_88_SNO_OHO</vt:lpstr>
      <vt:lpstr>v_88_SNO2</vt:lpstr>
      <vt:lpstr>v_88_SNO3</vt:lpstr>
      <vt:lpstr>v_88_SO2</vt:lpstr>
      <vt:lpstr>v_88_SP_B</vt:lpstr>
      <vt:lpstr>v_88_SPO4</vt:lpstr>
      <vt:lpstr>v_88_SSO4</vt:lpstr>
      <vt:lpstr>v_88_SU</vt:lpstr>
      <vt:lpstr>v_88_SVFA</vt:lpstr>
      <vt:lpstr>v_88_XACP</vt:lpstr>
      <vt:lpstr>v_88_XAMETO</vt:lpstr>
      <vt:lpstr>v_88_XAMX</vt:lpstr>
      <vt:lpstr>v_88_XAOB</vt:lpstr>
      <vt:lpstr>v_88_XASRO</vt:lpstr>
      <vt:lpstr>v_88_XB</vt:lpstr>
      <vt:lpstr>v_88_XBSH</vt:lpstr>
      <vt:lpstr>v_88_XCaCO3</vt:lpstr>
      <vt:lpstr>v_88_XCASTO</vt:lpstr>
      <vt:lpstr>v_88_XE</vt:lpstr>
      <vt:lpstr>v_88_XE_ana</vt:lpstr>
      <vt:lpstr>v_88_XFeS</vt:lpstr>
      <vt:lpstr>v_88_XGLY</vt:lpstr>
      <vt:lpstr>v_88_XHAO_H</vt:lpstr>
      <vt:lpstr>v_88_XHAO_H_P</vt:lpstr>
      <vt:lpstr>v_88_XHAO_H_P_old</vt:lpstr>
      <vt:lpstr>v_88_XHAO_L</vt:lpstr>
      <vt:lpstr>v_88_XHAO_L_P</vt:lpstr>
      <vt:lpstr>v_88_XHAO_L_P_old</vt:lpstr>
      <vt:lpstr>v_88_XHAO_old</vt:lpstr>
      <vt:lpstr>v_88_XHFO_H</vt:lpstr>
      <vt:lpstr>v_88_XHFO_H_P</vt:lpstr>
      <vt:lpstr>v_88_XHFO_H_P_old</vt:lpstr>
      <vt:lpstr>v_88_XHFO_L</vt:lpstr>
      <vt:lpstr>v_88_XHFO_L_P</vt:lpstr>
      <vt:lpstr>v_88_XHFO_L_P_old</vt:lpstr>
      <vt:lpstr>v_88_XHFO_old</vt:lpstr>
      <vt:lpstr>v_88_XHMETO</vt:lpstr>
      <vt:lpstr>v_88_XHSRO</vt:lpstr>
      <vt:lpstr>v_88_XINORG</vt:lpstr>
      <vt:lpstr>v_88_XMEOLO</vt:lpstr>
      <vt:lpstr>v_88_XMOB</vt:lpstr>
      <vt:lpstr>v_88_XN_B</vt:lpstr>
      <vt:lpstr>v_88_XN_U</vt:lpstr>
      <vt:lpstr>v_88_XNOB</vt:lpstr>
      <vt:lpstr>v_88_XOHO</vt:lpstr>
      <vt:lpstr>v_88_XP_B</vt:lpstr>
      <vt:lpstr>v_88_XP_U</vt:lpstr>
      <vt:lpstr>v_88_XPHA</vt:lpstr>
      <vt:lpstr>v_88_XPP</vt:lpstr>
      <vt:lpstr>v_88_XS</vt:lpstr>
      <vt:lpstr>v_88_XSOO</vt:lpstr>
      <vt:lpstr>v_88_XSTR</vt:lpstr>
      <vt:lpstr>v_88_XU</vt:lpstr>
      <vt:lpstr>v_88_XVivi</vt:lpstr>
      <vt:lpstr>v_89_CB</vt:lpstr>
      <vt:lpstr>v_89_CU</vt:lpstr>
      <vt:lpstr>v_89_GCH4</vt:lpstr>
      <vt:lpstr>v_89_GCH4_atm</vt:lpstr>
      <vt:lpstr>v_89_GCO2</vt:lpstr>
      <vt:lpstr>v_89_GCO2_atm</vt:lpstr>
      <vt:lpstr>v_89_GH2</vt:lpstr>
      <vt:lpstr>v_89_GH2_atm</vt:lpstr>
      <vt:lpstr>v_89_GH2S</vt:lpstr>
      <vt:lpstr>v_89_GH2S_atm</vt:lpstr>
      <vt:lpstr>v_89_GN2</vt:lpstr>
      <vt:lpstr>v_89_GN2_atm</vt:lpstr>
      <vt:lpstr>v_89_GN2O</vt:lpstr>
      <vt:lpstr>v_89_GN2O_atm</vt:lpstr>
      <vt:lpstr>v_89_GNH3</vt:lpstr>
      <vt:lpstr>v_89_GNH3_atm</vt:lpstr>
      <vt:lpstr>v_89_GNO</vt:lpstr>
      <vt:lpstr>v_89_GNO_atm</vt:lpstr>
      <vt:lpstr>v_89_GO2</vt:lpstr>
      <vt:lpstr>v_89_GO2_atm</vt:lpstr>
      <vt:lpstr>v_89_H</vt:lpstr>
      <vt:lpstr>v_89_SALPHA</vt:lpstr>
      <vt:lpstr>v_89_SAN</vt:lpstr>
      <vt:lpstr>v_89_SB</vt:lpstr>
      <vt:lpstr>v_89_SCa</vt:lpstr>
      <vt:lpstr>v_89_SCAT</vt:lpstr>
      <vt:lpstr>v_89_SCH4</vt:lpstr>
      <vt:lpstr>v_89_SCO2</vt:lpstr>
      <vt:lpstr>v_89_SFe2</vt:lpstr>
      <vt:lpstr>v_89_SH2</vt:lpstr>
      <vt:lpstr>v_89_SH2S</vt:lpstr>
      <vt:lpstr>v_89_SK</vt:lpstr>
      <vt:lpstr>v_89_SMEOL</vt:lpstr>
      <vt:lpstr>v_89_SMg</vt:lpstr>
      <vt:lpstr>v_89_SMM_index</vt:lpstr>
      <vt:lpstr>v_89_SN_B</vt:lpstr>
      <vt:lpstr>v_89_SN2</vt:lpstr>
      <vt:lpstr>v_89_SN2O</vt:lpstr>
      <vt:lpstr>v_89_SNH2OH</vt:lpstr>
      <vt:lpstr>v_89_SNHx</vt:lpstr>
      <vt:lpstr>v_89_SNO_AOB</vt:lpstr>
      <vt:lpstr>v_89_SNO_OHO</vt:lpstr>
      <vt:lpstr>v_89_SNO2</vt:lpstr>
      <vt:lpstr>v_89_SNO3</vt:lpstr>
      <vt:lpstr>v_89_SO2</vt:lpstr>
      <vt:lpstr>v_89_SP_B</vt:lpstr>
      <vt:lpstr>v_89_SPO4</vt:lpstr>
      <vt:lpstr>v_89_SSO4</vt:lpstr>
      <vt:lpstr>v_89_SU</vt:lpstr>
      <vt:lpstr>v_89_SVFA</vt:lpstr>
      <vt:lpstr>v_89_XACP</vt:lpstr>
      <vt:lpstr>v_89_XAMETO</vt:lpstr>
      <vt:lpstr>v_89_XAMX</vt:lpstr>
      <vt:lpstr>v_89_XAOB</vt:lpstr>
      <vt:lpstr>v_89_XASRO</vt:lpstr>
      <vt:lpstr>v_89_XB</vt:lpstr>
      <vt:lpstr>v_89_XBSH</vt:lpstr>
      <vt:lpstr>v_89_XCaCO3</vt:lpstr>
      <vt:lpstr>v_89_XCASTO</vt:lpstr>
      <vt:lpstr>v_89_XE</vt:lpstr>
      <vt:lpstr>v_89_XE_ana</vt:lpstr>
      <vt:lpstr>v_89_XFeS</vt:lpstr>
      <vt:lpstr>v_89_XGLY</vt:lpstr>
      <vt:lpstr>v_89_XHAO_H</vt:lpstr>
      <vt:lpstr>v_89_XHAO_H_P</vt:lpstr>
      <vt:lpstr>v_89_XHAO_H_P_old</vt:lpstr>
      <vt:lpstr>v_89_XHAO_L</vt:lpstr>
      <vt:lpstr>v_89_XHAO_L_P</vt:lpstr>
      <vt:lpstr>v_89_XHAO_L_P_old</vt:lpstr>
      <vt:lpstr>v_89_XHAO_old</vt:lpstr>
      <vt:lpstr>v_89_XHFO_H</vt:lpstr>
      <vt:lpstr>v_89_XHFO_H_P</vt:lpstr>
      <vt:lpstr>v_89_XHFO_H_P_old</vt:lpstr>
      <vt:lpstr>v_89_XHFO_L</vt:lpstr>
      <vt:lpstr>v_89_XHFO_L_P</vt:lpstr>
      <vt:lpstr>v_89_XHFO_L_P_old</vt:lpstr>
      <vt:lpstr>v_89_XHFO_old</vt:lpstr>
      <vt:lpstr>v_89_XHMETO</vt:lpstr>
      <vt:lpstr>v_89_XHSRO</vt:lpstr>
      <vt:lpstr>v_89_XINORG</vt:lpstr>
      <vt:lpstr>v_89_XMEOLO</vt:lpstr>
      <vt:lpstr>v_89_XMOB</vt:lpstr>
      <vt:lpstr>v_89_XN_B</vt:lpstr>
      <vt:lpstr>v_89_XN_U</vt:lpstr>
      <vt:lpstr>v_89_XNOB</vt:lpstr>
      <vt:lpstr>v_89_XOHO</vt:lpstr>
      <vt:lpstr>v_89_XP_B</vt:lpstr>
      <vt:lpstr>v_89_XP_U</vt:lpstr>
      <vt:lpstr>v_89_XPHA</vt:lpstr>
      <vt:lpstr>v_89_XPP</vt:lpstr>
      <vt:lpstr>v_89_XS</vt:lpstr>
      <vt:lpstr>v_89_XSOO</vt:lpstr>
      <vt:lpstr>v_89_XSTR</vt:lpstr>
      <vt:lpstr>v_89_XU</vt:lpstr>
      <vt:lpstr>v_89_XVivi</vt:lpstr>
      <vt:lpstr>v_9_CB</vt:lpstr>
      <vt:lpstr>v_9_CU</vt:lpstr>
      <vt:lpstr>v_9_GCH4</vt:lpstr>
      <vt:lpstr>v_9_GCH4_atm</vt:lpstr>
      <vt:lpstr>v_9_GCO2</vt:lpstr>
      <vt:lpstr>v_9_GCO2_atm</vt:lpstr>
      <vt:lpstr>v_9_GH2</vt:lpstr>
      <vt:lpstr>v_9_GH2_atm</vt:lpstr>
      <vt:lpstr>v_9_GH2S</vt:lpstr>
      <vt:lpstr>v_9_GH2S_atm</vt:lpstr>
      <vt:lpstr>v_9_GN2</vt:lpstr>
      <vt:lpstr>v_9_GN2_atm</vt:lpstr>
      <vt:lpstr>v_9_GN2O</vt:lpstr>
      <vt:lpstr>v_9_GN2O_atm</vt:lpstr>
      <vt:lpstr>v_9_GNH3</vt:lpstr>
      <vt:lpstr>v_9_GNH3_atm</vt:lpstr>
      <vt:lpstr>v_9_GNO</vt:lpstr>
      <vt:lpstr>v_9_GNO_atm</vt:lpstr>
      <vt:lpstr>v_9_GO2</vt:lpstr>
      <vt:lpstr>v_9_GO2_atm</vt:lpstr>
      <vt:lpstr>v_9_H</vt:lpstr>
      <vt:lpstr>v_9_SALPHA</vt:lpstr>
      <vt:lpstr>v_9_SAN</vt:lpstr>
      <vt:lpstr>v_9_SB</vt:lpstr>
      <vt:lpstr>v_9_SCa</vt:lpstr>
      <vt:lpstr>v_9_SCAT</vt:lpstr>
      <vt:lpstr>v_9_SCH4</vt:lpstr>
      <vt:lpstr>v_9_SCO2</vt:lpstr>
      <vt:lpstr>v_9_SFe2</vt:lpstr>
      <vt:lpstr>v_9_SH2</vt:lpstr>
      <vt:lpstr>v_9_SH2S</vt:lpstr>
      <vt:lpstr>v_9_SK</vt:lpstr>
      <vt:lpstr>v_9_SMEOL</vt:lpstr>
      <vt:lpstr>v_9_SMg</vt:lpstr>
      <vt:lpstr>v_9_SMM_index</vt:lpstr>
      <vt:lpstr>v_9_SN_B</vt:lpstr>
      <vt:lpstr>v_9_SN2</vt:lpstr>
      <vt:lpstr>v_9_SN2O</vt:lpstr>
      <vt:lpstr>v_9_SNH2OH</vt:lpstr>
      <vt:lpstr>v_9_SNHx</vt:lpstr>
      <vt:lpstr>v_9_SNO_AOB</vt:lpstr>
      <vt:lpstr>v_9_SNO_OHO</vt:lpstr>
      <vt:lpstr>v_9_SNO2</vt:lpstr>
      <vt:lpstr>v_9_SNO3</vt:lpstr>
      <vt:lpstr>v_9_SO2</vt:lpstr>
      <vt:lpstr>v_9_SP_B</vt:lpstr>
      <vt:lpstr>v_9_SPO4</vt:lpstr>
      <vt:lpstr>v_9_SSO4</vt:lpstr>
      <vt:lpstr>v_9_SU</vt:lpstr>
      <vt:lpstr>v_9_SVFA</vt:lpstr>
      <vt:lpstr>v_9_XACP</vt:lpstr>
      <vt:lpstr>v_9_XAMETO</vt:lpstr>
      <vt:lpstr>v_9_XAMX</vt:lpstr>
      <vt:lpstr>v_9_XAOB</vt:lpstr>
      <vt:lpstr>v_9_XASRO</vt:lpstr>
      <vt:lpstr>v_9_XB</vt:lpstr>
      <vt:lpstr>v_9_XBSH</vt:lpstr>
      <vt:lpstr>v_9_XCaCO3</vt:lpstr>
      <vt:lpstr>v_9_XCASTO</vt:lpstr>
      <vt:lpstr>v_9_XE</vt:lpstr>
      <vt:lpstr>v_9_XE_ana</vt:lpstr>
      <vt:lpstr>v_9_XFeS</vt:lpstr>
      <vt:lpstr>v_9_XGLY</vt:lpstr>
      <vt:lpstr>v_9_XHAO_H</vt:lpstr>
      <vt:lpstr>v_9_XHAO_H_P</vt:lpstr>
      <vt:lpstr>v_9_XHAO_H_P_old</vt:lpstr>
      <vt:lpstr>v_9_XHAO_L</vt:lpstr>
      <vt:lpstr>v_9_XHAO_L_P</vt:lpstr>
      <vt:lpstr>v_9_XHAO_L_P_old</vt:lpstr>
      <vt:lpstr>v_9_XHAO_old</vt:lpstr>
      <vt:lpstr>v_9_XHFO_H</vt:lpstr>
      <vt:lpstr>v_9_XHFO_H_P</vt:lpstr>
      <vt:lpstr>v_9_XHFO_H_P_old</vt:lpstr>
      <vt:lpstr>v_9_XHFO_L</vt:lpstr>
      <vt:lpstr>v_9_XHFO_L_P</vt:lpstr>
      <vt:lpstr>v_9_XHFO_L_P_old</vt:lpstr>
      <vt:lpstr>v_9_XHFO_old</vt:lpstr>
      <vt:lpstr>v_9_XHMETO</vt:lpstr>
      <vt:lpstr>v_9_XHSRO</vt:lpstr>
      <vt:lpstr>v_9_XINORG</vt:lpstr>
      <vt:lpstr>v_9_XMEOLO</vt:lpstr>
      <vt:lpstr>v_9_XMOB</vt:lpstr>
      <vt:lpstr>v_9_XN_B</vt:lpstr>
      <vt:lpstr>v_9_XN_U</vt:lpstr>
      <vt:lpstr>v_9_XNOB</vt:lpstr>
      <vt:lpstr>v_9_XOHO</vt:lpstr>
      <vt:lpstr>v_9_XP_B</vt:lpstr>
      <vt:lpstr>v_9_XP_U</vt:lpstr>
      <vt:lpstr>v_9_XPHA</vt:lpstr>
      <vt:lpstr>v_9_XPP</vt:lpstr>
      <vt:lpstr>v_9_XS</vt:lpstr>
      <vt:lpstr>v_9_XSOO</vt:lpstr>
      <vt:lpstr>v_9_XSTR</vt:lpstr>
      <vt:lpstr>v_9_XU</vt:lpstr>
      <vt:lpstr>v_9_XVivi</vt:lpstr>
      <vt:lpstr>v_90_CB</vt:lpstr>
      <vt:lpstr>v_90_CU</vt:lpstr>
      <vt:lpstr>v_90_GCH4</vt:lpstr>
      <vt:lpstr>v_90_GCH4_atm</vt:lpstr>
      <vt:lpstr>v_90_GCO2</vt:lpstr>
      <vt:lpstr>v_90_GCO2_atm</vt:lpstr>
      <vt:lpstr>v_90_GH2</vt:lpstr>
      <vt:lpstr>v_90_GH2_atm</vt:lpstr>
      <vt:lpstr>v_90_GH2S</vt:lpstr>
      <vt:lpstr>v_90_GH2S_atm</vt:lpstr>
      <vt:lpstr>v_90_GN2</vt:lpstr>
      <vt:lpstr>v_90_GN2_atm</vt:lpstr>
      <vt:lpstr>v_90_GN2O</vt:lpstr>
      <vt:lpstr>v_90_GN2O_atm</vt:lpstr>
      <vt:lpstr>v_90_GNH3</vt:lpstr>
      <vt:lpstr>v_90_GNH3_atm</vt:lpstr>
      <vt:lpstr>v_90_GNO</vt:lpstr>
      <vt:lpstr>v_90_GNO_atm</vt:lpstr>
      <vt:lpstr>v_90_GO2</vt:lpstr>
      <vt:lpstr>v_90_GO2_atm</vt:lpstr>
      <vt:lpstr>v_90_H</vt:lpstr>
      <vt:lpstr>v_90_SALPHA</vt:lpstr>
      <vt:lpstr>v_90_SAN</vt:lpstr>
      <vt:lpstr>v_90_SB</vt:lpstr>
      <vt:lpstr>v_90_SCa</vt:lpstr>
      <vt:lpstr>v_90_SCAT</vt:lpstr>
      <vt:lpstr>v_90_SCH4</vt:lpstr>
      <vt:lpstr>v_90_SCO2</vt:lpstr>
      <vt:lpstr>v_90_SFe2</vt:lpstr>
      <vt:lpstr>v_90_SH2</vt:lpstr>
      <vt:lpstr>v_90_SH2S</vt:lpstr>
      <vt:lpstr>v_90_SK</vt:lpstr>
      <vt:lpstr>v_90_SMEOL</vt:lpstr>
      <vt:lpstr>v_90_SMg</vt:lpstr>
      <vt:lpstr>v_90_SMM_index</vt:lpstr>
      <vt:lpstr>v_90_SN_B</vt:lpstr>
      <vt:lpstr>v_90_SN2</vt:lpstr>
      <vt:lpstr>v_90_SN2O</vt:lpstr>
      <vt:lpstr>v_90_SNH2OH</vt:lpstr>
      <vt:lpstr>v_90_SNHx</vt:lpstr>
      <vt:lpstr>v_90_SNO_AOB</vt:lpstr>
      <vt:lpstr>v_90_SNO_OHO</vt:lpstr>
      <vt:lpstr>v_90_SNO2</vt:lpstr>
      <vt:lpstr>v_90_SNO3</vt:lpstr>
      <vt:lpstr>v_90_SO2</vt:lpstr>
      <vt:lpstr>v_90_SP_B</vt:lpstr>
      <vt:lpstr>v_90_SPO4</vt:lpstr>
      <vt:lpstr>v_90_SSO4</vt:lpstr>
      <vt:lpstr>v_90_SU</vt:lpstr>
      <vt:lpstr>v_90_SVFA</vt:lpstr>
      <vt:lpstr>v_90_XACP</vt:lpstr>
      <vt:lpstr>v_90_XAMETO</vt:lpstr>
      <vt:lpstr>v_90_XAMX</vt:lpstr>
      <vt:lpstr>v_90_XAOB</vt:lpstr>
      <vt:lpstr>v_90_XASRO</vt:lpstr>
      <vt:lpstr>v_90_XB</vt:lpstr>
      <vt:lpstr>v_90_XBSH</vt:lpstr>
      <vt:lpstr>v_90_XCaCO3</vt:lpstr>
      <vt:lpstr>v_90_XCASTO</vt:lpstr>
      <vt:lpstr>v_90_XE</vt:lpstr>
      <vt:lpstr>v_90_XE_ana</vt:lpstr>
      <vt:lpstr>v_90_XFeS</vt:lpstr>
      <vt:lpstr>v_90_XGLY</vt:lpstr>
      <vt:lpstr>v_90_XHAO_H</vt:lpstr>
      <vt:lpstr>v_90_XHAO_H_P</vt:lpstr>
      <vt:lpstr>v_90_XHAO_H_P_old</vt:lpstr>
      <vt:lpstr>v_90_XHAO_L</vt:lpstr>
      <vt:lpstr>v_90_XHAO_L_P</vt:lpstr>
      <vt:lpstr>v_90_XHAO_L_P_old</vt:lpstr>
      <vt:lpstr>v_90_XHAO_old</vt:lpstr>
      <vt:lpstr>v_90_XHFO_H</vt:lpstr>
      <vt:lpstr>v_90_XHFO_H_P</vt:lpstr>
      <vt:lpstr>v_90_XHFO_H_P_old</vt:lpstr>
      <vt:lpstr>v_90_XHFO_L</vt:lpstr>
      <vt:lpstr>v_90_XHFO_L_P</vt:lpstr>
      <vt:lpstr>v_90_XHFO_L_P_old</vt:lpstr>
      <vt:lpstr>v_90_XHFO_old</vt:lpstr>
      <vt:lpstr>v_90_XHMETO</vt:lpstr>
      <vt:lpstr>v_90_XHSRO</vt:lpstr>
      <vt:lpstr>v_90_XINORG</vt:lpstr>
      <vt:lpstr>v_90_XMEOLO</vt:lpstr>
      <vt:lpstr>v_90_XMOB</vt:lpstr>
      <vt:lpstr>v_90_XN_B</vt:lpstr>
      <vt:lpstr>v_90_XN_U</vt:lpstr>
      <vt:lpstr>v_90_XNOB</vt:lpstr>
      <vt:lpstr>v_90_XOHO</vt:lpstr>
      <vt:lpstr>v_90_XP_B</vt:lpstr>
      <vt:lpstr>v_90_XP_U</vt:lpstr>
      <vt:lpstr>v_90_XPHA</vt:lpstr>
      <vt:lpstr>v_90_XPP</vt:lpstr>
      <vt:lpstr>v_90_XS</vt:lpstr>
      <vt:lpstr>v_90_XSOO</vt:lpstr>
      <vt:lpstr>v_90_XSTR</vt:lpstr>
      <vt:lpstr>v_90_XU</vt:lpstr>
      <vt:lpstr>v_90_XVivi</vt:lpstr>
      <vt:lpstr>v_91_CB</vt:lpstr>
      <vt:lpstr>v_91_CU</vt:lpstr>
      <vt:lpstr>v_91_GCH4</vt:lpstr>
      <vt:lpstr>v_91_GCH4_atm</vt:lpstr>
      <vt:lpstr>v_91_GCO2</vt:lpstr>
      <vt:lpstr>v_91_GCO2_atm</vt:lpstr>
      <vt:lpstr>v_91_GH2</vt:lpstr>
      <vt:lpstr>v_91_GH2_atm</vt:lpstr>
      <vt:lpstr>v_91_GH2S</vt:lpstr>
      <vt:lpstr>v_91_GH2S_atm</vt:lpstr>
      <vt:lpstr>v_91_GN2</vt:lpstr>
      <vt:lpstr>v_91_GN2_atm</vt:lpstr>
      <vt:lpstr>v_91_GN2O</vt:lpstr>
      <vt:lpstr>v_91_GN2O_atm</vt:lpstr>
      <vt:lpstr>v_91_GNH3</vt:lpstr>
      <vt:lpstr>v_91_GNH3_atm</vt:lpstr>
      <vt:lpstr>v_91_GNO</vt:lpstr>
      <vt:lpstr>v_91_GNO_atm</vt:lpstr>
      <vt:lpstr>v_91_GO2</vt:lpstr>
      <vt:lpstr>v_91_GO2_atm</vt:lpstr>
      <vt:lpstr>v_91_H</vt:lpstr>
      <vt:lpstr>v_91_SALPHA</vt:lpstr>
      <vt:lpstr>v_91_SAN</vt:lpstr>
      <vt:lpstr>v_91_SB</vt:lpstr>
      <vt:lpstr>v_91_SCa</vt:lpstr>
      <vt:lpstr>v_91_SCAT</vt:lpstr>
      <vt:lpstr>v_91_SCH4</vt:lpstr>
      <vt:lpstr>v_91_SCO2</vt:lpstr>
      <vt:lpstr>v_91_SFe2</vt:lpstr>
      <vt:lpstr>v_91_SH2</vt:lpstr>
      <vt:lpstr>v_91_SH2S</vt:lpstr>
      <vt:lpstr>v_91_SK</vt:lpstr>
      <vt:lpstr>v_91_SMEOL</vt:lpstr>
      <vt:lpstr>v_91_SMg</vt:lpstr>
      <vt:lpstr>v_91_SMM_index</vt:lpstr>
      <vt:lpstr>v_91_SN_B</vt:lpstr>
      <vt:lpstr>v_91_SN2</vt:lpstr>
      <vt:lpstr>v_91_SN2O</vt:lpstr>
      <vt:lpstr>v_91_SNH2OH</vt:lpstr>
      <vt:lpstr>v_91_SNHx</vt:lpstr>
      <vt:lpstr>v_91_SNO_AOB</vt:lpstr>
      <vt:lpstr>v_91_SNO_OHO</vt:lpstr>
      <vt:lpstr>v_91_SNO2</vt:lpstr>
      <vt:lpstr>v_91_SNO3</vt:lpstr>
      <vt:lpstr>v_91_SO2</vt:lpstr>
      <vt:lpstr>v_91_SP_B</vt:lpstr>
      <vt:lpstr>v_91_SPO4</vt:lpstr>
      <vt:lpstr>v_91_SSO4</vt:lpstr>
      <vt:lpstr>v_91_SU</vt:lpstr>
      <vt:lpstr>v_91_SVFA</vt:lpstr>
      <vt:lpstr>v_91_XACP</vt:lpstr>
      <vt:lpstr>v_91_XAMETO</vt:lpstr>
      <vt:lpstr>v_91_XAMX</vt:lpstr>
      <vt:lpstr>v_91_XAOB</vt:lpstr>
      <vt:lpstr>v_91_XASRO</vt:lpstr>
      <vt:lpstr>v_91_XB</vt:lpstr>
      <vt:lpstr>v_91_XBSH</vt:lpstr>
      <vt:lpstr>v_91_XCaCO3</vt:lpstr>
      <vt:lpstr>v_91_XCASTO</vt:lpstr>
      <vt:lpstr>v_91_XE</vt:lpstr>
      <vt:lpstr>v_91_XE_ana</vt:lpstr>
      <vt:lpstr>v_91_XFeS</vt:lpstr>
      <vt:lpstr>v_91_XGLY</vt:lpstr>
      <vt:lpstr>v_91_XHAO_H</vt:lpstr>
      <vt:lpstr>v_91_XHAO_H_P</vt:lpstr>
      <vt:lpstr>v_91_XHAO_H_P_old</vt:lpstr>
      <vt:lpstr>v_91_XHAO_L</vt:lpstr>
      <vt:lpstr>v_91_XHAO_L_P</vt:lpstr>
      <vt:lpstr>v_91_XHAO_L_P_old</vt:lpstr>
      <vt:lpstr>v_91_XHAO_old</vt:lpstr>
      <vt:lpstr>v_91_XHFO_H</vt:lpstr>
      <vt:lpstr>v_91_XHFO_H_P</vt:lpstr>
      <vt:lpstr>v_91_XHFO_H_P_old</vt:lpstr>
      <vt:lpstr>v_91_XHFO_L</vt:lpstr>
      <vt:lpstr>v_91_XHFO_L_P</vt:lpstr>
      <vt:lpstr>v_91_XHFO_L_P_old</vt:lpstr>
      <vt:lpstr>v_91_XHFO_old</vt:lpstr>
      <vt:lpstr>v_91_XHMETO</vt:lpstr>
      <vt:lpstr>v_91_XHSRO</vt:lpstr>
      <vt:lpstr>v_91_XINORG</vt:lpstr>
      <vt:lpstr>v_91_XMEOLO</vt:lpstr>
      <vt:lpstr>v_91_XMOB</vt:lpstr>
      <vt:lpstr>v_91_XN_B</vt:lpstr>
      <vt:lpstr>v_91_XN_U</vt:lpstr>
      <vt:lpstr>v_91_XNOB</vt:lpstr>
      <vt:lpstr>v_91_XOHO</vt:lpstr>
      <vt:lpstr>v_91_XP_B</vt:lpstr>
      <vt:lpstr>v_91_XP_U</vt:lpstr>
      <vt:lpstr>v_91_XPHA</vt:lpstr>
      <vt:lpstr>v_91_XPP</vt:lpstr>
      <vt:lpstr>v_91_XS</vt:lpstr>
      <vt:lpstr>v_91_XSOO</vt:lpstr>
      <vt:lpstr>v_91_XSTR</vt:lpstr>
      <vt:lpstr>v_91_XU</vt:lpstr>
      <vt:lpstr>v_91_XVivi</vt:lpstr>
      <vt:lpstr>v_92_CB</vt:lpstr>
      <vt:lpstr>v_92_CU</vt:lpstr>
      <vt:lpstr>v_92_GCH4</vt:lpstr>
      <vt:lpstr>v_92_GCH4_atm</vt:lpstr>
      <vt:lpstr>v_92_GCO2</vt:lpstr>
      <vt:lpstr>v_92_GCO2_atm</vt:lpstr>
      <vt:lpstr>v_92_GH2</vt:lpstr>
      <vt:lpstr>v_92_GH2_atm</vt:lpstr>
      <vt:lpstr>v_92_GH2S</vt:lpstr>
      <vt:lpstr>v_92_GH2S_atm</vt:lpstr>
      <vt:lpstr>v_92_GN2</vt:lpstr>
      <vt:lpstr>v_92_GN2_atm</vt:lpstr>
      <vt:lpstr>v_92_GN2O</vt:lpstr>
      <vt:lpstr>v_92_GN2O_atm</vt:lpstr>
      <vt:lpstr>v_92_GNH3</vt:lpstr>
      <vt:lpstr>v_92_GNH3_atm</vt:lpstr>
      <vt:lpstr>v_92_GNO</vt:lpstr>
      <vt:lpstr>v_92_GNO_atm</vt:lpstr>
      <vt:lpstr>v_92_GO2</vt:lpstr>
      <vt:lpstr>v_92_GO2_atm</vt:lpstr>
      <vt:lpstr>v_92_H</vt:lpstr>
      <vt:lpstr>v_92_SALPHA</vt:lpstr>
      <vt:lpstr>v_92_SAN</vt:lpstr>
      <vt:lpstr>v_92_SB</vt:lpstr>
      <vt:lpstr>v_92_SCa</vt:lpstr>
      <vt:lpstr>v_92_SCAT</vt:lpstr>
      <vt:lpstr>v_92_SCH4</vt:lpstr>
      <vt:lpstr>v_92_SCO2</vt:lpstr>
      <vt:lpstr>v_92_SFe2</vt:lpstr>
      <vt:lpstr>v_92_SH2</vt:lpstr>
      <vt:lpstr>v_92_SH2S</vt:lpstr>
      <vt:lpstr>v_92_SK</vt:lpstr>
      <vt:lpstr>v_92_SMEOL</vt:lpstr>
      <vt:lpstr>v_92_SMg</vt:lpstr>
      <vt:lpstr>v_92_SMM_index</vt:lpstr>
      <vt:lpstr>v_92_SN_B</vt:lpstr>
      <vt:lpstr>v_92_SN2</vt:lpstr>
      <vt:lpstr>v_92_SN2O</vt:lpstr>
      <vt:lpstr>v_92_SNH2OH</vt:lpstr>
      <vt:lpstr>v_92_SNHx</vt:lpstr>
      <vt:lpstr>v_92_SNO_AOB</vt:lpstr>
      <vt:lpstr>v_92_SNO_OHO</vt:lpstr>
      <vt:lpstr>v_92_SNO2</vt:lpstr>
      <vt:lpstr>v_92_SNO3</vt:lpstr>
      <vt:lpstr>v_92_SO2</vt:lpstr>
      <vt:lpstr>v_92_SP_B</vt:lpstr>
      <vt:lpstr>v_92_SPO4</vt:lpstr>
      <vt:lpstr>v_92_SSO4</vt:lpstr>
      <vt:lpstr>v_92_SU</vt:lpstr>
      <vt:lpstr>v_92_SVFA</vt:lpstr>
      <vt:lpstr>v_92_XACP</vt:lpstr>
      <vt:lpstr>v_92_XAMETO</vt:lpstr>
      <vt:lpstr>v_92_XAMX</vt:lpstr>
      <vt:lpstr>v_92_XAOB</vt:lpstr>
      <vt:lpstr>v_92_XASRO</vt:lpstr>
      <vt:lpstr>v_92_XB</vt:lpstr>
      <vt:lpstr>v_92_XBSH</vt:lpstr>
      <vt:lpstr>v_92_XCaCO3</vt:lpstr>
      <vt:lpstr>v_92_XCASTO</vt:lpstr>
      <vt:lpstr>v_92_XE</vt:lpstr>
      <vt:lpstr>v_92_XE_ana</vt:lpstr>
      <vt:lpstr>v_92_XFeS</vt:lpstr>
      <vt:lpstr>v_92_XGLY</vt:lpstr>
      <vt:lpstr>v_92_XHAO_H</vt:lpstr>
      <vt:lpstr>v_92_XHAO_H_P</vt:lpstr>
      <vt:lpstr>v_92_XHAO_H_P_old</vt:lpstr>
      <vt:lpstr>v_92_XHAO_L</vt:lpstr>
      <vt:lpstr>v_92_XHAO_L_P</vt:lpstr>
      <vt:lpstr>v_92_XHAO_L_P_old</vt:lpstr>
      <vt:lpstr>v_92_XHAO_old</vt:lpstr>
      <vt:lpstr>v_92_XHFO_H</vt:lpstr>
      <vt:lpstr>v_92_XHFO_H_P</vt:lpstr>
      <vt:lpstr>v_92_XHFO_H_P_old</vt:lpstr>
      <vt:lpstr>v_92_XHFO_L</vt:lpstr>
      <vt:lpstr>v_92_XHFO_L_P</vt:lpstr>
      <vt:lpstr>v_92_XHFO_L_P_old</vt:lpstr>
      <vt:lpstr>v_92_XHFO_old</vt:lpstr>
      <vt:lpstr>v_92_XHMETO</vt:lpstr>
      <vt:lpstr>v_92_XHSRO</vt:lpstr>
      <vt:lpstr>v_92_XINORG</vt:lpstr>
      <vt:lpstr>v_92_XMEOLO</vt:lpstr>
      <vt:lpstr>v_92_XMOB</vt:lpstr>
      <vt:lpstr>v_92_XN_B</vt:lpstr>
      <vt:lpstr>v_92_XN_U</vt:lpstr>
      <vt:lpstr>v_92_XNOB</vt:lpstr>
      <vt:lpstr>v_92_XOHO</vt:lpstr>
      <vt:lpstr>v_92_XP_B</vt:lpstr>
      <vt:lpstr>v_92_XP_U</vt:lpstr>
      <vt:lpstr>v_92_XPHA</vt:lpstr>
      <vt:lpstr>v_92_XPP</vt:lpstr>
      <vt:lpstr>v_92_XS</vt:lpstr>
      <vt:lpstr>v_92_XSOO</vt:lpstr>
      <vt:lpstr>v_92_XSTR</vt:lpstr>
      <vt:lpstr>v_92_XU</vt:lpstr>
      <vt:lpstr>v_92_XVivi</vt:lpstr>
      <vt:lpstr>v_93_CB</vt:lpstr>
      <vt:lpstr>v_93_CU</vt:lpstr>
      <vt:lpstr>v_93_GCH4</vt:lpstr>
      <vt:lpstr>v_93_GCH4_atm</vt:lpstr>
      <vt:lpstr>v_93_GCO2</vt:lpstr>
      <vt:lpstr>v_93_GCO2_atm</vt:lpstr>
      <vt:lpstr>v_93_GH2</vt:lpstr>
      <vt:lpstr>v_93_GH2_atm</vt:lpstr>
      <vt:lpstr>v_93_GH2S</vt:lpstr>
      <vt:lpstr>v_93_GH2S_atm</vt:lpstr>
      <vt:lpstr>v_93_GN2</vt:lpstr>
      <vt:lpstr>v_93_GN2_atm</vt:lpstr>
      <vt:lpstr>v_93_GN2O</vt:lpstr>
      <vt:lpstr>v_93_GN2O_atm</vt:lpstr>
      <vt:lpstr>v_93_GNH3</vt:lpstr>
      <vt:lpstr>v_93_GNH3_atm</vt:lpstr>
      <vt:lpstr>v_93_GNO</vt:lpstr>
      <vt:lpstr>v_93_GNO_atm</vt:lpstr>
      <vt:lpstr>v_93_GO2</vt:lpstr>
      <vt:lpstr>v_93_GO2_atm</vt:lpstr>
      <vt:lpstr>v_93_H</vt:lpstr>
      <vt:lpstr>v_93_SALPHA</vt:lpstr>
      <vt:lpstr>v_93_SAN</vt:lpstr>
      <vt:lpstr>v_93_SB</vt:lpstr>
      <vt:lpstr>v_93_SCa</vt:lpstr>
      <vt:lpstr>v_93_SCAT</vt:lpstr>
      <vt:lpstr>v_93_SCH4</vt:lpstr>
      <vt:lpstr>v_93_SCO2</vt:lpstr>
      <vt:lpstr>v_93_SFe2</vt:lpstr>
      <vt:lpstr>v_93_SH2</vt:lpstr>
      <vt:lpstr>v_93_SH2S</vt:lpstr>
      <vt:lpstr>v_93_SK</vt:lpstr>
      <vt:lpstr>v_93_SMEOL</vt:lpstr>
      <vt:lpstr>v_93_SMg</vt:lpstr>
      <vt:lpstr>v_93_SMM_index</vt:lpstr>
      <vt:lpstr>v_93_SN_B</vt:lpstr>
      <vt:lpstr>v_93_SN2</vt:lpstr>
      <vt:lpstr>v_93_SN2O</vt:lpstr>
      <vt:lpstr>v_93_SNH2OH</vt:lpstr>
      <vt:lpstr>v_93_SNHx</vt:lpstr>
      <vt:lpstr>v_93_SNO_AOB</vt:lpstr>
      <vt:lpstr>v_93_SNO_OHO</vt:lpstr>
      <vt:lpstr>v_93_SNO2</vt:lpstr>
      <vt:lpstr>v_93_SNO3</vt:lpstr>
      <vt:lpstr>v_93_SO2</vt:lpstr>
      <vt:lpstr>v_93_SP_B</vt:lpstr>
      <vt:lpstr>v_93_SPO4</vt:lpstr>
      <vt:lpstr>v_93_SSO4</vt:lpstr>
      <vt:lpstr>v_93_SU</vt:lpstr>
      <vt:lpstr>v_93_SVFA</vt:lpstr>
      <vt:lpstr>v_93_XACP</vt:lpstr>
      <vt:lpstr>v_93_XAMETO</vt:lpstr>
      <vt:lpstr>v_93_XAMX</vt:lpstr>
      <vt:lpstr>v_93_XAOB</vt:lpstr>
      <vt:lpstr>v_93_XASRO</vt:lpstr>
      <vt:lpstr>v_93_XB</vt:lpstr>
      <vt:lpstr>v_93_XBSH</vt:lpstr>
      <vt:lpstr>v_93_XCaCO3</vt:lpstr>
      <vt:lpstr>v_93_XCASTO</vt:lpstr>
      <vt:lpstr>v_93_XE</vt:lpstr>
      <vt:lpstr>v_93_XE_ana</vt:lpstr>
      <vt:lpstr>v_93_XFeS</vt:lpstr>
      <vt:lpstr>v_93_XGLY</vt:lpstr>
      <vt:lpstr>v_93_XHAO_H</vt:lpstr>
      <vt:lpstr>v_93_XHAO_H_P</vt:lpstr>
      <vt:lpstr>v_93_XHAO_H_P_old</vt:lpstr>
      <vt:lpstr>v_93_XHAO_L</vt:lpstr>
      <vt:lpstr>v_93_XHAO_L_P</vt:lpstr>
      <vt:lpstr>v_93_XHAO_L_P_old</vt:lpstr>
      <vt:lpstr>v_93_XHAO_old</vt:lpstr>
      <vt:lpstr>v_93_XHFO_H</vt:lpstr>
      <vt:lpstr>v_93_XHFO_H_P</vt:lpstr>
      <vt:lpstr>v_93_XHFO_H_P_old</vt:lpstr>
      <vt:lpstr>v_93_XHFO_L</vt:lpstr>
      <vt:lpstr>v_93_XHFO_L_P</vt:lpstr>
      <vt:lpstr>v_93_XHFO_L_P_old</vt:lpstr>
      <vt:lpstr>v_93_XHFO_old</vt:lpstr>
      <vt:lpstr>v_93_XHMETO</vt:lpstr>
      <vt:lpstr>v_93_XHSRO</vt:lpstr>
      <vt:lpstr>v_93_XINORG</vt:lpstr>
      <vt:lpstr>v_93_XMEOLO</vt:lpstr>
      <vt:lpstr>v_93_XMOB</vt:lpstr>
      <vt:lpstr>v_93_XN_B</vt:lpstr>
      <vt:lpstr>v_93_XN_U</vt:lpstr>
      <vt:lpstr>v_93_XNOB</vt:lpstr>
      <vt:lpstr>v_93_XOHO</vt:lpstr>
      <vt:lpstr>v_93_XP_B</vt:lpstr>
      <vt:lpstr>v_93_XP_U</vt:lpstr>
      <vt:lpstr>v_93_XPHA</vt:lpstr>
      <vt:lpstr>v_93_XPP</vt:lpstr>
      <vt:lpstr>v_93_XS</vt:lpstr>
      <vt:lpstr>v_93_XSOO</vt:lpstr>
      <vt:lpstr>v_93_XSTR</vt:lpstr>
      <vt:lpstr>v_93_XU</vt:lpstr>
      <vt:lpstr>v_93_XVivi</vt:lpstr>
      <vt:lpstr>v_94_CB</vt:lpstr>
      <vt:lpstr>v_94_CU</vt:lpstr>
      <vt:lpstr>v_94_GCH4</vt:lpstr>
      <vt:lpstr>v_94_GCH4_atm</vt:lpstr>
      <vt:lpstr>v_94_GCO2</vt:lpstr>
      <vt:lpstr>v_94_GCO2_atm</vt:lpstr>
      <vt:lpstr>v_94_GH2</vt:lpstr>
      <vt:lpstr>v_94_GH2_atm</vt:lpstr>
      <vt:lpstr>v_94_GH2S</vt:lpstr>
      <vt:lpstr>v_94_GH2S_atm</vt:lpstr>
      <vt:lpstr>v_94_GN2</vt:lpstr>
      <vt:lpstr>v_94_GN2_atm</vt:lpstr>
      <vt:lpstr>v_94_GN2O</vt:lpstr>
      <vt:lpstr>v_94_GN2O_atm</vt:lpstr>
      <vt:lpstr>v_94_GNH3</vt:lpstr>
      <vt:lpstr>v_94_GNH3_atm</vt:lpstr>
      <vt:lpstr>v_94_GNO</vt:lpstr>
      <vt:lpstr>v_94_GNO_atm</vt:lpstr>
      <vt:lpstr>v_94_GO2</vt:lpstr>
      <vt:lpstr>v_94_GO2_atm</vt:lpstr>
      <vt:lpstr>v_94_H</vt:lpstr>
      <vt:lpstr>v_94_SALPHA</vt:lpstr>
      <vt:lpstr>v_94_SAN</vt:lpstr>
      <vt:lpstr>v_94_SB</vt:lpstr>
      <vt:lpstr>v_94_SCa</vt:lpstr>
      <vt:lpstr>v_94_SCAT</vt:lpstr>
      <vt:lpstr>v_94_SCH4</vt:lpstr>
      <vt:lpstr>v_94_SCO2</vt:lpstr>
      <vt:lpstr>v_94_SFe2</vt:lpstr>
      <vt:lpstr>v_94_SH2</vt:lpstr>
      <vt:lpstr>v_94_SH2S</vt:lpstr>
      <vt:lpstr>v_94_SK</vt:lpstr>
      <vt:lpstr>v_94_SMEOL</vt:lpstr>
      <vt:lpstr>v_94_SMg</vt:lpstr>
      <vt:lpstr>v_94_SMM_index</vt:lpstr>
      <vt:lpstr>v_94_SN_B</vt:lpstr>
      <vt:lpstr>v_94_SN2</vt:lpstr>
      <vt:lpstr>v_94_SN2O</vt:lpstr>
      <vt:lpstr>v_94_SNH2OH</vt:lpstr>
      <vt:lpstr>v_94_SNHx</vt:lpstr>
      <vt:lpstr>v_94_SNO_AOB</vt:lpstr>
      <vt:lpstr>v_94_SNO_OHO</vt:lpstr>
      <vt:lpstr>v_94_SNO2</vt:lpstr>
      <vt:lpstr>v_94_SNO3</vt:lpstr>
      <vt:lpstr>v_94_SO2</vt:lpstr>
      <vt:lpstr>v_94_SP_B</vt:lpstr>
      <vt:lpstr>v_94_SPO4</vt:lpstr>
      <vt:lpstr>v_94_SSO4</vt:lpstr>
      <vt:lpstr>v_94_SU</vt:lpstr>
      <vt:lpstr>v_94_SVFA</vt:lpstr>
      <vt:lpstr>v_94_XACP</vt:lpstr>
      <vt:lpstr>v_94_XAMETO</vt:lpstr>
      <vt:lpstr>v_94_XAMX</vt:lpstr>
      <vt:lpstr>v_94_XAOB</vt:lpstr>
      <vt:lpstr>v_94_XASRO</vt:lpstr>
      <vt:lpstr>v_94_XB</vt:lpstr>
      <vt:lpstr>v_94_XBSH</vt:lpstr>
      <vt:lpstr>v_94_XCaCO3</vt:lpstr>
      <vt:lpstr>v_94_XCASTO</vt:lpstr>
      <vt:lpstr>v_94_XE</vt:lpstr>
      <vt:lpstr>v_94_XE_ana</vt:lpstr>
      <vt:lpstr>v_94_XFeS</vt:lpstr>
      <vt:lpstr>v_94_XGLY</vt:lpstr>
      <vt:lpstr>v_94_XHAO_H</vt:lpstr>
      <vt:lpstr>v_94_XHAO_H_P</vt:lpstr>
      <vt:lpstr>v_94_XHAO_H_P_old</vt:lpstr>
      <vt:lpstr>v_94_XHAO_L</vt:lpstr>
      <vt:lpstr>v_94_XHAO_L_P</vt:lpstr>
      <vt:lpstr>v_94_XHAO_L_P_old</vt:lpstr>
      <vt:lpstr>v_94_XHAO_old</vt:lpstr>
      <vt:lpstr>v_94_XHFO_H</vt:lpstr>
      <vt:lpstr>v_94_XHFO_H_P</vt:lpstr>
      <vt:lpstr>v_94_XHFO_H_P_old</vt:lpstr>
      <vt:lpstr>v_94_XHFO_L</vt:lpstr>
      <vt:lpstr>v_94_XHFO_L_P</vt:lpstr>
      <vt:lpstr>v_94_XHFO_L_P_old</vt:lpstr>
      <vt:lpstr>v_94_XHFO_old</vt:lpstr>
      <vt:lpstr>v_94_XHMETO</vt:lpstr>
      <vt:lpstr>v_94_XHSRO</vt:lpstr>
      <vt:lpstr>v_94_XINORG</vt:lpstr>
      <vt:lpstr>v_94_XMEOLO</vt:lpstr>
      <vt:lpstr>v_94_XMOB</vt:lpstr>
      <vt:lpstr>v_94_XN_B</vt:lpstr>
      <vt:lpstr>v_94_XN_U</vt:lpstr>
      <vt:lpstr>v_94_XNOB</vt:lpstr>
      <vt:lpstr>v_94_XOHO</vt:lpstr>
      <vt:lpstr>v_94_XP_B</vt:lpstr>
      <vt:lpstr>v_94_XP_U</vt:lpstr>
      <vt:lpstr>v_94_XPHA</vt:lpstr>
      <vt:lpstr>v_94_XPP</vt:lpstr>
      <vt:lpstr>v_94_XS</vt:lpstr>
      <vt:lpstr>v_94_XSOO</vt:lpstr>
      <vt:lpstr>v_94_XSTR</vt:lpstr>
      <vt:lpstr>v_94_XU</vt:lpstr>
      <vt:lpstr>v_94_XVivi</vt:lpstr>
      <vt:lpstr>v_95_CB</vt:lpstr>
      <vt:lpstr>v_95_CU</vt:lpstr>
      <vt:lpstr>v_95_GCH4</vt:lpstr>
      <vt:lpstr>v_95_GCH4_atm</vt:lpstr>
      <vt:lpstr>v_95_GCO2</vt:lpstr>
      <vt:lpstr>v_95_GCO2_atm</vt:lpstr>
      <vt:lpstr>v_95_GH2</vt:lpstr>
      <vt:lpstr>v_95_GH2_atm</vt:lpstr>
      <vt:lpstr>v_95_GH2S</vt:lpstr>
      <vt:lpstr>v_95_GH2S_atm</vt:lpstr>
      <vt:lpstr>v_95_GN2</vt:lpstr>
      <vt:lpstr>v_95_GN2_atm</vt:lpstr>
      <vt:lpstr>v_95_GN2O</vt:lpstr>
      <vt:lpstr>v_95_GN2O_atm</vt:lpstr>
      <vt:lpstr>v_95_GNH3</vt:lpstr>
      <vt:lpstr>v_95_GNH3_atm</vt:lpstr>
      <vt:lpstr>v_95_GNO</vt:lpstr>
      <vt:lpstr>v_95_GNO_atm</vt:lpstr>
      <vt:lpstr>v_95_GO2</vt:lpstr>
      <vt:lpstr>v_95_GO2_atm</vt:lpstr>
      <vt:lpstr>v_95_H</vt:lpstr>
      <vt:lpstr>v_95_SALPHA</vt:lpstr>
      <vt:lpstr>v_95_SAN</vt:lpstr>
      <vt:lpstr>v_95_SB</vt:lpstr>
      <vt:lpstr>v_95_SCa</vt:lpstr>
      <vt:lpstr>v_95_SCAT</vt:lpstr>
      <vt:lpstr>v_95_SCH4</vt:lpstr>
      <vt:lpstr>v_95_SCO2</vt:lpstr>
      <vt:lpstr>v_95_SFe2</vt:lpstr>
      <vt:lpstr>v_95_SH2</vt:lpstr>
      <vt:lpstr>v_95_SH2S</vt:lpstr>
      <vt:lpstr>v_95_SK</vt:lpstr>
      <vt:lpstr>v_95_SMEOL</vt:lpstr>
      <vt:lpstr>v_95_SMg</vt:lpstr>
      <vt:lpstr>v_95_SMM_index</vt:lpstr>
      <vt:lpstr>v_95_SN_B</vt:lpstr>
      <vt:lpstr>v_95_SN2</vt:lpstr>
      <vt:lpstr>v_95_SN2O</vt:lpstr>
      <vt:lpstr>v_95_SNH2OH</vt:lpstr>
      <vt:lpstr>v_95_SNHx</vt:lpstr>
      <vt:lpstr>v_95_SNO_AOB</vt:lpstr>
      <vt:lpstr>v_95_SNO_OHO</vt:lpstr>
      <vt:lpstr>v_95_SNO2</vt:lpstr>
      <vt:lpstr>v_95_SNO3</vt:lpstr>
      <vt:lpstr>v_95_SO2</vt:lpstr>
      <vt:lpstr>v_95_SP_B</vt:lpstr>
      <vt:lpstr>v_95_SPO4</vt:lpstr>
      <vt:lpstr>v_95_SSO4</vt:lpstr>
      <vt:lpstr>v_95_SU</vt:lpstr>
      <vt:lpstr>v_95_SVFA</vt:lpstr>
      <vt:lpstr>v_95_XACP</vt:lpstr>
      <vt:lpstr>v_95_XAMETO</vt:lpstr>
      <vt:lpstr>v_95_XAMX</vt:lpstr>
      <vt:lpstr>v_95_XAOB</vt:lpstr>
      <vt:lpstr>v_95_XASRO</vt:lpstr>
      <vt:lpstr>v_95_XB</vt:lpstr>
      <vt:lpstr>v_95_XBSH</vt:lpstr>
      <vt:lpstr>v_95_XCaCO3</vt:lpstr>
      <vt:lpstr>v_95_XCASTO</vt:lpstr>
      <vt:lpstr>v_95_XE</vt:lpstr>
      <vt:lpstr>v_95_XE_ana</vt:lpstr>
      <vt:lpstr>v_95_XFeS</vt:lpstr>
      <vt:lpstr>v_95_XGLY</vt:lpstr>
      <vt:lpstr>v_95_XHAO_H</vt:lpstr>
      <vt:lpstr>v_95_XHAO_H_P</vt:lpstr>
      <vt:lpstr>v_95_XHAO_H_P_old</vt:lpstr>
      <vt:lpstr>v_95_XHAO_L</vt:lpstr>
      <vt:lpstr>v_95_XHAO_L_P</vt:lpstr>
      <vt:lpstr>v_95_XHAO_L_P_old</vt:lpstr>
      <vt:lpstr>v_95_XHAO_old</vt:lpstr>
      <vt:lpstr>v_95_XHFO_H</vt:lpstr>
      <vt:lpstr>v_95_XHFO_H_P</vt:lpstr>
      <vt:lpstr>v_95_XHFO_H_P_old</vt:lpstr>
      <vt:lpstr>v_95_XHFO_L</vt:lpstr>
      <vt:lpstr>v_95_XHFO_L_P</vt:lpstr>
      <vt:lpstr>v_95_XHFO_L_P_old</vt:lpstr>
      <vt:lpstr>v_95_XHFO_old</vt:lpstr>
      <vt:lpstr>v_95_XHMETO</vt:lpstr>
      <vt:lpstr>v_95_XHSRO</vt:lpstr>
      <vt:lpstr>v_95_XINORG</vt:lpstr>
      <vt:lpstr>v_95_XMEOLO</vt:lpstr>
      <vt:lpstr>v_95_XMOB</vt:lpstr>
      <vt:lpstr>v_95_XN_B</vt:lpstr>
      <vt:lpstr>v_95_XN_U</vt:lpstr>
      <vt:lpstr>v_95_XNOB</vt:lpstr>
      <vt:lpstr>v_95_XOHO</vt:lpstr>
      <vt:lpstr>v_95_XP_B</vt:lpstr>
      <vt:lpstr>v_95_XP_U</vt:lpstr>
      <vt:lpstr>v_95_XPHA</vt:lpstr>
      <vt:lpstr>v_95_XPP</vt:lpstr>
      <vt:lpstr>v_95_XS</vt:lpstr>
      <vt:lpstr>v_95_XSOO</vt:lpstr>
      <vt:lpstr>v_95_XSTR</vt:lpstr>
      <vt:lpstr>v_95_XU</vt:lpstr>
      <vt:lpstr>v_95_XVivi</vt:lpstr>
      <vt:lpstr>v_96_CB</vt:lpstr>
      <vt:lpstr>v_96_CU</vt:lpstr>
      <vt:lpstr>v_96_GCH4</vt:lpstr>
      <vt:lpstr>v_96_GCH4_atm</vt:lpstr>
      <vt:lpstr>v_96_GCO2</vt:lpstr>
      <vt:lpstr>v_96_GCO2_atm</vt:lpstr>
      <vt:lpstr>v_96_GH2</vt:lpstr>
      <vt:lpstr>v_96_GH2_atm</vt:lpstr>
      <vt:lpstr>v_96_GH2S</vt:lpstr>
      <vt:lpstr>v_96_GH2S_atm</vt:lpstr>
      <vt:lpstr>v_96_GN2</vt:lpstr>
      <vt:lpstr>v_96_GN2_atm</vt:lpstr>
      <vt:lpstr>v_96_GN2O</vt:lpstr>
      <vt:lpstr>v_96_GN2O_atm</vt:lpstr>
      <vt:lpstr>v_96_GNH3</vt:lpstr>
      <vt:lpstr>v_96_GNH3_atm</vt:lpstr>
      <vt:lpstr>v_96_GNO</vt:lpstr>
      <vt:lpstr>v_96_GNO_atm</vt:lpstr>
      <vt:lpstr>v_96_GO2</vt:lpstr>
      <vt:lpstr>v_96_GO2_atm</vt:lpstr>
      <vt:lpstr>v_96_H</vt:lpstr>
      <vt:lpstr>v_96_SALPHA</vt:lpstr>
      <vt:lpstr>v_96_SAN</vt:lpstr>
      <vt:lpstr>v_96_SB</vt:lpstr>
      <vt:lpstr>v_96_SCa</vt:lpstr>
      <vt:lpstr>v_96_SCAT</vt:lpstr>
      <vt:lpstr>v_96_SCH4</vt:lpstr>
      <vt:lpstr>v_96_SCO2</vt:lpstr>
      <vt:lpstr>v_96_SFe2</vt:lpstr>
      <vt:lpstr>v_96_SH2</vt:lpstr>
      <vt:lpstr>v_96_SH2S</vt:lpstr>
      <vt:lpstr>v_96_SK</vt:lpstr>
      <vt:lpstr>v_96_SMEOL</vt:lpstr>
      <vt:lpstr>v_96_SMg</vt:lpstr>
      <vt:lpstr>v_96_SMM_index</vt:lpstr>
      <vt:lpstr>v_96_SN_B</vt:lpstr>
      <vt:lpstr>v_96_SN2</vt:lpstr>
      <vt:lpstr>v_96_SN2O</vt:lpstr>
      <vt:lpstr>v_96_SNH2OH</vt:lpstr>
      <vt:lpstr>v_96_SNHx</vt:lpstr>
      <vt:lpstr>v_96_SNO_AOB</vt:lpstr>
      <vt:lpstr>v_96_SNO_OHO</vt:lpstr>
      <vt:lpstr>v_96_SNO2</vt:lpstr>
      <vt:lpstr>v_96_SNO3</vt:lpstr>
      <vt:lpstr>v_96_SO2</vt:lpstr>
      <vt:lpstr>v_96_SP_B</vt:lpstr>
      <vt:lpstr>v_96_SPO4</vt:lpstr>
      <vt:lpstr>v_96_SSO4</vt:lpstr>
      <vt:lpstr>v_96_SU</vt:lpstr>
      <vt:lpstr>v_96_SVFA</vt:lpstr>
      <vt:lpstr>v_96_XACP</vt:lpstr>
      <vt:lpstr>v_96_XAMETO</vt:lpstr>
      <vt:lpstr>v_96_XAMX</vt:lpstr>
      <vt:lpstr>v_96_XAOB</vt:lpstr>
      <vt:lpstr>v_96_XASRO</vt:lpstr>
      <vt:lpstr>v_96_XB</vt:lpstr>
      <vt:lpstr>v_96_XBSH</vt:lpstr>
      <vt:lpstr>v_96_XCaCO3</vt:lpstr>
      <vt:lpstr>v_96_XCASTO</vt:lpstr>
      <vt:lpstr>v_96_XE</vt:lpstr>
      <vt:lpstr>v_96_XE_ana</vt:lpstr>
      <vt:lpstr>v_96_XFeS</vt:lpstr>
      <vt:lpstr>v_96_XGLY</vt:lpstr>
      <vt:lpstr>v_96_XHAO_H</vt:lpstr>
      <vt:lpstr>v_96_XHAO_H_P</vt:lpstr>
      <vt:lpstr>v_96_XHAO_H_P_old</vt:lpstr>
      <vt:lpstr>v_96_XHAO_L</vt:lpstr>
      <vt:lpstr>v_96_XHAO_L_P</vt:lpstr>
      <vt:lpstr>v_96_XHAO_L_P_old</vt:lpstr>
      <vt:lpstr>v_96_XHAO_old</vt:lpstr>
      <vt:lpstr>v_96_XHFO_H</vt:lpstr>
      <vt:lpstr>v_96_XHFO_H_P</vt:lpstr>
      <vt:lpstr>v_96_XHFO_H_P_old</vt:lpstr>
      <vt:lpstr>v_96_XHFO_L</vt:lpstr>
      <vt:lpstr>v_96_XHFO_L_P</vt:lpstr>
      <vt:lpstr>v_96_XHFO_L_P_old</vt:lpstr>
      <vt:lpstr>v_96_XHFO_old</vt:lpstr>
      <vt:lpstr>v_96_XHMETO</vt:lpstr>
      <vt:lpstr>v_96_XHSRO</vt:lpstr>
      <vt:lpstr>v_96_XINORG</vt:lpstr>
      <vt:lpstr>v_96_XMEOLO</vt:lpstr>
      <vt:lpstr>v_96_XMOB</vt:lpstr>
      <vt:lpstr>v_96_XN_B</vt:lpstr>
      <vt:lpstr>v_96_XN_U</vt:lpstr>
      <vt:lpstr>v_96_XNOB</vt:lpstr>
      <vt:lpstr>v_96_XOHO</vt:lpstr>
      <vt:lpstr>v_96_XP_B</vt:lpstr>
      <vt:lpstr>v_96_XP_U</vt:lpstr>
      <vt:lpstr>v_96_XPHA</vt:lpstr>
      <vt:lpstr>v_96_XPP</vt:lpstr>
      <vt:lpstr>v_96_XS</vt:lpstr>
      <vt:lpstr>v_96_XSOO</vt:lpstr>
      <vt:lpstr>v_96_XSTR</vt:lpstr>
      <vt:lpstr>v_96_XU</vt:lpstr>
      <vt:lpstr>v_96_XVivi</vt:lpstr>
      <vt:lpstr>v_97_CB</vt:lpstr>
      <vt:lpstr>v_97_CU</vt:lpstr>
      <vt:lpstr>v_97_GCH4</vt:lpstr>
      <vt:lpstr>v_97_GCH4_atm</vt:lpstr>
      <vt:lpstr>v_97_GCO2</vt:lpstr>
      <vt:lpstr>v_97_GCO2_atm</vt:lpstr>
      <vt:lpstr>v_97_GH2</vt:lpstr>
      <vt:lpstr>v_97_GH2_atm</vt:lpstr>
      <vt:lpstr>v_97_GH2S</vt:lpstr>
      <vt:lpstr>v_97_GH2S_atm</vt:lpstr>
      <vt:lpstr>v_97_GN2</vt:lpstr>
      <vt:lpstr>v_97_GN2_atm</vt:lpstr>
      <vt:lpstr>v_97_GN2O</vt:lpstr>
      <vt:lpstr>v_97_GN2O_atm</vt:lpstr>
      <vt:lpstr>v_97_GNH3</vt:lpstr>
      <vt:lpstr>v_97_GNH3_atm</vt:lpstr>
      <vt:lpstr>v_97_GNO</vt:lpstr>
      <vt:lpstr>v_97_GNO_atm</vt:lpstr>
      <vt:lpstr>v_97_GO2</vt:lpstr>
      <vt:lpstr>v_97_GO2_atm</vt:lpstr>
      <vt:lpstr>v_97_H</vt:lpstr>
      <vt:lpstr>v_97_SALPHA</vt:lpstr>
      <vt:lpstr>v_97_SAN</vt:lpstr>
      <vt:lpstr>v_97_SB</vt:lpstr>
      <vt:lpstr>v_97_SCa</vt:lpstr>
      <vt:lpstr>v_97_SCAT</vt:lpstr>
      <vt:lpstr>v_97_SCH4</vt:lpstr>
      <vt:lpstr>v_97_SCO2</vt:lpstr>
      <vt:lpstr>v_97_SFe2</vt:lpstr>
      <vt:lpstr>v_97_SH2</vt:lpstr>
      <vt:lpstr>v_97_SH2S</vt:lpstr>
      <vt:lpstr>v_97_SK</vt:lpstr>
      <vt:lpstr>v_97_SMEOL</vt:lpstr>
      <vt:lpstr>v_97_SMg</vt:lpstr>
      <vt:lpstr>v_97_SMM_index</vt:lpstr>
      <vt:lpstr>v_97_SN_B</vt:lpstr>
      <vt:lpstr>v_97_SN2</vt:lpstr>
      <vt:lpstr>v_97_SN2O</vt:lpstr>
      <vt:lpstr>v_97_SNH2OH</vt:lpstr>
      <vt:lpstr>v_97_SNHx</vt:lpstr>
      <vt:lpstr>v_97_SNO_AOB</vt:lpstr>
      <vt:lpstr>v_97_SNO_OHO</vt:lpstr>
      <vt:lpstr>v_97_SNO2</vt:lpstr>
      <vt:lpstr>v_97_SNO3</vt:lpstr>
      <vt:lpstr>v_97_SO2</vt:lpstr>
      <vt:lpstr>v_97_SP_B</vt:lpstr>
      <vt:lpstr>v_97_SPO4</vt:lpstr>
      <vt:lpstr>v_97_SSO4</vt:lpstr>
      <vt:lpstr>v_97_SU</vt:lpstr>
      <vt:lpstr>v_97_SVFA</vt:lpstr>
      <vt:lpstr>v_97_XACP</vt:lpstr>
      <vt:lpstr>v_97_XAMETO</vt:lpstr>
      <vt:lpstr>v_97_XAMX</vt:lpstr>
      <vt:lpstr>v_97_XAOB</vt:lpstr>
      <vt:lpstr>v_97_XASRO</vt:lpstr>
      <vt:lpstr>v_97_XB</vt:lpstr>
      <vt:lpstr>v_97_XBSH</vt:lpstr>
      <vt:lpstr>v_97_XCaCO3</vt:lpstr>
      <vt:lpstr>v_97_XCASTO</vt:lpstr>
      <vt:lpstr>v_97_XE</vt:lpstr>
      <vt:lpstr>v_97_XE_ana</vt:lpstr>
      <vt:lpstr>v_97_XFeS</vt:lpstr>
      <vt:lpstr>v_97_XGLY</vt:lpstr>
      <vt:lpstr>v_97_XHAO_H</vt:lpstr>
      <vt:lpstr>v_97_XHAO_H_P</vt:lpstr>
      <vt:lpstr>v_97_XHAO_H_P_old</vt:lpstr>
      <vt:lpstr>v_97_XHAO_L</vt:lpstr>
      <vt:lpstr>v_97_XHAO_L_P</vt:lpstr>
      <vt:lpstr>v_97_XHAO_L_P_old</vt:lpstr>
      <vt:lpstr>v_97_XHAO_old</vt:lpstr>
      <vt:lpstr>v_97_XHFO_H</vt:lpstr>
      <vt:lpstr>v_97_XHFO_H_P</vt:lpstr>
      <vt:lpstr>v_97_XHFO_H_P_old</vt:lpstr>
      <vt:lpstr>v_97_XHFO_L</vt:lpstr>
      <vt:lpstr>v_97_XHFO_L_P</vt:lpstr>
      <vt:lpstr>v_97_XHFO_L_P_old</vt:lpstr>
      <vt:lpstr>v_97_XHFO_old</vt:lpstr>
      <vt:lpstr>v_97_XHMETO</vt:lpstr>
      <vt:lpstr>v_97_XHSRO</vt:lpstr>
      <vt:lpstr>v_97_XINORG</vt:lpstr>
      <vt:lpstr>v_97_XMEOLO</vt:lpstr>
      <vt:lpstr>v_97_XMOB</vt:lpstr>
      <vt:lpstr>v_97_XN_B</vt:lpstr>
      <vt:lpstr>v_97_XN_U</vt:lpstr>
      <vt:lpstr>v_97_XNOB</vt:lpstr>
      <vt:lpstr>v_97_XOHO</vt:lpstr>
      <vt:lpstr>v_97_XP_B</vt:lpstr>
      <vt:lpstr>v_97_XP_U</vt:lpstr>
      <vt:lpstr>v_97_XPHA</vt:lpstr>
      <vt:lpstr>v_97_XPP</vt:lpstr>
      <vt:lpstr>v_97_XS</vt:lpstr>
      <vt:lpstr>v_97_XSOO</vt:lpstr>
      <vt:lpstr>v_97_XSTR</vt:lpstr>
      <vt:lpstr>v_97_XU</vt:lpstr>
      <vt:lpstr>v_97_XVivi</vt:lpstr>
      <vt:lpstr>v_98_CB</vt:lpstr>
      <vt:lpstr>v_98_CU</vt:lpstr>
      <vt:lpstr>v_98_GCH4</vt:lpstr>
      <vt:lpstr>v_98_GCH4_atm</vt:lpstr>
      <vt:lpstr>v_98_GCO2</vt:lpstr>
      <vt:lpstr>v_98_GCO2_atm</vt:lpstr>
      <vt:lpstr>v_98_GH2</vt:lpstr>
      <vt:lpstr>v_98_GH2_atm</vt:lpstr>
      <vt:lpstr>v_98_GH2S</vt:lpstr>
      <vt:lpstr>v_98_GH2S_atm</vt:lpstr>
      <vt:lpstr>v_98_GN2</vt:lpstr>
      <vt:lpstr>v_98_GN2_atm</vt:lpstr>
      <vt:lpstr>v_98_GN2O</vt:lpstr>
      <vt:lpstr>v_98_GN2O_atm</vt:lpstr>
      <vt:lpstr>v_98_GNH3</vt:lpstr>
      <vt:lpstr>v_98_GNH3_atm</vt:lpstr>
      <vt:lpstr>v_98_GNO</vt:lpstr>
      <vt:lpstr>v_98_GNO_atm</vt:lpstr>
      <vt:lpstr>v_98_GO2</vt:lpstr>
      <vt:lpstr>v_98_GO2_atm</vt:lpstr>
      <vt:lpstr>v_98_H</vt:lpstr>
      <vt:lpstr>v_98_SALPHA</vt:lpstr>
      <vt:lpstr>v_98_SAN</vt:lpstr>
      <vt:lpstr>v_98_SB</vt:lpstr>
      <vt:lpstr>v_98_SCa</vt:lpstr>
      <vt:lpstr>v_98_SCAT</vt:lpstr>
      <vt:lpstr>v_98_SCH4</vt:lpstr>
      <vt:lpstr>v_98_SCO2</vt:lpstr>
      <vt:lpstr>v_98_SFe2</vt:lpstr>
      <vt:lpstr>v_98_SH2</vt:lpstr>
      <vt:lpstr>v_98_SH2S</vt:lpstr>
      <vt:lpstr>v_98_SK</vt:lpstr>
      <vt:lpstr>v_98_SMEOL</vt:lpstr>
      <vt:lpstr>v_98_SMg</vt:lpstr>
      <vt:lpstr>v_98_SMM_index</vt:lpstr>
      <vt:lpstr>v_98_SN_B</vt:lpstr>
      <vt:lpstr>v_98_SN2</vt:lpstr>
      <vt:lpstr>v_98_SN2O</vt:lpstr>
      <vt:lpstr>v_98_SNH2OH</vt:lpstr>
      <vt:lpstr>v_98_SNHx</vt:lpstr>
      <vt:lpstr>v_98_SNO_AOB</vt:lpstr>
      <vt:lpstr>v_98_SNO_OHO</vt:lpstr>
      <vt:lpstr>v_98_SNO2</vt:lpstr>
      <vt:lpstr>v_98_SNO3</vt:lpstr>
      <vt:lpstr>v_98_SO2</vt:lpstr>
      <vt:lpstr>v_98_SP_B</vt:lpstr>
      <vt:lpstr>v_98_SPO4</vt:lpstr>
      <vt:lpstr>v_98_SSO4</vt:lpstr>
      <vt:lpstr>v_98_SU</vt:lpstr>
      <vt:lpstr>v_98_SVFA</vt:lpstr>
      <vt:lpstr>v_98_XACP</vt:lpstr>
      <vt:lpstr>v_98_XAMETO</vt:lpstr>
      <vt:lpstr>v_98_XAMX</vt:lpstr>
      <vt:lpstr>v_98_XAOB</vt:lpstr>
      <vt:lpstr>v_98_XASRO</vt:lpstr>
      <vt:lpstr>v_98_XB</vt:lpstr>
      <vt:lpstr>v_98_XBSH</vt:lpstr>
      <vt:lpstr>v_98_XCaCO3</vt:lpstr>
      <vt:lpstr>v_98_XCASTO</vt:lpstr>
      <vt:lpstr>v_98_XE</vt:lpstr>
      <vt:lpstr>v_98_XE_ana</vt:lpstr>
      <vt:lpstr>v_98_XFeS</vt:lpstr>
      <vt:lpstr>v_98_XGLY</vt:lpstr>
      <vt:lpstr>v_98_XHAO_H</vt:lpstr>
      <vt:lpstr>v_98_XHAO_H_P</vt:lpstr>
      <vt:lpstr>v_98_XHAO_H_P_old</vt:lpstr>
      <vt:lpstr>v_98_XHAO_L</vt:lpstr>
      <vt:lpstr>v_98_XHAO_L_P</vt:lpstr>
      <vt:lpstr>v_98_XHAO_L_P_old</vt:lpstr>
      <vt:lpstr>v_98_XHAO_old</vt:lpstr>
      <vt:lpstr>v_98_XHFO_H</vt:lpstr>
      <vt:lpstr>v_98_XHFO_H_P</vt:lpstr>
      <vt:lpstr>v_98_XHFO_H_P_old</vt:lpstr>
      <vt:lpstr>v_98_XHFO_L</vt:lpstr>
      <vt:lpstr>v_98_XHFO_L_P</vt:lpstr>
      <vt:lpstr>v_98_XHFO_L_P_old</vt:lpstr>
      <vt:lpstr>v_98_XHFO_old</vt:lpstr>
      <vt:lpstr>v_98_XHMETO</vt:lpstr>
      <vt:lpstr>v_98_XHSRO</vt:lpstr>
      <vt:lpstr>v_98_XINORG</vt:lpstr>
      <vt:lpstr>v_98_XMEOLO</vt:lpstr>
      <vt:lpstr>v_98_XMOB</vt:lpstr>
      <vt:lpstr>v_98_XN_B</vt:lpstr>
      <vt:lpstr>v_98_XN_U</vt:lpstr>
      <vt:lpstr>v_98_XNOB</vt:lpstr>
      <vt:lpstr>v_98_XOHO</vt:lpstr>
      <vt:lpstr>v_98_XP_B</vt:lpstr>
      <vt:lpstr>v_98_XP_U</vt:lpstr>
      <vt:lpstr>v_98_XPHA</vt:lpstr>
      <vt:lpstr>v_98_XPP</vt:lpstr>
      <vt:lpstr>v_98_XS</vt:lpstr>
      <vt:lpstr>v_98_XSOO</vt:lpstr>
      <vt:lpstr>v_98_XSTR</vt:lpstr>
      <vt:lpstr>v_98_XU</vt:lpstr>
      <vt:lpstr>v_98_XVivi</vt:lpstr>
      <vt:lpstr>v_99_CB</vt:lpstr>
      <vt:lpstr>v_99_CU</vt:lpstr>
      <vt:lpstr>v_99_GCH4</vt:lpstr>
      <vt:lpstr>v_99_GCH4_atm</vt:lpstr>
      <vt:lpstr>v_99_GCO2</vt:lpstr>
      <vt:lpstr>v_99_GCO2_atm</vt:lpstr>
      <vt:lpstr>v_99_GH2</vt:lpstr>
      <vt:lpstr>v_99_GH2_atm</vt:lpstr>
      <vt:lpstr>v_99_GH2S</vt:lpstr>
      <vt:lpstr>v_99_GH2S_atm</vt:lpstr>
      <vt:lpstr>v_99_GN2</vt:lpstr>
      <vt:lpstr>v_99_GN2_atm</vt:lpstr>
      <vt:lpstr>v_99_GN2O</vt:lpstr>
      <vt:lpstr>v_99_GN2O_atm</vt:lpstr>
      <vt:lpstr>v_99_GNH3</vt:lpstr>
      <vt:lpstr>v_99_GNH3_atm</vt:lpstr>
      <vt:lpstr>v_99_GNO</vt:lpstr>
      <vt:lpstr>v_99_GNO_atm</vt:lpstr>
      <vt:lpstr>v_99_GO2</vt:lpstr>
      <vt:lpstr>v_99_GO2_atm</vt:lpstr>
      <vt:lpstr>v_99_H</vt:lpstr>
      <vt:lpstr>v_99_SALPHA</vt:lpstr>
      <vt:lpstr>v_99_SAN</vt:lpstr>
      <vt:lpstr>v_99_SB</vt:lpstr>
      <vt:lpstr>v_99_SCa</vt:lpstr>
      <vt:lpstr>v_99_SCAT</vt:lpstr>
      <vt:lpstr>v_99_SCH4</vt:lpstr>
      <vt:lpstr>v_99_SCO2</vt:lpstr>
      <vt:lpstr>v_99_SFe2</vt:lpstr>
      <vt:lpstr>v_99_SH2</vt:lpstr>
      <vt:lpstr>v_99_SH2S</vt:lpstr>
      <vt:lpstr>v_99_SK</vt:lpstr>
      <vt:lpstr>v_99_SMEOL</vt:lpstr>
      <vt:lpstr>v_99_SMg</vt:lpstr>
      <vt:lpstr>v_99_SMM_index</vt:lpstr>
      <vt:lpstr>v_99_SN_B</vt:lpstr>
      <vt:lpstr>v_99_SN2</vt:lpstr>
      <vt:lpstr>v_99_SN2O</vt:lpstr>
      <vt:lpstr>v_99_SNH2OH</vt:lpstr>
      <vt:lpstr>v_99_SNHx</vt:lpstr>
      <vt:lpstr>v_99_SNO_AOB</vt:lpstr>
      <vt:lpstr>v_99_SNO_OHO</vt:lpstr>
      <vt:lpstr>v_99_SNO2</vt:lpstr>
      <vt:lpstr>v_99_SNO3</vt:lpstr>
      <vt:lpstr>v_99_SO2</vt:lpstr>
      <vt:lpstr>v_99_SP_B</vt:lpstr>
      <vt:lpstr>v_99_SPO4</vt:lpstr>
      <vt:lpstr>v_99_SSO4</vt:lpstr>
      <vt:lpstr>v_99_SU</vt:lpstr>
      <vt:lpstr>v_99_SVFA</vt:lpstr>
      <vt:lpstr>v_99_XACP</vt:lpstr>
      <vt:lpstr>v_99_XAMETO</vt:lpstr>
      <vt:lpstr>v_99_XAMX</vt:lpstr>
      <vt:lpstr>v_99_XAOB</vt:lpstr>
      <vt:lpstr>v_99_XASRO</vt:lpstr>
      <vt:lpstr>v_99_XB</vt:lpstr>
      <vt:lpstr>v_99_XBSH</vt:lpstr>
      <vt:lpstr>v_99_XCaCO3</vt:lpstr>
      <vt:lpstr>v_99_XCASTO</vt:lpstr>
      <vt:lpstr>v_99_XE</vt:lpstr>
      <vt:lpstr>v_99_XE_ana</vt:lpstr>
      <vt:lpstr>v_99_XFeS</vt:lpstr>
      <vt:lpstr>v_99_XGLY</vt:lpstr>
      <vt:lpstr>v_99_XHAO_H</vt:lpstr>
      <vt:lpstr>v_99_XHAO_H_P</vt:lpstr>
      <vt:lpstr>v_99_XHAO_H_P_old</vt:lpstr>
      <vt:lpstr>v_99_XHAO_L</vt:lpstr>
      <vt:lpstr>v_99_XHAO_L_P</vt:lpstr>
      <vt:lpstr>v_99_XHAO_L_P_old</vt:lpstr>
      <vt:lpstr>v_99_XHAO_old</vt:lpstr>
      <vt:lpstr>v_99_XHFO_H</vt:lpstr>
      <vt:lpstr>v_99_XHFO_H_P</vt:lpstr>
      <vt:lpstr>v_99_XHFO_H_P_old</vt:lpstr>
      <vt:lpstr>v_99_XHFO_L</vt:lpstr>
      <vt:lpstr>v_99_XHFO_L_P</vt:lpstr>
      <vt:lpstr>v_99_XHFO_L_P_old</vt:lpstr>
      <vt:lpstr>v_99_XHFO_old</vt:lpstr>
      <vt:lpstr>v_99_XHMETO</vt:lpstr>
      <vt:lpstr>v_99_XHSRO</vt:lpstr>
      <vt:lpstr>v_99_XINORG</vt:lpstr>
      <vt:lpstr>v_99_XMEOLO</vt:lpstr>
      <vt:lpstr>v_99_XMOB</vt:lpstr>
      <vt:lpstr>v_99_XN_B</vt:lpstr>
      <vt:lpstr>v_99_XN_U</vt:lpstr>
      <vt:lpstr>v_99_XNOB</vt:lpstr>
      <vt:lpstr>v_99_XOHO</vt:lpstr>
      <vt:lpstr>v_99_XP_B</vt:lpstr>
      <vt:lpstr>v_99_XP_U</vt:lpstr>
      <vt:lpstr>v_99_XPHA</vt:lpstr>
      <vt:lpstr>v_99_XPP</vt:lpstr>
      <vt:lpstr>v_99_XS</vt:lpstr>
      <vt:lpstr>v_99_XSOO</vt:lpstr>
      <vt:lpstr>v_99_XSTR</vt:lpstr>
      <vt:lpstr>v_99_XU</vt:lpstr>
      <vt:lpstr>v_99_XVivi</vt:lpstr>
      <vt:lpstr>V_mol_N</vt:lpstr>
      <vt:lpstr>X_ACP</vt:lpstr>
      <vt:lpstr>X_AMETO</vt:lpstr>
      <vt:lpstr>X_AMX</vt:lpstr>
      <vt:lpstr>X_AOB</vt:lpstr>
      <vt:lpstr>X_ASRO</vt:lpstr>
      <vt:lpstr>X_B</vt:lpstr>
      <vt:lpstr>X_BIO</vt:lpstr>
      <vt:lpstr>X_BOD_5</vt:lpstr>
      <vt:lpstr>X_BOD_ult</vt:lpstr>
      <vt:lpstr>X_BSH</vt:lpstr>
      <vt:lpstr>X_CaCO3</vt:lpstr>
      <vt:lpstr>X_CASTO</vt:lpstr>
      <vt:lpstr>X_COD</vt:lpstr>
      <vt:lpstr>X_CsbCOD</vt:lpstr>
      <vt:lpstr>X_DM</vt:lpstr>
      <vt:lpstr>X_E</vt:lpstr>
      <vt:lpstr>X_E_ana</vt:lpstr>
      <vt:lpstr>X_FeS</vt:lpstr>
      <vt:lpstr>X_GAO</vt:lpstr>
      <vt:lpstr>X_GLY</vt:lpstr>
      <vt:lpstr>X_HAO</vt:lpstr>
      <vt:lpstr>X_HAO_H</vt:lpstr>
      <vt:lpstr>X_HAO_H_P</vt:lpstr>
      <vt:lpstr>X_HAO_H_P_old</vt:lpstr>
      <vt:lpstr>X_HAO_L</vt:lpstr>
      <vt:lpstr>X_HAO_L_P</vt:lpstr>
      <vt:lpstr>X_HAO_L_P_old</vt:lpstr>
      <vt:lpstr>X_HAO_old</vt:lpstr>
      <vt:lpstr>X_HAO_P</vt:lpstr>
      <vt:lpstr>X_HAO_TSS</vt:lpstr>
      <vt:lpstr>X_HFO</vt:lpstr>
      <vt:lpstr>X_HFO_H</vt:lpstr>
      <vt:lpstr>X_HFO_H_P</vt:lpstr>
      <vt:lpstr>X_HFO_H_P_old</vt:lpstr>
      <vt:lpstr>X_HFO_L</vt:lpstr>
      <vt:lpstr>X_HFO_L_P</vt:lpstr>
      <vt:lpstr>X_HFO_L_P_old</vt:lpstr>
      <vt:lpstr>X_HFO_old</vt:lpstr>
      <vt:lpstr>X_HFO_P</vt:lpstr>
      <vt:lpstr>X_HFO_TSS</vt:lpstr>
      <vt:lpstr>X_HMETO</vt:lpstr>
      <vt:lpstr>X_HSRO</vt:lpstr>
      <vt:lpstr>X_INORG</vt:lpstr>
      <vt:lpstr>X_ISS</vt:lpstr>
      <vt:lpstr>X_Me_TSS</vt:lpstr>
      <vt:lpstr>X_MEOLO</vt:lpstr>
      <vt:lpstr>X_MOB</vt:lpstr>
      <vt:lpstr>X_N_B</vt:lpstr>
      <vt:lpstr>X_N_U</vt:lpstr>
      <vt:lpstr>X_NOB</vt:lpstr>
      <vt:lpstr>X_OHO</vt:lpstr>
      <vt:lpstr>X_P_B</vt:lpstr>
      <vt:lpstr>X_P_U</vt:lpstr>
      <vt:lpstr>X_PAO</vt:lpstr>
      <vt:lpstr>X_PHA</vt:lpstr>
      <vt:lpstr>X_PP</vt:lpstr>
      <vt:lpstr>X_PP_PAO_min</vt:lpstr>
      <vt:lpstr>X_precip</vt:lpstr>
      <vt:lpstr>X_S</vt:lpstr>
      <vt:lpstr>X_SOO</vt:lpstr>
      <vt:lpstr>X_STC</vt:lpstr>
      <vt:lpstr>X_STR</vt:lpstr>
      <vt:lpstr>X_TSS</vt:lpstr>
      <vt:lpstr>X_U</vt:lpstr>
      <vt:lpstr>X_Vivi</vt:lpstr>
      <vt:lpstr>X_VS</vt:lpstr>
      <vt:lpstr>X_VS_ult</vt:lpstr>
      <vt:lpstr>X_VSS</vt:lpstr>
      <vt:lpstr>X_VSS_BIO</vt:lpstr>
      <vt:lpstr>Y_AMETO</vt:lpstr>
      <vt:lpstr>Y_AMX_NO2</vt:lpstr>
      <vt:lpstr>Y_AMX_NO3</vt:lpstr>
      <vt:lpstr>Y_AOB</vt:lpstr>
      <vt:lpstr>Y_ASRO</vt:lpstr>
      <vt:lpstr>Y_BOD_ult</vt:lpstr>
      <vt:lpstr>Y_CASTO_GLY_anox</vt:lpstr>
      <vt:lpstr>Y_CASTO_GLY_ox</vt:lpstr>
      <vt:lpstr>Y_CASTO_H2_ana_high</vt:lpstr>
      <vt:lpstr>Y_CASTO_H2_ana_low</vt:lpstr>
      <vt:lpstr>Y_CASTO_PHA_anox</vt:lpstr>
      <vt:lpstr>Y_CASTO_PHA_ox</vt:lpstr>
      <vt:lpstr>Y_CASTO_SB_ana</vt:lpstr>
      <vt:lpstr>Y_CASTO_STC_anox</vt:lpstr>
      <vt:lpstr>Y_CASTO_STC_ox</vt:lpstr>
      <vt:lpstr>y_fdi</vt:lpstr>
      <vt:lpstr>y_fmono</vt:lpstr>
      <vt:lpstr>y_ftri</vt:lpstr>
      <vt:lpstr>Y_HMETO</vt:lpstr>
      <vt:lpstr>Y_HSRO</vt:lpstr>
      <vt:lpstr>Y_MEOLO</vt:lpstr>
      <vt:lpstr>Y_MOB</vt:lpstr>
      <vt:lpstr>Y_NOB</vt:lpstr>
      <vt:lpstr>Y_OHO_H2_ana_high</vt:lpstr>
      <vt:lpstr>Y_OHO_H2_ana_low</vt:lpstr>
      <vt:lpstr>Y_OHO_SB_ana</vt:lpstr>
      <vt:lpstr>Y_OHO_SB_anox</vt:lpstr>
      <vt:lpstr>Y_OHO_SB_ox</vt:lpstr>
      <vt:lpstr>Y_OHO_SMEOL_ox</vt:lpstr>
      <vt:lpstr>Y_OHO_VFA_anox</vt:lpstr>
      <vt:lpstr>Y_OHO_VFA_ox</vt:lpstr>
      <vt:lpstr>y_ORP_GAO_Half_T</vt:lpstr>
      <vt:lpstr>Y_PP_CASTO_anox</vt:lpstr>
      <vt:lpstr>Y_PP_CASTO_ox</vt:lpstr>
      <vt:lpstr>Y_SOO_H2S_anox</vt:lpstr>
      <vt:lpstr>Y_SOO_H2S_ox</vt:lpstr>
      <vt:lpstr>Y_SOO_S_anox</vt:lpstr>
      <vt:lpstr>Y_SOO_S_ox</vt:lpstr>
      <vt:lpstr>α_pred</vt:lpstr>
      <vt:lpstr>Δ_atm</vt:lpstr>
      <vt:lpstr>ε__</vt:lpstr>
      <vt:lpstr>η_b_ana</vt:lpstr>
      <vt:lpstr>η_b_anox</vt:lpstr>
      <vt:lpstr>η_bCASTO_ana</vt:lpstr>
      <vt:lpstr>η_bCASTO_anox</vt:lpstr>
      <vt:lpstr>η_bGLY_ana</vt:lpstr>
      <vt:lpstr>η_bPP_aer</vt:lpstr>
      <vt:lpstr>η_bPP_anox</vt:lpstr>
      <vt:lpstr>η_bSTC_anox</vt:lpstr>
      <vt:lpstr>η_CASTO_anox</vt:lpstr>
      <vt:lpstr>η_H2O</vt:lpstr>
      <vt:lpstr>η_HYD_ana</vt:lpstr>
      <vt:lpstr>η_HYD_anox</vt:lpstr>
      <vt:lpstr>η_OHO_N2O</vt:lpstr>
      <vt:lpstr>η_OHO_NO</vt:lpstr>
      <vt:lpstr>η_OHO_NO2</vt:lpstr>
      <vt:lpstr>η_OHO_NO3</vt:lpstr>
      <vt:lpstr>θ_µ_AMETO</vt:lpstr>
      <vt:lpstr>θ_µ_AMX</vt:lpstr>
      <vt:lpstr>θ_µ_AOB</vt:lpstr>
      <vt:lpstr>θ_µ_ASRO</vt:lpstr>
      <vt:lpstr>θ_µ_CASTO</vt:lpstr>
      <vt:lpstr>θ_µ_HMETO</vt:lpstr>
      <vt:lpstr>θ_µ_HSRO</vt:lpstr>
      <vt:lpstr>θ_µ_MEOLO</vt:lpstr>
      <vt:lpstr>θ_µ_MOB</vt:lpstr>
      <vt:lpstr>θ_µ_NOB</vt:lpstr>
      <vt:lpstr>θ_µ_OHO</vt:lpstr>
      <vt:lpstr>θ_µ_PAO_lim</vt:lpstr>
      <vt:lpstr>θ_µ_SOO_H2S</vt:lpstr>
      <vt:lpstr>θ_µ_SOO_S</vt:lpstr>
      <vt:lpstr>θ_b_AMETO</vt:lpstr>
      <vt:lpstr>θ_b_AMX</vt:lpstr>
      <vt:lpstr>θ_b_AOB</vt:lpstr>
      <vt:lpstr>θ_b_ASRO</vt:lpstr>
      <vt:lpstr>θ_b_CASTO</vt:lpstr>
      <vt:lpstr>θ_b_HMETO</vt:lpstr>
      <vt:lpstr>θ_b_HSRO</vt:lpstr>
      <vt:lpstr>θ_b_MEOLO</vt:lpstr>
      <vt:lpstr>θ_b_MOB</vt:lpstr>
      <vt:lpstr>θ_b_NOB</vt:lpstr>
      <vt:lpstr>θ_b_OHO</vt:lpstr>
      <vt:lpstr>θ_b_PP_ana</vt:lpstr>
      <vt:lpstr>θ_b_SOO</vt:lpstr>
      <vt:lpstr>θ_b_STC</vt:lpstr>
      <vt:lpstr>θ_FERM_OHO</vt:lpstr>
      <vt:lpstr>θ_FERM_PAO</vt:lpstr>
      <vt:lpstr>θ_q_AMMON</vt:lpstr>
      <vt:lpstr>θ_q_ASSIM</vt:lpstr>
      <vt:lpstr>θ_q_Fe2_OX</vt:lpstr>
      <vt:lpstr>θ_q_FeS_OX</vt:lpstr>
      <vt:lpstr>θ_q_FLOC</vt:lpstr>
      <vt:lpstr>θ_q_GAO_GLY</vt:lpstr>
      <vt:lpstr>θ_q_HFO_H2S_RED</vt:lpstr>
      <vt:lpstr>θ_q_HFO_RED</vt:lpstr>
      <vt:lpstr>θ_q_HYD</vt:lpstr>
      <vt:lpstr>θ_q_PAO_PHA</vt:lpstr>
      <vt:lpstr>θ_q_PAO_PP</vt:lpstr>
      <vt:lpstr>θ_q_SPB</vt:lpstr>
      <vt:lpstr>θ_q_XE</vt:lpstr>
      <vt:lpstr>κ__</vt:lpstr>
      <vt:lpstr>λ_H</vt:lpstr>
      <vt:lpstr>ρ__</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Dynamita</dc:creator>
  <cp:lastModifiedBy>Huanqi He</cp:lastModifiedBy>
  <cp:lastPrinted>2014-02-20T12:15:16Z</cp:lastPrinted>
  <dcterms:created xsi:type="dcterms:W3CDTF">2006-09-16T00:00:00Z</dcterms:created>
  <dcterms:modified xsi:type="dcterms:W3CDTF">2023-04-12T01:54:53Z</dcterms:modified>
</cp:coreProperties>
</file>