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880"/>
  </bookViews>
  <sheets>
    <sheet name="资产负债表" sheetId="1" r:id="rId1"/>
    <sheet name="现金流量表" sheetId="3" r:id="rId2"/>
    <sheet name="利润表" sheetId="2" r:id="rId3"/>
    <sheet name="每月贷款余额" sheetId="4" r:id="rId4"/>
    <sheet name="到期时间表" sheetId="5" r:id="rId5"/>
  </sheets>
  <externalReferences>
    <externalReference r:id="rId6"/>
    <externalReference r:id="rId7"/>
  </externalReferences>
  <definedNames>
    <definedName name="_xlnm.Print_Area" localSheetId="2">利润表!$B$1:$D$21</definedName>
    <definedName name="_xlnm.Print_Area" localSheetId="1">现金流量表!$B$1:$D$41</definedName>
    <definedName name="_xlnm.Print_Area" localSheetId="0">资产负债表!$A$1:$F$36</definedName>
  </definedNames>
  <calcPr calcId="145621"/>
</workbook>
</file>

<file path=xl/calcChain.xml><?xml version="1.0" encoding="utf-8"?>
<calcChain xmlns="http://schemas.openxmlformats.org/spreadsheetml/2006/main">
  <c r="AQ11" i="5" l="1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R11" i="5"/>
  <c r="Q11" i="5"/>
  <c r="P11" i="5"/>
  <c r="O11" i="5"/>
  <c r="K11" i="5"/>
  <c r="I11" i="5"/>
  <c r="H11" i="5"/>
  <c r="G11" i="5"/>
  <c r="F11" i="5"/>
  <c r="E11" i="5"/>
  <c r="D11" i="5"/>
  <c r="C11" i="5"/>
  <c r="B11" i="5"/>
  <c r="AR10" i="5"/>
  <c r="AR9" i="5"/>
  <c r="AR8" i="5"/>
  <c r="AR7" i="5"/>
  <c r="L6" i="5"/>
  <c r="AR6" i="5" s="1"/>
  <c r="AR5" i="5"/>
  <c r="AR4" i="5"/>
  <c r="S3" i="5"/>
  <c r="S11" i="5" s="1"/>
  <c r="Q3" i="5"/>
  <c r="N3" i="5"/>
  <c r="N11" i="5" s="1"/>
  <c r="M3" i="5"/>
  <c r="M11" i="5" s="1"/>
  <c r="J3" i="5"/>
  <c r="AR3" i="5" s="1"/>
  <c r="I3" i="5"/>
  <c r="H3" i="5"/>
  <c r="W55" i="4"/>
  <c r="V55" i="4"/>
  <c r="U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W54" i="4"/>
  <c r="V54" i="4"/>
  <c r="U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X52" i="4"/>
  <c r="W52" i="4"/>
  <c r="V52" i="4"/>
  <c r="U52" i="4"/>
  <c r="T52" i="4"/>
  <c r="S52" i="4"/>
  <c r="R52" i="4"/>
  <c r="Q52" i="4"/>
  <c r="O52" i="4"/>
  <c r="N52" i="4"/>
  <c r="M52" i="4"/>
  <c r="K52" i="4"/>
  <c r="J52" i="4"/>
  <c r="I52" i="4"/>
  <c r="H52" i="4"/>
  <c r="G52" i="4"/>
  <c r="F52" i="4"/>
  <c r="E52" i="4"/>
  <c r="D52" i="4"/>
  <c r="C52" i="4"/>
  <c r="F50" i="4"/>
  <c r="E50" i="4"/>
  <c r="X47" i="4"/>
  <c r="T41" i="4"/>
  <c r="U41" i="4" s="1"/>
  <c r="V41" i="4" s="1"/>
  <c r="W41" i="4" s="1"/>
  <c r="X41" i="4" s="1"/>
  <c r="X37" i="4"/>
  <c r="X55" i="4" s="1"/>
  <c r="X36" i="4"/>
  <c r="S35" i="4"/>
  <c r="T35" i="4" s="1"/>
  <c r="U35" i="4" s="1"/>
  <c r="V35" i="4" s="1"/>
  <c r="W35" i="4" s="1"/>
  <c r="X35" i="4" s="1"/>
  <c r="R35" i="4"/>
  <c r="R29" i="4"/>
  <c r="S29" i="4" s="1"/>
  <c r="T29" i="4" s="1"/>
  <c r="U29" i="4" s="1"/>
  <c r="V29" i="4" s="1"/>
  <c r="W29" i="4" s="1"/>
  <c r="X29" i="4" s="1"/>
  <c r="X24" i="4"/>
  <c r="X54" i="4" s="1"/>
  <c r="P21" i="4"/>
  <c r="P52" i="4" s="1"/>
  <c r="T19" i="4"/>
  <c r="T55" i="4" s="1"/>
  <c r="T18" i="4"/>
  <c r="T54" i="4" s="1"/>
  <c r="R17" i="4"/>
  <c r="S17" i="4" s="1"/>
  <c r="T17" i="4" s="1"/>
  <c r="U17" i="4" s="1"/>
  <c r="V17" i="4" s="1"/>
  <c r="W17" i="4" s="1"/>
  <c r="X17" i="4" s="1"/>
  <c r="Q17" i="4"/>
  <c r="P17" i="4"/>
  <c r="G11" i="4"/>
  <c r="H11" i="4" s="1"/>
  <c r="F11" i="4"/>
  <c r="E11" i="4"/>
  <c r="D11" i="4"/>
  <c r="D50" i="4" s="1"/>
  <c r="C11" i="4"/>
  <c r="C50" i="4" s="1"/>
  <c r="T10" i="4"/>
  <c r="L9" i="4"/>
  <c r="L52" i="4" s="1"/>
  <c r="P5" i="4"/>
  <c r="J11" i="5" l="1"/>
  <c r="L11" i="5"/>
  <c r="H50" i="4"/>
  <c r="I11" i="4"/>
  <c r="Q5" i="4"/>
  <c r="P23" i="4"/>
  <c r="Q23" i="4" s="1"/>
  <c r="R23" i="4" s="1"/>
  <c r="S23" i="4" s="1"/>
  <c r="T23" i="4" s="1"/>
  <c r="U23" i="4" s="1"/>
  <c r="V23" i="4" s="1"/>
  <c r="W23" i="4" s="1"/>
  <c r="X23" i="4" s="1"/>
  <c r="G50" i="4"/>
  <c r="AR11" i="5" l="1"/>
  <c r="AR12" i="5" s="1"/>
  <c r="R5" i="4"/>
  <c r="J11" i="4"/>
  <c r="I50" i="4"/>
  <c r="J50" i="4" l="1"/>
  <c r="K11" i="4"/>
  <c r="S5" i="4"/>
  <c r="T5" i="4" l="1"/>
  <c r="K50" i="4"/>
  <c r="L11" i="4"/>
  <c r="L50" i="4" l="1"/>
  <c r="M11" i="4"/>
  <c r="U5" i="4"/>
  <c r="V5" i="4" l="1"/>
  <c r="N11" i="4"/>
  <c r="M50" i="4"/>
  <c r="N50" i="4" l="1"/>
  <c r="O11" i="4"/>
  <c r="W5" i="4"/>
  <c r="P11" i="4" l="1"/>
  <c r="O50" i="4"/>
  <c r="X5" i="4"/>
  <c r="Q11" i="4" l="1"/>
  <c r="P50" i="4"/>
  <c r="F26" i="1"/>
  <c r="R11" i="4" l="1"/>
  <c r="Q50" i="4"/>
  <c r="C32" i="3"/>
  <c r="S11" i="4" l="1"/>
  <c r="R50" i="4"/>
  <c r="C16" i="1"/>
  <c r="T11" i="4" l="1"/>
  <c r="S50" i="4"/>
  <c r="F35" i="1"/>
  <c r="E26" i="1"/>
  <c r="F17" i="1"/>
  <c r="F27" i="1" s="1"/>
  <c r="C35" i="1"/>
  <c r="E35" i="1"/>
  <c r="E17" i="1"/>
  <c r="B16" i="1"/>
  <c r="B35" i="1"/>
  <c r="U11" i="4" l="1"/>
  <c r="T50" i="4"/>
  <c r="E27" i="1"/>
  <c r="E36" i="1" s="1"/>
  <c r="B36" i="1"/>
  <c r="F36" i="1"/>
  <c r="C36" i="1"/>
  <c r="D15" i="2"/>
  <c r="V11" i="4" l="1"/>
  <c r="U50" i="4"/>
  <c r="D19" i="2"/>
  <c r="C38" i="1"/>
  <c r="W11" i="4" l="1"/>
  <c r="V50" i="4"/>
  <c r="D21" i="2"/>
  <c r="C15" i="2"/>
  <c r="C19" i="2" s="1"/>
  <c r="C21" i="2" s="1"/>
  <c r="X11" i="4" l="1"/>
  <c r="X50" i="4" s="1"/>
  <c r="Y50" i="4" s="1"/>
  <c r="Y52" i="4" s="1"/>
  <c r="W50" i="4"/>
  <c r="D24" i="2"/>
  <c r="B38" i="1"/>
  <c r="D8" i="3"/>
  <c r="D13" i="3"/>
  <c r="D26" i="3"/>
  <c r="D32" i="3"/>
  <c r="D36" i="3"/>
  <c r="C8" i="3"/>
  <c r="C13" i="3"/>
  <c r="C26" i="3"/>
  <c r="C36" i="3"/>
  <c r="C37" i="3" s="1"/>
  <c r="D21" i="3"/>
  <c r="C21" i="3"/>
  <c r="D27" i="3" l="1"/>
  <c r="C27" i="3"/>
  <c r="C14" i="3"/>
  <c r="D37" i="3"/>
  <c r="D14" i="3"/>
  <c r="C39" i="3" l="1"/>
  <c r="C41" i="3" s="1"/>
  <c r="C44" i="3" s="1"/>
  <c r="D39" i="3"/>
  <c r="D41" i="3" l="1"/>
  <c r="D44" i="3" l="1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到期还本付息，服务费每期支付</t>
        </r>
      </text>
    </comment>
    <comment ref="W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支付明细
2016.10.26-11.25的144275.54元；
2016.11.26-12.31的178687.53元</t>
        </r>
      </text>
    </comment>
    <comment ref="W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25万融贝在12月31日打到张总账户，于2017年1月3日转到公司账户
</t>
        </r>
      </text>
    </comment>
    <comment ref="X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25万融贝在12月31日打到张总账户，于2017年1月3日转到公司账户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220万到期还本付息</t>
        </r>
      </text>
    </comment>
    <comment ref="W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500万原借款续贷
300万为铜板街已还设备押金1:1借款</t>
        </r>
      </text>
    </comment>
    <comment ref="T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33416.67元为2016年10月7日应付</t>
        </r>
      </text>
    </comment>
    <comment ref="U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2016年10月7日应付
33416.67元已于9月30日支付</t>
        </r>
      </text>
    </comment>
    <comment ref="T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20750元为2016年10月7日应付</t>
        </r>
      </text>
    </comment>
    <comment ref="U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2016年10月7日应付
20750元已于9月30日支付</t>
        </r>
      </text>
    </comment>
    <comment ref="B20" authorId="0">
      <text/>
    </comment>
    <comment ref="T23" authorId="0">
      <text>
        <r>
          <rPr>
            <b/>
            <sz val="9"/>
            <color indexed="81"/>
            <rFont val="宋体"/>
            <family val="3"/>
            <charset val="134"/>
          </rPr>
          <t>爱钱帮是长期借款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>
      <text>
        <r>
          <rPr>
            <b/>
            <sz val="9"/>
            <color indexed="81"/>
            <rFont val="宋体"/>
            <family val="3"/>
            <charset val="134"/>
          </rPr>
          <t>爱钱帮是长期借款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23" authorId="0">
      <text>
        <r>
          <rPr>
            <b/>
            <sz val="9"/>
            <color indexed="81"/>
            <rFont val="宋体"/>
            <family val="3"/>
            <charset val="134"/>
          </rPr>
          <t>爱钱帮是长期借款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23" authorId="0">
      <text>
        <r>
          <rPr>
            <b/>
            <sz val="9"/>
            <color indexed="81"/>
            <rFont val="宋体"/>
            <family val="3"/>
            <charset val="134"/>
          </rPr>
          <t>爱钱帮是长期借款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23" authorId="0">
      <text>
        <r>
          <rPr>
            <b/>
            <sz val="9"/>
            <color indexed="81"/>
            <rFont val="宋体"/>
            <family val="3"/>
            <charset val="134"/>
          </rPr>
          <t>爱钱帮是长期借款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6" authorId="0">
      <text/>
    </comment>
    <comment ref="B32" authorId="0">
      <text/>
    </comment>
    <comment ref="X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春节期间的利息提前支付</t>
        </r>
      </text>
    </comment>
    <comment ref="X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其中8万是支付给安投融的</t>
        </r>
      </text>
    </comment>
    <comment ref="T39" authorId="0">
      <text>
        <r>
          <rPr>
            <b/>
            <sz val="9"/>
            <color indexed="81"/>
            <rFont val="宋体"/>
            <family val="3"/>
            <charset val="134"/>
          </rPr>
          <t>懒财是长期借款</t>
        </r>
      </text>
    </comment>
    <comment ref="U39" authorId="0">
      <text>
        <r>
          <rPr>
            <b/>
            <sz val="9"/>
            <color indexed="81"/>
            <rFont val="宋体"/>
            <family val="3"/>
            <charset val="134"/>
          </rPr>
          <t>懒财是长期借款</t>
        </r>
      </text>
    </comment>
    <comment ref="V39" authorId="0">
      <text>
        <r>
          <rPr>
            <b/>
            <sz val="9"/>
            <color indexed="81"/>
            <rFont val="宋体"/>
            <family val="3"/>
            <charset val="134"/>
          </rPr>
          <t>懒财是长期借款</t>
        </r>
      </text>
    </comment>
    <comment ref="W39" authorId="0">
      <text>
        <r>
          <rPr>
            <b/>
            <sz val="9"/>
            <color indexed="81"/>
            <rFont val="宋体"/>
            <family val="3"/>
            <charset val="134"/>
          </rPr>
          <t>懒财是长期借款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春节期间25万提前至1月24日支付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春节期间25万提前至1月24日支付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1219900元是7月2日应付，由于周末提前至6月30日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1219900元是7月2日应付，由于周末提前至6月30日</t>
        </r>
      </text>
    </comment>
  </commentList>
</comments>
</file>

<file path=xl/sharedStrings.xml><?xml version="1.0" encoding="utf-8"?>
<sst xmlns="http://schemas.openxmlformats.org/spreadsheetml/2006/main" count="240" uniqueCount="202">
  <si>
    <t>资产负债表</t>
  </si>
  <si>
    <t>资    产</t>
  </si>
  <si>
    <t>期初余额</t>
    <phoneticPr fontId="2" type="noConversion"/>
  </si>
  <si>
    <t>期初余额</t>
  </si>
  <si>
    <t>流动资产：</t>
  </si>
  <si>
    <t/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</si>
  <si>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</si>
  <si>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</si>
  <si>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</si>
  <si>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</si>
  <si>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</si>
  <si>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</si>
  <si>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</si>
  <si>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</si>
  <si>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</si>
  <si>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</si>
  <si>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</si>
  <si>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</si>
  <si>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</si>
  <si>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</si>
  <si>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</si>
  <si>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</si>
  <si>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 存货</t>
  </si>
  <si>
    <t xml:space="preserve">   一年内到期的非流动资产</t>
  </si>
  <si>
    <t xml:space="preserve">   其他流动资产</t>
  </si>
  <si>
    <t xml:space="preserve">  一年内到期的非流动负债</t>
  </si>
  <si>
    <t>流动资产合计</t>
  </si>
  <si>
    <t xml:space="preserve"> 其他流动负债</t>
  </si>
  <si>
    <t>非流动资产：</t>
  </si>
  <si>
    <t xml:space="preserve">   可供出售金融资产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</si>
  <si>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</si>
  <si>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</si>
  <si>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</si>
  <si>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</si>
  <si>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</si>
  <si>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</si>
  <si>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</si>
  <si>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</si>
  <si>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</si>
  <si>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</si>
  <si>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</si>
  <si>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</si>
  <si>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</si>
  <si>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</si>
  <si>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</si>
  <si>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</si>
  <si>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</si>
  <si>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</si>
  <si>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</si>
  <si>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</si>
  <si>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</si>
  <si>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</si>
  <si>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</si>
  <si>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</si>
  <si>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</si>
  <si>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</si>
  <si>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</si>
  <si>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</si>
  <si>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</si>
  <si>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</si>
  <si>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>非流动资产合计</t>
  </si>
  <si>
    <t>资产总计</t>
  </si>
  <si>
    <t>项       目</t>
  </si>
  <si>
    <t>一、营业收入</t>
  </si>
  <si>
    <t xml:space="preserve">    减：营业成本</t>
  </si>
  <si>
    <t xml:space="preserve">            营业税金及附加</t>
  </si>
  <si>
    <t xml:space="preserve">            销售费用</t>
  </si>
  <si>
    <t xml:space="preserve">            管理费用</t>
  </si>
  <si>
    <t xml:space="preserve">            财务费用</t>
  </si>
  <si>
    <t xml:space="preserve">            资产减值损失</t>
  </si>
  <si>
    <t xml:space="preserve">     加：公允价值变动收益（损失以"-"填列）</t>
  </si>
  <si>
    <t xml:space="preserve">           投资收益（损失以"-"填列）</t>
  </si>
  <si>
    <t xml:space="preserve">           其中：对联营企业和合营企业的投资收益</t>
  </si>
  <si>
    <t>二、营业利润（亏损以"－"号填列）</t>
  </si>
  <si>
    <t xml:space="preserve">    加：营业外收入</t>
  </si>
  <si>
    <t xml:space="preserve">    减：营业外支出</t>
  </si>
  <si>
    <t xml:space="preserve">    其中：非流动资产处置损失</t>
  </si>
  <si>
    <t>三、利润总额（亏损总额以"－"号填列）</t>
  </si>
  <si>
    <t xml:space="preserve">    减：所得税费用</t>
  </si>
  <si>
    <t>四、净利润（净亏损以"－"号填列）</t>
  </si>
  <si>
    <t>现金流量表</t>
    <phoneticPr fontId="3" type="noConversion"/>
  </si>
  <si>
    <t>项目</t>
  </si>
  <si>
    <t>一、经营活动产生的现金流量：</t>
  </si>
  <si>
    <t xml:space="preserve">     销售商品、提供劳务收到的现金</t>
  </si>
  <si>
    <t xml:space="preserve">     收到的税费返还</t>
  </si>
  <si>
    <t xml:space="preserve">     收到其他与经营活动有关的现金</t>
  </si>
  <si>
    <t xml:space="preserve">         经营活动现金流入小计</t>
  </si>
  <si>
    <t xml:space="preserve">     购买商品、接受劳务支付的现金</t>
  </si>
  <si>
    <t xml:space="preserve">     支付给职工以及为职工支付的现金</t>
  </si>
  <si>
    <t xml:space="preserve">     支付的各项税费</t>
  </si>
  <si>
    <t xml:space="preserve">     支付其它与经营活动有关的现金</t>
    <phoneticPr fontId="3" type="noConversion"/>
  </si>
  <si>
    <t xml:space="preserve">        经营活动现金流出小计</t>
  </si>
  <si>
    <t xml:space="preserve">     经营活动产生的现金流量净额</t>
  </si>
  <si>
    <t>二、投资活动产生的现金流量：</t>
  </si>
  <si>
    <t xml:space="preserve">     收回投资收到的现金</t>
  </si>
  <si>
    <t xml:space="preserve">     取得投资收益收到的现金</t>
  </si>
  <si>
    <t xml:space="preserve">     处置固定资产、无形资产和其他长期资产收回的现金净额</t>
  </si>
  <si>
    <t xml:space="preserve">     处置子公司及其他营业单位收到的现金净额</t>
  </si>
  <si>
    <t xml:space="preserve">     收到其他与投资活动有关的现金</t>
  </si>
  <si>
    <t xml:space="preserve">        投资活动现金流入小计</t>
  </si>
  <si>
    <t xml:space="preserve">     购建固定资产、无形资产和其他长期资产所支付的现金</t>
  </si>
  <si>
    <t xml:space="preserve">     投资支付的现金</t>
  </si>
  <si>
    <t xml:space="preserve">     取得子公司及其他营业单位支付的现金净额</t>
  </si>
  <si>
    <t xml:space="preserve">     支付的其他与投资活动有关的现金</t>
  </si>
  <si>
    <t xml:space="preserve">        投资活动现金流出小计</t>
  </si>
  <si>
    <t xml:space="preserve">     投资活动产生的现金流量净额</t>
  </si>
  <si>
    <t xml:space="preserve">三、筹资活动产生的现金流量： </t>
  </si>
  <si>
    <t xml:space="preserve">     吸收投资收到的现金</t>
  </si>
  <si>
    <t xml:space="preserve">     取得借款收到的现金</t>
  </si>
  <si>
    <t xml:space="preserve">     收到其他与筹资活动有关的现金</t>
  </si>
  <si>
    <t xml:space="preserve">        筹资活动现金流入小计</t>
  </si>
  <si>
    <t xml:space="preserve">     偿还债务支付的现金</t>
  </si>
  <si>
    <t xml:space="preserve">     分配股利、利润或偿付利息支付的现金</t>
  </si>
  <si>
    <t xml:space="preserve">     支付其他与筹资活动有关的现金</t>
  </si>
  <si>
    <t xml:space="preserve">        筹资活动现金流出小计</t>
  </si>
  <si>
    <t xml:space="preserve">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</si>
  <si>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</si>
  <si>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</si>
  <si>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</si>
  <si>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</si>
  <si>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非流动负债：</t>
    <phoneticPr fontId="2" type="noConversion"/>
  </si>
  <si>
    <t>check</t>
    <phoneticPr fontId="2" type="noConversion"/>
  </si>
  <si>
    <t>利润表</t>
    <phoneticPr fontId="2" type="noConversion"/>
  </si>
  <si>
    <t>本期发生额</t>
    <phoneticPr fontId="2" type="noConversion"/>
  </si>
  <si>
    <t>本期发生额</t>
    <phoneticPr fontId="2" type="noConversion"/>
  </si>
  <si>
    <t>负债及所有者权益</t>
    <phoneticPr fontId="2" type="noConversion"/>
  </si>
  <si>
    <t>所有者权益合计</t>
    <phoneticPr fontId="2" type="noConversion"/>
  </si>
  <si>
    <t>所有者权益：</t>
    <phoneticPr fontId="2" type="noConversion"/>
  </si>
  <si>
    <t>负债和所有者权益总计</t>
    <phoneticPr fontId="2" type="noConversion"/>
  </si>
  <si>
    <t>流动负债合计</t>
    <phoneticPr fontId="2" type="noConversion"/>
  </si>
  <si>
    <t xml:space="preserve">  其他应付款</t>
    <phoneticPr fontId="2" type="noConversion"/>
  </si>
  <si>
    <t xml:space="preserve">  应付股利</t>
    <phoneticPr fontId="2" type="noConversion"/>
  </si>
  <si>
    <t xml:space="preserve">  应付利息</t>
    <phoneticPr fontId="2" type="noConversion"/>
  </si>
  <si>
    <t>单位：北京易点淘网络技术有限公司</t>
    <phoneticPr fontId="2" type="noConversion"/>
  </si>
  <si>
    <t xml:space="preserve">                   其中：研发支出</t>
    <phoneticPr fontId="2" type="noConversion"/>
  </si>
  <si>
    <t>资金情况</t>
    <rPh sb="0" eb="1">
      <t>zi'jin</t>
    </rPh>
    <rPh sb="2" eb="3">
      <t>qing'k</t>
    </rPh>
    <phoneticPr fontId="3" type="noConversion"/>
  </si>
  <si>
    <t>当月新增贷款金额</t>
    <rPh sb="0" eb="1">
      <t>dang'yue</t>
    </rPh>
    <rPh sb="2" eb="3">
      <t>xin'zeng</t>
    </rPh>
    <rPh sb="4" eb="5">
      <t>dai'kuan</t>
    </rPh>
    <rPh sb="6" eb="7">
      <t>jin'e</t>
    </rPh>
    <phoneticPr fontId="3" type="noConversion"/>
  </si>
  <si>
    <t>当月还款金额</t>
    <rPh sb="0" eb="1">
      <t>dang'yue</t>
    </rPh>
    <rPh sb="2" eb="3">
      <t>huan'kuan</t>
    </rPh>
    <rPh sb="4" eb="5">
      <t>jin'e</t>
    </rPh>
    <phoneticPr fontId="3" type="noConversion"/>
  </si>
  <si>
    <t>贷余</t>
    <rPh sb="0" eb="1">
      <t>dai'yu</t>
    </rPh>
    <phoneticPr fontId="3" type="noConversion"/>
  </si>
  <si>
    <t>当月支付利息</t>
    <rPh sb="0" eb="1">
      <t>dang'yue</t>
    </rPh>
    <rPh sb="2" eb="3">
      <t>li'xi</t>
    </rPh>
    <phoneticPr fontId="3" type="noConversion"/>
  </si>
  <si>
    <t>2017.07</t>
  </si>
  <si>
    <t>2017.08</t>
  </si>
  <si>
    <t>2017.09</t>
  </si>
  <si>
    <t>2017.10</t>
  </si>
  <si>
    <t>2017.11</t>
  </si>
  <si>
    <t>2017.12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</si>
  <si>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</si>
  <si>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</si>
  <si>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</si>
  <si>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</si>
  <si>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</si>
  <si>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</si>
  <si>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</si>
  <si>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</si>
  <si>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</si>
  <si>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</si>
  <si>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</si>
  <si>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</si>
  <si>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</si>
  <si>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</si>
  <si>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</si>
  <si>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</si>
  <si>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</si>
  <si>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</si>
  <si>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</si>
  <si>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</si>
  <si>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</si>
  <si>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</si>
  <si>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2017年1月累计</t>
  </si>
  <si>
    <t>2017年1月累计</t>
    <phoneticPr fontId="2" type="noConversion"/>
  </si>
  <si>
    <t>铜板街</t>
    <phoneticPr fontId="2" type="noConversion"/>
  </si>
  <si>
    <t>当月支付融资服务费</t>
    <phoneticPr fontId="2" type="noConversion"/>
  </si>
  <si>
    <t>融贝网</t>
    <phoneticPr fontId="2" type="noConversion"/>
  </si>
  <si>
    <t>E保养</t>
    <phoneticPr fontId="2" type="noConversion"/>
  </si>
  <si>
    <t>当月支付融资服务费</t>
    <phoneticPr fontId="2" type="noConversion"/>
  </si>
  <si>
    <t>爱钱帮</t>
    <phoneticPr fontId="2" type="noConversion"/>
  </si>
  <si>
    <t>奇乐融</t>
    <phoneticPr fontId="2" type="noConversion"/>
  </si>
  <si>
    <t>雁阵科技</t>
    <phoneticPr fontId="2" type="noConversion"/>
  </si>
  <si>
    <t>懒财</t>
    <phoneticPr fontId="2" type="noConversion"/>
  </si>
  <si>
    <t>华瑞银行</t>
    <phoneticPr fontId="2" type="noConversion"/>
  </si>
  <si>
    <r>
      <rPr>
        <b/>
        <sz val="10"/>
        <color theme="1"/>
        <rFont val="等线"/>
        <family val="2"/>
      </rPr>
      <t>贷余合计</t>
    </r>
    <phoneticPr fontId="3" type="noConversion"/>
  </si>
  <si>
    <t>新增合计</t>
    <phoneticPr fontId="2" type="noConversion"/>
  </si>
  <si>
    <t>还款合计</t>
    <phoneticPr fontId="2" type="noConversion"/>
  </si>
  <si>
    <t>本月支付利息</t>
    <phoneticPr fontId="2" type="noConversion"/>
  </si>
  <si>
    <t>本月支付服务费</t>
    <phoneticPr fontId="2" type="noConversion"/>
  </si>
  <si>
    <t>借款到期时间表</t>
    <phoneticPr fontId="3" type="noConversion"/>
  </si>
  <si>
    <t>明细</t>
    <phoneticPr fontId="3" type="noConversion"/>
  </si>
  <si>
    <t>2016.10</t>
    <phoneticPr fontId="3" type="noConversion"/>
  </si>
  <si>
    <t>2016.12</t>
    <phoneticPr fontId="3" type="noConversion"/>
  </si>
  <si>
    <t>2017.06</t>
    <phoneticPr fontId="3" type="noConversion"/>
  </si>
  <si>
    <t>2018.01</t>
    <phoneticPr fontId="2" type="noConversion"/>
  </si>
  <si>
    <t>201901</t>
    <phoneticPr fontId="2" type="noConversion"/>
  </si>
  <si>
    <t>合计</t>
    <phoneticPr fontId="3" type="noConversion"/>
  </si>
  <si>
    <t>融泰</t>
    <phoneticPr fontId="2" type="noConversion"/>
  </si>
  <si>
    <t>E保养</t>
    <phoneticPr fontId="2" type="noConversion"/>
  </si>
  <si>
    <t>爱钱帮</t>
    <phoneticPr fontId="2" type="noConversion"/>
  </si>
  <si>
    <t>铜板街</t>
    <phoneticPr fontId="2" type="noConversion"/>
  </si>
  <si>
    <t>奇乐融</t>
    <phoneticPr fontId="2" type="noConversion"/>
  </si>
  <si>
    <t>雁阵科技</t>
    <phoneticPr fontId="2" type="noConversion"/>
  </si>
  <si>
    <t>懒财</t>
    <phoneticPr fontId="2" type="noConversion"/>
  </si>
  <si>
    <t>华瑞银行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</si>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</sst>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0.00_);[Red]\(0.00\)"/>
    <numFmt numFmtId="177" formatCode="0.00_ "/>
    <numFmt numFmtId="178" formatCode="_ * #,##0_ ;_ * \-#,##0_ ;_ * &quot;-&quot;??_ ;_ @_ "/>
    <numFmt numFmtId="179" formatCode="#,##0.00_ "/>
    <numFmt numFmtId="180" formatCode="yyyy&quot;年&quot;m&quot;月&quot;;@"/>
    <numFmt numFmtId="181" formatCode="#,##0.00_);[Red]\(#,##0.00\)"/>
    <numFmt numFmtId="182" formatCode="#,##0_ "/>
  </numFmts>
  <fonts count="2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MS Sans Serif"/>
    </font>
    <font>
      <b/>
      <sz val="18"/>
      <color theme="1"/>
      <name val="华文楷体"/>
      <family val="3"/>
      <charset val="134"/>
    </font>
    <font>
      <sz val="10"/>
      <color theme="1"/>
      <name val="华文楷体"/>
      <family val="3"/>
      <charset val="134"/>
    </font>
    <font>
      <sz val="10"/>
      <color rgb="FF000000"/>
      <name val="华文楷体"/>
      <family val="3"/>
      <charset val="134"/>
    </font>
    <font>
      <i/>
      <sz val="10"/>
      <color rgb="FFFF0000"/>
      <name val="华文楷体"/>
      <family val="3"/>
      <charset val="134"/>
    </font>
    <font>
      <b/>
      <sz val="11"/>
      <color theme="0"/>
      <name val="华文楷体"/>
      <family val="3"/>
      <charset val="134"/>
    </font>
    <font>
      <sz val="11"/>
      <color theme="1"/>
      <name val="华文楷体"/>
      <family val="3"/>
      <charset val="134"/>
    </font>
    <font>
      <b/>
      <sz val="11"/>
      <color rgb="FF000000"/>
      <name val="华文楷体"/>
      <family val="3"/>
      <charset val="134"/>
    </font>
    <font>
      <b/>
      <sz val="1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sz val="11"/>
      <color rgb="FF000000"/>
      <name val="华文楷体"/>
      <family val="3"/>
      <charset val="134"/>
    </font>
    <font>
      <sz val="11"/>
      <name val="华文楷体"/>
      <family val="3"/>
      <charset val="134"/>
    </font>
    <font>
      <i/>
      <sz val="11"/>
      <color rgb="FFFF0000"/>
      <name val="华文楷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</font>
    <font>
      <b/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/>
    <xf numFmtId="0" fontId="18" fillId="0" borderId="0"/>
    <xf numFmtId="43" fontId="18" fillId="0" borderId="0" applyFont="0" applyFill="0" applyBorder="0" applyAlignment="0" applyProtection="0"/>
  </cellStyleXfs>
  <cellXfs count="108">
    <xf numFmtId="0" fontId="0" fillId="0" borderId="0" xfId="0"/>
    <xf numFmtId="0" fontId="6" fillId="0" borderId="0" xfId="0" applyFont="1" applyAlignment="1" applyProtection="1">
      <protection locked="0"/>
    </xf>
    <xf numFmtId="43" fontId="6" fillId="0" borderId="0" xfId="0" applyNumberFormat="1" applyFont="1" applyAlignment="1" applyProtection="1">
      <protection locked="0"/>
    </xf>
    <xf numFmtId="0" fontId="8" fillId="0" borderId="0" xfId="0" applyFont="1" applyAlignment="1" applyProtection="1">
      <protection locked="0"/>
    </xf>
    <xf numFmtId="43" fontId="8" fillId="0" borderId="0" xfId="0" applyNumberFormat="1" applyFont="1" applyAlignment="1" applyProtection="1">
      <protection locked="0"/>
    </xf>
    <xf numFmtId="176" fontId="7" fillId="4" borderId="0" xfId="0" applyNumberFormat="1" applyFont="1" applyFill="1" applyBorder="1" applyAlignment="1" applyProtection="1">
      <alignment horizontal="left"/>
      <protection locked="0"/>
    </xf>
    <xf numFmtId="177" fontId="6" fillId="0" borderId="0" xfId="0" applyNumberFormat="1" applyFont="1" applyAlignment="1" applyProtection="1">
      <protection locked="0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/>
    </xf>
    <xf numFmtId="31" fontId="9" fillId="2" borderId="2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protection locked="0"/>
    </xf>
    <xf numFmtId="49" fontId="11" fillId="5" borderId="2" xfId="0" applyNumberFormat="1" applyFont="1" applyFill="1" applyBorder="1" applyAlignment="1" applyProtection="1">
      <alignment horizontal="left"/>
    </xf>
    <xf numFmtId="43" fontId="12" fillId="5" borderId="2" xfId="1" applyFont="1" applyFill="1" applyBorder="1" applyAlignment="1" applyProtection="1">
      <alignment horizontal="right"/>
      <protection locked="0"/>
    </xf>
    <xf numFmtId="43" fontId="12" fillId="5" borderId="2" xfId="1" applyFont="1" applyFill="1" applyBorder="1" applyAlignment="1" applyProtection="1">
      <protection locked="0"/>
    </xf>
    <xf numFmtId="49" fontId="12" fillId="5" borderId="2" xfId="0" applyNumberFormat="1" applyFont="1" applyFill="1" applyBorder="1" applyAlignment="1" applyProtection="1">
      <alignment horizontal="left"/>
    </xf>
    <xf numFmtId="0" fontId="13" fillId="0" borderId="0" xfId="0" applyFont="1" applyAlignment="1" applyProtection="1">
      <protection locked="0"/>
    </xf>
    <xf numFmtId="49" fontId="14" fillId="4" borderId="2" xfId="0" applyNumberFormat="1" applyFont="1" applyFill="1" applyBorder="1" applyAlignment="1" applyProtection="1">
      <alignment horizontal="left"/>
    </xf>
    <xf numFmtId="43" fontId="15" fillId="0" borderId="2" xfId="1" applyFont="1" applyFill="1" applyBorder="1" applyAlignment="1" applyProtection="1">
      <protection locked="0"/>
    </xf>
    <xf numFmtId="43" fontId="15" fillId="4" borderId="2" xfId="0" applyNumberFormat="1" applyFont="1" applyFill="1" applyBorder="1" applyAlignment="1" applyProtection="1">
      <alignment horizontal="right"/>
      <protection locked="0"/>
    </xf>
    <xf numFmtId="176" fontId="15" fillId="0" borderId="2" xfId="0" applyNumberFormat="1" applyFont="1" applyFill="1" applyBorder="1" applyAlignment="1" applyProtection="1">
      <alignment horizontal="left"/>
    </xf>
    <xf numFmtId="49" fontId="11" fillId="3" borderId="2" xfId="0" applyNumberFormat="1" applyFont="1" applyFill="1" applyBorder="1" applyAlignment="1" applyProtection="1">
      <alignment horizontal="left"/>
    </xf>
    <xf numFmtId="43" fontId="12" fillId="6" borderId="2" xfId="1" applyFont="1" applyFill="1" applyBorder="1" applyAlignment="1" applyProtection="1">
      <alignment horizontal="right"/>
    </xf>
    <xf numFmtId="43" fontId="15" fillId="5" borderId="2" xfId="1" applyFont="1" applyFill="1" applyBorder="1" applyAlignment="1" applyProtection="1">
      <protection locked="0"/>
    </xf>
    <xf numFmtId="176" fontId="12" fillId="3" borderId="2" xfId="0" applyNumberFormat="1" applyFont="1" applyFill="1" applyBorder="1" applyAlignment="1" applyProtection="1">
      <alignment horizontal="left"/>
    </xf>
    <xf numFmtId="43" fontId="12" fillId="6" borderId="2" xfId="1" applyFont="1" applyFill="1" applyBorder="1" applyAlignment="1" applyProtection="1"/>
    <xf numFmtId="49" fontId="14" fillId="3" borderId="2" xfId="0" applyNumberFormat="1" applyFont="1" applyFill="1" applyBorder="1" applyAlignment="1" applyProtection="1">
      <alignment horizontal="left"/>
    </xf>
    <xf numFmtId="176" fontId="12" fillId="5" borderId="2" xfId="0" applyNumberFormat="1" applyFont="1" applyFill="1" applyBorder="1" applyAlignment="1" applyProtection="1">
      <alignment horizontal="left"/>
    </xf>
    <xf numFmtId="43" fontId="10" fillId="0" borderId="0" xfId="0" applyNumberFormat="1" applyFont="1" applyAlignment="1" applyProtection="1">
      <protection locked="0"/>
    </xf>
    <xf numFmtId="176" fontId="12" fillId="3" borderId="2" xfId="0" applyNumberFormat="1" applyFont="1" applyFill="1" applyBorder="1" applyAlignment="1" applyProtection="1"/>
    <xf numFmtId="43" fontId="12" fillId="3" borderId="2" xfId="1" applyFont="1" applyFill="1" applyBorder="1" applyAlignment="1" applyProtection="1">
      <alignment horizontal="right"/>
      <protection locked="0"/>
    </xf>
    <xf numFmtId="49" fontId="11" fillId="5" borderId="2" xfId="0" applyNumberFormat="1" applyFont="1" applyFill="1" applyBorder="1" applyAlignment="1" applyProtection="1">
      <alignment horizontal="center"/>
    </xf>
    <xf numFmtId="176" fontId="12" fillId="5" borderId="2" xfId="0" applyNumberFormat="1" applyFont="1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49" fontId="11" fillId="5" borderId="2" xfId="0" applyNumberFormat="1" applyFont="1" applyFill="1" applyBorder="1" applyAlignment="1" applyProtection="1">
      <alignment horizontal="left" vertical="center"/>
    </xf>
    <xf numFmtId="43" fontId="11" fillId="4" borderId="2" xfId="1" applyNumberFormat="1" applyFont="1" applyFill="1" applyBorder="1" applyAlignment="1" applyProtection="1">
      <alignment horizontal="left" vertical="center"/>
      <protection locked="0"/>
    </xf>
    <xf numFmtId="43" fontId="13" fillId="0" borderId="2" xfId="1" applyFont="1" applyFill="1" applyBorder="1" applyAlignment="1" applyProtection="1">
      <alignment vertical="center"/>
      <protection locked="0"/>
    </xf>
    <xf numFmtId="49" fontId="14" fillId="4" borderId="2" xfId="0" applyNumberFormat="1" applyFont="1" applyFill="1" applyBorder="1" applyAlignment="1" applyProtection="1">
      <alignment horizontal="left" vertical="center"/>
    </xf>
    <xf numFmtId="43" fontId="14" fillId="4" borderId="2" xfId="1" applyFont="1" applyFill="1" applyBorder="1" applyAlignment="1" applyProtection="1">
      <alignment horizontal="left" vertical="center"/>
      <protection locked="0"/>
    </xf>
    <xf numFmtId="43" fontId="10" fillId="0" borderId="2" xfId="1" applyFont="1" applyFill="1" applyBorder="1" applyAlignment="1" applyProtection="1">
      <alignment vertical="center"/>
      <protection locked="0"/>
    </xf>
    <xf numFmtId="43" fontId="13" fillId="6" borderId="2" xfId="1" applyFont="1" applyFill="1" applyBorder="1" applyAlignment="1" applyProtection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78" fontId="9" fillId="2" borderId="2" xfId="1" applyNumberFormat="1" applyFont="1" applyFill="1" applyBorder="1" applyAlignment="1" applyProtection="1">
      <alignment horizontal="center"/>
    </xf>
    <xf numFmtId="178" fontId="9" fillId="2" borderId="2" xfId="1" applyNumberFormat="1" applyFont="1" applyFill="1" applyBorder="1" applyAlignment="1" applyProtection="1">
      <alignment horizontal="center"/>
      <protection locked="0"/>
    </xf>
    <xf numFmtId="179" fontId="10" fillId="5" borderId="2" xfId="0" applyNumberFormat="1" applyFont="1" applyFill="1" applyBorder="1" applyAlignment="1" applyProtection="1"/>
    <xf numFmtId="178" fontId="15" fillId="5" borderId="2" xfId="1" applyNumberFormat="1" applyFont="1" applyFill="1" applyBorder="1" applyAlignment="1" applyProtection="1"/>
    <xf numFmtId="43" fontId="10" fillId="0" borderId="2" xfId="0" applyNumberFormat="1" applyFont="1" applyBorder="1" applyAlignment="1" applyProtection="1">
      <protection locked="0"/>
    </xf>
    <xf numFmtId="43" fontId="15" fillId="0" borderId="2" xfId="1" applyNumberFormat="1" applyFont="1" applyFill="1" applyBorder="1" applyAlignment="1" applyProtection="1">
      <protection locked="0"/>
    </xf>
    <xf numFmtId="49" fontId="11" fillId="4" borderId="2" xfId="0" applyNumberFormat="1" applyFont="1" applyFill="1" applyBorder="1" applyAlignment="1" applyProtection="1">
      <alignment horizontal="left"/>
    </xf>
    <xf numFmtId="43" fontId="10" fillId="6" borderId="2" xfId="0" applyNumberFormat="1" applyFont="1" applyFill="1" applyBorder="1" applyAlignment="1" applyProtection="1"/>
    <xf numFmtId="43" fontId="10" fillId="5" borderId="2" xfId="0" applyNumberFormat="1" applyFont="1" applyFill="1" applyBorder="1" applyAlignment="1" applyProtection="1">
      <protection locked="0"/>
    </xf>
    <xf numFmtId="43" fontId="15" fillId="5" borderId="2" xfId="1" applyNumberFormat="1" applyFont="1" applyFill="1" applyBorder="1" applyAlignment="1" applyProtection="1">
      <protection locked="0"/>
    </xf>
    <xf numFmtId="49" fontId="14" fillId="4" borderId="2" xfId="0" applyNumberFormat="1" applyFont="1" applyFill="1" applyBorder="1" applyAlignment="1" applyProtection="1">
      <alignment horizontal="left" vertical="top" wrapText="1"/>
    </xf>
    <xf numFmtId="178" fontId="15" fillId="0" borderId="0" xfId="1" applyNumberFormat="1" applyFont="1" applyFill="1" applyAlignment="1" applyProtection="1">
      <protection locked="0"/>
    </xf>
    <xf numFmtId="43" fontId="10" fillId="0" borderId="0" xfId="1" applyNumberFormat="1" applyFont="1" applyAlignment="1" applyProtection="1">
      <protection locked="0"/>
    </xf>
    <xf numFmtId="0" fontId="16" fillId="0" borderId="0" xfId="0" applyFont="1" applyAlignment="1" applyProtection="1">
      <protection locked="0"/>
    </xf>
    <xf numFmtId="43" fontId="16" fillId="0" borderId="0" xfId="0" applyNumberFormat="1" applyFont="1" applyAlignment="1" applyProtection="1">
      <protection locked="0"/>
    </xf>
    <xf numFmtId="178" fontId="16" fillId="0" borderId="0" xfId="1" applyNumberFormat="1" applyFont="1" applyAlignment="1" applyProtection="1">
      <protection locked="0"/>
    </xf>
    <xf numFmtId="178" fontId="10" fillId="0" borderId="0" xfId="1" applyNumberFormat="1" applyFont="1" applyAlignment="1" applyProtection="1">
      <protection locked="0"/>
    </xf>
    <xf numFmtId="0" fontId="5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/>
    </xf>
    <xf numFmtId="43" fontId="13" fillId="0" borderId="0" xfId="0" applyNumberFormat="1" applyFont="1" applyAlignment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0" fontId="20" fillId="7" borderId="2" xfId="0" applyFont="1" applyFill="1" applyBorder="1" applyAlignment="1">
      <alignment vertical="center"/>
    </xf>
    <xf numFmtId="180" fontId="20" fillId="7" borderId="2" xfId="2" applyNumberFormat="1" applyFont="1" applyFill="1" applyBorder="1" applyAlignment="1">
      <alignment horizontal="center" vertical="center"/>
    </xf>
    <xf numFmtId="180" fontId="20" fillId="7" borderId="2" xfId="4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1" fillId="8" borderId="2" xfId="0" applyFont="1" applyFill="1" applyBorder="1" applyAlignment="1">
      <alignment vertical="center"/>
    </xf>
    <xf numFmtId="180" fontId="19" fillId="3" borderId="2" xfId="2" applyNumberFormat="1" applyFont="1" applyFill="1" applyBorder="1" applyAlignment="1">
      <alignment horizontal="center" vertical="center"/>
    </xf>
    <xf numFmtId="180" fontId="19" fillId="3" borderId="2" xfId="4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81" fontId="0" fillId="3" borderId="2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43" fontId="0" fillId="0" borderId="2" xfId="1" applyFont="1" applyBorder="1" applyAlignment="1">
      <alignment vertical="center"/>
    </xf>
    <xf numFmtId="181" fontId="0" fillId="0" borderId="2" xfId="0" applyNumberFormat="1" applyBorder="1" applyAlignment="1">
      <alignment vertical="center"/>
    </xf>
    <xf numFmtId="181" fontId="0" fillId="0" borderId="2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78" fontId="0" fillId="0" borderId="2" xfId="1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43" fontId="0" fillId="9" borderId="2" xfId="1" applyFont="1" applyFill="1" applyBorder="1" applyAlignment="1">
      <alignment vertical="center"/>
    </xf>
    <xf numFmtId="43" fontId="22" fillId="0" borderId="2" xfId="1" applyFont="1" applyBorder="1" applyAlignment="1">
      <alignment vertical="center"/>
    </xf>
    <xf numFmtId="181" fontId="0" fillId="0" borderId="2" xfId="1" applyNumberFormat="1" applyFont="1" applyBorder="1" applyAlignment="1">
      <alignment vertical="center"/>
    </xf>
    <xf numFmtId="181" fontId="0" fillId="10" borderId="2" xfId="1" applyNumberFormat="1" applyFont="1" applyFill="1" applyBorder="1" applyAlignment="1">
      <alignment vertical="center"/>
    </xf>
    <xf numFmtId="181" fontId="0" fillId="0" borderId="2" xfId="1" applyNumberFormat="1" applyFont="1" applyFill="1" applyBorder="1" applyAlignment="1">
      <alignment vertical="center"/>
    </xf>
    <xf numFmtId="43" fontId="0" fillId="0" borderId="2" xfId="1" applyFont="1" applyFill="1" applyBorder="1" applyAlignment="1">
      <alignment vertical="center"/>
    </xf>
    <xf numFmtId="0" fontId="24" fillId="6" borderId="2" xfId="0" applyFont="1" applyFill="1" applyBorder="1" applyAlignment="1">
      <alignment horizontal="center" vertical="center"/>
    </xf>
    <xf numFmtId="43" fontId="26" fillId="6" borderId="2" xfId="1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10" fillId="0" borderId="0" xfId="0" applyFont="1"/>
    <xf numFmtId="179" fontId="13" fillId="0" borderId="0" xfId="0" applyNumberFormat="1" applyFont="1"/>
    <xf numFmtId="0" fontId="13" fillId="0" borderId="0" xfId="0" applyFont="1"/>
    <xf numFmtId="0" fontId="9" fillId="2" borderId="2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2" fontId="10" fillId="0" borderId="2" xfId="0" applyNumberFormat="1" applyFont="1" applyFill="1" applyBorder="1" applyAlignment="1">
      <alignment horizontal="right" vertical="center"/>
    </xf>
    <xf numFmtId="182" fontId="15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82" fontId="10" fillId="6" borderId="2" xfId="0" applyNumberFormat="1" applyFont="1" applyFill="1" applyBorder="1" applyAlignment="1">
      <alignment horizontal="right" vertical="center"/>
    </xf>
    <xf numFmtId="182" fontId="10" fillId="0" borderId="2" xfId="0" applyNumberFormat="1" applyFont="1" applyFill="1" applyBorder="1" applyAlignment="1">
      <alignment horizontal="center" vertical="center"/>
    </xf>
    <xf numFmtId="182" fontId="10" fillId="0" borderId="0" xfId="0" applyNumberFormat="1" applyFont="1" applyFill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182" fontId="13" fillId="6" borderId="3" xfId="0" applyNumberFormat="1" applyFont="1" applyFill="1" applyBorder="1" applyAlignment="1">
      <alignment horizontal="right" vertical="center"/>
    </xf>
    <xf numFmtId="43" fontId="0" fillId="0" borderId="0" xfId="0" applyNumberFormat="1"/>
    <xf numFmtId="182" fontId="0" fillId="0" borderId="0" xfId="0" applyNumberFormat="1"/>
    <xf numFmtId="43" fontId="0" fillId="0" borderId="0" xfId="0" applyNumberFormat="1" applyAlignment="1">
      <alignment vertical="center"/>
    </xf>
    <xf numFmtId="0" fontId="5" fillId="0" borderId="0" xfId="0" applyFont="1" applyBorder="1" applyAlignment="1" applyProtection="1">
      <alignment horizontal="center" vertical="center"/>
    </xf>
  </cellXfs>
  <cellStyles count="6">
    <cellStyle name="常规" xfId="0" builtinId="0"/>
    <cellStyle name="常规 2" xfId="2"/>
    <cellStyle name="常规 2 2" xfId="4"/>
    <cellStyle name="常规 3" xfId="3"/>
    <cellStyle name="千位分隔" xfId="1" builtinId="3"/>
    <cellStyle name="千位分隔 2" xfId="5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701;&#36164;&#26448;&#26009;/&#20511;&#27454;/&#25285;&#20445;&#20511;&#27454;&#20449;&#24687;&#27719;&#24635;&#34920;2017.1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701;&#36164;&#26448;&#26009;/&#20511;&#27454;/&#34701;&#36164;&#20511;&#27454;&#20449;&#24687;&#27719;&#24635;&#34920;2017.01.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徐薇"/>
      <sheetName val="shea"/>
      <sheetName val="担保借款情况汇总"/>
      <sheetName val="担保借款每月贷款余额"/>
      <sheetName val="担保借款到期时间表"/>
      <sheetName val="担保借款融资成本汇总表"/>
      <sheetName val="担保借款成本明细表"/>
      <sheetName val="IRR"/>
    </sheetNames>
    <sheetDataSet>
      <sheetData sheetId="0"/>
      <sheetData sheetId="1"/>
      <sheetData sheetId="2"/>
      <sheetData sheetId="3">
        <row r="8">
          <cell r="X8">
            <v>235303.49495703427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徐薇"/>
      <sheetName val="shea"/>
      <sheetName val="借款情况汇总"/>
      <sheetName val="每月贷款余额"/>
      <sheetName val="到期时间表"/>
      <sheetName val="融资成本汇总表"/>
      <sheetName val="融资成本明细表"/>
      <sheetName val="IRR"/>
      <sheetName val="Sheet1"/>
      <sheetName val="Sheet2"/>
    </sheetNames>
    <sheetDataSet>
      <sheetData sheetId="0"/>
      <sheetData sheetId="1"/>
      <sheetData sheetId="2"/>
      <sheetData sheetId="3">
        <row r="50">
          <cell r="X50">
            <v>152122122.4018496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G72"/>
  <sheetViews>
    <sheetView showGridLines="0" tabSelected="1" topLeftCell="A10" zoomScaleNormal="100" workbookViewId="0">
      <selection activeCell="F37" sqref="F37"/>
    </sheetView>
  </sheetViews>
  <sheetFormatPr defaultColWidth="0" defaultRowHeight="12.75" zeroHeight="1"/>
  <cols>
    <col min="1" max="1" width="31.25" style="1" bestFit="1" customWidth="1"/>
    <col min="2" max="2" width="19.5" style="1" bestFit="1" customWidth="1"/>
    <col min="3" max="3" width="20.75" style="1" bestFit="1" customWidth="1"/>
    <col min="4" max="4" width="31.5" style="1" customWidth="1"/>
    <col min="5" max="5" width="19.5" style="1" bestFit="1" customWidth="1"/>
    <col min="6" max="6" width="20.75" style="1" bestFit="1" customWidth="1"/>
    <col min="7" max="7" width="3.75" style="1" customWidth="1"/>
    <col min="8" max="16384" width="9" style="1" hidden="1"/>
  </cols>
  <sheetData>
    <row r="1" spans="1:6" ht="38.25" customHeight="1">
      <c r="A1" s="107" t="s">
        <v>0</v>
      </c>
      <c r="B1" s="107"/>
      <c r="C1" s="107"/>
      <c r="D1" s="107"/>
      <c r="E1" s="107"/>
      <c r="F1" s="107"/>
    </row>
    <row r="2" spans="1:6" ht="20.25" customHeight="1">
      <c r="A2" s="60" t="s">
        <v>133</v>
      </c>
      <c r="B2" s="59"/>
      <c r="C2" s="59"/>
      <c r="D2" s="59"/>
      <c r="E2" s="59"/>
      <c r="F2" s="59"/>
    </row>
    <row r="3" spans="1:6" s="10" customFormat="1" ht="16.5">
      <c r="A3" s="7" t="s">
        <v>1</v>
      </c>
      <c r="B3" s="8" t="s">
        <v>2</v>
      </c>
      <c r="C3" s="9">
        <v>42766</v>
      </c>
      <c r="D3" s="7" t="s">
        <v>125</v>
      </c>
      <c r="E3" s="8" t="s">
        <v>3</v>
      </c>
      <c r="F3" s="9">
        <v>42766</v>
      </c>
    </row>
    <row r="4" spans="1:6" s="15" customFormat="1" ht="16.5">
      <c r="A4" s="11" t="s">
        <v>4</v>
      </c>
      <c r="B4" s="12" t="s">
        <v>5</v>
      </c>
      <c r="C4" s="13"/>
      <c r="D4" s="14" t="s">
        <v>6</v>
      </c>
      <c r="E4" s="12"/>
      <c r="F4" s="13"/>
    </row>
    <row r="5" spans="1:6" s="10" customFormat="1" ht="16.5">
      <c r="A5" s="16" t="s">
        <v>7</v>
      </c>
      <c r="B5" s="17">
        <v>40735820.730000004</v>
      </c>
      <c r="C5" s="18">
        <v>40589751.959999993</v>
      </c>
      <c r="D5" s="19" t="s">
        <v>8</v>
      </c>
      <c r="E5" s="17">
        <v>130797099.67</v>
      </c>
      <c r="F5" s="17">
        <v>135332477.59</v>
      </c>
    </row>
    <row r="6" spans="1:6" s="10" customFormat="1" ht="12.75" customHeight="1">
      <c r="A6" s="16" t="s">
        <v>9</v>
      </c>
      <c r="B6" s="17">
        <v>0</v>
      </c>
      <c r="C6" s="18">
        <v>0</v>
      </c>
      <c r="D6" s="19" t="s">
        <v>10</v>
      </c>
      <c r="E6" s="17">
        <v>0</v>
      </c>
      <c r="F6" s="17">
        <v>0</v>
      </c>
    </row>
    <row r="7" spans="1:6" s="10" customFormat="1" ht="16.5">
      <c r="A7" s="16" t="s">
        <v>11</v>
      </c>
      <c r="B7" s="17">
        <v>0</v>
      </c>
      <c r="C7" s="18">
        <v>0</v>
      </c>
      <c r="D7" s="19" t="s">
        <v>12</v>
      </c>
      <c r="E7" s="17">
        <v>0</v>
      </c>
      <c r="F7" s="17">
        <v>0</v>
      </c>
    </row>
    <row r="8" spans="1:6" s="10" customFormat="1" ht="16.5">
      <c r="A8" s="16" t="s">
        <v>13</v>
      </c>
      <c r="B8" s="17">
        <v>2625530.7000000002</v>
      </c>
      <c r="C8" s="18">
        <v>5140030.7700000005</v>
      </c>
      <c r="D8" s="19" t="s">
        <v>14</v>
      </c>
      <c r="E8" s="17">
        <v>5151721.34</v>
      </c>
      <c r="F8" s="17">
        <v>2762356.419999999</v>
      </c>
    </row>
    <row r="9" spans="1:6" s="10" customFormat="1" ht="16.5">
      <c r="A9" s="16" t="s">
        <v>15</v>
      </c>
      <c r="B9" s="17">
        <v>6759730.9100000011</v>
      </c>
      <c r="C9" s="18">
        <v>8227788.4800000004</v>
      </c>
      <c r="D9" s="19" t="s">
        <v>16</v>
      </c>
      <c r="E9" s="17">
        <v>2714659.11</v>
      </c>
      <c r="F9" s="17">
        <v>4092954.9600000009</v>
      </c>
    </row>
    <row r="10" spans="1:6" s="10" customFormat="1" ht="16.5">
      <c r="A10" s="16" t="s">
        <v>17</v>
      </c>
      <c r="B10" s="17">
        <v>81369.86</v>
      </c>
      <c r="C10" s="18">
        <v>157808.22</v>
      </c>
      <c r="D10" s="19" t="s">
        <v>18</v>
      </c>
      <c r="E10" s="17">
        <v>3709723.5599999996</v>
      </c>
      <c r="F10" s="17">
        <v>3788507.25</v>
      </c>
    </row>
    <row r="11" spans="1:6" s="10" customFormat="1" ht="16.5">
      <c r="A11" s="16" t="s">
        <v>19</v>
      </c>
      <c r="B11" s="17">
        <v>0</v>
      </c>
      <c r="C11" s="18">
        <v>0</v>
      </c>
      <c r="D11" s="19" t="s">
        <v>20</v>
      </c>
      <c r="E11" s="17">
        <v>-4892094.5999999996</v>
      </c>
      <c r="F11" s="17">
        <v>-6044233.4799999995</v>
      </c>
    </row>
    <row r="12" spans="1:6" s="10" customFormat="1" ht="16.5">
      <c r="A12" s="16" t="s">
        <v>21</v>
      </c>
      <c r="B12" s="17">
        <v>3988152.1</v>
      </c>
      <c r="C12" s="18">
        <v>2493049.4099999992</v>
      </c>
      <c r="D12" s="19" t="s">
        <v>132</v>
      </c>
      <c r="E12" s="17">
        <v>682837.64</v>
      </c>
      <c r="F12" s="17">
        <v>840622.6100000001</v>
      </c>
    </row>
    <row r="13" spans="1:6" s="10" customFormat="1" ht="16.5">
      <c r="A13" s="16" t="s">
        <v>22</v>
      </c>
      <c r="B13" s="17">
        <v>468475.94</v>
      </c>
      <c r="C13" s="18">
        <v>628377.16</v>
      </c>
      <c r="D13" s="19" t="s">
        <v>131</v>
      </c>
      <c r="E13" s="17">
        <v>0</v>
      </c>
      <c r="F13" s="17">
        <v>0</v>
      </c>
    </row>
    <row r="14" spans="1:6" s="10" customFormat="1" ht="16.5">
      <c r="A14" s="16" t="s">
        <v>23</v>
      </c>
      <c r="B14" s="17">
        <v>0</v>
      </c>
      <c r="C14" s="18">
        <v>0</v>
      </c>
      <c r="D14" s="19" t="s">
        <v>130</v>
      </c>
      <c r="E14" s="17">
        <v>5534127.6699999999</v>
      </c>
      <c r="F14" s="17">
        <v>5882717.0500000007</v>
      </c>
    </row>
    <row r="15" spans="1:6" s="10" customFormat="1" ht="16.5">
      <c r="A15" s="16" t="s">
        <v>24</v>
      </c>
      <c r="B15" s="17">
        <v>30000000</v>
      </c>
      <c r="C15" s="18">
        <v>30000000</v>
      </c>
      <c r="D15" s="19" t="s">
        <v>25</v>
      </c>
      <c r="E15" s="17">
        <v>0</v>
      </c>
      <c r="F15" s="17">
        <v>0</v>
      </c>
    </row>
    <row r="16" spans="1:6" s="10" customFormat="1" ht="16.5">
      <c r="A16" s="20" t="s">
        <v>26</v>
      </c>
      <c r="B16" s="21">
        <f>SUM(B5:B15)</f>
        <v>84659080.24000001</v>
      </c>
      <c r="C16" s="21">
        <f>SUM(C5:C15)</f>
        <v>87236805.999999985</v>
      </c>
      <c r="D16" s="19" t="s">
        <v>27</v>
      </c>
      <c r="E16" s="17">
        <v>0</v>
      </c>
      <c r="F16" s="17">
        <v>0</v>
      </c>
    </row>
    <row r="17" spans="1:7" s="10" customFormat="1" ht="16.5">
      <c r="A17" s="11" t="s">
        <v>28</v>
      </c>
      <c r="B17" s="22"/>
      <c r="C17" s="22"/>
      <c r="D17" s="23" t="s">
        <v>129</v>
      </c>
      <c r="E17" s="24">
        <f>SUM(E5:E16)</f>
        <v>143698074.38999999</v>
      </c>
      <c r="F17" s="24">
        <f>SUM(F5:F16)</f>
        <v>146655402.40000004</v>
      </c>
    </row>
    <row r="18" spans="1:7" s="10" customFormat="1" ht="16.5">
      <c r="A18" s="25" t="s">
        <v>29</v>
      </c>
      <c r="B18" s="17">
        <v>0</v>
      </c>
      <c r="C18" s="17">
        <v>0</v>
      </c>
      <c r="D18" s="26" t="s">
        <v>120</v>
      </c>
      <c r="E18" s="22"/>
      <c r="F18" s="22"/>
    </row>
    <row r="19" spans="1:7" s="10" customFormat="1" ht="16.5">
      <c r="A19" s="16" t="s">
        <v>30</v>
      </c>
      <c r="B19" s="17">
        <v>0</v>
      </c>
      <c r="C19" s="17">
        <v>0</v>
      </c>
      <c r="D19" s="19" t="s">
        <v>31</v>
      </c>
      <c r="E19" s="17">
        <v>11876163.210000001</v>
      </c>
      <c r="F19" s="17">
        <v>16789644.810000002</v>
      </c>
    </row>
    <row r="20" spans="1:7" s="10" customFormat="1" ht="16.5">
      <c r="A20" s="16" t="s">
        <v>32</v>
      </c>
      <c r="B20" s="17">
        <v>0</v>
      </c>
      <c r="C20" s="17">
        <v>0</v>
      </c>
      <c r="D20" s="19" t="s">
        <v>33</v>
      </c>
      <c r="E20" s="17">
        <v>0</v>
      </c>
      <c r="F20" s="17">
        <v>0</v>
      </c>
    </row>
    <row r="21" spans="1:7" s="10" customFormat="1" ht="16.5">
      <c r="A21" s="16" t="s">
        <v>34</v>
      </c>
      <c r="B21" s="17">
        <v>0</v>
      </c>
      <c r="C21" s="17">
        <v>0</v>
      </c>
      <c r="D21" s="19" t="s">
        <v>35</v>
      </c>
      <c r="E21" s="17">
        <v>0</v>
      </c>
      <c r="F21" s="17">
        <v>0</v>
      </c>
    </row>
    <row r="22" spans="1:7" s="10" customFormat="1" ht="16.5">
      <c r="A22" s="25" t="s">
        <v>36</v>
      </c>
      <c r="B22" s="17">
        <v>0</v>
      </c>
      <c r="C22" s="17">
        <v>0</v>
      </c>
      <c r="D22" s="19" t="s">
        <v>37</v>
      </c>
      <c r="E22" s="17">
        <v>0</v>
      </c>
      <c r="F22" s="17">
        <v>0</v>
      </c>
    </row>
    <row r="23" spans="1:7" s="10" customFormat="1" ht="16.5">
      <c r="A23" s="16" t="s">
        <v>38</v>
      </c>
      <c r="B23" s="17">
        <v>113127095.33000001</v>
      </c>
      <c r="C23" s="17">
        <v>112648686.12999998</v>
      </c>
      <c r="D23" s="19" t="s">
        <v>39</v>
      </c>
      <c r="E23" s="17">
        <v>0</v>
      </c>
      <c r="F23" s="17">
        <v>0</v>
      </c>
      <c r="G23" s="27"/>
    </row>
    <row r="24" spans="1:7" s="10" customFormat="1" ht="16.5">
      <c r="A24" s="16" t="s">
        <v>40</v>
      </c>
      <c r="B24" s="17">
        <v>0</v>
      </c>
      <c r="C24" s="17">
        <v>0</v>
      </c>
      <c r="D24" s="19" t="s">
        <v>41</v>
      </c>
      <c r="E24" s="17">
        <v>0</v>
      </c>
      <c r="F24" s="17">
        <v>0</v>
      </c>
    </row>
    <row r="25" spans="1:7" s="10" customFormat="1" ht="16.5">
      <c r="A25" s="16" t="s">
        <v>42</v>
      </c>
      <c r="B25" s="17">
        <v>0</v>
      </c>
      <c r="C25" s="17">
        <v>0</v>
      </c>
      <c r="D25" s="19" t="s">
        <v>43</v>
      </c>
      <c r="E25" s="17">
        <v>0</v>
      </c>
      <c r="F25" s="17">
        <v>0</v>
      </c>
    </row>
    <row r="26" spans="1:7" s="10" customFormat="1" ht="16.5">
      <c r="A26" s="16" t="s">
        <v>44</v>
      </c>
      <c r="B26" s="17">
        <v>0</v>
      </c>
      <c r="C26" s="17">
        <v>0</v>
      </c>
      <c r="D26" s="28" t="s">
        <v>45</v>
      </c>
      <c r="E26" s="21">
        <f>SUM(E19:E25)</f>
        <v>11876163.210000001</v>
      </c>
      <c r="F26" s="21">
        <f>SUM(F19:F25)</f>
        <v>16789644.810000002</v>
      </c>
    </row>
    <row r="27" spans="1:7" s="10" customFormat="1" ht="16.5">
      <c r="A27" s="16" t="s">
        <v>46</v>
      </c>
      <c r="B27" s="17">
        <v>0</v>
      </c>
      <c r="C27" s="17">
        <v>0</v>
      </c>
      <c r="D27" s="28" t="s">
        <v>47</v>
      </c>
      <c r="E27" s="24">
        <f>E17+E26</f>
        <v>155574237.59999999</v>
      </c>
      <c r="F27" s="24">
        <f>F17+F26</f>
        <v>163445047.21000004</v>
      </c>
    </row>
    <row r="28" spans="1:7" s="10" customFormat="1" ht="16.5">
      <c r="A28" s="16" t="s">
        <v>48</v>
      </c>
      <c r="B28" s="17">
        <v>0</v>
      </c>
      <c r="C28" s="17">
        <v>0</v>
      </c>
      <c r="D28" s="26" t="s">
        <v>127</v>
      </c>
      <c r="E28" s="13"/>
      <c r="F28" s="13"/>
    </row>
    <row r="29" spans="1:7" s="10" customFormat="1" ht="16.5">
      <c r="A29" s="16" t="s">
        <v>49</v>
      </c>
      <c r="B29" s="17">
        <v>0</v>
      </c>
      <c r="C29" s="17">
        <v>0</v>
      </c>
      <c r="D29" s="19" t="s">
        <v>50</v>
      </c>
      <c r="E29" s="17">
        <v>63460740.289999992</v>
      </c>
      <c r="F29" s="17">
        <v>63460740.290000014</v>
      </c>
    </row>
    <row r="30" spans="1:7" s="10" customFormat="1" ht="16.5">
      <c r="A30" s="16" t="s">
        <v>51</v>
      </c>
      <c r="B30" s="17">
        <v>0</v>
      </c>
      <c r="C30" s="17">
        <v>0</v>
      </c>
      <c r="D30" s="19" t="s">
        <v>52</v>
      </c>
      <c r="E30" s="17">
        <v>40591264.439999998</v>
      </c>
      <c r="F30" s="17">
        <v>40591264.439999998</v>
      </c>
    </row>
    <row r="31" spans="1:7" s="10" customFormat="1" ht="16.5">
      <c r="A31" s="16" t="s">
        <v>53</v>
      </c>
      <c r="B31" s="17">
        <v>0</v>
      </c>
      <c r="C31" s="17">
        <v>0</v>
      </c>
      <c r="D31" s="19" t="s">
        <v>54</v>
      </c>
      <c r="E31" s="17">
        <v>0</v>
      </c>
      <c r="F31" s="17">
        <v>0</v>
      </c>
    </row>
    <row r="32" spans="1:7" s="10" customFormat="1" ht="16.5">
      <c r="A32" s="16" t="s">
        <v>55</v>
      </c>
      <c r="B32" s="17">
        <v>4246523.5</v>
      </c>
      <c r="C32" s="17">
        <v>3812318.01</v>
      </c>
      <c r="D32" s="19" t="s">
        <v>56</v>
      </c>
      <c r="E32" s="17">
        <v>0</v>
      </c>
      <c r="F32" s="17">
        <v>0</v>
      </c>
    </row>
    <row r="33" spans="1:6" s="10" customFormat="1" ht="16.5">
      <c r="A33" s="16" t="s">
        <v>57</v>
      </c>
      <c r="B33" s="17">
        <v>0</v>
      </c>
      <c r="C33" s="17">
        <v>0</v>
      </c>
      <c r="D33" s="19" t="s">
        <v>58</v>
      </c>
      <c r="E33" s="17">
        <v>-57593543.259999998</v>
      </c>
      <c r="F33" s="17">
        <v>-63799241.800000004</v>
      </c>
    </row>
    <row r="34" spans="1:6" s="10" customFormat="1" ht="16.5">
      <c r="A34" s="16" t="s">
        <v>59</v>
      </c>
      <c r="B34" s="17">
        <v>0</v>
      </c>
      <c r="C34" s="17">
        <v>0</v>
      </c>
      <c r="D34" s="23"/>
      <c r="E34" s="29"/>
      <c r="F34" s="29"/>
    </row>
    <row r="35" spans="1:6" s="10" customFormat="1" ht="16.5">
      <c r="A35" s="20" t="s">
        <v>60</v>
      </c>
      <c r="B35" s="21">
        <f>SUM(B18:B34)</f>
        <v>117373618.83000001</v>
      </c>
      <c r="C35" s="21">
        <f>SUM(C18:C34)</f>
        <v>116461004.13999999</v>
      </c>
      <c r="D35" s="23" t="s">
        <v>126</v>
      </c>
      <c r="E35" s="21">
        <f>SUM(E29:E34)</f>
        <v>46458461.469999991</v>
      </c>
      <c r="F35" s="21">
        <f>SUM(F29:F34)</f>
        <v>40252762.930000015</v>
      </c>
    </row>
    <row r="36" spans="1:6" s="15" customFormat="1" ht="16.5">
      <c r="A36" s="30" t="s">
        <v>61</v>
      </c>
      <c r="B36" s="21">
        <f>B16+B35</f>
        <v>202032699.07000002</v>
      </c>
      <c r="C36" s="21">
        <f>C16+C35</f>
        <v>203697810.13999999</v>
      </c>
      <c r="D36" s="31" t="s">
        <v>128</v>
      </c>
      <c r="E36" s="24">
        <f>E27+E35</f>
        <v>202032699.06999999</v>
      </c>
      <c r="F36" s="24">
        <f>F27+F35</f>
        <v>203697810.14000005</v>
      </c>
    </row>
    <row r="37" spans="1:6">
      <c r="F37" s="2"/>
    </row>
    <row r="38" spans="1:6" s="3" customFormat="1">
      <c r="A38" s="3" t="s">
        <v>121</v>
      </c>
      <c r="B38" s="4">
        <f>B36-E36</f>
        <v>0</v>
      </c>
      <c r="C38" s="4">
        <f>C36-F36</f>
        <v>0</v>
      </c>
      <c r="F38" s="4"/>
    </row>
    <row r="39" spans="1:6"/>
    <row r="40" spans="1:6" hidden="1"/>
    <row r="41" spans="1:6" hidden="1"/>
    <row r="42" spans="1:6" hidden="1"/>
    <row r="43" spans="1:6" hidden="1"/>
    <row r="44" spans="1:6" hidden="1"/>
    <row r="45" spans="1:6" hidden="1"/>
    <row r="46" spans="1:6" hidden="1"/>
    <row r="47" spans="1:6" hidden="1"/>
    <row r="48" spans="1: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3" hidden="1"/>
    <row r="66" spans="1:3" hidden="1"/>
    <row r="67" spans="1:3" hidden="1"/>
    <row r="68" spans="1:3" hidden="1"/>
    <row r="69" spans="1:3" hidden="1"/>
    <row r="70" spans="1:3" hidden="1"/>
    <row r="71" spans="1:3" hidden="1">
      <c r="A71" s="5"/>
      <c r="B71" s="6"/>
      <c r="C71" s="6"/>
    </row>
    <row r="72" spans="1:3" hidden="1">
      <c r="C72" s="6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A1:F1"/>
  </mergeCells>
  <phoneticPr fontId="2" type="noConversion"/>
  <pageMargins left="1.299212598425197" right="0.70866141732283472" top="0.74803149606299213" bottom="0.74803149606299213" header="0.31496062992125984" footer="0.31496062992125984"/>
  <pageSetup paperSize="9" scale="78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J49"/>
  <sheetViews>
    <sheetView showGridLines="0" workbookViewId="0">
      <selection activeCell="D3" sqref="D3"/>
    </sheetView>
  </sheetViews>
  <sheetFormatPr defaultColWidth="0" defaultRowHeight="16.5" zeroHeight="1"/>
  <cols>
    <col min="1" max="1" width="8" style="10" customWidth="1"/>
    <col min="2" max="2" width="58" style="10" customWidth="1"/>
    <col min="3" max="3" width="22.125" style="10" customWidth="1"/>
    <col min="4" max="4" width="22.125" style="58" customWidth="1"/>
    <col min="5" max="5" width="9.625" style="10" customWidth="1"/>
    <col min="6" max="6" width="17.25" style="10" hidden="1" customWidth="1"/>
    <col min="7" max="7" width="17.75" style="10" hidden="1" customWidth="1"/>
    <col min="8" max="9" width="0" style="10" hidden="1" customWidth="1"/>
    <col min="10" max="10" width="17.25" style="10" hidden="1" customWidth="1"/>
    <col min="11" max="16384" width="9" style="10" hidden="1"/>
  </cols>
  <sheetData>
    <row r="1" spans="2:6" ht="38.25" customHeight="1">
      <c r="B1" s="107" t="s">
        <v>80</v>
      </c>
      <c r="C1" s="107"/>
      <c r="D1" s="107"/>
    </row>
    <row r="2" spans="2:6" ht="21.75" customHeight="1">
      <c r="B2" s="60" t="s">
        <v>133</v>
      </c>
      <c r="C2" s="59"/>
      <c r="D2" s="59"/>
    </row>
    <row r="3" spans="2:6" ht="15" customHeight="1">
      <c r="B3" s="7" t="s">
        <v>81</v>
      </c>
      <c r="C3" s="42" t="s">
        <v>124</v>
      </c>
      <c r="D3" s="43" t="s">
        <v>169</v>
      </c>
    </row>
    <row r="4" spans="2:6" ht="15" customHeight="1">
      <c r="B4" s="11" t="s">
        <v>82</v>
      </c>
      <c r="C4" s="44"/>
      <c r="D4" s="45"/>
    </row>
    <row r="5" spans="2:6" ht="15" customHeight="1">
      <c r="B5" s="16" t="s">
        <v>83</v>
      </c>
      <c r="C5" s="46">
        <v>6230421.7800000003</v>
      </c>
      <c r="D5" s="47">
        <v>6230421.7800000003</v>
      </c>
      <c r="E5" s="27"/>
    </row>
    <row r="6" spans="2:6" ht="15" customHeight="1">
      <c r="B6" s="16" t="s">
        <v>84</v>
      </c>
      <c r="C6" s="46">
        <v>0</v>
      </c>
      <c r="D6" s="47">
        <v>0</v>
      </c>
      <c r="E6" s="27"/>
    </row>
    <row r="7" spans="2:6" ht="15" customHeight="1">
      <c r="B7" s="16" t="s">
        <v>85</v>
      </c>
      <c r="C7" s="46">
        <v>65762.280000000028</v>
      </c>
      <c r="D7" s="47">
        <v>65762.280000000028</v>
      </c>
      <c r="E7" s="27"/>
      <c r="F7" s="27"/>
    </row>
    <row r="8" spans="2:6" ht="15" customHeight="1">
      <c r="B8" s="48" t="s">
        <v>86</v>
      </c>
      <c r="C8" s="49">
        <f>SUM(C5:C7)</f>
        <v>6296184.0600000005</v>
      </c>
      <c r="D8" s="49">
        <f>SUM(D5:D7)</f>
        <v>6296184.0600000005</v>
      </c>
      <c r="E8" s="27"/>
    </row>
    <row r="9" spans="2:6" ht="15" customHeight="1">
      <c r="B9" s="16" t="s">
        <v>87</v>
      </c>
      <c r="C9" s="46">
        <v>3308195.0900000003</v>
      </c>
      <c r="D9" s="47">
        <v>3308195.0900000003</v>
      </c>
      <c r="E9" s="27"/>
    </row>
    <row r="10" spans="2:6" ht="15" customHeight="1">
      <c r="B10" s="16" t="s">
        <v>88</v>
      </c>
      <c r="C10" s="46">
        <v>4684262.28</v>
      </c>
      <c r="D10" s="47">
        <v>4684262.28</v>
      </c>
      <c r="E10" s="27"/>
    </row>
    <row r="11" spans="2:6" ht="15" customHeight="1">
      <c r="B11" s="16" t="s">
        <v>89</v>
      </c>
      <c r="C11" s="46">
        <v>51451.360000000001</v>
      </c>
      <c r="D11" s="47">
        <v>51451.360000000001</v>
      </c>
      <c r="E11" s="27"/>
    </row>
    <row r="12" spans="2:6" ht="15" customHeight="1">
      <c r="B12" s="16" t="s">
        <v>90</v>
      </c>
      <c r="C12" s="46">
        <v>600416.85000000009</v>
      </c>
      <c r="D12" s="47">
        <v>600416.85000000009</v>
      </c>
      <c r="E12" s="27"/>
    </row>
    <row r="13" spans="2:6" ht="15" customHeight="1">
      <c r="B13" s="48" t="s">
        <v>91</v>
      </c>
      <c r="C13" s="49">
        <f>SUM(C9:C12)</f>
        <v>8644325.5800000019</v>
      </c>
      <c r="D13" s="49">
        <f>SUM(D9:D12)</f>
        <v>8644325.5800000019</v>
      </c>
      <c r="E13" s="27"/>
    </row>
    <row r="14" spans="2:6" ht="15" customHeight="1">
      <c r="B14" s="48" t="s">
        <v>92</v>
      </c>
      <c r="C14" s="49">
        <f>C8-C13</f>
        <v>-2348141.5200000014</v>
      </c>
      <c r="D14" s="49">
        <f>D8-D13</f>
        <v>-2348141.5200000014</v>
      </c>
      <c r="E14" s="27"/>
    </row>
    <row r="15" spans="2:6" ht="15" customHeight="1">
      <c r="B15" s="11" t="s">
        <v>93</v>
      </c>
      <c r="C15" s="50"/>
      <c r="D15" s="51"/>
      <c r="E15" s="27"/>
    </row>
    <row r="16" spans="2:6" ht="15" customHeight="1">
      <c r="B16" s="16" t="s">
        <v>94</v>
      </c>
      <c r="C16" s="46"/>
      <c r="D16" s="47"/>
      <c r="E16" s="27"/>
    </row>
    <row r="17" spans="2:5" ht="15" customHeight="1">
      <c r="B17" s="16" t="s">
        <v>95</v>
      </c>
      <c r="C17" s="46"/>
      <c r="D17" s="47"/>
      <c r="E17" s="27"/>
    </row>
    <row r="18" spans="2:5" ht="15" customHeight="1">
      <c r="B18" s="36" t="s">
        <v>96</v>
      </c>
      <c r="C18" s="46"/>
      <c r="D18" s="47"/>
      <c r="E18" s="27"/>
    </row>
    <row r="19" spans="2:5" ht="15" customHeight="1">
      <c r="B19" s="16" t="s">
        <v>97</v>
      </c>
      <c r="C19" s="46"/>
      <c r="D19" s="47"/>
      <c r="E19" s="27"/>
    </row>
    <row r="20" spans="2:5" ht="15" customHeight="1">
      <c r="B20" s="16" t="s">
        <v>98</v>
      </c>
      <c r="C20" s="46"/>
      <c r="D20" s="47">
        <v>0</v>
      </c>
      <c r="E20" s="27"/>
    </row>
    <row r="21" spans="2:5" ht="15" customHeight="1">
      <c r="B21" s="48" t="s">
        <v>99</v>
      </c>
      <c r="C21" s="49">
        <f>SUM(C16:C20)</f>
        <v>0</v>
      </c>
      <c r="D21" s="49">
        <f>SUM(D16:D20)</f>
        <v>0</v>
      </c>
      <c r="E21" s="27"/>
    </row>
    <row r="22" spans="2:5" ht="15" customHeight="1">
      <c r="B22" s="52" t="s">
        <v>100</v>
      </c>
      <c r="C22" s="46">
        <v>5620058</v>
      </c>
      <c r="D22" s="47">
        <v>5620058</v>
      </c>
      <c r="E22" s="27"/>
    </row>
    <row r="23" spans="2:5" ht="15" customHeight="1">
      <c r="B23" s="16" t="s">
        <v>101</v>
      </c>
      <c r="C23" s="46">
        <v>0</v>
      </c>
      <c r="D23" s="47"/>
      <c r="E23" s="27"/>
    </row>
    <row r="24" spans="2:5" ht="15" customHeight="1">
      <c r="B24" s="16" t="s">
        <v>102</v>
      </c>
      <c r="C24" s="46">
        <v>0</v>
      </c>
      <c r="D24" s="47">
        <v>0</v>
      </c>
      <c r="E24" s="27"/>
    </row>
    <row r="25" spans="2:5" ht="15" customHeight="1">
      <c r="B25" s="16" t="s">
        <v>103</v>
      </c>
      <c r="C25" s="46">
        <v>0</v>
      </c>
      <c r="D25" s="47">
        <v>0</v>
      </c>
      <c r="E25" s="27"/>
    </row>
    <row r="26" spans="2:5" ht="15" customHeight="1">
      <c r="B26" s="48" t="s">
        <v>104</v>
      </c>
      <c r="C26" s="49">
        <f>SUM(C22:C25)</f>
        <v>5620058</v>
      </c>
      <c r="D26" s="49">
        <f>SUM(D22:D25)</f>
        <v>5620058</v>
      </c>
      <c r="E26" s="27"/>
    </row>
    <row r="27" spans="2:5" ht="15" customHeight="1">
      <c r="B27" s="48" t="s">
        <v>105</v>
      </c>
      <c r="C27" s="49">
        <f>C21-C26</f>
        <v>-5620058</v>
      </c>
      <c r="D27" s="49">
        <f>D21-D26</f>
        <v>-5620058</v>
      </c>
      <c r="E27" s="27"/>
    </row>
    <row r="28" spans="2:5" ht="15" customHeight="1">
      <c r="B28" s="11" t="s">
        <v>106</v>
      </c>
      <c r="C28" s="50"/>
      <c r="D28" s="51">
        <v>0</v>
      </c>
      <c r="E28" s="27"/>
    </row>
    <row r="29" spans="2:5" ht="15" customHeight="1">
      <c r="B29" s="16" t="s">
        <v>107</v>
      </c>
      <c r="C29" s="46"/>
      <c r="D29" s="47"/>
      <c r="E29" s="27"/>
    </row>
    <row r="30" spans="2:5" ht="15" customHeight="1">
      <c r="B30" s="16" t="s">
        <v>108</v>
      </c>
      <c r="C30" s="46">
        <v>16478988</v>
      </c>
      <c r="D30" s="47">
        <v>16478988</v>
      </c>
      <c r="E30" s="27"/>
    </row>
    <row r="31" spans="2:5" ht="15" customHeight="1">
      <c r="B31" s="16" t="s">
        <v>109</v>
      </c>
      <c r="C31" s="46">
        <v>0</v>
      </c>
      <c r="D31" s="47">
        <v>0</v>
      </c>
      <c r="E31" s="27"/>
    </row>
    <row r="32" spans="2:5" ht="15" customHeight="1">
      <c r="B32" s="48" t="s">
        <v>110</v>
      </c>
      <c r="C32" s="49">
        <f>SUM(C29:C31)</f>
        <v>16478988</v>
      </c>
      <c r="D32" s="49">
        <f>SUM(D29:D31)</f>
        <v>16478988</v>
      </c>
      <c r="E32" s="27"/>
    </row>
    <row r="33" spans="2:5" ht="15" customHeight="1">
      <c r="B33" s="16" t="s">
        <v>111</v>
      </c>
      <c r="C33" s="46">
        <v>7030128.4800000004</v>
      </c>
      <c r="D33" s="47">
        <v>7030128.4800000004</v>
      </c>
      <c r="E33" s="27"/>
    </row>
    <row r="34" spans="2:5" ht="15" customHeight="1">
      <c r="B34" s="16" t="s">
        <v>112</v>
      </c>
      <c r="C34" s="46">
        <v>1105217.8</v>
      </c>
      <c r="D34" s="47">
        <v>1105217.8</v>
      </c>
      <c r="E34" s="27"/>
    </row>
    <row r="35" spans="2:5" ht="15" customHeight="1">
      <c r="B35" s="16" t="s">
        <v>113</v>
      </c>
      <c r="C35" s="46">
        <v>142500</v>
      </c>
      <c r="D35" s="47">
        <v>142500</v>
      </c>
      <c r="E35" s="27"/>
    </row>
    <row r="36" spans="2:5" ht="15" customHeight="1">
      <c r="B36" s="48" t="s">
        <v>114</v>
      </c>
      <c r="C36" s="49">
        <f>SUM(C33:C35)</f>
        <v>8277846.2800000003</v>
      </c>
      <c r="D36" s="49">
        <f>SUM(D33:D35)</f>
        <v>8277846.2800000003</v>
      </c>
      <c r="E36" s="27"/>
    </row>
    <row r="37" spans="2:5" ht="15" customHeight="1">
      <c r="B37" s="48" t="s">
        <v>115</v>
      </c>
      <c r="C37" s="49">
        <f>C32-C36</f>
        <v>8201141.7199999997</v>
      </c>
      <c r="D37" s="49">
        <f>D32-D36</f>
        <v>8201141.7199999997</v>
      </c>
      <c r="E37" s="27"/>
    </row>
    <row r="38" spans="2:5" ht="15" customHeight="1">
      <c r="B38" s="11" t="s">
        <v>116</v>
      </c>
      <c r="C38" s="46">
        <v>-379010.97</v>
      </c>
      <c r="D38" s="47">
        <v>-379010.97</v>
      </c>
      <c r="E38" s="27"/>
    </row>
    <row r="39" spans="2:5" ht="15" customHeight="1">
      <c r="B39" s="11" t="s">
        <v>117</v>
      </c>
      <c r="C39" s="49">
        <f>C14+C27+C37+C38</f>
        <v>-146068.77000000165</v>
      </c>
      <c r="D39" s="49">
        <f>D14+D27+D37+D38</f>
        <v>-146068.77000000165</v>
      </c>
      <c r="E39" s="27"/>
    </row>
    <row r="40" spans="2:5" ht="15" customHeight="1">
      <c r="B40" s="16" t="s">
        <v>118</v>
      </c>
      <c r="C40" s="46">
        <v>40735820.730000004</v>
      </c>
      <c r="D40" s="47">
        <v>40735820.730000004</v>
      </c>
      <c r="E40" s="27"/>
    </row>
    <row r="41" spans="2:5" ht="15" customHeight="1">
      <c r="B41" s="11" t="s">
        <v>119</v>
      </c>
      <c r="C41" s="49">
        <f>C39+C40</f>
        <v>40589751.960000001</v>
      </c>
      <c r="D41" s="49">
        <f>D39+D40</f>
        <v>40589751.960000001</v>
      </c>
      <c r="E41" s="27"/>
    </row>
    <row r="42" spans="2:5">
      <c r="D42" s="53"/>
    </row>
    <row r="43" spans="2:5">
      <c r="D43" s="54"/>
    </row>
    <row r="44" spans="2:5" s="55" customFormat="1">
      <c r="B44" s="55" t="s">
        <v>121</v>
      </c>
      <c r="C44" s="56">
        <f>C41-资产负债表!C5</f>
        <v>0</v>
      </c>
      <c r="D44" s="57">
        <f>D41-资产负债表!C5</f>
        <v>0</v>
      </c>
    </row>
    <row r="45" spans="2:5"/>
    <row r="46" spans="2:5" hidden="1"/>
    <row r="47" spans="2:5" hidden="1"/>
    <row r="48" spans="2:5" hidden="1"/>
    <row r="49" spans="4:4" hidden="1">
      <c r="D49" s="10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B1:D1"/>
  </mergeCells>
  <phoneticPr fontId="2" type="noConversion"/>
  <pageMargins left="0.23622047244094491" right="0.19685039370078741" top="0.74803149606299213" bottom="0.74803149606299213" header="0.31496062992125984" footer="0.31496062992125984"/>
  <pageSetup paperSize="9" scale="9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46"/>
  <sheetViews>
    <sheetView showGridLines="0" topLeftCell="A4" zoomScaleNormal="100" workbookViewId="0">
      <selection activeCell="E13" sqref="E13"/>
    </sheetView>
  </sheetViews>
  <sheetFormatPr defaultColWidth="0" defaultRowHeight="0" customHeight="1" zeroHeight="1"/>
  <cols>
    <col min="1" max="1" width="9" style="1" customWidth="1"/>
    <col min="2" max="2" width="55.875" style="1" customWidth="1"/>
    <col min="3" max="4" width="20.25" style="1" customWidth="1"/>
    <col min="5" max="5" width="9.125" style="1" customWidth="1"/>
    <col min="6" max="16384" width="9" style="1" hidden="1"/>
  </cols>
  <sheetData>
    <row r="1" spans="2:5" ht="38.25" customHeight="1">
      <c r="B1" s="107" t="s">
        <v>122</v>
      </c>
      <c r="C1" s="107"/>
      <c r="D1" s="107"/>
    </row>
    <row r="2" spans="2:5" ht="20.25" customHeight="1">
      <c r="B2" s="60" t="s">
        <v>133</v>
      </c>
      <c r="C2" s="59"/>
      <c r="D2" s="59"/>
    </row>
    <row r="3" spans="2:5" s="40" customFormat="1" ht="16.5" customHeight="1">
      <c r="B3" s="7" t="s">
        <v>62</v>
      </c>
      <c r="C3" s="7" t="s">
        <v>123</v>
      </c>
      <c r="D3" s="32" t="s">
        <v>168</v>
      </c>
    </row>
    <row r="4" spans="2:5" s="41" customFormat="1" ht="16.5" customHeight="1">
      <c r="B4" s="33" t="s">
        <v>63</v>
      </c>
      <c r="C4" s="34">
        <v>6342510.8799999999</v>
      </c>
      <c r="D4" s="35">
        <v>6342510.8799999999</v>
      </c>
      <c r="E4" s="61"/>
    </row>
    <row r="5" spans="2:5" s="40" customFormat="1" ht="16.5" customHeight="1">
      <c r="B5" s="36" t="s">
        <v>64</v>
      </c>
      <c r="C5" s="37">
        <v>4929551.59</v>
      </c>
      <c r="D5" s="38">
        <v>4929551.59</v>
      </c>
      <c r="E5" s="61"/>
    </row>
    <row r="6" spans="2:5" s="40" customFormat="1" ht="16.5" customHeight="1">
      <c r="B6" s="36" t="s">
        <v>65</v>
      </c>
      <c r="C6" s="37">
        <v>46950.600000000006</v>
      </c>
      <c r="D6" s="38">
        <v>46950.600000000006</v>
      </c>
      <c r="E6" s="61"/>
    </row>
    <row r="7" spans="2:5" s="40" customFormat="1" ht="16.5" customHeight="1">
      <c r="B7" s="36" t="s">
        <v>66</v>
      </c>
      <c r="C7" s="37">
        <v>2355099.1</v>
      </c>
      <c r="D7" s="38">
        <v>2355099.1</v>
      </c>
      <c r="E7" s="61"/>
    </row>
    <row r="8" spans="2:5" s="40" customFormat="1" ht="16.5" customHeight="1">
      <c r="B8" s="36" t="s">
        <v>67</v>
      </c>
      <c r="C8" s="37">
        <v>3243194.4799999995</v>
      </c>
      <c r="D8" s="38">
        <v>3243194.4799999995</v>
      </c>
      <c r="E8" s="61"/>
    </row>
    <row r="9" spans="2:5" s="40" customFormat="1" ht="16.5" customHeight="1">
      <c r="B9" s="36" t="s">
        <v>134</v>
      </c>
      <c r="C9" s="37">
        <v>1708020.9700000002</v>
      </c>
      <c r="D9" s="38">
        <v>1708020.9700000002</v>
      </c>
      <c r="E9" s="61"/>
    </row>
    <row r="10" spans="2:5" s="40" customFormat="1" ht="16.5" customHeight="1">
      <c r="B10" s="36" t="s">
        <v>68</v>
      </c>
      <c r="C10" s="37">
        <v>2070607.02</v>
      </c>
      <c r="D10" s="38">
        <v>2070607.02</v>
      </c>
      <c r="E10" s="61"/>
    </row>
    <row r="11" spans="2:5" s="40" customFormat="1" ht="16.5" customHeight="1">
      <c r="B11" s="36" t="s">
        <v>69</v>
      </c>
      <c r="C11" s="37"/>
      <c r="D11" s="38"/>
      <c r="E11" s="61"/>
    </row>
    <row r="12" spans="2:5" s="40" customFormat="1" ht="16.5" customHeight="1">
      <c r="B12" s="36" t="s">
        <v>70</v>
      </c>
      <c r="C12" s="37">
        <v>0</v>
      </c>
      <c r="D12" s="38">
        <v>0</v>
      </c>
      <c r="E12" s="61"/>
    </row>
    <row r="13" spans="2:5" s="40" customFormat="1" ht="16.5" customHeight="1">
      <c r="B13" s="36" t="s">
        <v>71</v>
      </c>
      <c r="C13" s="37">
        <v>0</v>
      </c>
      <c r="D13" s="38">
        <v>0</v>
      </c>
      <c r="E13" s="61"/>
    </row>
    <row r="14" spans="2:5" s="40" customFormat="1" ht="16.5" customHeight="1">
      <c r="B14" s="36" t="s">
        <v>72</v>
      </c>
      <c r="C14" s="37">
        <v>0</v>
      </c>
      <c r="D14" s="38">
        <v>0</v>
      </c>
      <c r="E14" s="61"/>
    </row>
    <row r="15" spans="2:5" s="41" customFormat="1" ht="16.5" customHeight="1">
      <c r="B15" s="33" t="s">
        <v>73</v>
      </c>
      <c r="C15" s="39">
        <f>C4-C5-C6-C7-C8-C10-C11+C12+C13</f>
        <v>-6302891.9100000001</v>
      </c>
      <c r="D15" s="39">
        <f>D4-D5-D6-D7-D8-D10-D11+D12+D13</f>
        <v>-6302891.9100000001</v>
      </c>
      <c r="E15" s="61"/>
    </row>
    <row r="16" spans="2:5" s="40" customFormat="1" ht="16.5" customHeight="1">
      <c r="B16" s="36" t="s">
        <v>74</v>
      </c>
      <c r="C16" s="37">
        <v>124281.63</v>
      </c>
      <c r="D16" s="38">
        <v>124281.63</v>
      </c>
      <c r="E16" s="61"/>
    </row>
    <row r="17" spans="2:5" s="40" customFormat="1" ht="16.5" customHeight="1">
      <c r="B17" s="36" t="s">
        <v>75</v>
      </c>
      <c r="C17" s="37">
        <v>27088.26</v>
      </c>
      <c r="D17" s="38">
        <v>27088.26</v>
      </c>
      <c r="E17" s="61"/>
    </row>
    <row r="18" spans="2:5" s="40" customFormat="1" ht="16.5" customHeight="1">
      <c r="B18" s="36" t="s">
        <v>76</v>
      </c>
      <c r="C18" s="37">
        <v>0</v>
      </c>
      <c r="D18" s="38">
        <v>0</v>
      </c>
      <c r="E18" s="61"/>
    </row>
    <row r="19" spans="2:5" s="41" customFormat="1" ht="16.5" customHeight="1">
      <c r="B19" s="33" t="s">
        <v>77</v>
      </c>
      <c r="C19" s="39">
        <f>C15+C16-C17</f>
        <v>-6205698.54</v>
      </c>
      <c r="D19" s="39">
        <f>D15+D16-D17</f>
        <v>-6205698.54</v>
      </c>
      <c r="E19" s="61"/>
    </row>
    <row r="20" spans="2:5" s="40" customFormat="1" ht="16.5" customHeight="1">
      <c r="B20" s="36" t="s">
        <v>78</v>
      </c>
      <c r="C20" s="37">
        <v>0</v>
      </c>
      <c r="D20" s="38">
        <v>0</v>
      </c>
      <c r="E20" s="61"/>
    </row>
    <row r="21" spans="2:5" s="41" customFormat="1" ht="16.5" customHeight="1">
      <c r="B21" s="33" t="s">
        <v>79</v>
      </c>
      <c r="C21" s="39">
        <f>C19-C20</f>
        <v>-6205698.54</v>
      </c>
      <c r="D21" s="39">
        <f>D19-D20</f>
        <v>-6205698.54</v>
      </c>
      <c r="E21" s="61"/>
    </row>
    <row r="22" spans="2:5" ht="17.25" customHeight="1"/>
    <row r="23" spans="2:5" ht="17.25" customHeight="1">
      <c r="C23" s="2"/>
    </row>
    <row r="24" spans="2:5" s="3" customFormat="1" ht="17.25" customHeight="1">
      <c r="B24" s="3" t="s">
        <v>121</v>
      </c>
      <c r="D24" s="4">
        <f>D21+资产负债表!E33-资产负债表!F33</f>
        <v>0</v>
      </c>
    </row>
    <row r="25" spans="2:5" ht="17.25" customHeight="1">
      <c r="C25" s="2"/>
    </row>
    <row r="26" spans="2:5" ht="17.25" hidden="1" customHeight="1"/>
    <row r="27" spans="2:5" ht="17.25" hidden="1" customHeight="1"/>
    <row r="28" spans="2:5" ht="17.25" hidden="1" customHeight="1"/>
    <row r="29" spans="2:5" ht="17.25" hidden="1" customHeight="1"/>
    <row r="30" spans="2:5" ht="17.25" hidden="1" customHeight="1"/>
    <row r="31" spans="2:5" ht="17.25" hidden="1" customHeight="1"/>
    <row r="32" spans="2:5" ht="17.25" hidden="1" customHeight="1"/>
    <row r="33" ht="17.25" hidden="1" customHeight="1"/>
    <row r="34" ht="17.25" hidden="1" customHeight="1"/>
    <row r="35" ht="17.25" hidden="1" customHeight="1"/>
    <row r="36" ht="17.25" hidden="1" customHeight="1"/>
    <row r="37" ht="17.25" hidden="1" customHeight="1"/>
    <row r="38" ht="17.25" hidden="1" customHeight="1"/>
    <row r="39" ht="17.25" hidden="1" customHeight="1"/>
    <row r="40" ht="17.25" hidden="1" customHeight="1"/>
    <row r="41" ht="17.25" hidden="1" customHeight="1"/>
    <row r="42" ht="17.25" hidden="1" customHeight="1"/>
    <row r="43" ht="17.25" hidden="1" customHeight="1"/>
    <row r="44" ht="17.25" hidden="1" customHeight="1"/>
    <row r="45" ht="17.25" hidden="1" customHeight="1"/>
    <row r="46" ht="17.25" hidden="1" customHeight="1"/>
  </sheetData>
  <mergeCells count="1">
    <mergeCell ref="B1:D1"/>
  </mergeCells>
  <phoneticPr fontId="2" type="noConversion"/>
  <pageMargins left="1.6929133858267718" right="0.23622047244094491" top="0.9055118110236221" bottom="0.74803149606299213" header="0.31496062992125984" footer="0.31496062992125984"/>
  <pageSetup paperSize="9" orientation="landscape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workbookViewId="0">
      <selection activeCell="B34" sqref="B34"/>
    </sheetView>
  </sheetViews>
  <sheetFormatPr defaultRowHeight="13.5"/>
  <cols>
    <col min="1" max="1" width="3.75" style="72" customWidth="1"/>
    <col min="2" max="2" width="34.25" style="78" customWidth="1"/>
    <col min="3" max="3" width="0.125" style="78" customWidth="1"/>
    <col min="4" max="6" width="10.125" style="78" hidden="1" customWidth="1"/>
    <col min="7" max="7" width="17.25" style="78" hidden="1" customWidth="1"/>
    <col min="8" max="8" width="18.25" style="78" hidden="1" customWidth="1"/>
    <col min="9" max="10" width="19.5" style="78" hidden="1" customWidth="1"/>
    <col min="11" max="11" width="21.5" style="78" hidden="1" customWidth="1"/>
    <col min="12" max="14" width="19.5" style="78" hidden="1" customWidth="1"/>
    <col min="15" max="15" width="22.25" style="78" hidden="1" customWidth="1"/>
    <col min="16" max="16" width="19.5" style="78" hidden="1" customWidth="1"/>
    <col min="17" max="18" width="19.625" style="78" hidden="1" customWidth="1"/>
    <col min="19" max="21" width="20.125" style="89" hidden="1" customWidth="1"/>
    <col min="22" max="24" width="20.125" style="89" customWidth="1"/>
    <col min="25" max="25" width="18.375" style="78" bestFit="1" customWidth="1"/>
    <col min="26" max="26" width="17.25" style="78" bestFit="1" customWidth="1"/>
    <col min="27" max="16384" width="9" style="78"/>
  </cols>
  <sheetData>
    <row r="1" spans="1:25" s="66" customFormat="1">
      <c r="A1" s="62"/>
      <c r="B1" s="63" t="s">
        <v>135</v>
      </c>
      <c r="C1" s="64">
        <v>42095</v>
      </c>
      <c r="D1" s="64">
        <v>42125</v>
      </c>
      <c r="E1" s="64">
        <v>42156</v>
      </c>
      <c r="F1" s="64">
        <v>42186</v>
      </c>
      <c r="G1" s="64">
        <v>42217</v>
      </c>
      <c r="H1" s="64">
        <v>42248</v>
      </c>
      <c r="I1" s="64">
        <v>42278</v>
      </c>
      <c r="J1" s="64">
        <v>42309</v>
      </c>
      <c r="K1" s="64">
        <v>42339</v>
      </c>
      <c r="L1" s="64">
        <v>42370</v>
      </c>
      <c r="M1" s="64">
        <v>42401</v>
      </c>
      <c r="N1" s="64">
        <v>42430</v>
      </c>
      <c r="O1" s="64">
        <v>42461</v>
      </c>
      <c r="P1" s="65">
        <v>42491</v>
      </c>
      <c r="Q1" s="65">
        <v>42522</v>
      </c>
      <c r="R1" s="65">
        <v>42552</v>
      </c>
      <c r="S1" s="65">
        <v>42613</v>
      </c>
      <c r="T1" s="65">
        <v>42643</v>
      </c>
      <c r="U1" s="65">
        <v>42674</v>
      </c>
      <c r="V1" s="65">
        <v>42704</v>
      </c>
      <c r="W1" s="65">
        <v>42735</v>
      </c>
      <c r="X1" s="65">
        <v>42766</v>
      </c>
    </row>
    <row r="2" spans="1:25" s="66" customFormat="1" ht="15" customHeight="1">
      <c r="A2" s="62"/>
      <c r="B2" s="67" t="s">
        <v>170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70"/>
      <c r="R2" s="70"/>
      <c r="S2" s="71"/>
      <c r="T2" s="71"/>
      <c r="U2" s="71"/>
      <c r="V2" s="71"/>
      <c r="W2" s="71"/>
      <c r="X2" s="71"/>
    </row>
    <row r="3" spans="1:25" ht="15" customHeight="1">
      <c r="B3" s="73" t="s">
        <v>136</v>
      </c>
      <c r="C3" s="74"/>
      <c r="D3" s="74"/>
      <c r="E3" s="74"/>
      <c r="F3" s="75"/>
      <c r="G3" s="75"/>
      <c r="H3" s="75"/>
      <c r="I3" s="75"/>
      <c r="J3" s="75"/>
      <c r="K3" s="75"/>
      <c r="L3" s="75"/>
      <c r="M3" s="75"/>
      <c r="N3" s="75"/>
      <c r="O3" s="75"/>
      <c r="P3" s="75">
        <v>2833550</v>
      </c>
      <c r="Q3" s="75">
        <v>3999513.98</v>
      </c>
      <c r="R3" s="75">
        <v>3370910.74</v>
      </c>
      <c r="S3" s="76"/>
      <c r="T3" s="76">
        <v>5573510</v>
      </c>
      <c r="U3" s="76">
        <v>4501046.3599999994</v>
      </c>
      <c r="V3" s="76">
        <v>4336663.57</v>
      </c>
      <c r="W3" s="77">
        <v>10581269.66</v>
      </c>
      <c r="X3" s="77">
        <v>5533088</v>
      </c>
    </row>
    <row r="4" spans="1:25" ht="15" customHeight="1">
      <c r="B4" s="73" t="s">
        <v>137</v>
      </c>
      <c r="C4" s="74"/>
      <c r="D4" s="74"/>
      <c r="E4" s="74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  <c r="T4" s="76"/>
      <c r="U4" s="76"/>
      <c r="V4" s="76">
        <v>2833550</v>
      </c>
      <c r="W4" s="76">
        <v>6506814.6399999997</v>
      </c>
      <c r="X4" s="76">
        <v>863610.08000000007</v>
      </c>
    </row>
    <row r="5" spans="1:25" ht="15" customHeight="1">
      <c r="B5" s="73" t="s">
        <v>138</v>
      </c>
      <c r="C5" s="74"/>
      <c r="D5" s="79"/>
      <c r="E5" s="79"/>
      <c r="F5" s="75"/>
      <c r="G5" s="75"/>
      <c r="H5" s="75"/>
      <c r="I5" s="75"/>
      <c r="J5" s="75"/>
      <c r="K5" s="75"/>
      <c r="L5" s="75"/>
      <c r="M5" s="75"/>
      <c r="N5" s="75"/>
      <c r="O5" s="75"/>
      <c r="P5" s="75">
        <f>P3-P4</f>
        <v>2833550</v>
      </c>
      <c r="Q5" s="75">
        <f t="shared" ref="Q5:W5" si="0">P5+Q3-Q4</f>
        <v>6833063.9800000004</v>
      </c>
      <c r="R5" s="75">
        <f t="shared" si="0"/>
        <v>10203974.720000001</v>
      </c>
      <c r="S5" s="76">
        <f t="shared" si="0"/>
        <v>10203974.720000001</v>
      </c>
      <c r="T5" s="76">
        <f t="shared" si="0"/>
        <v>15777484.720000001</v>
      </c>
      <c r="U5" s="76">
        <f t="shared" si="0"/>
        <v>20278531.079999998</v>
      </c>
      <c r="V5" s="76">
        <f t="shared" si="0"/>
        <v>21781644.649999999</v>
      </c>
      <c r="W5" s="76">
        <f t="shared" si="0"/>
        <v>25856099.669999998</v>
      </c>
      <c r="X5" s="76">
        <f>W5+X3-X4</f>
        <v>30525577.589999996</v>
      </c>
    </row>
    <row r="6" spans="1:25" ht="15" customHeight="1">
      <c r="B6" s="80" t="s">
        <v>139</v>
      </c>
      <c r="C6" s="74"/>
      <c r="D6" s="79"/>
      <c r="E6" s="79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4"/>
      <c r="T6" s="74"/>
      <c r="U6" s="74"/>
      <c r="V6" s="76">
        <v>108120.43</v>
      </c>
      <c r="W6" s="76">
        <v>249459.37999999995</v>
      </c>
      <c r="X6" s="76">
        <v>33301.99</v>
      </c>
    </row>
    <row r="7" spans="1:25" ht="15" customHeight="1">
      <c r="B7" s="80" t="s">
        <v>171</v>
      </c>
      <c r="C7" s="74"/>
      <c r="D7" s="79"/>
      <c r="E7" s="79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>
        <v>140979.81</v>
      </c>
      <c r="S7" s="76">
        <v>69603.75</v>
      </c>
      <c r="T7" s="76"/>
      <c r="U7" s="76">
        <v>94499.17</v>
      </c>
      <c r="V7" s="76">
        <v>66874.66</v>
      </c>
      <c r="W7" s="76">
        <v>322963.07</v>
      </c>
      <c r="X7" s="76"/>
    </row>
    <row r="8" spans="1:25" ht="15" customHeight="1">
      <c r="B8" s="67" t="s">
        <v>172</v>
      </c>
      <c r="C8" s="74"/>
      <c r="D8" s="79"/>
      <c r="E8" s="79"/>
      <c r="F8" s="75"/>
      <c r="G8" s="75"/>
      <c r="H8" s="75"/>
      <c r="I8" s="75"/>
      <c r="J8" s="75"/>
      <c r="K8" s="75"/>
      <c r="L8" s="75"/>
      <c r="M8" s="75"/>
      <c r="N8" s="75"/>
      <c r="O8" s="81"/>
      <c r="P8" s="81"/>
      <c r="Q8" s="81"/>
      <c r="R8" s="81"/>
      <c r="S8" s="81"/>
      <c r="T8" s="81"/>
      <c r="U8" s="81"/>
      <c r="V8" s="81"/>
      <c r="W8" s="81"/>
      <c r="X8" s="81"/>
    </row>
    <row r="9" spans="1:25" ht="15" customHeight="1">
      <c r="B9" s="73" t="s">
        <v>136</v>
      </c>
      <c r="C9" s="74"/>
      <c r="D9" s="79"/>
      <c r="E9" s="79"/>
      <c r="F9" s="75"/>
      <c r="G9" s="82">
        <v>3819700</v>
      </c>
      <c r="H9" s="75">
        <v>3590800</v>
      </c>
      <c r="I9" s="75">
        <v>5118400</v>
      </c>
      <c r="J9" s="75">
        <v>5625000</v>
      </c>
      <c r="K9" s="75">
        <v>9576300</v>
      </c>
      <c r="L9" s="75">
        <f>6702300-494700</f>
        <v>6207600</v>
      </c>
      <c r="M9" s="75">
        <v>13141100</v>
      </c>
      <c r="N9" s="75">
        <v>16026100</v>
      </c>
      <c r="O9" s="75">
        <v>11690700</v>
      </c>
      <c r="P9" s="75">
        <v>12954900</v>
      </c>
      <c r="Q9" s="75">
        <v>15458400</v>
      </c>
      <c r="R9" s="75">
        <v>10861800</v>
      </c>
      <c r="S9" s="83">
        <v>15380400</v>
      </c>
      <c r="T9" s="83">
        <v>17180600</v>
      </c>
      <c r="U9" s="83">
        <v>9568600</v>
      </c>
      <c r="V9" s="83">
        <v>10206500</v>
      </c>
      <c r="W9" s="84">
        <v>3431300</v>
      </c>
      <c r="X9" s="84">
        <v>1945900</v>
      </c>
    </row>
    <row r="10" spans="1:25" ht="15" customHeight="1">
      <c r="B10" s="73" t="s">
        <v>137</v>
      </c>
      <c r="C10" s="74"/>
      <c r="D10" s="79"/>
      <c r="E10" s="79"/>
      <c r="F10" s="75"/>
      <c r="G10" s="75"/>
      <c r="H10" s="75"/>
      <c r="I10" s="75"/>
      <c r="J10" s="75"/>
      <c r="K10" s="75"/>
      <c r="L10" s="75"/>
      <c r="M10" s="75">
        <v>3819700</v>
      </c>
      <c r="N10" s="75">
        <v>4356100</v>
      </c>
      <c r="O10" s="75">
        <v>4990500</v>
      </c>
      <c r="P10" s="75">
        <v>4987600</v>
      </c>
      <c r="Q10" s="75">
        <v>9576300</v>
      </c>
      <c r="R10" s="75">
        <v>7365300</v>
      </c>
      <c r="S10" s="83">
        <v>13053600</v>
      </c>
      <c r="T10" s="83">
        <f>14955900+6909600</f>
        <v>21865500</v>
      </c>
      <c r="U10" s="83">
        <v>6135300</v>
      </c>
      <c r="V10" s="83">
        <v>11111100</v>
      </c>
      <c r="W10" s="85">
        <v>5636200</v>
      </c>
      <c r="X10" s="85">
        <v>1080000</v>
      </c>
    </row>
    <row r="11" spans="1:25" ht="13.5" customHeight="1">
      <c r="B11" s="73" t="s">
        <v>138</v>
      </c>
      <c r="C11" s="79">
        <f>C9-C10</f>
        <v>0</v>
      </c>
      <c r="D11" s="79">
        <f t="shared" ref="D11:G11" si="1">D9-D10</f>
        <v>0</v>
      </c>
      <c r="E11" s="79">
        <f t="shared" si="1"/>
        <v>0</v>
      </c>
      <c r="F11" s="75">
        <f t="shared" si="1"/>
        <v>0</v>
      </c>
      <c r="G11" s="75">
        <f t="shared" si="1"/>
        <v>3819700</v>
      </c>
      <c r="H11" s="75">
        <f>G11+H9-H10</f>
        <v>7410500</v>
      </c>
      <c r="I11" s="75">
        <f t="shared" ref="I11:U11" si="2">H11+I9-I10</f>
        <v>12528900</v>
      </c>
      <c r="J11" s="75">
        <f t="shared" si="2"/>
        <v>18153900</v>
      </c>
      <c r="K11" s="75">
        <f t="shared" si="2"/>
        <v>27730200</v>
      </c>
      <c r="L11" s="75">
        <f t="shared" si="2"/>
        <v>33937800</v>
      </c>
      <c r="M11" s="75">
        <f t="shared" si="2"/>
        <v>43259200</v>
      </c>
      <c r="N11" s="75">
        <f t="shared" si="2"/>
        <v>54929200</v>
      </c>
      <c r="O11" s="75">
        <f t="shared" si="2"/>
        <v>61629400</v>
      </c>
      <c r="P11" s="75">
        <f t="shared" si="2"/>
        <v>69596700</v>
      </c>
      <c r="Q11" s="75">
        <f t="shared" si="2"/>
        <v>75478800</v>
      </c>
      <c r="R11" s="75">
        <f t="shared" si="2"/>
        <v>78975300</v>
      </c>
      <c r="S11" s="83">
        <f t="shared" si="2"/>
        <v>81302100</v>
      </c>
      <c r="T11" s="83">
        <f t="shared" si="2"/>
        <v>76617200</v>
      </c>
      <c r="U11" s="83">
        <f t="shared" si="2"/>
        <v>80050500</v>
      </c>
      <c r="V11" s="83">
        <f>U11+V9-V10</f>
        <v>79145900</v>
      </c>
      <c r="W11" s="83">
        <f>V11+W9-W10</f>
        <v>76941000</v>
      </c>
      <c r="X11" s="83">
        <f>W11+X9-X10</f>
        <v>77806900</v>
      </c>
      <c r="Y11" s="89"/>
    </row>
    <row r="12" spans="1:25" ht="15" customHeight="1">
      <c r="B12" s="80" t="s">
        <v>139</v>
      </c>
      <c r="C12" s="74"/>
      <c r="D12" s="79"/>
      <c r="E12" s="79"/>
      <c r="F12" s="75"/>
      <c r="G12" s="75"/>
      <c r="H12" s="75">
        <v>40118.32</v>
      </c>
      <c r="I12" s="75">
        <v>74454.570000000007</v>
      </c>
      <c r="J12" s="75">
        <v>128338.31999999999</v>
      </c>
      <c r="K12" s="75">
        <v>198833.93</v>
      </c>
      <c r="L12" s="75">
        <v>263052.71999999997</v>
      </c>
      <c r="M12" s="75">
        <v>408609.96</v>
      </c>
      <c r="N12" s="75">
        <v>398739.22</v>
      </c>
      <c r="O12" s="75">
        <v>571265.23</v>
      </c>
      <c r="P12" s="75">
        <v>694671.97</v>
      </c>
      <c r="Q12" s="75">
        <v>642424.07808219141</v>
      </c>
      <c r="R12" s="75">
        <v>679213.92</v>
      </c>
      <c r="S12" s="83">
        <v>904433.81</v>
      </c>
      <c r="T12" s="85">
        <v>938918.08000000007</v>
      </c>
      <c r="U12" s="85">
        <v>632798.94999999949</v>
      </c>
      <c r="V12" s="85">
        <v>758710.63000000035</v>
      </c>
      <c r="W12" s="85">
        <v>688252.05999999971</v>
      </c>
      <c r="X12" s="85">
        <v>737414.5</v>
      </c>
    </row>
    <row r="13" spans="1:25" ht="15" customHeight="1">
      <c r="B13" s="80" t="s">
        <v>171</v>
      </c>
      <c r="C13" s="74"/>
      <c r="D13" s="79"/>
      <c r="E13" s="79"/>
      <c r="F13" s="75"/>
      <c r="G13" s="75"/>
      <c r="H13" s="75"/>
      <c r="I13" s="75"/>
      <c r="J13" s="75"/>
      <c r="K13" s="75"/>
      <c r="L13" s="75">
        <v>131236.4</v>
      </c>
      <c r="M13" s="75">
        <v>126779</v>
      </c>
      <c r="N13" s="75">
        <v>203852</v>
      </c>
      <c r="O13" s="75">
        <v>160911</v>
      </c>
      <c r="P13" s="75">
        <v>165160</v>
      </c>
      <c r="Q13" s="75">
        <v>237150.43</v>
      </c>
      <c r="R13" s="75">
        <v>476773.55</v>
      </c>
      <c r="S13" s="83">
        <v>409698.94999999995</v>
      </c>
      <c r="T13" s="83">
        <v>420654.66095890454</v>
      </c>
      <c r="U13" s="83">
        <v>437119.77643835498</v>
      </c>
      <c r="V13" s="83">
        <v>421227.49479452049</v>
      </c>
      <c r="W13" s="83">
        <v>106398.52657534246</v>
      </c>
      <c r="X13" s="83">
        <v>0</v>
      </c>
    </row>
    <row r="14" spans="1:25" ht="15" customHeight="1">
      <c r="B14" s="67" t="s">
        <v>173</v>
      </c>
      <c r="C14" s="74"/>
      <c r="D14" s="79"/>
      <c r="E14" s="79"/>
      <c r="F14" s="75"/>
      <c r="G14" s="75"/>
      <c r="H14" s="75"/>
      <c r="I14" s="75"/>
      <c r="J14" s="75"/>
      <c r="K14" s="75"/>
      <c r="L14" s="75"/>
      <c r="M14" s="75"/>
      <c r="N14" s="75"/>
      <c r="O14" s="81"/>
      <c r="P14" s="81"/>
      <c r="Q14" s="81"/>
      <c r="R14" s="81"/>
      <c r="S14" s="81"/>
      <c r="T14" s="81"/>
      <c r="U14" s="81"/>
      <c r="V14" s="81"/>
      <c r="W14" s="81"/>
      <c r="X14" s="81"/>
    </row>
    <row r="15" spans="1:25" ht="15" customHeight="1">
      <c r="B15" s="73" t="s">
        <v>136</v>
      </c>
      <c r="C15" s="74"/>
      <c r="D15" s="79"/>
      <c r="E15" s="79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>
        <v>5000000</v>
      </c>
      <c r="Q15" s="75"/>
      <c r="R15" s="75"/>
      <c r="S15" s="76"/>
      <c r="T15" s="76"/>
      <c r="U15" s="76"/>
      <c r="V15" s="76"/>
      <c r="W15" s="77">
        <v>5000000</v>
      </c>
      <c r="X15" s="77"/>
    </row>
    <row r="16" spans="1:25" ht="15" customHeight="1">
      <c r="B16" s="73" t="s">
        <v>137</v>
      </c>
      <c r="C16" s="74"/>
      <c r="D16" s="74"/>
      <c r="E16" s="74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6"/>
      <c r="T16" s="76"/>
      <c r="U16" s="76"/>
      <c r="V16" s="76"/>
      <c r="W16" s="77">
        <v>5000000</v>
      </c>
      <c r="X16" s="77"/>
    </row>
    <row r="17" spans="1:24" ht="15" customHeight="1">
      <c r="A17" s="78"/>
      <c r="B17" s="73" t="s">
        <v>138</v>
      </c>
      <c r="C17" s="74"/>
      <c r="D17" s="74"/>
      <c r="E17" s="74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>
        <f>P15-P16</f>
        <v>5000000</v>
      </c>
      <c r="Q17" s="75">
        <f t="shared" ref="Q17:V17" si="3">P17+Q15-Q16</f>
        <v>5000000</v>
      </c>
      <c r="R17" s="75">
        <f t="shared" si="3"/>
        <v>5000000</v>
      </c>
      <c r="S17" s="75">
        <f t="shared" si="3"/>
        <v>5000000</v>
      </c>
      <c r="T17" s="75">
        <f t="shared" si="3"/>
        <v>5000000</v>
      </c>
      <c r="U17" s="75">
        <f t="shared" si="3"/>
        <v>5000000</v>
      </c>
      <c r="V17" s="75">
        <f t="shared" si="3"/>
        <v>5000000</v>
      </c>
      <c r="W17" s="86">
        <f>V17+W15-W16</f>
        <v>5000000</v>
      </c>
      <c r="X17" s="86">
        <f>W17+X15-X16</f>
        <v>5000000</v>
      </c>
    </row>
    <row r="18" spans="1:24" ht="15" customHeight="1">
      <c r="A18" s="78"/>
      <c r="B18" s="80" t="s">
        <v>139</v>
      </c>
      <c r="C18" s="74"/>
      <c r="D18" s="74"/>
      <c r="E18" s="74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>
        <v>19366.666666666668</v>
      </c>
      <c r="S18" s="76">
        <v>68866.67</v>
      </c>
      <c r="T18" s="77">
        <f>34583.33+33416.67</f>
        <v>68000</v>
      </c>
      <c r="U18" s="77">
        <v>0</v>
      </c>
      <c r="V18" s="77">
        <v>33416.67</v>
      </c>
      <c r="W18" s="77">
        <v>33416.67</v>
      </c>
      <c r="X18" s="77">
        <v>33666.666666666664</v>
      </c>
    </row>
    <row r="19" spans="1:24" ht="15" customHeight="1">
      <c r="A19" s="78"/>
      <c r="B19" s="80" t="s">
        <v>174</v>
      </c>
      <c r="C19" s="74"/>
      <c r="D19" s="74"/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>
        <v>10966.666666666701</v>
      </c>
      <c r="S19" s="76">
        <v>32966.67</v>
      </c>
      <c r="T19" s="77">
        <f>19583.33+20750</f>
        <v>40333.33</v>
      </c>
      <c r="U19" s="77">
        <v>0</v>
      </c>
      <c r="V19" s="77">
        <v>20750</v>
      </c>
      <c r="W19" s="77">
        <v>20750</v>
      </c>
      <c r="X19" s="77">
        <v>20500</v>
      </c>
    </row>
    <row r="20" spans="1:24" ht="15" customHeight="1">
      <c r="A20" s="78"/>
      <c r="B20" s="67" t="s">
        <v>175</v>
      </c>
      <c r="C20" s="74"/>
      <c r="D20" s="79"/>
      <c r="E20" s="79"/>
      <c r="F20" s="75"/>
      <c r="G20" s="75"/>
      <c r="H20" s="75"/>
      <c r="I20" s="75"/>
      <c r="J20" s="75"/>
      <c r="K20" s="75"/>
      <c r="L20" s="75"/>
      <c r="M20" s="75"/>
      <c r="N20" s="75"/>
      <c r="O20" s="81"/>
      <c r="P20" s="81"/>
      <c r="Q20" s="81"/>
      <c r="R20" s="81"/>
      <c r="S20" s="81"/>
      <c r="T20" s="81"/>
      <c r="U20" s="81"/>
      <c r="V20" s="81"/>
      <c r="W20" s="81"/>
      <c r="X20" s="81"/>
    </row>
    <row r="21" spans="1:24" ht="15" customHeight="1">
      <c r="A21" s="78"/>
      <c r="B21" s="73" t="s">
        <v>136</v>
      </c>
      <c r="C21" s="74"/>
      <c r="D21" s="79"/>
      <c r="E21" s="79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>
        <f>4596600</f>
        <v>4596600</v>
      </c>
      <c r="Q21" s="75">
        <v>4403400</v>
      </c>
      <c r="R21" s="75"/>
      <c r="S21" s="76"/>
      <c r="T21" s="76"/>
      <c r="U21" s="76"/>
      <c r="V21" s="76"/>
      <c r="W21" s="76"/>
      <c r="X21" s="76"/>
    </row>
    <row r="22" spans="1:24" ht="15" customHeight="1">
      <c r="A22" s="78"/>
      <c r="B22" s="73" t="s">
        <v>137</v>
      </c>
      <c r="C22" s="74"/>
      <c r="D22" s="74"/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6"/>
      <c r="T22" s="76"/>
      <c r="U22" s="76"/>
      <c r="V22" s="76"/>
      <c r="W22" s="76"/>
      <c r="X22" s="76"/>
    </row>
    <row r="23" spans="1:24" ht="15" customHeight="1">
      <c r="A23" s="78"/>
      <c r="B23" s="73" t="s">
        <v>138</v>
      </c>
      <c r="C23" s="74"/>
      <c r="D23" s="74"/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>
        <f>P21-P22</f>
        <v>4596600</v>
      </c>
      <c r="Q23" s="75">
        <f t="shared" ref="Q23:X23" si="4">P23+Q21-Q22</f>
        <v>9000000</v>
      </c>
      <c r="R23" s="75">
        <f t="shared" si="4"/>
        <v>9000000</v>
      </c>
      <c r="S23" s="75">
        <f t="shared" si="4"/>
        <v>9000000</v>
      </c>
      <c r="T23" s="75">
        <f t="shared" si="4"/>
        <v>9000000</v>
      </c>
      <c r="U23" s="75">
        <f t="shared" si="4"/>
        <v>9000000</v>
      </c>
      <c r="V23" s="75">
        <f t="shared" si="4"/>
        <v>9000000</v>
      </c>
      <c r="W23" s="75">
        <f t="shared" si="4"/>
        <v>9000000</v>
      </c>
      <c r="X23" s="75">
        <f t="shared" si="4"/>
        <v>9000000</v>
      </c>
    </row>
    <row r="24" spans="1:24" ht="15" customHeight="1">
      <c r="A24" s="78"/>
      <c r="B24" s="80" t="s">
        <v>139</v>
      </c>
      <c r="C24" s="74"/>
      <c r="D24" s="74"/>
      <c r="E24" s="74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>
        <v>94984.57</v>
      </c>
      <c r="S24" s="76">
        <v>99366.58</v>
      </c>
      <c r="T24" s="77">
        <v>99366.579999999987</v>
      </c>
      <c r="U24" s="77">
        <v>96159.71</v>
      </c>
      <c r="V24" s="77">
        <v>99366.58</v>
      </c>
      <c r="W24" s="77">
        <v>96159.71</v>
      </c>
      <c r="X24" s="77">
        <f>44163.55+55203.03</f>
        <v>99366.58</v>
      </c>
    </row>
    <row r="25" spans="1:24" ht="15" customHeight="1">
      <c r="A25" s="78"/>
      <c r="B25" s="80" t="s">
        <v>171</v>
      </c>
      <c r="C25" s="74"/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>
        <v>350000</v>
      </c>
      <c r="Q25" s="75"/>
      <c r="R25" s="75"/>
      <c r="S25" s="76"/>
      <c r="T25" s="76"/>
      <c r="U25" s="76"/>
      <c r="V25" s="76"/>
      <c r="W25" s="76"/>
      <c r="X25" s="76"/>
    </row>
    <row r="26" spans="1:24" ht="15" customHeight="1">
      <c r="A26" s="78"/>
      <c r="B26" s="67" t="s">
        <v>176</v>
      </c>
      <c r="C26" s="74"/>
      <c r="D26" s="79"/>
      <c r="E26" s="79"/>
      <c r="F26" s="75"/>
      <c r="G26" s="75"/>
      <c r="H26" s="75"/>
      <c r="I26" s="75"/>
      <c r="J26" s="75"/>
      <c r="K26" s="75"/>
      <c r="L26" s="75"/>
      <c r="M26" s="75"/>
      <c r="N26" s="75"/>
      <c r="O26" s="81"/>
      <c r="P26" s="81"/>
      <c r="Q26" s="81"/>
      <c r="R26" s="81"/>
      <c r="S26" s="81"/>
      <c r="T26" s="81"/>
      <c r="U26" s="81"/>
      <c r="V26" s="81"/>
      <c r="W26" s="81"/>
      <c r="X26" s="81"/>
    </row>
    <row r="27" spans="1:24" ht="15" customHeight="1">
      <c r="A27" s="78"/>
      <c r="B27" s="73" t="s">
        <v>136</v>
      </c>
      <c r="C27" s="74"/>
      <c r="D27" s="79"/>
      <c r="E27" s="79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>
        <v>3000000</v>
      </c>
      <c r="S27" s="76">
        <v>7000000</v>
      </c>
      <c r="T27" s="76">
        <v>1800000</v>
      </c>
      <c r="U27" s="76">
        <v>2400000</v>
      </c>
      <c r="V27" s="76">
        <v>5000000</v>
      </c>
      <c r="W27" s="76">
        <v>800000</v>
      </c>
      <c r="X27" s="76"/>
    </row>
    <row r="28" spans="1:24" ht="15" customHeight="1">
      <c r="A28" s="78"/>
      <c r="B28" s="73" t="s">
        <v>137</v>
      </c>
      <c r="C28" s="74"/>
      <c r="D28" s="74"/>
      <c r="E28" s="74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6"/>
      <c r="T28" s="76"/>
      <c r="U28" s="76"/>
      <c r="V28" s="76"/>
      <c r="W28" s="76"/>
      <c r="X28" s="76">
        <v>3000000</v>
      </c>
    </row>
    <row r="29" spans="1:24" ht="15" customHeight="1">
      <c r="A29" s="78"/>
      <c r="B29" s="73" t="s">
        <v>138</v>
      </c>
      <c r="C29" s="74"/>
      <c r="D29" s="74"/>
      <c r="E29" s="74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>
        <f>R27-R28</f>
        <v>3000000</v>
      </c>
      <c r="S29" s="75">
        <f t="shared" ref="S29:X29" si="5">R29+S27-S28</f>
        <v>10000000</v>
      </c>
      <c r="T29" s="75">
        <f t="shared" si="5"/>
        <v>11800000</v>
      </c>
      <c r="U29" s="75">
        <f t="shared" si="5"/>
        <v>14200000</v>
      </c>
      <c r="V29" s="75">
        <f t="shared" si="5"/>
        <v>19200000</v>
      </c>
      <c r="W29" s="75">
        <f t="shared" si="5"/>
        <v>20000000</v>
      </c>
      <c r="X29" s="75">
        <f t="shared" si="5"/>
        <v>17000000</v>
      </c>
    </row>
    <row r="30" spans="1:24" ht="15" customHeight="1">
      <c r="A30" s="78"/>
      <c r="B30" s="80" t="s">
        <v>139</v>
      </c>
      <c r="C30" s="74"/>
      <c r="D30" s="74"/>
      <c r="E30" s="74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6">
        <v>20000.009999999998</v>
      </c>
      <c r="T30" s="86">
        <v>92666.67</v>
      </c>
      <c r="U30" s="86">
        <v>52666.68</v>
      </c>
      <c r="V30" s="86">
        <v>94666.67</v>
      </c>
      <c r="W30" s="86">
        <v>140000.01</v>
      </c>
      <c r="X30" s="86">
        <v>133333.37</v>
      </c>
    </row>
    <row r="31" spans="1:24" ht="15" customHeight="1">
      <c r="A31" s="78"/>
      <c r="B31" s="80" t="s">
        <v>174</v>
      </c>
      <c r="C31" s="74"/>
      <c r="D31" s="74"/>
      <c r="E31" s="74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>
        <v>60002</v>
      </c>
      <c r="S31" s="76">
        <v>140008</v>
      </c>
      <c r="T31" s="86">
        <v>36002</v>
      </c>
      <c r="U31" s="86">
        <v>48002</v>
      </c>
      <c r="V31" s="86">
        <v>100004</v>
      </c>
      <c r="W31" s="86">
        <v>16002</v>
      </c>
      <c r="X31" s="86"/>
    </row>
    <row r="32" spans="1:24" ht="15" customHeight="1">
      <c r="A32" s="78"/>
      <c r="B32" s="67" t="s">
        <v>177</v>
      </c>
      <c r="C32" s="74"/>
      <c r="D32" s="79"/>
      <c r="E32" s="79"/>
      <c r="F32" s="75"/>
      <c r="G32" s="75"/>
      <c r="H32" s="75"/>
      <c r="I32" s="75"/>
      <c r="J32" s="75"/>
      <c r="K32" s="75"/>
      <c r="L32" s="75"/>
      <c r="M32" s="75"/>
      <c r="N32" s="75"/>
      <c r="O32" s="81"/>
      <c r="P32" s="81"/>
      <c r="Q32" s="81"/>
      <c r="R32" s="81"/>
      <c r="S32" s="81"/>
      <c r="T32" s="81"/>
      <c r="U32" s="81"/>
      <c r="V32" s="81"/>
      <c r="W32" s="81"/>
      <c r="X32" s="81"/>
    </row>
    <row r="33" spans="1:24" ht="15" customHeight="1">
      <c r="A33" s="78"/>
      <c r="B33" s="73" t="s">
        <v>136</v>
      </c>
      <c r="C33" s="74"/>
      <c r="D33" s="79"/>
      <c r="E33" s="79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>
        <v>2000000</v>
      </c>
      <c r="S33" s="76">
        <v>1000000</v>
      </c>
      <c r="T33" s="76"/>
      <c r="U33" s="76"/>
      <c r="V33" s="76">
        <v>3000000</v>
      </c>
      <c r="W33" s="77"/>
      <c r="X33" s="77">
        <v>4000000</v>
      </c>
    </row>
    <row r="34" spans="1:24" ht="15" customHeight="1">
      <c r="A34" s="78"/>
      <c r="B34" s="73" t="s">
        <v>137</v>
      </c>
      <c r="C34" s="74"/>
      <c r="D34" s="74"/>
      <c r="E34" s="74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6"/>
      <c r="T34" s="76"/>
      <c r="U34" s="76">
        <v>3000000</v>
      </c>
      <c r="V34" s="74"/>
      <c r="W34" s="74"/>
      <c r="X34" s="76">
        <v>2000000</v>
      </c>
    </row>
    <row r="35" spans="1:24" ht="15" customHeight="1">
      <c r="A35" s="78"/>
      <c r="B35" s="73" t="s">
        <v>138</v>
      </c>
      <c r="C35" s="74"/>
      <c r="D35" s="74"/>
      <c r="E35" s="74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>
        <f>R33-R34</f>
        <v>2000000</v>
      </c>
      <c r="S35" s="76">
        <f t="shared" ref="S35:X35" si="6">R35+S33-S34</f>
        <v>3000000</v>
      </c>
      <c r="T35" s="76">
        <f t="shared" si="6"/>
        <v>3000000</v>
      </c>
      <c r="U35" s="76">
        <f t="shared" si="6"/>
        <v>0</v>
      </c>
      <c r="V35" s="76">
        <f t="shared" si="6"/>
        <v>3000000</v>
      </c>
      <c r="W35" s="76">
        <f t="shared" si="6"/>
        <v>3000000</v>
      </c>
      <c r="X35" s="76">
        <f t="shared" si="6"/>
        <v>5000000</v>
      </c>
    </row>
    <row r="36" spans="1:24" ht="15" customHeight="1">
      <c r="A36" s="78"/>
      <c r="B36" s="80" t="s">
        <v>139</v>
      </c>
      <c r="C36" s="74"/>
      <c r="D36" s="74"/>
      <c r="E36" s="74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6">
        <v>22500</v>
      </c>
      <c r="T36" s="77">
        <v>22500</v>
      </c>
      <c r="U36" s="77">
        <v>22500</v>
      </c>
      <c r="V36" s="77"/>
      <c r="W36" s="77">
        <v>22500</v>
      </c>
      <c r="X36" s="77">
        <f>22500+22500</f>
        <v>45000</v>
      </c>
    </row>
    <row r="37" spans="1:24" ht="15" customHeight="1">
      <c r="A37" s="78"/>
      <c r="B37" s="80" t="s">
        <v>174</v>
      </c>
      <c r="C37" s="74"/>
      <c r="D37" s="74"/>
      <c r="E37" s="74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>
        <v>45000</v>
      </c>
      <c r="S37" s="76"/>
      <c r="T37" s="76"/>
      <c r="U37" s="76"/>
      <c r="V37" s="76">
        <v>45000</v>
      </c>
      <c r="W37" s="76"/>
      <c r="X37" s="76">
        <f>80000+2000</f>
        <v>82000</v>
      </c>
    </row>
    <row r="38" spans="1:24" ht="15" customHeight="1">
      <c r="A38" s="78"/>
      <c r="B38" s="67" t="s">
        <v>178</v>
      </c>
      <c r="C38" s="74"/>
      <c r="D38" s="79"/>
      <c r="E38" s="79"/>
      <c r="F38" s="75"/>
      <c r="G38" s="75"/>
      <c r="H38" s="75"/>
      <c r="I38" s="75"/>
      <c r="J38" s="75"/>
      <c r="K38" s="75"/>
      <c r="L38" s="75"/>
      <c r="M38" s="75"/>
      <c r="N38" s="75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1:24" ht="15" customHeight="1">
      <c r="A39" s="78"/>
      <c r="B39" s="73" t="s">
        <v>136</v>
      </c>
      <c r="C39" s="74"/>
      <c r="D39" s="79"/>
      <c r="E39" s="79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4"/>
      <c r="T39" s="76">
        <v>1000000</v>
      </c>
      <c r="U39" s="76"/>
      <c r="V39" s="76"/>
      <c r="W39" s="77">
        <v>2000000</v>
      </c>
      <c r="X39" s="77"/>
    </row>
    <row r="40" spans="1:24" ht="15" customHeight="1">
      <c r="A40" s="78"/>
      <c r="B40" s="73" t="s">
        <v>137</v>
      </c>
      <c r="C40" s="74"/>
      <c r="D40" s="74"/>
      <c r="E40" s="7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4"/>
      <c r="T40" s="76">
        <v>10808.628173278201</v>
      </c>
      <c r="U40" s="76">
        <v>29568.15</v>
      </c>
      <c r="V40" s="76">
        <v>29814.549977137678</v>
      </c>
      <c r="W40" s="76">
        <v>53645.46</v>
      </c>
      <c r="X40" s="76">
        <v>86518.399999999994</v>
      </c>
    </row>
    <row r="41" spans="1:24" ht="15" customHeight="1">
      <c r="A41" s="78"/>
      <c r="B41" s="73" t="s">
        <v>138</v>
      </c>
      <c r="C41" s="74"/>
      <c r="D41" s="74"/>
      <c r="E41" s="74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8"/>
      <c r="T41" s="76">
        <f>R41+T39-T40</f>
        <v>989191.37182672182</v>
      </c>
      <c r="U41" s="76">
        <f>T41+U39-U40</f>
        <v>959623.2218267218</v>
      </c>
      <c r="V41" s="76">
        <f>U41+V39-V40</f>
        <v>929808.67184958409</v>
      </c>
      <c r="W41" s="76">
        <f>V41+W39-W40</f>
        <v>2876163.2118495842</v>
      </c>
      <c r="X41" s="76">
        <f>W41+X39-X40</f>
        <v>2789644.8118495843</v>
      </c>
    </row>
    <row r="42" spans="1:24" ht="15" customHeight="1">
      <c r="A42" s="78"/>
      <c r="B42" s="80" t="s">
        <v>139</v>
      </c>
      <c r="C42" s="74"/>
      <c r="D42" s="74"/>
      <c r="E42" s="74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6"/>
      <c r="T42" s="76">
        <v>3055.5555555555557</v>
      </c>
      <c r="U42" s="76">
        <v>8243.26</v>
      </c>
      <c r="V42" s="76">
        <v>7996.8601924088725</v>
      </c>
      <c r="W42" s="76">
        <v>14415.072275932725</v>
      </c>
      <c r="X42" s="76">
        <v>23134.69</v>
      </c>
    </row>
    <row r="43" spans="1:24" ht="15" customHeight="1">
      <c r="A43" s="78"/>
      <c r="B43" s="80" t="s">
        <v>174</v>
      </c>
      <c r="C43" s="74"/>
      <c r="D43" s="74"/>
      <c r="E43" s="74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6"/>
      <c r="T43" s="76">
        <v>40000</v>
      </c>
      <c r="U43" s="76"/>
      <c r="V43" s="76"/>
      <c r="W43" s="76">
        <v>40000</v>
      </c>
      <c r="X43" s="76">
        <v>40000</v>
      </c>
    </row>
    <row r="44" spans="1:24" ht="15" customHeight="1">
      <c r="A44" s="78"/>
      <c r="B44" s="67" t="s">
        <v>179</v>
      </c>
      <c r="C44" s="74"/>
      <c r="D44" s="79"/>
      <c r="E44" s="79"/>
      <c r="F44" s="75"/>
      <c r="G44" s="75"/>
      <c r="H44" s="75"/>
      <c r="I44" s="75"/>
      <c r="J44" s="75"/>
      <c r="K44" s="75"/>
      <c r="L44" s="75"/>
      <c r="M44" s="75"/>
      <c r="N44" s="75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24" ht="15" customHeight="1">
      <c r="A45" s="78"/>
      <c r="B45" s="73" t="s">
        <v>136</v>
      </c>
      <c r="C45" s="74"/>
      <c r="D45" s="79"/>
      <c r="E45" s="79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4"/>
      <c r="T45" s="76"/>
      <c r="U45" s="76"/>
      <c r="V45" s="76"/>
      <c r="W45" s="77"/>
      <c r="X45" s="77">
        <v>5000000</v>
      </c>
    </row>
    <row r="46" spans="1:24" ht="15" customHeight="1">
      <c r="A46" s="78"/>
      <c r="B46" s="73" t="s">
        <v>137</v>
      </c>
      <c r="C46" s="74"/>
      <c r="D46" s="74"/>
      <c r="E46" s="74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4"/>
      <c r="T46" s="76"/>
      <c r="U46" s="76"/>
      <c r="V46" s="76"/>
      <c r="W46" s="76"/>
      <c r="X46" s="76"/>
    </row>
    <row r="47" spans="1:24" ht="15" customHeight="1">
      <c r="A47" s="78"/>
      <c r="B47" s="73" t="s">
        <v>138</v>
      </c>
      <c r="C47" s="74"/>
      <c r="D47" s="74"/>
      <c r="E47" s="74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8"/>
      <c r="T47" s="76"/>
      <c r="U47" s="76"/>
      <c r="V47" s="76"/>
      <c r="W47" s="76"/>
      <c r="X47" s="76">
        <f>W47+X45-X46</f>
        <v>5000000</v>
      </c>
    </row>
    <row r="48" spans="1:24" ht="15" customHeight="1">
      <c r="A48" s="78"/>
      <c r="B48" s="80" t="s">
        <v>139</v>
      </c>
      <c r="C48" s="74"/>
      <c r="D48" s="74"/>
      <c r="E48" s="74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6"/>
      <c r="T48" s="76"/>
      <c r="U48" s="76"/>
      <c r="V48" s="76"/>
      <c r="W48" s="76"/>
      <c r="X48" s="76"/>
    </row>
    <row r="49" spans="1:26" ht="15" customHeight="1">
      <c r="A49" s="78"/>
      <c r="B49" s="80" t="s">
        <v>174</v>
      </c>
      <c r="C49" s="74"/>
      <c r="D49" s="74"/>
      <c r="E49" s="74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6"/>
      <c r="T49" s="76"/>
      <c r="U49" s="76"/>
      <c r="V49" s="76"/>
      <c r="W49" s="76"/>
      <c r="X49" s="76"/>
    </row>
    <row r="50" spans="1:26" ht="15" customHeight="1">
      <c r="A50" s="78"/>
      <c r="B50" s="87" t="s">
        <v>180</v>
      </c>
      <c r="C50" s="88">
        <f>C5+C11+C17+C23+C29+C35+C41</f>
        <v>0</v>
      </c>
      <c r="D50" s="88">
        <f>D5+D11+D17+D23+D29+D35+D41+D47</f>
        <v>0</v>
      </c>
      <c r="E50" s="88">
        <f t="shared" ref="E50:W50" si="7">E5+E11+E17+E23+E29+E35+E41+E47</f>
        <v>0</v>
      </c>
      <c r="F50" s="88">
        <f t="shared" si="7"/>
        <v>0</v>
      </c>
      <c r="G50" s="88">
        <f t="shared" si="7"/>
        <v>3819700</v>
      </c>
      <c r="H50" s="88">
        <f t="shared" si="7"/>
        <v>7410500</v>
      </c>
      <c r="I50" s="88">
        <f t="shared" si="7"/>
        <v>12528900</v>
      </c>
      <c r="J50" s="88">
        <f t="shared" si="7"/>
        <v>18153900</v>
      </c>
      <c r="K50" s="88">
        <f t="shared" si="7"/>
        <v>27730200</v>
      </c>
      <c r="L50" s="88">
        <f t="shared" si="7"/>
        <v>33937800</v>
      </c>
      <c r="M50" s="88">
        <f t="shared" si="7"/>
        <v>43259200</v>
      </c>
      <c r="N50" s="88">
        <f t="shared" si="7"/>
        <v>54929200</v>
      </c>
      <c r="O50" s="88">
        <f t="shared" si="7"/>
        <v>61629400</v>
      </c>
      <c r="P50" s="88">
        <f t="shared" si="7"/>
        <v>82026850</v>
      </c>
      <c r="Q50" s="88">
        <f t="shared" si="7"/>
        <v>96311863.980000004</v>
      </c>
      <c r="R50" s="88">
        <f t="shared" si="7"/>
        <v>108179274.72</v>
      </c>
      <c r="S50" s="88">
        <f t="shared" si="7"/>
        <v>118506074.72</v>
      </c>
      <c r="T50" s="88">
        <f t="shared" si="7"/>
        <v>122183876.09182672</v>
      </c>
      <c r="U50" s="88">
        <f t="shared" si="7"/>
        <v>129488654.30182672</v>
      </c>
      <c r="V50" s="88">
        <f t="shared" si="7"/>
        <v>138057353.32184958</v>
      </c>
      <c r="W50" s="88">
        <f t="shared" si="7"/>
        <v>142673262.88184959</v>
      </c>
      <c r="X50" s="88">
        <f>X5+X11+X17+X23+X29+X35+X41+X47</f>
        <v>152122122.4018496</v>
      </c>
      <c r="Y50" s="106">
        <f>X50+[1]担保借款每月贷款余额!$X$8</f>
        <v>152357425.89680663</v>
      </c>
    </row>
    <row r="51" spans="1:26">
      <c r="A51" s="78"/>
      <c r="S51" s="78"/>
      <c r="T51" s="78"/>
      <c r="U51" s="78"/>
      <c r="V51" s="78"/>
      <c r="W51" s="78"/>
      <c r="X51" s="78"/>
      <c r="Y51" s="106">
        <v>152942425.89619744</v>
      </c>
    </row>
    <row r="52" spans="1:26">
      <c r="A52" s="78"/>
      <c r="B52" s="78" t="s">
        <v>181</v>
      </c>
      <c r="C52" s="78">
        <f>C3+C9+C15+C21</f>
        <v>0</v>
      </c>
      <c r="D52" s="106">
        <f>D3+D9+D15+D21+D27+D33+D39+D45</f>
        <v>0</v>
      </c>
      <c r="E52" s="106">
        <f t="shared" ref="E52:W53" si="8">E3+E9+E15+E21+E27+E33+E39+E45</f>
        <v>0</v>
      </c>
      <c r="F52" s="106">
        <f t="shared" si="8"/>
        <v>0</v>
      </c>
      <c r="G52" s="106">
        <f t="shared" si="8"/>
        <v>3819700</v>
      </c>
      <c r="H52" s="106">
        <f t="shared" si="8"/>
        <v>3590800</v>
      </c>
      <c r="I52" s="106">
        <f t="shared" si="8"/>
        <v>5118400</v>
      </c>
      <c r="J52" s="106">
        <f t="shared" si="8"/>
        <v>5625000</v>
      </c>
      <c r="K52" s="106">
        <f t="shared" si="8"/>
        <v>9576300</v>
      </c>
      <c r="L52" s="106">
        <f t="shared" si="8"/>
        <v>6207600</v>
      </c>
      <c r="M52" s="106">
        <f t="shared" si="8"/>
        <v>13141100</v>
      </c>
      <c r="N52" s="106">
        <f t="shared" si="8"/>
        <v>16026100</v>
      </c>
      <c r="O52" s="106">
        <f t="shared" si="8"/>
        <v>11690700</v>
      </c>
      <c r="P52" s="106">
        <f t="shared" si="8"/>
        <v>25385050</v>
      </c>
      <c r="Q52" s="106">
        <f t="shared" si="8"/>
        <v>23861313.98</v>
      </c>
      <c r="R52" s="106">
        <f t="shared" si="8"/>
        <v>19232710.740000002</v>
      </c>
      <c r="S52" s="106">
        <f t="shared" si="8"/>
        <v>23380400</v>
      </c>
      <c r="T52" s="106">
        <f t="shared" si="8"/>
        <v>25554110</v>
      </c>
      <c r="U52" s="106">
        <f t="shared" si="8"/>
        <v>16469646.359999999</v>
      </c>
      <c r="V52" s="106">
        <f t="shared" si="8"/>
        <v>22543163.57</v>
      </c>
      <c r="W52" s="106">
        <f t="shared" si="8"/>
        <v>21812569.66</v>
      </c>
      <c r="X52" s="106">
        <f>X3+X9+X15+X21+X27+X33+X39+X45</f>
        <v>16478988</v>
      </c>
      <c r="Y52" s="106">
        <f>Y50-Y51</f>
        <v>-584999.99939081073</v>
      </c>
      <c r="Z52" s="106"/>
    </row>
    <row r="53" spans="1:26">
      <c r="A53" s="78"/>
      <c r="B53" s="78" t="s">
        <v>182</v>
      </c>
      <c r="C53" s="78">
        <f>C4+C10+C16+C22</f>
        <v>0</v>
      </c>
      <c r="D53" s="106">
        <f>D4+D10+D16+D22+D28+D34+D40+D46</f>
        <v>0</v>
      </c>
      <c r="E53" s="106">
        <f t="shared" si="8"/>
        <v>0</v>
      </c>
      <c r="F53" s="106">
        <f t="shared" si="8"/>
        <v>0</v>
      </c>
      <c r="G53" s="106">
        <f t="shared" si="8"/>
        <v>0</v>
      </c>
      <c r="H53" s="106">
        <f t="shared" si="8"/>
        <v>0</v>
      </c>
      <c r="I53" s="106">
        <f t="shared" si="8"/>
        <v>0</v>
      </c>
      <c r="J53" s="106">
        <f t="shared" si="8"/>
        <v>0</v>
      </c>
      <c r="K53" s="106">
        <f t="shared" si="8"/>
        <v>0</v>
      </c>
      <c r="L53" s="106">
        <f t="shared" si="8"/>
        <v>0</v>
      </c>
      <c r="M53" s="106">
        <f t="shared" si="8"/>
        <v>3819700</v>
      </c>
      <c r="N53" s="106">
        <f t="shared" si="8"/>
        <v>4356100</v>
      </c>
      <c r="O53" s="106">
        <f t="shared" si="8"/>
        <v>4990500</v>
      </c>
      <c r="P53" s="106">
        <f t="shared" si="8"/>
        <v>4987600</v>
      </c>
      <c r="Q53" s="106">
        <f t="shared" si="8"/>
        <v>9576300</v>
      </c>
      <c r="R53" s="106">
        <f t="shared" si="8"/>
        <v>7365300</v>
      </c>
      <c r="S53" s="106">
        <f t="shared" si="8"/>
        <v>13053600</v>
      </c>
      <c r="T53" s="106">
        <f t="shared" si="8"/>
        <v>21876308.628173277</v>
      </c>
      <c r="U53" s="106">
        <f t="shared" si="8"/>
        <v>9164868.1500000004</v>
      </c>
      <c r="V53" s="106">
        <f t="shared" si="8"/>
        <v>13974464.549977137</v>
      </c>
      <c r="W53" s="106">
        <f t="shared" si="8"/>
        <v>17196660.100000001</v>
      </c>
      <c r="X53" s="106">
        <f t="shared" ref="X53" si="9">X4+X10+X16+X22+X28+X34+X40+X46</f>
        <v>7030128.4800000004</v>
      </c>
      <c r="Z53" s="106"/>
    </row>
    <row r="54" spans="1:26">
      <c r="A54" s="78"/>
      <c r="B54" s="78" t="s">
        <v>183</v>
      </c>
      <c r="D54" s="106">
        <f>D6+D12+D18+D24+D30+D36+D42+D48</f>
        <v>0</v>
      </c>
      <c r="E54" s="106">
        <f t="shared" ref="E54:W55" si="10">E6+E12+E18+E24+E30+E36+E42+E48</f>
        <v>0</v>
      </c>
      <c r="F54" s="106">
        <f t="shared" si="10"/>
        <v>0</v>
      </c>
      <c r="G54" s="106">
        <f t="shared" si="10"/>
        <v>0</v>
      </c>
      <c r="H54" s="106">
        <f t="shared" si="10"/>
        <v>40118.32</v>
      </c>
      <c r="I54" s="106">
        <f t="shared" si="10"/>
        <v>74454.570000000007</v>
      </c>
      <c r="J54" s="106">
        <f t="shared" si="10"/>
        <v>128338.31999999999</v>
      </c>
      <c r="K54" s="106">
        <f t="shared" si="10"/>
        <v>198833.93</v>
      </c>
      <c r="L54" s="106">
        <f t="shared" si="10"/>
        <v>263052.71999999997</v>
      </c>
      <c r="M54" s="106">
        <f t="shared" si="10"/>
        <v>408609.96</v>
      </c>
      <c r="N54" s="106">
        <f t="shared" si="10"/>
        <v>398739.22</v>
      </c>
      <c r="O54" s="106">
        <f t="shared" si="10"/>
        <v>571265.23</v>
      </c>
      <c r="P54" s="106">
        <f t="shared" si="10"/>
        <v>694671.97</v>
      </c>
      <c r="Q54" s="106">
        <f t="shared" si="10"/>
        <v>642424.07808219141</v>
      </c>
      <c r="R54" s="106">
        <f t="shared" si="10"/>
        <v>793565.15666666673</v>
      </c>
      <c r="S54" s="106">
        <f t="shared" si="10"/>
        <v>1115167.07</v>
      </c>
      <c r="T54" s="106">
        <f t="shared" si="10"/>
        <v>1224506.8855555556</v>
      </c>
      <c r="U54" s="106">
        <f t="shared" si="10"/>
        <v>812368.59999999951</v>
      </c>
      <c r="V54" s="106">
        <f t="shared" si="10"/>
        <v>1102277.840192409</v>
      </c>
      <c r="W54" s="106">
        <f t="shared" si="10"/>
        <v>1244202.9022759325</v>
      </c>
      <c r="X54" s="106">
        <f>X6+X12+X18+X24+X30+X36+X42+X48</f>
        <v>1105217.7966666664</v>
      </c>
      <c r="Z54" s="106"/>
    </row>
    <row r="55" spans="1:26">
      <c r="A55" s="78"/>
      <c r="B55" s="78" t="s">
        <v>184</v>
      </c>
      <c r="D55" s="106">
        <f>D7+D13+D19+D25+D31+D37+D43+D49</f>
        <v>0</v>
      </c>
      <c r="E55" s="106">
        <f t="shared" si="10"/>
        <v>0</v>
      </c>
      <c r="F55" s="106">
        <f t="shared" si="10"/>
        <v>0</v>
      </c>
      <c r="G55" s="106">
        <f t="shared" si="10"/>
        <v>0</v>
      </c>
      <c r="H55" s="106">
        <f t="shared" si="10"/>
        <v>0</v>
      </c>
      <c r="I55" s="106">
        <f t="shared" si="10"/>
        <v>0</v>
      </c>
      <c r="J55" s="106">
        <f t="shared" si="10"/>
        <v>0</v>
      </c>
      <c r="K55" s="106">
        <f t="shared" si="10"/>
        <v>0</v>
      </c>
      <c r="L55" s="106">
        <f t="shared" si="10"/>
        <v>131236.4</v>
      </c>
      <c r="M55" s="106">
        <f t="shared" si="10"/>
        <v>126779</v>
      </c>
      <c r="N55" s="106">
        <f t="shared" si="10"/>
        <v>203852</v>
      </c>
      <c r="O55" s="106">
        <f t="shared" si="10"/>
        <v>160911</v>
      </c>
      <c r="P55" s="106">
        <f t="shared" si="10"/>
        <v>515160</v>
      </c>
      <c r="Q55" s="106">
        <f t="shared" si="10"/>
        <v>237150.43</v>
      </c>
      <c r="R55" s="106">
        <f t="shared" si="10"/>
        <v>733722.02666666673</v>
      </c>
      <c r="S55" s="106">
        <f t="shared" si="10"/>
        <v>652277.36999999988</v>
      </c>
      <c r="T55" s="106">
        <f t="shared" si="10"/>
        <v>536989.99095890461</v>
      </c>
      <c r="U55" s="106">
        <f t="shared" si="10"/>
        <v>579620.94643835502</v>
      </c>
      <c r="V55" s="106">
        <f t="shared" si="10"/>
        <v>653856.15479452047</v>
      </c>
      <c r="W55" s="106">
        <f t="shared" si="10"/>
        <v>506113.59657534247</v>
      </c>
      <c r="X55" s="106">
        <f t="shared" ref="X55" si="11">X7+X13+X19+X25+X31+X37+X43+X49</f>
        <v>142500</v>
      </c>
      <c r="Z55" s="106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3"/>
  <sheetViews>
    <sheetView workbookViewId="0">
      <selection activeCell="E31" sqref="E31:E32"/>
    </sheetView>
  </sheetViews>
  <sheetFormatPr defaultRowHeight="13.5"/>
  <cols>
    <col min="1" max="1" width="15.125" customWidth="1"/>
    <col min="2" max="2" width="17.625" customWidth="1"/>
    <col min="3" max="3" width="11.25" customWidth="1"/>
    <col min="4" max="4" width="12.75" customWidth="1"/>
    <col min="5" max="5" width="11.25" customWidth="1"/>
    <col min="6" max="6" width="12.75" bestFit="1" customWidth="1"/>
    <col min="7" max="9" width="11" customWidth="1"/>
    <col min="10" max="12" width="14" customWidth="1"/>
    <col min="13" max="13" width="11.25" bestFit="1" customWidth="1"/>
    <col min="14" max="15" width="11.125" customWidth="1"/>
    <col min="16" max="16" width="13.5" customWidth="1"/>
    <col min="17" max="18" width="10.875" customWidth="1"/>
    <col min="19" max="19" width="11.5" customWidth="1"/>
    <col min="20" max="23" width="9" customWidth="1"/>
    <col min="24" max="24" width="11.125" customWidth="1"/>
    <col min="25" max="31" width="9" customWidth="1"/>
    <col min="32" max="32" width="11.875" customWidth="1"/>
    <col min="33" max="42" width="9" customWidth="1"/>
    <col min="43" max="43" width="6.75" customWidth="1"/>
    <col min="44" max="44" width="19" customWidth="1"/>
  </cols>
  <sheetData>
    <row r="1" spans="1:44" ht="16.5">
      <c r="A1" s="90" t="s">
        <v>185</v>
      </c>
      <c r="B1" s="91"/>
      <c r="C1" s="92"/>
      <c r="D1" s="92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AR1" s="90"/>
    </row>
    <row r="2" spans="1:44" ht="16.5">
      <c r="A2" s="93" t="s">
        <v>186</v>
      </c>
      <c r="B2" s="93">
        <v>2016.07</v>
      </c>
      <c r="C2" s="93">
        <v>2016.08</v>
      </c>
      <c r="D2" s="93">
        <v>2016.09</v>
      </c>
      <c r="E2" s="93" t="s">
        <v>187</v>
      </c>
      <c r="F2" s="93">
        <v>2016.11</v>
      </c>
      <c r="G2" s="93" t="s">
        <v>188</v>
      </c>
      <c r="H2" s="93">
        <v>2017.01</v>
      </c>
      <c r="I2" s="93">
        <v>2017.02</v>
      </c>
      <c r="J2" s="93">
        <v>2017.03</v>
      </c>
      <c r="K2" s="93">
        <v>2017.04</v>
      </c>
      <c r="L2" s="93">
        <v>2017.05</v>
      </c>
      <c r="M2" s="94" t="s">
        <v>189</v>
      </c>
      <c r="N2" s="94" t="s">
        <v>140</v>
      </c>
      <c r="O2" s="94" t="s">
        <v>141</v>
      </c>
      <c r="P2" s="94" t="s">
        <v>142</v>
      </c>
      <c r="Q2" s="94" t="s">
        <v>143</v>
      </c>
      <c r="R2" s="94" t="s">
        <v>144</v>
      </c>
      <c r="S2" s="94" t="s">
        <v>145</v>
      </c>
      <c r="T2" s="94" t="s">
        <v>190</v>
      </c>
      <c r="U2" s="94" t="s">
        <v>146</v>
      </c>
      <c r="V2" s="94" t="s">
        <v>147</v>
      </c>
      <c r="W2" s="94" t="s">
        <v>148</v>
      </c>
      <c r="X2" s="94" t="s">
        <v>149</v>
      </c>
      <c r="Y2" s="94" t="s">
        <v>150</v>
      </c>
      <c r="Z2" s="94" t="s">
        <v>151</v>
      </c>
      <c r="AA2" s="94" t="s">
        <v>152</v>
      </c>
      <c r="AB2" s="94" t="s">
        <v>153</v>
      </c>
      <c r="AC2" s="94" t="s">
        <v>154</v>
      </c>
      <c r="AD2" s="94" t="s">
        <v>155</v>
      </c>
      <c r="AE2" s="94" t="s">
        <v>156</v>
      </c>
      <c r="AF2" s="94" t="s">
        <v>191</v>
      </c>
      <c r="AG2" s="94" t="s">
        <v>157</v>
      </c>
      <c r="AH2" s="94" t="s">
        <v>158</v>
      </c>
      <c r="AI2" s="94" t="s">
        <v>159</v>
      </c>
      <c r="AJ2" s="94" t="s">
        <v>160</v>
      </c>
      <c r="AK2" s="94" t="s">
        <v>161</v>
      </c>
      <c r="AL2" s="94" t="s">
        <v>162</v>
      </c>
      <c r="AM2" s="94" t="s">
        <v>163</v>
      </c>
      <c r="AN2" s="94" t="s">
        <v>164</v>
      </c>
      <c r="AO2" s="94" t="s">
        <v>165</v>
      </c>
      <c r="AP2" s="94" t="s">
        <v>166</v>
      </c>
      <c r="AQ2" s="94" t="s">
        <v>167</v>
      </c>
      <c r="AR2" s="93" t="s">
        <v>192</v>
      </c>
    </row>
    <row r="3" spans="1:44" ht="16.5">
      <c r="A3" s="95" t="s">
        <v>193</v>
      </c>
      <c r="B3" s="96">
        <v>7365300</v>
      </c>
      <c r="C3" s="96">
        <v>13053600</v>
      </c>
      <c r="D3" s="96">
        <v>21865500</v>
      </c>
      <c r="E3" s="96">
        <v>6135300</v>
      </c>
      <c r="F3" s="96">
        <v>11111100</v>
      </c>
      <c r="G3" s="96">
        <v>5636200</v>
      </c>
      <c r="H3" s="96">
        <f>830000+250000</f>
        <v>1080000</v>
      </c>
      <c r="I3" s="96">
        <f>7669300-250000</f>
        <v>7419300</v>
      </c>
      <c r="J3" s="96">
        <f>4412500+96000</f>
        <v>4508500</v>
      </c>
      <c r="K3" s="96"/>
      <c r="L3" s="96">
        <v>505500</v>
      </c>
      <c r="M3" s="96">
        <f>10311800+1219900+1620100</f>
        <v>13151800</v>
      </c>
      <c r="N3" s="97">
        <f>11272800-1219900</f>
        <v>10052900</v>
      </c>
      <c r="O3" s="96">
        <v>8924100</v>
      </c>
      <c r="P3" s="96">
        <v>10314100</v>
      </c>
      <c r="Q3" s="96">
        <f>9472600+799800</f>
        <v>10272400</v>
      </c>
      <c r="R3" s="96">
        <v>8901200</v>
      </c>
      <c r="S3" s="96">
        <f>1811200+507400</f>
        <v>2318600</v>
      </c>
      <c r="T3" s="96">
        <v>1438500</v>
      </c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9">
        <f>SUM(I3:AQ3)</f>
        <v>77806900</v>
      </c>
    </row>
    <row r="4" spans="1:44" ht="16.5">
      <c r="A4" s="95" t="s">
        <v>194</v>
      </c>
      <c r="B4" s="96"/>
      <c r="C4" s="98"/>
      <c r="D4" s="96"/>
      <c r="E4" s="96"/>
      <c r="F4" s="96"/>
      <c r="G4" s="96">
        <v>5000000</v>
      </c>
      <c r="H4" s="96"/>
      <c r="I4" s="96"/>
      <c r="J4" s="96">
        <v>5000000</v>
      </c>
      <c r="K4" s="96"/>
      <c r="L4" s="96"/>
      <c r="M4" s="96"/>
      <c r="N4" s="96"/>
      <c r="O4" s="96"/>
      <c r="P4" s="96"/>
      <c r="Q4" s="98"/>
      <c r="R4" s="98"/>
      <c r="S4" s="96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9">
        <f t="shared" ref="AR4:AR10" si="0">SUM(I4:AQ4)</f>
        <v>5000000</v>
      </c>
    </row>
    <row r="5" spans="1:44" ht="16.5">
      <c r="A5" s="95" t="s">
        <v>195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>
        <v>5000000</v>
      </c>
      <c r="O5" s="96">
        <v>4000000</v>
      </c>
      <c r="P5" s="96"/>
      <c r="Q5" s="98"/>
      <c r="R5" s="98"/>
      <c r="S5" s="96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9">
        <f t="shared" si="0"/>
        <v>9000000</v>
      </c>
    </row>
    <row r="6" spans="1:44" ht="16.5">
      <c r="A6" s="95" t="s">
        <v>196</v>
      </c>
      <c r="B6" s="96"/>
      <c r="C6" s="96"/>
      <c r="D6" s="96"/>
      <c r="E6" s="96"/>
      <c r="F6" s="96">
        <v>2833550</v>
      </c>
      <c r="G6" s="96">
        <v>6506814.6399999997</v>
      </c>
      <c r="H6" s="96">
        <v>863610.08000000007</v>
      </c>
      <c r="I6" s="96"/>
      <c r="J6" s="96">
        <v>5573510</v>
      </c>
      <c r="K6" s="96">
        <v>4501046.3599999994</v>
      </c>
      <c r="L6" s="96">
        <f>4336663.57+2311350</f>
        <v>6648013.5700000003</v>
      </c>
      <c r="M6" s="96">
        <v>8269919.6600000001</v>
      </c>
      <c r="N6" s="96">
        <v>5533088</v>
      </c>
      <c r="O6" s="96"/>
      <c r="P6" s="96"/>
      <c r="Q6" s="98"/>
      <c r="R6" s="98"/>
      <c r="S6" s="96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9">
        <f t="shared" si="0"/>
        <v>30525577.59</v>
      </c>
    </row>
    <row r="7" spans="1:44" ht="16.5">
      <c r="A7" s="95" t="s">
        <v>197</v>
      </c>
      <c r="B7" s="96"/>
      <c r="C7" s="96"/>
      <c r="D7" s="96"/>
      <c r="E7" s="96"/>
      <c r="F7" s="96"/>
      <c r="G7" s="96"/>
      <c r="H7" s="96">
        <v>3000000</v>
      </c>
      <c r="I7" s="96">
        <v>7000000</v>
      </c>
      <c r="J7" s="96">
        <v>1800000</v>
      </c>
      <c r="K7" s="96">
        <v>2400000</v>
      </c>
      <c r="L7" s="96">
        <v>5000000</v>
      </c>
      <c r="M7" s="96">
        <v>800000</v>
      </c>
      <c r="N7" s="96"/>
      <c r="O7" s="96"/>
      <c r="P7" s="96"/>
      <c r="Q7" s="98"/>
      <c r="R7" s="98"/>
      <c r="S7" s="96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9">
        <f t="shared" si="0"/>
        <v>17000000</v>
      </c>
    </row>
    <row r="8" spans="1:44" ht="16.5">
      <c r="A8" s="95" t="s">
        <v>198</v>
      </c>
      <c r="B8" s="96"/>
      <c r="C8" s="96"/>
      <c r="D8" s="96"/>
      <c r="E8" s="96"/>
      <c r="F8" s="96"/>
      <c r="G8" s="96"/>
      <c r="H8" s="96">
        <v>2000000</v>
      </c>
      <c r="I8" s="96">
        <v>1000000</v>
      </c>
      <c r="J8" s="96"/>
      <c r="K8" s="96"/>
      <c r="L8" s="96"/>
      <c r="M8" s="96"/>
      <c r="N8" s="96"/>
      <c r="O8" s="96"/>
      <c r="P8" s="96"/>
      <c r="Q8" s="98"/>
      <c r="R8" s="98"/>
      <c r="S8" s="96"/>
      <c r="T8" s="96">
        <v>4000000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>
        <f t="shared" si="0"/>
        <v>5000000</v>
      </c>
    </row>
    <row r="9" spans="1:44" s="101" customFormat="1" ht="16.5">
      <c r="A9" s="100" t="s">
        <v>199</v>
      </c>
      <c r="B9" s="96"/>
      <c r="C9" s="96"/>
      <c r="D9" s="96">
        <v>10808.628173278175</v>
      </c>
      <c r="E9" s="96">
        <v>29568.148737657204</v>
      </c>
      <c r="F9" s="96">
        <v>29814.549977137678</v>
      </c>
      <c r="G9" s="96">
        <v>53645.466029251067</v>
      </c>
      <c r="H9" s="96">
        <v>86518.396099329359</v>
      </c>
      <c r="I9" s="96">
        <v>90187.190417111764</v>
      </c>
      <c r="J9" s="96">
        <v>90938.750337254372</v>
      </c>
      <c r="K9" s="96">
        <v>91696.573256731484</v>
      </c>
      <c r="L9" s="96">
        <v>92460.711367204247</v>
      </c>
      <c r="M9" s="96">
        <v>93231.217295264287</v>
      </c>
      <c r="N9" s="96">
        <v>94008.144106058156</v>
      </c>
      <c r="O9" s="96">
        <v>94791.545306941975</v>
      </c>
      <c r="P9" s="96">
        <v>95581.47485116648</v>
      </c>
      <c r="Q9" s="96">
        <v>96377.987141592879</v>
      </c>
      <c r="R9" s="96">
        <v>97181.137034439482</v>
      </c>
      <c r="S9" s="96">
        <v>97990.979843059831</v>
      </c>
      <c r="T9" s="96">
        <v>98807.571341751958</v>
      </c>
      <c r="U9" s="96">
        <v>99630.967769599913</v>
      </c>
      <c r="V9" s="96">
        <v>100461.22583434658</v>
      </c>
      <c r="W9" s="96">
        <v>101298.40271629946</v>
      </c>
      <c r="X9" s="96">
        <v>102142.55607226862</v>
      </c>
      <c r="Y9" s="96">
        <v>102993.74403953753</v>
      </c>
      <c r="Z9" s="96">
        <v>103852.02523986701</v>
      </c>
      <c r="AA9" s="96">
        <v>104717.45878353257</v>
      </c>
      <c r="AB9" s="96">
        <v>105590.10427339534</v>
      </c>
      <c r="AC9" s="96">
        <v>106470.02180900698</v>
      </c>
      <c r="AD9" s="96">
        <v>107357.27199074869</v>
      </c>
      <c r="AE9" s="96">
        <v>108251.91592400493</v>
      </c>
      <c r="AF9" s="96">
        <v>109154.01522337164</v>
      </c>
      <c r="AG9" s="96">
        <v>110063.63201689975</v>
      </c>
      <c r="AH9" s="96">
        <v>97116.645221540166</v>
      </c>
      <c r="AI9" s="96">
        <v>73978.724157673481</v>
      </c>
      <c r="AJ9" s="96">
        <v>74595.213525654079</v>
      </c>
      <c r="AK9" s="96">
        <v>44967.712169397288</v>
      </c>
      <c r="AL9" s="96">
        <v>3749.8919176410236</v>
      </c>
      <c r="AM9" s="96"/>
      <c r="AN9" s="96"/>
      <c r="AO9" s="96"/>
      <c r="AP9" s="96"/>
      <c r="AQ9" s="96"/>
      <c r="AR9" s="99">
        <f t="shared" si="0"/>
        <v>2789644.8109833617</v>
      </c>
    </row>
    <row r="10" spans="1:44" s="101" customFormat="1" ht="16.5">
      <c r="A10" s="100" t="s">
        <v>200</v>
      </c>
      <c r="B10" s="96"/>
      <c r="C10" s="96"/>
      <c r="D10" s="96"/>
      <c r="E10" s="96"/>
      <c r="F10" s="96"/>
      <c r="G10" s="96"/>
      <c r="H10" s="96"/>
      <c r="I10" s="96">
        <v>208333.33333333334</v>
      </c>
      <c r="J10" s="96">
        <v>208333.33333333334</v>
      </c>
      <c r="K10" s="96">
        <v>208333.33333333334</v>
      </c>
      <c r="L10" s="96">
        <v>208333.33333333334</v>
      </c>
      <c r="M10" s="96">
        <v>208333.33333333334</v>
      </c>
      <c r="N10" s="96">
        <v>208333.33333333334</v>
      </c>
      <c r="O10" s="96">
        <v>208333.33333333334</v>
      </c>
      <c r="P10" s="96">
        <v>208333.33333333334</v>
      </c>
      <c r="Q10" s="96">
        <v>208333.33333333334</v>
      </c>
      <c r="R10" s="96">
        <v>208333.33333333334</v>
      </c>
      <c r="S10" s="96">
        <v>208333.33333333334</v>
      </c>
      <c r="T10" s="96">
        <v>208333.33333333334</v>
      </c>
      <c r="U10" s="96">
        <v>208333.33333333334</v>
      </c>
      <c r="V10" s="96">
        <v>208333.33333333334</v>
      </c>
      <c r="W10" s="96">
        <v>208333.33333333334</v>
      </c>
      <c r="X10" s="96">
        <v>208333.33333333334</v>
      </c>
      <c r="Y10" s="96">
        <v>208333.33333333334</v>
      </c>
      <c r="Z10" s="96">
        <v>208333.33333333334</v>
      </c>
      <c r="AA10" s="96">
        <v>208333.33333333334</v>
      </c>
      <c r="AB10" s="96">
        <v>208333.33333333334</v>
      </c>
      <c r="AC10" s="96">
        <v>208333.33333333334</v>
      </c>
      <c r="AD10" s="96">
        <v>208333.33333333334</v>
      </c>
      <c r="AE10" s="96">
        <v>208333.33333333334</v>
      </c>
      <c r="AF10" s="96">
        <v>208333.33333333334</v>
      </c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9">
        <f t="shared" si="0"/>
        <v>5000000</v>
      </c>
    </row>
    <row r="11" spans="1:44" ht="16.5">
      <c r="A11" s="102" t="s">
        <v>201</v>
      </c>
      <c r="B11" s="103">
        <f>SUM(B3:B10)</f>
        <v>7365300</v>
      </c>
      <c r="C11" s="103">
        <f t="shared" ref="C11:AQ11" si="1">SUM(C3:C10)</f>
        <v>13053600</v>
      </c>
      <c r="D11" s="103">
        <f t="shared" si="1"/>
        <v>21876308.628173277</v>
      </c>
      <c r="E11" s="103">
        <f t="shared" si="1"/>
        <v>6164868.1487376569</v>
      </c>
      <c r="F11" s="103">
        <f t="shared" si="1"/>
        <v>13974464.549977137</v>
      </c>
      <c r="G11" s="103">
        <f t="shared" si="1"/>
        <v>17196660.106029253</v>
      </c>
      <c r="H11" s="103">
        <f t="shared" si="1"/>
        <v>7030128.4760993291</v>
      </c>
      <c r="I11" s="103">
        <f t="shared" si="1"/>
        <v>15717820.523750445</v>
      </c>
      <c r="J11" s="103">
        <f t="shared" si="1"/>
        <v>17181282.083670586</v>
      </c>
      <c r="K11" s="103">
        <f t="shared" si="1"/>
        <v>7201076.2665900635</v>
      </c>
      <c r="L11" s="103">
        <f t="shared" si="1"/>
        <v>12454307.614700539</v>
      </c>
      <c r="M11" s="103">
        <f t="shared" si="1"/>
        <v>22523284.210628595</v>
      </c>
      <c r="N11" s="103">
        <f t="shared" si="1"/>
        <v>20888329.477439389</v>
      </c>
      <c r="O11" s="103">
        <f t="shared" si="1"/>
        <v>13227224.878640275</v>
      </c>
      <c r="P11" s="103">
        <f t="shared" si="1"/>
        <v>10618014.808184501</v>
      </c>
      <c r="Q11" s="103">
        <f t="shared" si="1"/>
        <v>10577111.320474926</v>
      </c>
      <c r="R11" s="103">
        <f t="shared" si="1"/>
        <v>9206714.4703677725</v>
      </c>
      <c r="S11" s="103">
        <f t="shared" si="1"/>
        <v>2624924.3131763935</v>
      </c>
      <c r="T11" s="103">
        <f t="shared" si="1"/>
        <v>5745640.9046750851</v>
      </c>
      <c r="U11" s="103">
        <f t="shared" si="1"/>
        <v>307964.30110293324</v>
      </c>
      <c r="V11" s="103">
        <f t="shared" si="1"/>
        <v>308794.55916767992</v>
      </c>
      <c r="W11" s="103">
        <f t="shared" si="1"/>
        <v>309631.73604963277</v>
      </c>
      <c r="X11" s="103">
        <f t="shared" si="1"/>
        <v>310475.88940560195</v>
      </c>
      <c r="Y11" s="103">
        <f t="shared" si="1"/>
        <v>311327.07737287087</v>
      </c>
      <c r="Z11" s="103">
        <f t="shared" si="1"/>
        <v>312185.35857320036</v>
      </c>
      <c r="AA11" s="103">
        <f t="shared" si="1"/>
        <v>313050.79211686592</v>
      </c>
      <c r="AB11" s="103">
        <f t="shared" si="1"/>
        <v>313923.43760672869</v>
      </c>
      <c r="AC11" s="103">
        <f t="shared" si="1"/>
        <v>314803.3551423403</v>
      </c>
      <c r="AD11" s="103">
        <f t="shared" si="1"/>
        <v>315690.60532408202</v>
      </c>
      <c r="AE11" s="103">
        <f t="shared" si="1"/>
        <v>316585.24925733829</v>
      </c>
      <c r="AF11" s="103">
        <f t="shared" si="1"/>
        <v>317487.34855670499</v>
      </c>
      <c r="AG11" s="103">
        <f t="shared" si="1"/>
        <v>110063.63201689975</v>
      </c>
      <c r="AH11" s="103">
        <f t="shared" si="1"/>
        <v>97116.645221540166</v>
      </c>
      <c r="AI11" s="103">
        <f t="shared" si="1"/>
        <v>73978.724157673481</v>
      </c>
      <c r="AJ11" s="103">
        <f t="shared" si="1"/>
        <v>74595.213525654079</v>
      </c>
      <c r="AK11" s="103">
        <f t="shared" si="1"/>
        <v>44967.712169397288</v>
      </c>
      <c r="AL11" s="103">
        <f t="shared" si="1"/>
        <v>3749.8919176410236</v>
      </c>
      <c r="AM11" s="103">
        <f t="shared" si="1"/>
        <v>0</v>
      </c>
      <c r="AN11" s="103">
        <f t="shared" si="1"/>
        <v>0</v>
      </c>
      <c r="AO11" s="103">
        <f t="shared" si="1"/>
        <v>0</v>
      </c>
      <c r="AP11" s="103">
        <f t="shared" si="1"/>
        <v>0</v>
      </c>
      <c r="AQ11" s="103">
        <f t="shared" si="1"/>
        <v>0</v>
      </c>
      <c r="AR11" s="99">
        <f>SUM(I11:AQ11)</f>
        <v>152122122.40098339</v>
      </c>
    </row>
    <row r="12" spans="1:44">
      <c r="AR12" s="104">
        <f>AR11-[2]每月贷款余额!X50</f>
        <v>-8.6620450019836426E-4</v>
      </c>
    </row>
    <row r="13" spans="1:44">
      <c r="AR13" s="105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资产负债表</vt:lpstr>
      <vt:lpstr>现金流量表</vt:lpstr>
      <vt:lpstr>利润表</vt:lpstr>
      <vt:lpstr>每月贷款余额</vt:lpstr>
      <vt:lpstr>到期时间表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2017-02-16T04:22:47Z</dcterms:modified>
</cp:coreProperties>
</file>