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"/>
    </mc:Choice>
  </mc:AlternateContent>
  <bookViews>
    <workbookView minimized="1"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6" i="1" l="1"/>
  <c r="AX6" i="1"/>
  <c r="AW6" i="1"/>
  <c r="AV6" i="1"/>
  <c r="AR6" i="1"/>
  <c r="AQ6" i="1"/>
  <c r="AP6" i="1"/>
  <c r="AN6" i="1"/>
  <c r="AN4" i="1"/>
  <c r="AT6" i="1" s="1"/>
  <c r="AO4" i="1"/>
  <c r="AO6" i="1"/>
  <c r="AS6" i="1" l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L6" i="1"/>
  <c r="AK6" i="1"/>
  <c r="AJ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J31" i="1"/>
  <c r="AK31" i="1"/>
  <c r="AL31" i="1"/>
  <c r="AJ32" i="1"/>
  <c r="AK32" i="1"/>
  <c r="AL32" i="1"/>
  <c r="AJ33" i="1"/>
  <c r="AK33" i="1"/>
  <c r="AL33" i="1"/>
  <c r="AJ34" i="1"/>
  <c r="AK34" i="1"/>
  <c r="AL34" i="1"/>
  <c r="AJ35" i="1"/>
  <c r="AK35" i="1"/>
  <c r="AL35" i="1"/>
  <c r="AJ36" i="1"/>
  <c r="AK36" i="1"/>
  <c r="AL36" i="1"/>
  <c r="AJ37" i="1"/>
  <c r="AK37" i="1"/>
  <c r="AL37" i="1"/>
  <c r="AJ38" i="1"/>
  <c r="AK38" i="1"/>
  <c r="AL38" i="1"/>
  <c r="AJ39" i="1"/>
  <c r="AK39" i="1"/>
  <c r="AL39" i="1"/>
  <c r="AJ40" i="1"/>
  <c r="AK40" i="1"/>
  <c r="AL40" i="1"/>
  <c r="AJ41" i="1"/>
  <c r="AK41" i="1"/>
  <c r="AL41" i="1"/>
  <c r="AJ42" i="1"/>
  <c r="AK42" i="1"/>
  <c r="AL42" i="1"/>
  <c r="AJ43" i="1"/>
  <c r="AK43" i="1"/>
  <c r="AL43" i="1"/>
  <c r="AJ44" i="1"/>
  <c r="AK44" i="1"/>
  <c r="AL44" i="1"/>
  <c r="AJ45" i="1"/>
  <c r="AK45" i="1"/>
  <c r="AL45" i="1"/>
  <c r="AJ46" i="1"/>
  <c r="AK46" i="1"/>
  <c r="AL46" i="1"/>
  <c r="AJ47" i="1"/>
  <c r="AK47" i="1"/>
  <c r="AL47" i="1"/>
  <c r="AJ48" i="1"/>
  <c r="AK48" i="1"/>
  <c r="AL48" i="1"/>
  <c r="AJ49" i="1"/>
  <c r="AK49" i="1"/>
  <c r="AL49" i="1"/>
  <c r="AJ50" i="1"/>
  <c r="AK50" i="1"/>
  <c r="AL50" i="1"/>
  <c r="AJ51" i="1"/>
  <c r="AK51" i="1"/>
  <c r="AL51" i="1"/>
  <c r="AJ52" i="1"/>
  <c r="AK52" i="1"/>
  <c r="AL52" i="1"/>
  <c r="AJ53" i="1"/>
  <c r="AK53" i="1"/>
  <c r="AL53" i="1"/>
  <c r="AJ54" i="1"/>
  <c r="AK54" i="1"/>
  <c r="AL54" i="1"/>
  <c r="AJ55" i="1"/>
  <c r="AK55" i="1"/>
  <c r="AL55" i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J62" i="1"/>
  <c r="AK62" i="1"/>
  <c r="AL62" i="1"/>
  <c r="AJ63" i="1"/>
  <c r="AK63" i="1"/>
  <c r="AL63" i="1"/>
  <c r="AJ64" i="1"/>
  <c r="AK64" i="1"/>
  <c r="AL64" i="1"/>
  <c r="AJ65" i="1"/>
  <c r="AK65" i="1"/>
  <c r="AL65" i="1"/>
  <c r="AJ66" i="1"/>
  <c r="AK66" i="1"/>
  <c r="AL66" i="1"/>
  <c r="AJ67" i="1"/>
  <c r="AK67" i="1"/>
  <c r="AL67" i="1"/>
  <c r="AJ68" i="1"/>
  <c r="AK68" i="1"/>
  <c r="AL68" i="1"/>
  <c r="AJ69" i="1"/>
  <c r="AK69" i="1"/>
  <c r="AL69" i="1"/>
  <c r="AJ70" i="1"/>
  <c r="AK70" i="1"/>
  <c r="AL70" i="1"/>
  <c r="AJ71" i="1"/>
  <c r="AK71" i="1"/>
  <c r="AL71" i="1"/>
  <c r="AJ72" i="1"/>
  <c r="AK72" i="1"/>
  <c r="AL72" i="1"/>
  <c r="AJ73" i="1"/>
  <c r="AK73" i="1"/>
  <c r="AL73" i="1"/>
  <c r="AJ74" i="1"/>
  <c r="AK74" i="1"/>
  <c r="AL74" i="1"/>
  <c r="AJ75" i="1"/>
  <c r="AK75" i="1"/>
  <c r="AL75" i="1"/>
  <c r="AJ76" i="1"/>
  <c r="AK76" i="1"/>
  <c r="AL76" i="1"/>
  <c r="AJ77" i="1"/>
  <c r="AK77" i="1"/>
  <c r="AL77" i="1"/>
  <c r="AJ78" i="1"/>
  <c r="AK78" i="1"/>
  <c r="AL78" i="1"/>
  <c r="AJ79" i="1"/>
  <c r="AK79" i="1"/>
  <c r="AL79" i="1"/>
  <c r="AJ80" i="1"/>
  <c r="AK80" i="1"/>
  <c r="AL80" i="1"/>
  <c r="AJ81" i="1"/>
  <c r="AK81" i="1"/>
  <c r="AL81" i="1"/>
  <c r="AJ82" i="1"/>
  <c r="AK82" i="1"/>
  <c r="AL82" i="1"/>
  <c r="AJ83" i="1"/>
  <c r="AK83" i="1"/>
  <c r="AL83" i="1"/>
  <c r="AJ84" i="1"/>
  <c r="AK84" i="1"/>
  <c r="AL84" i="1"/>
  <c r="AJ85" i="1"/>
  <c r="AK85" i="1"/>
  <c r="AL85" i="1"/>
  <c r="AJ86" i="1"/>
  <c r="AK86" i="1"/>
  <c r="AL86" i="1"/>
  <c r="AJ87" i="1"/>
  <c r="AK87" i="1"/>
  <c r="AL87" i="1"/>
  <c r="AJ88" i="1"/>
  <c r="AK88" i="1"/>
  <c r="AL88" i="1"/>
  <c r="AJ89" i="1"/>
  <c r="AK89" i="1"/>
  <c r="AL89" i="1"/>
  <c r="AJ90" i="1"/>
  <c r="AK90" i="1"/>
  <c r="AL90" i="1"/>
  <c r="AJ91" i="1"/>
  <c r="AK91" i="1"/>
  <c r="AL91" i="1"/>
  <c r="AJ92" i="1"/>
  <c r="AK92" i="1"/>
  <c r="AL92" i="1"/>
  <c r="AJ93" i="1"/>
  <c r="AK93" i="1"/>
  <c r="AL93" i="1"/>
  <c r="AJ94" i="1"/>
  <c r="AK94" i="1"/>
  <c r="AL94" i="1"/>
  <c r="AJ95" i="1"/>
  <c r="AK95" i="1"/>
  <c r="AL95" i="1"/>
  <c r="AJ96" i="1"/>
  <c r="AK96" i="1"/>
  <c r="AL96" i="1"/>
  <c r="AJ97" i="1"/>
  <c r="AK97" i="1"/>
  <c r="AL97" i="1"/>
  <c r="AJ98" i="1"/>
  <c r="AK98" i="1"/>
  <c r="AL98" i="1"/>
  <c r="AJ99" i="1"/>
  <c r="AK99" i="1"/>
  <c r="AL99" i="1"/>
  <c r="AJ100" i="1"/>
  <c r="AK100" i="1"/>
  <c r="AL100" i="1"/>
  <c r="AJ101" i="1"/>
  <c r="AK101" i="1"/>
  <c r="AL101" i="1"/>
  <c r="AJ102" i="1"/>
  <c r="AK102" i="1"/>
  <c r="AL102" i="1"/>
  <c r="AJ103" i="1"/>
  <c r="AK103" i="1"/>
  <c r="AL103" i="1"/>
  <c r="AJ104" i="1"/>
  <c r="AK104" i="1"/>
  <c r="AL104" i="1"/>
  <c r="AJ105" i="1"/>
  <c r="AK105" i="1"/>
  <c r="AL105" i="1"/>
  <c r="AJ106" i="1"/>
  <c r="AK106" i="1"/>
  <c r="AL106" i="1"/>
  <c r="AJ107" i="1"/>
  <c r="AK107" i="1"/>
  <c r="AL107" i="1"/>
  <c r="AJ108" i="1"/>
  <c r="AK108" i="1"/>
  <c r="AL108" i="1"/>
  <c r="AJ109" i="1"/>
  <c r="AK109" i="1"/>
  <c r="AL109" i="1"/>
  <c r="AJ110" i="1"/>
  <c r="AK110" i="1"/>
  <c r="AL110" i="1"/>
  <c r="AJ111" i="1"/>
  <c r="AK111" i="1"/>
  <c r="AL111" i="1"/>
  <c r="AJ112" i="1"/>
  <c r="AK112" i="1"/>
  <c r="AL112" i="1"/>
  <c r="AJ113" i="1"/>
  <c r="AK113" i="1"/>
  <c r="AL113" i="1"/>
  <c r="AJ114" i="1"/>
  <c r="AK114" i="1"/>
  <c r="AL114" i="1"/>
  <c r="AJ115" i="1"/>
  <c r="AK115" i="1"/>
  <c r="AL115" i="1"/>
  <c r="AJ116" i="1"/>
  <c r="AK116" i="1"/>
  <c r="AL116" i="1"/>
  <c r="AJ117" i="1"/>
  <c r="AK117" i="1"/>
  <c r="AL117" i="1"/>
  <c r="AJ118" i="1"/>
  <c r="AK118" i="1"/>
  <c r="AL118" i="1"/>
  <c r="AJ119" i="1"/>
  <c r="AK119" i="1"/>
  <c r="AL119" i="1"/>
  <c r="AJ120" i="1"/>
  <c r="AK120" i="1"/>
  <c r="AL120" i="1"/>
  <c r="AJ121" i="1"/>
  <c r="AK121" i="1"/>
  <c r="AL121" i="1"/>
  <c r="AJ122" i="1"/>
  <c r="AK122" i="1"/>
  <c r="AL122" i="1"/>
  <c r="AJ123" i="1"/>
  <c r="AK123" i="1"/>
  <c r="AL123" i="1"/>
  <c r="AJ124" i="1"/>
  <c r="AK124" i="1"/>
  <c r="AL124" i="1"/>
  <c r="AJ125" i="1"/>
  <c r="AK125" i="1"/>
  <c r="AL125" i="1"/>
  <c r="M23" i="1"/>
  <c r="AI6" i="1"/>
  <c r="AM6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K21" i="1"/>
  <c r="K20" i="1"/>
  <c r="K19" i="1"/>
  <c r="E31" i="1" l="1"/>
  <c r="Q31" i="1" s="1"/>
  <c r="F31" i="1"/>
  <c r="R31" i="1" s="1"/>
  <c r="F33" i="1"/>
  <c r="R33" i="1" s="1"/>
  <c r="E33" i="1"/>
  <c r="Q33" i="1" s="1"/>
  <c r="Q19" i="1"/>
  <c r="R19" i="1"/>
  <c r="Q20" i="1"/>
  <c r="R20" i="1"/>
  <c r="Q21" i="1"/>
  <c r="R21" i="1"/>
  <c r="Q32" i="1"/>
  <c r="R32" i="1"/>
  <c r="R18" i="1"/>
  <c r="Q18" i="1"/>
  <c r="Q14" i="1"/>
  <c r="R14" i="1"/>
  <c r="Q15" i="1"/>
  <c r="R15" i="1"/>
  <c r="Q16" i="1"/>
  <c r="R16" i="1"/>
  <c r="R13" i="1"/>
  <c r="Q13" i="1"/>
  <c r="Q6" i="1"/>
  <c r="R6" i="1"/>
  <c r="Q7" i="1"/>
  <c r="R7" i="1"/>
  <c r="Q8" i="1"/>
  <c r="R8" i="1"/>
  <c r="Q9" i="1"/>
  <c r="R9" i="1"/>
  <c r="Q10" i="1"/>
  <c r="R10" i="1"/>
  <c r="Q11" i="1"/>
  <c r="R11" i="1"/>
  <c r="R5" i="1"/>
  <c r="Q5" i="1"/>
  <c r="D33" i="1"/>
  <c r="C33" i="1"/>
  <c r="B33" i="1"/>
  <c r="F32" i="1"/>
  <c r="E32" i="1"/>
  <c r="D32" i="1"/>
  <c r="C32" i="1"/>
  <c r="B32" i="1"/>
  <c r="C31" i="1"/>
  <c r="D31" i="1"/>
  <c r="B31" i="1"/>
  <c r="N31" i="1"/>
  <c r="J31" i="1" l="1"/>
  <c r="G53" i="1"/>
  <c r="N68" i="1"/>
  <c r="N69" i="1"/>
  <c r="N67" i="1"/>
  <c r="I69" i="1"/>
  <c r="J69" i="1" s="1"/>
  <c r="I65" i="1"/>
  <c r="J65" i="1" s="1"/>
  <c r="I67" i="1"/>
  <c r="J67" i="1" s="1"/>
  <c r="I62" i="1"/>
  <c r="I61" i="1"/>
  <c r="I60" i="1"/>
  <c r="J60" i="1" s="1"/>
  <c r="I68" i="1"/>
  <c r="L68" i="1" s="1"/>
  <c r="M68" i="1" s="1"/>
  <c r="O68" i="1" s="1"/>
  <c r="I59" i="1"/>
  <c r="I58" i="1"/>
  <c r="J58" i="1" s="1"/>
  <c r="I57" i="1"/>
  <c r="J57" i="1" s="1"/>
  <c r="G64" i="1"/>
  <c r="G63" i="1"/>
  <c r="N64" i="1"/>
  <c r="I64" i="1"/>
  <c r="J64" i="1" s="1"/>
  <c r="G49" i="1"/>
  <c r="G48" i="1"/>
  <c r="G47" i="1"/>
  <c r="N63" i="1"/>
  <c r="G68" i="1"/>
  <c r="G69" i="1"/>
  <c r="G67" i="1"/>
  <c r="G62" i="1"/>
  <c r="I63" i="1"/>
  <c r="L63" i="1" s="1"/>
  <c r="M63" i="1" s="1"/>
  <c r="G56" i="1"/>
  <c r="I56" i="1"/>
  <c r="I55" i="1"/>
  <c r="L55" i="1" s="1"/>
  <c r="M55" i="1" s="1"/>
  <c r="I54" i="1"/>
  <c r="J54" i="1" s="1"/>
  <c r="I53" i="1"/>
  <c r="I52" i="1"/>
  <c r="L52" i="1" s="1"/>
  <c r="M52" i="1" s="1"/>
  <c r="N52" i="1"/>
  <c r="L53" i="1"/>
  <c r="M53" i="1" s="1"/>
  <c r="N53" i="1"/>
  <c r="N54" i="1"/>
  <c r="N55" i="1"/>
  <c r="L56" i="1"/>
  <c r="M56" i="1" s="1"/>
  <c r="N56" i="1"/>
  <c r="N57" i="1"/>
  <c r="L58" i="1"/>
  <c r="M58" i="1" s="1"/>
  <c r="N58" i="1"/>
  <c r="N59" i="1"/>
  <c r="N60" i="1"/>
  <c r="N61" i="1"/>
  <c r="N62" i="1"/>
  <c r="N65" i="1"/>
  <c r="J53" i="1"/>
  <c r="J56" i="1"/>
  <c r="L59" i="1"/>
  <c r="M59" i="1" s="1"/>
  <c r="J59" i="1"/>
  <c r="L61" i="1"/>
  <c r="M61" i="1" s="1"/>
  <c r="J62" i="1"/>
  <c r="I51" i="1"/>
  <c r="L51" i="1" s="1"/>
  <c r="M51" i="1" s="1"/>
  <c r="N51" i="1"/>
  <c r="G52" i="1"/>
  <c r="G54" i="1"/>
  <c r="G55" i="1"/>
  <c r="G57" i="1"/>
  <c r="G58" i="1"/>
  <c r="G59" i="1"/>
  <c r="G60" i="1"/>
  <c r="G61" i="1"/>
  <c r="G51" i="1"/>
  <c r="I49" i="1"/>
  <c r="J49" i="1" s="1"/>
  <c r="I48" i="1"/>
  <c r="L48" i="1" s="1"/>
  <c r="M48" i="1" s="1"/>
  <c r="I47" i="1"/>
  <c r="L47" i="1" s="1"/>
  <c r="M47" i="1" s="1"/>
  <c r="G46" i="1"/>
  <c r="I46" i="1"/>
  <c r="L46" i="1" s="1"/>
  <c r="M46" i="1" s="1"/>
  <c r="I45" i="1"/>
  <c r="L45" i="1" s="1"/>
  <c r="M45" i="1" s="1"/>
  <c r="I43" i="1"/>
  <c r="J43" i="1" s="1"/>
  <c r="G44" i="1"/>
  <c r="I44" i="1"/>
  <c r="J44" i="1" s="1"/>
  <c r="G43" i="1"/>
  <c r="I42" i="1"/>
  <c r="J42" i="1" s="1"/>
  <c r="G42" i="1"/>
  <c r="L42" i="1"/>
  <c r="M42" i="1" s="1"/>
  <c r="N41" i="1"/>
  <c r="N42" i="1"/>
  <c r="N43" i="1"/>
  <c r="N44" i="1"/>
  <c r="N45" i="1"/>
  <c r="N46" i="1"/>
  <c r="N47" i="1"/>
  <c r="N48" i="1"/>
  <c r="N49" i="1"/>
  <c r="I41" i="1"/>
  <c r="L41" i="1" s="1"/>
  <c r="M41" i="1" s="1"/>
  <c r="N40" i="1"/>
  <c r="G41" i="1"/>
  <c r="G45" i="1"/>
  <c r="I40" i="1"/>
  <c r="L40" i="1" s="1"/>
  <c r="M40" i="1" s="1"/>
  <c r="G40" i="1"/>
  <c r="D37" i="1"/>
  <c r="E37" i="1" s="1"/>
  <c r="K37" i="1" s="1"/>
  <c r="N37" i="1" s="1"/>
  <c r="I37" i="1"/>
  <c r="J37" i="1" s="1"/>
  <c r="E35" i="1"/>
  <c r="K35" i="1" s="1"/>
  <c r="I38" i="1"/>
  <c r="J38" i="1" s="1"/>
  <c r="R36" i="1"/>
  <c r="I36" i="1"/>
  <c r="J36" i="1" s="1"/>
  <c r="I35" i="1"/>
  <c r="D38" i="1" s="1"/>
  <c r="I29" i="1"/>
  <c r="J29" i="1" s="1"/>
  <c r="U18" i="1"/>
  <c r="T18" i="1"/>
  <c r="N29" i="1"/>
  <c r="I28" i="1"/>
  <c r="L28" i="1" s="1"/>
  <c r="M28" i="1" s="1"/>
  <c r="O28" i="1" s="1"/>
  <c r="N27" i="1"/>
  <c r="N28" i="1"/>
  <c r="I27" i="1"/>
  <c r="J27" i="1" s="1"/>
  <c r="J28" i="1"/>
  <c r="J48" i="1" l="1"/>
  <c r="L67" i="1"/>
  <c r="M67" i="1" s="1"/>
  <c r="O67" i="1" s="1"/>
  <c r="L64" i="1"/>
  <c r="M64" i="1" s="1"/>
  <c r="O63" i="1"/>
  <c r="J68" i="1"/>
  <c r="L69" i="1"/>
  <c r="M69" i="1" s="1"/>
  <c r="O69" i="1" s="1"/>
  <c r="O55" i="1"/>
  <c r="J63" i="1"/>
  <c r="O64" i="1"/>
  <c r="J51" i="1"/>
  <c r="L54" i="1"/>
  <c r="M54" i="1" s="1"/>
  <c r="O52" i="1"/>
  <c r="O45" i="1"/>
  <c r="O59" i="1"/>
  <c r="O58" i="1"/>
  <c r="O40" i="1"/>
  <c r="J45" i="1"/>
  <c r="J55" i="1"/>
  <c r="L65" i="1"/>
  <c r="M65" i="1" s="1"/>
  <c r="O65" i="1" s="1"/>
  <c r="L60" i="1"/>
  <c r="M60" i="1" s="1"/>
  <c r="O60" i="1" s="1"/>
  <c r="O61" i="1"/>
  <c r="J52" i="1"/>
  <c r="O46" i="1"/>
  <c r="J61" i="1"/>
  <c r="J35" i="1"/>
  <c r="J40" i="1"/>
  <c r="L57" i="1"/>
  <c r="M57" i="1" s="1"/>
  <c r="O57" i="1" s="1"/>
  <c r="O53" i="1"/>
  <c r="L62" i="1"/>
  <c r="M62" i="1" s="1"/>
  <c r="O62" i="1" s="1"/>
  <c r="O56" i="1"/>
  <c r="O54" i="1"/>
  <c r="O51" i="1"/>
  <c r="O41" i="1"/>
  <c r="J41" i="1"/>
  <c r="L44" i="1"/>
  <c r="M44" i="1" s="1"/>
  <c r="O44" i="1" s="1"/>
  <c r="J46" i="1"/>
  <c r="L49" i="1"/>
  <c r="M49" i="1" s="1"/>
  <c r="O49" i="1" s="1"/>
  <c r="J47" i="1"/>
  <c r="O48" i="1"/>
  <c r="L43" i="1"/>
  <c r="M43" i="1" s="1"/>
  <c r="O43" i="1" s="1"/>
  <c r="O47" i="1"/>
  <c r="O42" i="1"/>
  <c r="L37" i="1"/>
  <c r="M37" i="1" s="1"/>
  <c r="O37" i="1" s="1"/>
  <c r="E38" i="1"/>
  <c r="K38" i="1" s="1"/>
  <c r="N35" i="1"/>
  <c r="L35" i="1"/>
  <c r="L29" i="1"/>
  <c r="M29" i="1" s="1"/>
  <c r="O29" i="1" s="1"/>
  <c r="L27" i="1"/>
  <c r="M27" i="1" s="1"/>
  <c r="D21" i="1"/>
  <c r="C21" i="1"/>
  <c r="D16" i="1"/>
  <c r="C16" i="1"/>
  <c r="D15" i="1"/>
  <c r="C15" i="1"/>
  <c r="D14" i="1"/>
  <c r="C14" i="1"/>
  <c r="D13" i="1"/>
  <c r="C13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AA4" i="1" l="1"/>
  <c r="Z4" i="1"/>
  <c r="L38" i="1"/>
  <c r="M38" i="1" s="1"/>
  <c r="N38" i="1"/>
  <c r="M35" i="1"/>
  <c r="O35" i="1" s="1"/>
  <c r="D36" i="1"/>
  <c r="E36" i="1" s="1"/>
  <c r="K36" i="1" s="1"/>
  <c r="O27" i="1"/>
  <c r="K23" i="1"/>
  <c r="L23" i="1" s="1"/>
  <c r="I26" i="1"/>
  <c r="L26" i="1" s="1"/>
  <c r="M26" i="1" s="1"/>
  <c r="R27" i="1" s="1"/>
  <c r="N26" i="1"/>
  <c r="N25" i="1"/>
  <c r="I25" i="1"/>
  <c r="J25" i="1" s="1"/>
  <c r="I21" i="1"/>
  <c r="B21" i="1"/>
  <c r="W3" i="1"/>
  <c r="B15" i="1"/>
  <c r="B14" i="1"/>
  <c r="B16" i="1"/>
  <c r="B13" i="1"/>
  <c r="B8" i="1"/>
  <c r="B9" i="1"/>
  <c r="B11" i="1"/>
  <c r="B10" i="1"/>
  <c r="B7" i="1"/>
  <c r="B5" i="1"/>
  <c r="B6" i="1"/>
  <c r="J21" i="1"/>
  <c r="J23" i="1"/>
  <c r="Y78" i="1"/>
  <c r="Y121" i="1"/>
  <c r="Y125" i="1"/>
  <c r="Y16" i="1"/>
  <c r="Y15" i="1"/>
  <c r="Y17" i="1"/>
  <c r="Y55" i="1"/>
  <c r="Y56" i="1"/>
  <c r="Y53" i="1"/>
  <c r="Y45" i="1"/>
  <c r="Y82" i="1"/>
  <c r="Y80" i="1"/>
  <c r="Y8" i="1"/>
  <c r="Y47" i="1"/>
  <c r="Y77" i="1"/>
  <c r="Y35" i="1"/>
  <c r="Y101" i="1"/>
  <c r="Y84" i="1"/>
  <c r="Y41" i="1"/>
  <c r="Y37" i="1"/>
  <c r="Y25" i="1"/>
  <c r="Y98" i="1"/>
  <c r="Y31" i="1"/>
  <c r="Y13" i="1"/>
  <c r="Y120" i="1"/>
  <c r="Y58" i="1"/>
  <c r="Y32" i="1"/>
  <c r="Y73" i="1"/>
  <c r="Y106" i="1"/>
  <c r="Y81" i="1"/>
  <c r="Y90" i="1"/>
  <c r="Y94" i="1"/>
  <c r="Y109" i="1"/>
  <c r="Y123" i="1"/>
  <c r="Y102" i="1"/>
  <c r="Y28" i="1"/>
  <c r="Y103" i="1"/>
  <c r="Y24" i="1"/>
  <c r="Y11" i="1"/>
  <c r="Y18" i="1"/>
  <c r="Y43" i="1"/>
  <c r="Y57" i="1"/>
  <c r="Y122" i="1"/>
  <c r="Y14" i="1"/>
  <c r="Y83" i="1"/>
  <c r="Y119" i="1"/>
  <c r="Y67" i="1"/>
  <c r="Y66" i="1"/>
  <c r="Y87" i="1"/>
  <c r="Y105" i="1"/>
  <c r="Y12" i="1"/>
  <c r="Y89" i="1"/>
  <c r="Y46" i="1"/>
  <c r="Y95" i="1"/>
  <c r="Y51" i="1"/>
  <c r="Y30" i="1"/>
  <c r="Y26" i="1"/>
  <c r="Y110" i="1"/>
  <c r="Y34" i="1"/>
  <c r="Y74" i="1"/>
  <c r="Y52" i="1"/>
  <c r="Y115" i="1"/>
  <c r="Y85" i="1"/>
  <c r="Y92" i="1"/>
  <c r="Y124" i="1"/>
  <c r="Y104" i="1"/>
  <c r="Y36" i="1"/>
  <c r="Y59" i="1"/>
  <c r="Y50" i="1"/>
  <c r="Y79" i="1"/>
  <c r="Y49" i="1"/>
  <c r="Y107" i="1"/>
  <c r="Y91" i="1"/>
  <c r="Y27" i="1"/>
  <c r="Y65" i="1"/>
  <c r="Y21" i="1"/>
  <c r="Y29" i="1"/>
  <c r="Y75" i="1"/>
  <c r="Y38" i="1"/>
  <c r="Y40" i="1"/>
  <c r="Y76" i="1"/>
  <c r="Y7" i="1"/>
  <c r="Y63" i="1"/>
  <c r="Y114" i="1"/>
  <c r="Y42" i="1"/>
  <c r="Y108" i="1"/>
  <c r="Y100" i="1"/>
  <c r="Y19" i="1"/>
  <c r="Y86" i="1"/>
  <c r="Y111" i="1"/>
  <c r="Y71" i="1"/>
  <c r="Y23" i="1"/>
  <c r="Y93" i="1"/>
  <c r="Y22" i="1"/>
  <c r="Y60" i="1"/>
  <c r="Y88" i="1"/>
  <c r="Y48" i="1"/>
  <c r="Y117" i="1"/>
  <c r="Y116" i="1"/>
  <c r="Y33" i="1"/>
  <c r="Y54" i="1"/>
  <c r="Y44" i="1"/>
  <c r="Y68" i="1"/>
  <c r="Y64" i="1"/>
  <c r="Y20" i="1"/>
  <c r="Y9" i="1"/>
  <c r="Y97" i="1"/>
  <c r="Y113" i="1"/>
  <c r="Y61" i="1"/>
  <c r="Y118" i="1"/>
  <c r="Y62" i="1"/>
  <c r="Y69" i="1"/>
  <c r="Y70" i="1"/>
  <c r="Y39" i="1"/>
  <c r="Y96" i="1"/>
  <c r="Y10" i="1"/>
  <c r="Y6" i="1"/>
  <c r="Y112" i="1"/>
  <c r="Y72" i="1"/>
  <c r="Y99" i="1"/>
  <c r="AD51" i="1" l="1"/>
  <c r="O38" i="1"/>
  <c r="N36" i="1"/>
  <c r="L36" i="1"/>
  <c r="M36" i="1" s="1"/>
  <c r="J26" i="1"/>
  <c r="L25" i="1"/>
  <c r="M25" i="1" s="1"/>
  <c r="E15" i="1"/>
  <c r="E13" i="1"/>
  <c r="E10" i="1"/>
  <c r="F8" i="1"/>
  <c r="E6" i="1"/>
  <c r="F21" i="1"/>
  <c r="E16" i="1"/>
  <c r="E14" i="1"/>
  <c r="F11" i="1"/>
  <c r="F9" i="1"/>
  <c r="F7" i="1"/>
  <c r="F5" i="1"/>
  <c r="F15" i="1"/>
  <c r="F13" i="1"/>
  <c r="E8" i="1"/>
  <c r="E21" i="1"/>
  <c r="F16" i="1"/>
  <c r="F14" i="1"/>
  <c r="E11" i="1"/>
  <c r="E9" i="1"/>
  <c r="E7" i="1"/>
  <c r="E5" i="1"/>
  <c r="F10" i="1"/>
  <c r="F6" i="1"/>
  <c r="AC4" i="1" s="1"/>
  <c r="O25" i="1"/>
  <c r="O26" i="1"/>
  <c r="N23" i="1"/>
  <c r="L21" i="1"/>
  <c r="M21" i="1" s="1"/>
  <c r="N20" i="1"/>
  <c r="N21" i="1"/>
  <c r="I20" i="1"/>
  <c r="J20" i="1" s="1"/>
  <c r="I19" i="1"/>
  <c r="J19" i="1" s="1"/>
  <c r="N18" i="1"/>
  <c r="I18" i="1"/>
  <c r="K16" i="1"/>
  <c r="N16" i="1" s="1"/>
  <c r="I16" i="1"/>
  <c r="J16" i="1" s="1"/>
  <c r="K15" i="1"/>
  <c r="N15" i="1" s="1"/>
  <c r="I15" i="1"/>
  <c r="J15" i="1" s="1"/>
  <c r="K14" i="1"/>
  <c r="N14" i="1" s="1"/>
  <c r="K13" i="1"/>
  <c r="N13" i="1" s="1"/>
  <c r="I14" i="1"/>
  <c r="J14" i="1" s="1"/>
  <c r="N9" i="1"/>
  <c r="N11" i="1"/>
  <c r="K8" i="1"/>
  <c r="K5" i="1"/>
  <c r="N5" i="1" s="1"/>
  <c r="K6" i="1"/>
  <c r="N6" i="1" s="1"/>
  <c r="I13" i="1"/>
  <c r="J13" i="1" s="1"/>
  <c r="I11" i="1"/>
  <c r="J11" i="1" s="1"/>
  <c r="I10" i="1"/>
  <c r="J10" i="1" s="1"/>
  <c r="I9" i="1"/>
  <c r="I8" i="1"/>
  <c r="J8" i="1" s="1"/>
  <c r="I7" i="1"/>
  <c r="J7" i="1" s="1"/>
  <c r="I6" i="1"/>
  <c r="J6" i="1" s="1"/>
  <c r="I5" i="1"/>
  <c r="K10" i="1"/>
  <c r="K7" i="1"/>
  <c r="N7" i="1" s="1"/>
  <c r="U3" i="1"/>
  <c r="O36" i="1" l="1"/>
  <c r="R26" i="1"/>
  <c r="L20" i="1"/>
  <c r="M20" i="1" s="1"/>
  <c r="O20" i="1" s="1"/>
  <c r="AB4" i="1"/>
  <c r="AD6" i="1"/>
  <c r="AD94" i="1"/>
  <c r="AD30" i="1"/>
  <c r="AD66" i="1"/>
  <c r="AD90" i="1"/>
  <c r="AD102" i="1"/>
  <c r="AD38" i="1"/>
  <c r="AD119" i="1"/>
  <c r="AD103" i="1"/>
  <c r="AD87" i="1"/>
  <c r="AD71" i="1"/>
  <c r="AD55" i="1"/>
  <c r="AD39" i="1"/>
  <c r="AD23" i="1"/>
  <c r="AD7" i="1"/>
  <c r="AD120" i="1"/>
  <c r="AD104" i="1"/>
  <c r="AD88" i="1"/>
  <c r="AD72" i="1"/>
  <c r="AD56" i="1"/>
  <c r="AD40" i="1"/>
  <c r="AD24" i="1"/>
  <c r="AD8" i="1"/>
  <c r="AD117" i="1"/>
  <c r="AD101" i="1"/>
  <c r="AD85" i="1"/>
  <c r="AD69" i="1"/>
  <c r="AD53" i="1"/>
  <c r="AD37" i="1"/>
  <c r="AD21" i="1"/>
  <c r="AD65" i="1"/>
  <c r="AD33" i="1"/>
  <c r="AD91" i="1"/>
  <c r="AD43" i="1"/>
  <c r="AD124" i="1"/>
  <c r="AD76" i="1"/>
  <c r="AD28" i="1"/>
  <c r="AD105" i="1"/>
  <c r="AD57" i="1"/>
  <c r="AD9" i="1"/>
  <c r="AD106" i="1"/>
  <c r="AD78" i="1"/>
  <c r="AD74" i="1"/>
  <c r="AD50" i="1"/>
  <c r="AD58" i="1"/>
  <c r="AD86" i="1"/>
  <c r="AD22" i="1"/>
  <c r="AD115" i="1"/>
  <c r="AD99" i="1"/>
  <c r="AD83" i="1"/>
  <c r="AD67" i="1"/>
  <c r="AD35" i="1"/>
  <c r="AD19" i="1"/>
  <c r="AD26" i="1"/>
  <c r="AD116" i="1"/>
  <c r="AD100" i="1"/>
  <c r="AD84" i="1"/>
  <c r="AD68" i="1"/>
  <c r="AD52" i="1"/>
  <c r="AD36" i="1"/>
  <c r="AD20" i="1"/>
  <c r="AD18" i="1"/>
  <c r="AD113" i="1"/>
  <c r="AD97" i="1"/>
  <c r="AD81" i="1"/>
  <c r="AD49" i="1"/>
  <c r="AD17" i="1"/>
  <c r="AD75" i="1"/>
  <c r="AD11" i="1"/>
  <c r="AD92" i="1"/>
  <c r="AD44" i="1"/>
  <c r="AD121" i="1"/>
  <c r="AD73" i="1"/>
  <c r="AD25" i="1"/>
  <c r="AD42" i="1"/>
  <c r="AD62" i="1"/>
  <c r="AD114" i="1"/>
  <c r="AD34" i="1"/>
  <c r="AD98" i="1"/>
  <c r="AD70" i="1"/>
  <c r="AD14" i="1"/>
  <c r="AD111" i="1"/>
  <c r="AD95" i="1"/>
  <c r="AD79" i="1"/>
  <c r="AD63" i="1"/>
  <c r="AD47" i="1"/>
  <c r="AD31" i="1"/>
  <c r="AD15" i="1"/>
  <c r="AD10" i="1"/>
  <c r="AD112" i="1"/>
  <c r="AD96" i="1"/>
  <c r="AD80" i="1"/>
  <c r="AD64" i="1"/>
  <c r="AD48" i="1"/>
  <c r="AD32" i="1"/>
  <c r="AD16" i="1"/>
  <c r="AD125" i="1"/>
  <c r="AD109" i="1"/>
  <c r="AD93" i="1"/>
  <c r="AD77" i="1"/>
  <c r="AD61" i="1"/>
  <c r="AD45" i="1"/>
  <c r="AD29" i="1"/>
  <c r="AD13" i="1"/>
  <c r="AD110" i="1"/>
  <c r="AD46" i="1"/>
  <c r="AD82" i="1"/>
  <c r="AD122" i="1"/>
  <c r="AD118" i="1"/>
  <c r="AD54" i="1"/>
  <c r="AD123" i="1"/>
  <c r="AD107" i="1"/>
  <c r="AD59" i="1"/>
  <c r="AD27" i="1"/>
  <c r="AD108" i="1"/>
  <c r="AD60" i="1"/>
  <c r="AD12" i="1"/>
  <c r="AD89" i="1"/>
  <c r="AD41" i="1"/>
  <c r="L8" i="1"/>
  <c r="M8" i="1" s="1"/>
  <c r="L13" i="1"/>
  <c r="M13" i="1" s="1"/>
  <c r="O13" i="1" s="1"/>
  <c r="L19" i="1"/>
  <c r="M19" i="1" s="1"/>
  <c r="L10" i="1"/>
  <c r="M10" i="1" s="1"/>
  <c r="L11" i="1"/>
  <c r="M11" i="1" s="1"/>
  <c r="O11" i="1" s="1"/>
  <c r="N10" i="1"/>
  <c r="L15" i="1"/>
  <c r="M15" i="1" s="1"/>
  <c r="O15" i="1" s="1"/>
  <c r="J18" i="1"/>
  <c r="L18" i="1"/>
  <c r="M18" i="1" s="1"/>
  <c r="J5" i="1"/>
  <c r="L5" i="1"/>
  <c r="M5" i="1" s="1"/>
  <c r="O5" i="1" s="1"/>
  <c r="L9" i="1"/>
  <c r="M9" i="1" s="1"/>
  <c r="O9" i="1" s="1"/>
  <c r="J9" i="1"/>
  <c r="L6" i="1"/>
  <c r="M6" i="1" s="1"/>
  <c r="O6" i="1" s="1"/>
  <c r="N8" i="1"/>
  <c r="O21" i="1"/>
  <c r="N19" i="1"/>
  <c r="L16" i="1"/>
  <c r="M16" i="1" s="1"/>
  <c r="O16" i="1" s="1"/>
  <c r="L14" i="1"/>
  <c r="M14" i="1" s="1"/>
  <c r="O14" i="1" s="1"/>
  <c r="L7" i="1"/>
  <c r="M7" i="1" s="1"/>
  <c r="O7" i="1" s="1"/>
  <c r="W13" i="1"/>
  <c r="W29" i="1"/>
  <c r="W9" i="1"/>
  <c r="W25" i="1"/>
  <c r="W21" i="1"/>
  <c r="W17" i="1"/>
  <c r="AN85" i="1" l="1"/>
  <c r="AN105" i="1"/>
  <c r="AN58" i="1"/>
  <c r="AN113" i="1"/>
  <c r="AN60" i="1"/>
  <c r="AN118" i="1"/>
  <c r="AN57" i="1"/>
  <c r="AN77" i="1"/>
  <c r="AN12" i="1"/>
  <c r="AN32" i="1"/>
  <c r="AN59" i="1"/>
  <c r="AN114" i="1"/>
  <c r="AN117" i="1"/>
  <c r="AN116" i="1"/>
  <c r="AN39" i="1"/>
  <c r="AN30" i="1"/>
  <c r="AN23" i="1"/>
  <c r="AN73" i="1"/>
  <c r="AN83" i="1"/>
  <c r="AN110" i="1"/>
  <c r="AN29" i="1"/>
  <c r="AN92" i="1"/>
  <c r="AN107" i="1"/>
  <c r="AN38" i="1"/>
  <c r="AN37" i="1"/>
  <c r="AN100" i="1"/>
  <c r="AN79" i="1"/>
  <c r="AN17" i="1"/>
  <c r="AN123" i="1"/>
  <c r="AN66" i="1"/>
  <c r="AN69" i="1"/>
  <c r="AN119" i="1"/>
  <c r="AN78" i="1"/>
  <c r="AN86" i="1"/>
  <c r="AN25" i="1"/>
  <c r="AN104" i="1"/>
  <c r="AN63" i="1"/>
  <c r="AN111" i="1"/>
  <c r="AN96" i="1"/>
  <c r="AN42" i="1"/>
  <c r="AN45" i="1"/>
  <c r="AN108" i="1"/>
  <c r="AN95" i="1"/>
  <c r="AN9" i="1"/>
  <c r="AN10" i="1"/>
  <c r="AN56" i="1"/>
  <c r="AF17" i="1"/>
  <c r="AF29" i="1"/>
  <c r="AF21" i="1"/>
  <c r="AF9" i="1"/>
  <c r="AF25" i="1"/>
  <c r="AF13" i="1"/>
  <c r="O8" i="1"/>
  <c r="AN81" i="1"/>
  <c r="AN89" i="1"/>
  <c r="AN93" i="1"/>
  <c r="AN97" i="1"/>
  <c r="AN101" i="1"/>
  <c r="AN109" i="1"/>
  <c r="AN121" i="1"/>
  <c r="AN125" i="1"/>
  <c r="AN74" i="1"/>
  <c r="AN82" i="1"/>
  <c r="AN90" i="1"/>
  <c r="AN94" i="1"/>
  <c r="AN98" i="1"/>
  <c r="AN102" i="1"/>
  <c r="AN106" i="1"/>
  <c r="AN122" i="1"/>
  <c r="AN76" i="1"/>
  <c r="AN84" i="1"/>
  <c r="AN124" i="1"/>
  <c r="AN71" i="1"/>
  <c r="AN75" i="1"/>
  <c r="AN87" i="1"/>
  <c r="AN91" i="1"/>
  <c r="AN99" i="1"/>
  <c r="AN103" i="1"/>
  <c r="AN115" i="1"/>
  <c r="AN72" i="1"/>
  <c r="AN80" i="1"/>
  <c r="AN88" i="1"/>
  <c r="AN112" i="1"/>
  <c r="AN120" i="1"/>
  <c r="AN41" i="1"/>
  <c r="AN26" i="1"/>
  <c r="AN21" i="1"/>
  <c r="AN31" i="1"/>
  <c r="AN13" i="1"/>
  <c r="AN55" i="1"/>
  <c r="AN19" i="1"/>
  <c r="AN65" i="1"/>
  <c r="AN35" i="1"/>
  <c r="AN27" i="1"/>
  <c r="AN53" i="1"/>
  <c r="AN48" i="1"/>
  <c r="AN24" i="1"/>
  <c r="AN14" i="1"/>
  <c r="AN16" i="1"/>
  <c r="AN28" i="1"/>
  <c r="AN46" i="1"/>
  <c r="AN49" i="1"/>
  <c r="AN47" i="1"/>
  <c r="AN7" i="1"/>
  <c r="AN62" i="1"/>
  <c r="AN11" i="1"/>
  <c r="AN22" i="1"/>
  <c r="AN52" i="1"/>
  <c r="AN40" i="1"/>
  <c r="AN64" i="1"/>
  <c r="AN8" i="1"/>
  <c r="AN43" i="1"/>
  <c r="AN50" i="1"/>
  <c r="AN33" i="1"/>
  <c r="AN15" i="1"/>
  <c r="AN34" i="1"/>
  <c r="AN70" i="1"/>
  <c r="AN18" i="1"/>
  <c r="AN44" i="1"/>
  <c r="AN68" i="1"/>
  <c r="AN36" i="1"/>
  <c r="AN51" i="1"/>
  <c r="AN61" i="1"/>
  <c r="AN67" i="1"/>
  <c r="AN54" i="1"/>
  <c r="AN20" i="1"/>
  <c r="O10" i="1"/>
  <c r="W15" i="1"/>
  <c r="W61" i="1"/>
  <c r="W106" i="1"/>
  <c r="W54" i="1"/>
  <c r="W55" i="1"/>
  <c r="W35" i="1"/>
  <c r="W89" i="1"/>
  <c r="W85" i="1"/>
  <c r="W100" i="1"/>
  <c r="W11" i="1"/>
  <c r="W19" i="1"/>
  <c r="W88" i="1"/>
  <c r="W41" i="1"/>
  <c r="W27" i="1"/>
  <c r="W73" i="1"/>
  <c r="W12" i="1"/>
  <c r="W78" i="1"/>
  <c r="W122" i="1"/>
  <c r="W16" i="1"/>
  <c r="W45" i="1"/>
  <c r="W24" i="1"/>
  <c r="W37" i="1"/>
  <c r="W64" i="1"/>
  <c r="W115" i="1"/>
  <c r="W94" i="1"/>
  <c r="W119" i="1"/>
  <c r="W8" i="1"/>
  <c r="W58" i="1"/>
  <c r="W125" i="1"/>
  <c r="W23" i="1"/>
  <c r="W49" i="1"/>
  <c r="W86" i="1"/>
  <c r="W76" i="1"/>
  <c r="W62" i="1"/>
  <c r="W36" i="1"/>
  <c r="W39" i="1"/>
  <c r="W69" i="1"/>
  <c r="W114" i="1"/>
  <c r="W110" i="1"/>
  <c r="W60" i="1"/>
  <c r="W33" i="1"/>
  <c r="W92" i="1"/>
  <c r="W91" i="1"/>
  <c r="W117" i="1"/>
  <c r="W95" i="1"/>
  <c r="W48" i="1"/>
  <c r="W22" i="1"/>
  <c r="W74" i="1"/>
  <c r="W14" i="1"/>
  <c r="W109" i="1"/>
  <c r="W90" i="1"/>
  <c r="W101" i="1"/>
  <c r="W46" i="1"/>
  <c r="W105" i="1"/>
  <c r="W28" i="1"/>
  <c r="W82" i="1"/>
  <c r="W18" i="1"/>
  <c r="W44" i="1"/>
  <c r="W52" i="1"/>
  <c r="W83" i="1"/>
  <c r="W113" i="1"/>
  <c r="W71" i="1"/>
  <c r="W107" i="1"/>
  <c r="W56" i="1"/>
  <c r="W98" i="1"/>
  <c r="W30" i="1"/>
  <c r="W84" i="1"/>
  <c r="W96" i="1"/>
  <c r="W104" i="1"/>
  <c r="W111" i="1"/>
  <c r="W31" i="1"/>
  <c r="W7" i="1"/>
  <c r="W59" i="1"/>
  <c r="W34" i="1"/>
  <c r="W121" i="1"/>
  <c r="W47" i="1"/>
  <c r="W20" i="1"/>
  <c r="W66" i="1"/>
  <c r="W97" i="1"/>
  <c r="W70" i="1"/>
  <c r="W26" i="1"/>
  <c r="W116" i="1"/>
  <c r="W10" i="1"/>
  <c r="W118" i="1"/>
  <c r="W123" i="1"/>
  <c r="W57" i="1"/>
  <c r="W77" i="1"/>
  <c r="W67" i="1"/>
  <c r="W68" i="1"/>
  <c r="W53" i="1"/>
  <c r="W103" i="1"/>
  <c r="W65" i="1"/>
  <c r="W81" i="1"/>
  <c r="W120" i="1"/>
  <c r="W124" i="1"/>
  <c r="W72" i="1"/>
  <c r="W93" i="1"/>
  <c r="W87" i="1"/>
  <c r="W6" i="1"/>
  <c r="W79" i="1"/>
  <c r="W102" i="1"/>
  <c r="W42" i="1"/>
  <c r="W75" i="1"/>
  <c r="W99" i="1"/>
  <c r="W80" i="1"/>
  <c r="W51" i="1"/>
  <c r="W50" i="1"/>
  <c r="W43" i="1"/>
  <c r="W112" i="1"/>
  <c r="W40" i="1"/>
  <c r="W32" i="1"/>
  <c r="W38" i="1"/>
  <c r="W108" i="1"/>
  <c r="W63" i="1"/>
  <c r="AT9" i="1" l="1"/>
  <c r="AF6" i="1"/>
  <c r="AF19" i="1"/>
  <c r="AG19" i="1" s="1"/>
  <c r="AF65" i="1"/>
  <c r="AG65" i="1" s="1"/>
  <c r="AF22" i="1"/>
  <c r="AG22" i="1" s="1"/>
  <c r="AF105" i="1"/>
  <c r="AG105" i="1" s="1"/>
  <c r="AF78" i="1"/>
  <c r="AG78" i="1" s="1"/>
  <c r="AF107" i="1"/>
  <c r="AG107" i="1" s="1"/>
  <c r="AF119" i="1"/>
  <c r="AG119" i="1" s="1"/>
  <c r="AF124" i="1"/>
  <c r="AG124" i="1" s="1"/>
  <c r="AF36" i="1"/>
  <c r="AG36" i="1" s="1"/>
  <c r="AF41" i="1"/>
  <c r="AG41" i="1" s="1"/>
  <c r="AF40" i="1"/>
  <c r="AG40" i="1" s="1"/>
  <c r="AF102" i="1"/>
  <c r="AG102" i="1" s="1"/>
  <c r="AF89" i="1"/>
  <c r="AG89" i="1" s="1"/>
  <c r="AF16" i="1"/>
  <c r="AG16" i="1" s="1"/>
  <c r="AF26" i="1"/>
  <c r="AG26" i="1" s="1"/>
  <c r="AF30" i="1"/>
  <c r="AG30" i="1" s="1"/>
  <c r="AF103" i="1"/>
  <c r="AG103" i="1" s="1"/>
  <c r="AF108" i="1"/>
  <c r="AG108" i="1" s="1"/>
  <c r="AF46" i="1"/>
  <c r="AG46" i="1" s="1"/>
  <c r="AF7" i="1"/>
  <c r="AG7" i="1" s="1"/>
  <c r="AF71" i="1"/>
  <c r="AG71" i="1" s="1"/>
  <c r="AF93" i="1"/>
  <c r="AG93" i="1" s="1"/>
  <c r="AF94" i="1"/>
  <c r="AG94" i="1" s="1"/>
  <c r="AF114" i="1"/>
  <c r="AG114" i="1" s="1"/>
  <c r="AF62" i="1"/>
  <c r="AG62" i="1" s="1"/>
  <c r="AF75" i="1"/>
  <c r="AG75" i="1" s="1"/>
  <c r="AF112" i="1"/>
  <c r="AG112" i="1" s="1"/>
  <c r="AF117" i="1"/>
  <c r="AG117" i="1" s="1"/>
  <c r="AF35" i="1"/>
  <c r="AG35" i="1" s="1"/>
  <c r="AF118" i="1"/>
  <c r="AG118" i="1" s="1"/>
  <c r="AF70" i="1"/>
  <c r="AG70" i="1" s="1"/>
  <c r="AF11" i="1"/>
  <c r="AG11" i="1" s="1"/>
  <c r="AF96" i="1"/>
  <c r="AG96" i="1" s="1"/>
  <c r="AF101" i="1"/>
  <c r="AG101" i="1" s="1"/>
  <c r="AF12" i="1"/>
  <c r="AG12" i="1" s="1"/>
  <c r="AF113" i="1"/>
  <c r="AG113" i="1" s="1"/>
  <c r="AF34" i="1"/>
  <c r="AG34" i="1" s="1"/>
  <c r="AF115" i="1"/>
  <c r="AG115" i="1" s="1"/>
  <c r="AF120" i="1"/>
  <c r="AG120" i="1" s="1"/>
  <c r="AF76" i="1"/>
  <c r="AG76" i="1" s="1"/>
  <c r="AF82" i="1"/>
  <c r="AG82" i="1" s="1"/>
  <c r="AF43" i="1"/>
  <c r="AG43" i="1" s="1"/>
  <c r="AF79" i="1"/>
  <c r="AG79" i="1" s="1"/>
  <c r="AF97" i="1"/>
  <c r="AG97" i="1" s="1"/>
  <c r="AF98" i="1"/>
  <c r="AG98" i="1" s="1"/>
  <c r="AF68" i="1"/>
  <c r="AG68" i="1" s="1"/>
  <c r="AF48" i="1"/>
  <c r="AG48" i="1" s="1"/>
  <c r="AF90" i="1"/>
  <c r="AG90" i="1" s="1"/>
  <c r="AF31" i="1"/>
  <c r="AG31" i="1" s="1"/>
  <c r="AF83" i="1"/>
  <c r="AG83" i="1" s="1"/>
  <c r="AF88" i="1"/>
  <c r="AG88" i="1" s="1"/>
  <c r="AF64" i="1"/>
  <c r="AG64" i="1" s="1"/>
  <c r="AF69" i="1"/>
  <c r="AG69" i="1" s="1"/>
  <c r="AF86" i="1"/>
  <c r="AG86" i="1" s="1"/>
  <c r="AF63" i="1"/>
  <c r="AG63" i="1" s="1"/>
  <c r="AF50" i="1"/>
  <c r="AG50" i="1" s="1"/>
  <c r="AF100" i="1"/>
  <c r="AG100" i="1" s="1"/>
  <c r="AF122" i="1"/>
  <c r="AG122" i="1" s="1"/>
  <c r="AF66" i="1"/>
  <c r="AG66" i="1" s="1"/>
  <c r="AF91" i="1"/>
  <c r="AG91" i="1" s="1"/>
  <c r="AF67" i="1"/>
  <c r="AG67" i="1" s="1"/>
  <c r="AF72" i="1"/>
  <c r="AG72" i="1" s="1"/>
  <c r="AF109" i="1"/>
  <c r="AG109" i="1" s="1"/>
  <c r="AF81" i="1"/>
  <c r="AG81" i="1" s="1"/>
  <c r="AF38" i="1"/>
  <c r="AG38" i="1" s="1"/>
  <c r="AF37" i="1"/>
  <c r="AG37" i="1" s="1"/>
  <c r="AF73" i="1"/>
  <c r="AG73" i="1" s="1"/>
  <c r="AF49" i="1"/>
  <c r="AG49" i="1" s="1"/>
  <c r="AF42" i="1"/>
  <c r="AG42" i="1" s="1"/>
  <c r="AF106" i="1"/>
  <c r="AG106" i="1" s="1"/>
  <c r="AF84" i="1"/>
  <c r="AG84" i="1" s="1"/>
  <c r="AF20" i="1"/>
  <c r="AG20" i="1" s="1"/>
  <c r="AF77" i="1"/>
  <c r="AG77" i="1" s="1"/>
  <c r="AF10" i="1"/>
  <c r="AG10" i="1" s="1"/>
  <c r="AF14" i="1"/>
  <c r="AG14" i="1" s="1"/>
  <c r="AF39" i="1"/>
  <c r="AG39" i="1" s="1"/>
  <c r="AF44" i="1"/>
  <c r="AG44" i="1" s="1"/>
  <c r="AF24" i="1"/>
  <c r="AG24" i="1" s="1"/>
  <c r="AF111" i="1"/>
  <c r="AG111" i="1" s="1"/>
  <c r="AF23" i="1"/>
  <c r="AG23" i="1" s="1"/>
  <c r="AF28" i="1"/>
  <c r="AG28" i="1" s="1"/>
  <c r="AF80" i="1"/>
  <c r="AG80" i="1" s="1"/>
  <c r="AF85" i="1"/>
  <c r="AG85" i="1" s="1"/>
  <c r="AF110" i="1"/>
  <c r="AG110" i="1" s="1"/>
  <c r="AF47" i="1"/>
  <c r="AG47" i="1" s="1"/>
  <c r="AF92" i="1"/>
  <c r="AG92" i="1" s="1"/>
  <c r="AF95" i="1"/>
  <c r="AG95" i="1" s="1"/>
  <c r="AF74" i="1"/>
  <c r="AG74" i="1" s="1"/>
  <c r="AF27" i="1"/>
  <c r="AG27" i="1" s="1"/>
  <c r="AF18" i="1"/>
  <c r="AG18" i="1" s="1"/>
  <c r="AF8" i="1"/>
  <c r="AG8" i="1" s="1"/>
  <c r="AF45" i="1"/>
  <c r="AG45" i="1" s="1"/>
  <c r="AF87" i="1"/>
  <c r="AG87" i="1" s="1"/>
  <c r="AF125" i="1"/>
  <c r="AG125" i="1" s="1"/>
  <c r="AF32" i="1"/>
  <c r="AG32" i="1" s="1"/>
  <c r="AF99" i="1"/>
  <c r="AG99" i="1" s="1"/>
  <c r="AF104" i="1"/>
  <c r="AG104" i="1" s="1"/>
  <c r="AF15" i="1"/>
  <c r="AG15" i="1" s="1"/>
  <c r="AF116" i="1"/>
  <c r="AG116" i="1" s="1"/>
  <c r="AF121" i="1"/>
  <c r="AG121" i="1" s="1"/>
  <c r="AF33" i="1"/>
  <c r="AG33" i="1" s="1"/>
  <c r="AF123" i="1"/>
  <c r="AG123" i="1" s="1"/>
  <c r="X39" i="1"/>
  <c r="X49" i="1"/>
  <c r="X38" i="1"/>
  <c r="X64" i="1"/>
  <c r="X48" i="1"/>
  <c r="X45" i="1"/>
  <c r="X46" i="1"/>
  <c r="X50" i="1"/>
  <c r="X47" i="1"/>
  <c r="X44" i="1"/>
  <c r="X41" i="1"/>
  <c r="X42" i="1"/>
  <c r="X43" i="1"/>
  <c r="X40" i="1"/>
  <c r="X6" i="1"/>
  <c r="O18" i="1"/>
  <c r="X110" i="1"/>
  <c r="X78" i="1"/>
  <c r="X114" i="1"/>
  <c r="X82" i="1"/>
  <c r="X66" i="1"/>
  <c r="X34" i="1"/>
  <c r="X94" i="1"/>
  <c r="X62" i="1"/>
  <c r="X30" i="1"/>
  <c r="X98" i="1"/>
  <c r="X118" i="1"/>
  <c r="X102" i="1"/>
  <c r="X86" i="1"/>
  <c r="X70" i="1"/>
  <c r="X122" i="1"/>
  <c r="X106" i="1"/>
  <c r="X90" i="1"/>
  <c r="X74" i="1"/>
  <c r="X26" i="1"/>
  <c r="X22" i="1"/>
  <c r="X14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35" i="1"/>
  <c r="X31" i="1"/>
  <c r="X27" i="1"/>
  <c r="X23" i="1"/>
  <c r="X19" i="1"/>
  <c r="X15" i="1"/>
  <c r="X11" i="1"/>
  <c r="X7" i="1"/>
  <c r="X18" i="1"/>
  <c r="X124" i="1"/>
  <c r="X120" i="1"/>
  <c r="X116" i="1"/>
  <c r="X112" i="1"/>
  <c r="X108" i="1"/>
  <c r="X104" i="1"/>
  <c r="X100" i="1"/>
  <c r="X96" i="1"/>
  <c r="X92" i="1"/>
  <c r="X88" i="1"/>
  <c r="X84" i="1"/>
  <c r="X80" i="1"/>
  <c r="X76" i="1"/>
  <c r="X72" i="1"/>
  <c r="X68" i="1"/>
  <c r="X36" i="1"/>
  <c r="X32" i="1"/>
  <c r="X28" i="1"/>
  <c r="X24" i="1"/>
  <c r="X20" i="1"/>
  <c r="X16" i="1"/>
  <c r="X12" i="1"/>
  <c r="X8" i="1"/>
  <c r="X10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37" i="1"/>
  <c r="X33" i="1"/>
  <c r="AG29" i="1"/>
  <c r="X29" i="1"/>
  <c r="AG25" i="1"/>
  <c r="X25" i="1"/>
  <c r="X21" i="1"/>
  <c r="AG21" i="1"/>
  <c r="AG17" i="1"/>
  <c r="X17" i="1"/>
  <c r="AG13" i="1"/>
  <c r="X13" i="1"/>
  <c r="AG9" i="1"/>
  <c r="X9" i="1"/>
  <c r="O23" i="1"/>
  <c r="AM104" i="1"/>
  <c r="AM124" i="1"/>
  <c r="AM120" i="1"/>
  <c r="AM116" i="1"/>
  <c r="AM91" i="1"/>
  <c r="AM27" i="1"/>
  <c r="AM118" i="1"/>
  <c r="AM54" i="1"/>
  <c r="AM68" i="1"/>
  <c r="AM89" i="1"/>
  <c r="AM25" i="1"/>
  <c r="AM119" i="1"/>
  <c r="AM55" i="1"/>
  <c r="AM76" i="1"/>
  <c r="AM82" i="1"/>
  <c r="AM18" i="1"/>
  <c r="AM117" i="1"/>
  <c r="AM53" i="1"/>
  <c r="AM24" i="1"/>
  <c r="AM67" i="1"/>
  <c r="AM112" i="1"/>
  <c r="AM94" i="1"/>
  <c r="AM30" i="1"/>
  <c r="AM65" i="1"/>
  <c r="AM60" i="1"/>
  <c r="AM79" i="1"/>
  <c r="AM15" i="1"/>
  <c r="AM106" i="1"/>
  <c r="AM42" i="1"/>
  <c r="AM32" i="1"/>
  <c r="AM77" i="1"/>
  <c r="AM13" i="1"/>
  <c r="AM48" i="1"/>
  <c r="AM75" i="1"/>
  <c r="AM11" i="1"/>
  <c r="AM102" i="1"/>
  <c r="AM38" i="1"/>
  <c r="AM20" i="1"/>
  <c r="AM73" i="1"/>
  <c r="AM9" i="1"/>
  <c r="AM103" i="1"/>
  <c r="AM39" i="1"/>
  <c r="AM28" i="1"/>
  <c r="AM66" i="1"/>
  <c r="AM96" i="1"/>
  <c r="AM101" i="1"/>
  <c r="AM37" i="1"/>
  <c r="AM115" i="1"/>
  <c r="AM51" i="1"/>
  <c r="AM64" i="1"/>
  <c r="AM78" i="1"/>
  <c r="AM14" i="1"/>
  <c r="AM113" i="1"/>
  <c r="AM49" i="1"/>
  <c r="AM12" i="1"/>
  <c r="AM63" i="1"/>
  <c r="AM100" i="1"/>
  <c r="AM90" i="1"/>
  <c r="AM26" i="1"/>
  <c r="AM125" i="1"/>
  <c r="AM61" i="1"/>
  <c r="AM123" i="1"/>
  <c r="AM59" i="1"/>
  <c r="AM88" i="1"/>
  <c r="AM86" i="1"/>
  <c r="AM22" i="1"/>
  <c r="AM121" i="1"/>
  <c r="AM57" i="1"/>
  <c r="AM92" i="1"/>
  <c r="AM87" i="1"/>
  <c r="AM23" i="1"/>
  <c r="AM114" i="1"/>
  <c r="AM50" i="1"/>
  <c r="AM56" i="1"/>
  <c r="AM85" i="1"/>
  <c r="AM21" i="1"/>
  <c r="AM99" i="1"/>
  <c r="AM35" i="1"/>
  <c r="AM16" i="1"/>
  <c r="AM62" i="1"/>
  <c r="AM84" i="1"/>
  <c r="AM97" i="1"/>
  <c r="AM33" i="1"/>
  <c r="AM111" i="1"/>
  <c r="AM47" i="1"/>
  <c r="AM52" i="1"/>
  <c r="AM74" i="1"/>
  <c r="AM10" i="1"/>
  <c r="AM109" i="1"/>
  <c r="AM45" i="1"/>
  <c r="AM107" i="1"/>
  <c r="AM43" i="1"/>
  <c r="AM40" i="1"/>
  <c r="AM70" i="1"/>
  <c r="AM108" i="1"/>
  <c r="AM105" i="1"/>
  <c r="AM41" i="1"/>
  <c r="AM36" i="1"/>
  <c r="AM71" i="1"/>
  <c r="AM7" i="1"/>
  <c r="AM98" i="1"/>
  <c r="AM34" i="1"/>
  <c r="AM8" i="1"/>
  <c r="AM69" i="1"/>
  <c r="AM72" i="1"/>
  <c r="AM83" i="1"/>
  <c r="AM19" i="1"/>
  <c r="AM110" i="1"/>
  <c r="AM46" i="1"/>
  <c r="AM44" i="1"/>
  <c r="AM81" i="1"/>
  <c r="AM17" i="1"/>
  <c r="AM95" i="1"/>
  <c r="AM31" i="1"/>
  <c r="AM122" i="1"/>
  <c r="AM58" i="1"/>
  <c r="AM80" i="1"/>
  <c r="AM93" i="1"/>
  <c r="AM29" i="1"/>
  <c r="O19" i="1"/>
  <c r="X53" i="1"/>
  <c r="X57" i="1"/>
  <c r="X61" i="1"/>
  <c r="X60" i="1"/>
  <c r="X58" i="1"/>
  <c r="X56" i="1"/>
  <c r="X59" i="1"/>
  <c r="X55" i="1"/>
  <c r="X52" i="1"/>
  <c r="X51" i="1"/>
  <c r="X54" i="1"/>
  <c r="AU6" i="1" l="1"/>
  <c r="AM4" i="1"/>
  <c r="AF60" i="1"/>
  <c r="AG60" i="1" s="1"/>
  <c r="AF54" i="1"/>
  <c r="AG54" i="1" s="1"/>
  <c r="AF56" i="1"/>
  <c r="AG56" i="1" s="1"/>
  <c r="AF55" i="1"/>
  <c r="AG55" i="1" s="1"/>
  <c r="AF53" i="1"/>
  <c r="AG53" i="1" s="1"/>
  <c r="AF57" i="1"/>
  <c r="AG57" i="1" s="1"/>
  <c r="AF61" i="1"/>
  <c r="AG61" i="1" s="1"/>
  <c r="AH65" i="1" s="1"/>
  <c r="AF58" i="1"/>
  <c r="AG58" i="1" s="1"/>
  <c r="AF59" i="1"/>
  <c r="AG59" i="1" s="1"/>
  <c r="AF52" i="1"/>
  <c r="AG52" i="1" s="1"/>
  <c r="AF51" i="1"/>
  <c r="AG51" i="1" s="1"/>
  <c r="AH51" i="1" s="1"/>
  <c r="AH45" i="1"/>
  <c r="AH80" i="1"/>
  <c r="AH88" i="1"/>
  <c r="AH96" i="1"/>
  <c r="AH104" i="1"/>
  <c r="AH112" i="1"/>
  <c r="AH120" i="1"/>
  <c r="AH11" i="1"/>
  <c r="AH19" i="1"/>
  <c r="AH27" i="1"/>
  <c r="AH35" i="1"/>
  <c r="AH71" i="1"/>
  <c r="AH74" i="1"/>
  <c r="AH106" i="1"/>
  <c r="AH66" i="1"/>
  <c r="AH38" i="1"/>
  <c r="AH47" i="1"/>
  <c r="AH50" i="1"/>
  <c r="AH114" i="1"/>
  <c r="AH13" i="1"/>
  <c r="AH29" i="1"/>
  <c r="AH81" i="1"/>
  <c r="AH44" i="1"/>
  <c r="AH87" i="1"/>
  <c r="AH119" i="1"/>
  <c r="AH21" i="1"/>
  <c r="AH37" i="1"/>
  <c r="AH49" i="1"/>
  <c r="AH73" i="1"/>
  <c r="AH89" i="1"/>
  <c r="AH97" i="1"/>
  <c r="AH105" i="1"/>
  <c r="AH113" i="1"/>
  <c r="AH121" i="1"/>
  <c r="AH12" i="1"/>
  <c r="AH20" i="1"/>
  <c r="AH28" i="1"/>
  <c r="AH36" i="1"/>
  <c r="AH48" i="1"/>
  <c r="AH84" i="1"/>
  <c r="AH15" i="1"/>
  <c r="AH107" i="1"/>
  <c r="AH42" i="1"/>
  <c r="AH122" i="1"/>
  <c r="AH86" i="1"/>
  <c r="AH95" i="1"/>
  <c r="AH26" i="1"/>
  <c r="AH25" i="1"/>
  <c r="AH68" i="1"/>
  <c r="AH76" i="1"/>
  <c r="AH92" i="1"/>
  <c r="AH100" i="1"/>
  <c r="AH108" i="1"/>
  <c r="AH116" i="1"/>
  <c r="AH124" i="1"/>
  <c r="AH22" i="1"/>
  <c r="AH23" i="1"/>
  <c r="AH31" i="1"/>
  <c r="AH39" i="1"/>
  <c r="AH67" i="1"/>
  <c r="AH75" i="1"/>
  <c r="AH83" i="1"/>
  <c r="AH91" i="1"/>
  <c r="AH99" i="1"/>
  <c r="AH115" i="1"/>
  <c r="AH123" i="1"/>
  <c r="AH18" i="1"/>
  <c r="AH30" i="1"/>
  <c r="AH78" i="1"/>
  <c r="AH110" i="1"/>
  <c r="AH90" i="1"/>
  <c r="AH34" i="1"/>
  <c r="AH98" i="1"/>
  <c r="AH82" i="1"/>
  <c r="AH79" i="1"/>
  <c r="AH111" i="1"/>
  <c r="AH94" i="1"/>
  <c r="AH102" i="1"/>
  <c r="AH117" i="1"/>
  <c r="AH17" i="1"/>
  <c r="AH33" i="1"/>
  <c r="AH41" i="1"/>
  <c r="AH69" i="1"/>
  <c r="AH77" i="1"/>
  <c r="AH85" i="1"/>
  <c r="AH93" i="1"/>
  <c r="AH101" i="1"/>
  <c r="AH109" i="1"/>
  <c r="AH125" i="1"/>
  <c r="AH14" i="1"/>
  <c r="AH16" i="1"/>
  <c r="AH24" i="1"/>
  <c r="AH32" i="1"/>
  <c r="AH40" i="1"/>
  <c r="AH72" i="1"/>
  <c r="AH43" i="1"/>
  <c r="AH103" i="1"/>
  <c r="AH46" i="1"/>
  <c r="AH70" i="1"/>
  <c r="AH118" i="1"/>
  <c r="AG6" i="1"/>
  <c r="AE4" i="1"/>
  <c r="AQ9" i="1" l="1"/>
  <c r="AS14" i="1" s="1"/>
  <c r="AH57" i="1"/>
  <c r="AH56" i="1"/>
  <c r="AH58" i="1"/>
  <c r="AH64" i="1"/>
  <c r="AH63" i="1"/>
  <c r="AH62" i="1"/>
  <c r="AH59" i="1"/>
  <c r="AF4" i="1"/>
  <c r="AH60" i="1"/>
  <c r="AH61" i="1"/>
  <c r="AH53" i="1"/>
  <c r="AH55" i="1"/>
  <c r="AH52" i="1"/>
  <c r="AH54" i="1"/>
  <c r="AH9" i="1"/>
  <c r="AH10" i="1"/>
  <c r="AH7" i="1"/>
  <c r="AH8" i="1"/>
  <c r="AG4" i="1"/>
  <c r="AH6" i="1"/>
  <c r="AS18" i="1" l="1"/>
  <c r="AS9" i="1"/>
  <c r="AS16" i="1" s="1"/>
  <c r="AW4" i="1"/>
  <c r="BA6" i="1"/>
  <c r="AS13" i="1" l="1"/>
  <c r="AS20" i="1"/>
  <c r="AS19" i="1"/>
  <c r="AS21" i="1"/>
  <c r="AS22" i="1"/>
  <c r="AS12" i="1"/>
  <c r="AS15" i="1"/>
  <c r="AV9" i="1" l="1"/>
  <c r="AS23" i="1" s="1"/>
  <c r="BB3" i="1"/>
  <c r="AS25" i="1" l="1"/>
  <c r="AW12" i="1"/>
  <c r="AW14" i="1" s="1"/>
  <c r="AY12" i="1"/>
  <c r="AY14" i="1" s="1"/>
  <c r="AZ12" i="1"/>
  <c r="AZ14" i="1" s="1"/>
  <c r="AX12" i="1"/>
  <c r="AX14" i="1" s="1"/>
  <c r="AS17" i="1"/>
  <c r="BB12" i="1"/>
  <c r="BB14" i="1" s="1"/>
  <c r="BA12" i="1"/>
  <c r="BA14" i="1" s="1"/>
  <c r="AV12" i="1"/>
  <c r="AV14" i="1" s="1"/>
  <c r="AS24" i="1"/>
  <c r="AZ9" i="1" l="1"/>
  <c r="AT17" i="1" s="1"/>
  <c r="AT24" i="1" l="1"/>
  <c r="AT23" i="1"/>
  <c r="AT25" i="1"/>
</calcChain>
</file>

<file path=xl/sharedStrings.xml><?xml version="1.0" encoding="utf-8"?>
<sst xmlns="http://schemas.openxmlformats.org/spreadsheetml/2006/main" count="489" uniqueCount="193">
  <si>
    <t>Plants</t>
  </si>
  <si>
    <t>Crops</t>
  </si>
  <si>
    <t>Wheat</t>
  </si>
  <si>
    <t>Corn</t>
  </si>
  <si>
    <t>Apple Tree</t>
  </si>
  <si>
    <t>Grapes</t>
  </si>
  <si>
    <t>Beans</t>
  </si>
  <si>
    <t>Rice</t>
  </si>
  <si>
    <t>Growth Period</t>
  </si>
  <si>
    <t>Temperature Range</t>
  </si>
  <si>
    <t>Rainfall</t>
  </si>
  <si>
    <t>Calories / lbs.</t>
  </si>
  <si>
    <t>Calories/Unit</t>
  </si>
  <si>
    <t>Human food units</t>
  </si>
  <si>
    <t>Assume a 20 x 20 grid of 100 ft^2 square, find values for each square or 0.00229568 acres</t>
  </si>
  <si>
    <t>Avg. Yield/Acre</t>
  </si>
  <si>
    <t>Calories/day human avg</t>
  </si>
  <si>
    <t>per year</t>
  </si>
  <si>
    <t>Roots</t>
  </si>
  <si>
    <t>Onions</t>
  </si>
  <si>
    <t>Carrots</t>
  </si>
  <si>
    <t>Berries</t>
  </si>
  <si>
    <t>Gatherable</t>
  </si>
  <si>
    <t>Seeds</t>
  </si>
  <si>
    <t>Nuts</t>
  </si>
  <si>
    <t>Grazing</t>
  </si>
  <si>
    <t>Grass</t>
  </si>
  <si>
    <t>Weight/unit</t>
  </si>
  <si>
    <t>* use turnips</t>
  </si>
  <si>
    <t>Weight/Food Unit</t>
  </si>
  <si>
    <t>Pine nuts</t>
  </si>
  <si>
    <t>Acorns</t>
  </si>
  <si>
    <t>* number based on calorie need of a 1000 pound horse (25000) consuming 25 pounds of grass a day</t>
  </si>
  <si>
    <t xml:space="preserve">bermuda/rye 11,500/yr 62 112 1080 1140 1674 1410 2015 1798 930 589 570 120 </t>
  </si>
  <si>
    <t>fescue 7,500/yr 93 410 1085 1500 1178 450 155 248 540 1178 570 93</t>
  </si>
  <si>
    <t>Foiliage</t>
  </si>
  <si>
    <t>food unit/pound</t>
  </si>
  <si>
    <t>Scrub</t>
  </si>
  <si>
    <t>days/year/ratio</t>
  </si>
  <si>
    <t>Frost Kills</t>
  </si>
  <si>
    <t>Yes</t>
  </si>
  <si>
    <t>No</t>
  </si>
  <si>
    <t>Avg. Rainfall at that rate</t>
  </si>
  <si>
    <t>* Wheat needs a dry summer</t>
  </si>
  <si>
    <t>* Corn needs a wet summer</t>
  </si>
  <si>
    <t>all</t>
  </si>
  <si>
    <t>Avg. Yield/Plant/Day</t>
  </si>
  <si>
    <t>Avg. Yield/Acre/Day</t>
  </si>
  <si>
    <t>Sample Year</t>
  </si>
  <si>
    <t>Day</t>
  </si>
  <si>
    <t>Temps</t>
  </si>
  <si>
    <t>Quality</t>
  </si>
  <si>
    <t>Crop, acceptable days</t>
  </si>
  <si>
    <t xml:space="preserve">RainTotal </t>
  </si>
  <si>
    <t>Rain Multiplier</t>
  </si>
  <si>
    <t>Crop Type:</t>
  </si>
  <si>
    <t>Potato</t>
  </si>
  <si>
    <t>Crop Available</t>
  </si>
  <si>
    <t>Total Days</t>
  </si>
  <si>
    <t>Decay</t>
  </si>
  <si>
    <t>REVERSE THE GROWTH TIMES SO THEY END AT HARVEST</t>
  </si>
  <si>
    <t>THIS MEANS WE NEED A PRIOR YR TO LOOK AT FOR THIS TRICK</t>
  </si>
  <si>
    <t>THEN USE AN ESTIMATED % OF THE TYPE OF HABITAT TO DETERMINE OTHER FEEDS</t>
  </si>
  <si>
    <t>REMEMBER NO RANDOMNESS!!!</t>
  </si>
  <si>
    <t>THEN USE THOSE NUMBERS TO GENERATE THE GAME AVAILABLE</t>
  </si>
  <si>
    <t>Oaks</t>
  </si>
  <si>
    <t>Tropical</t>
  </si>
  <si>
    <t>Pine</t>
  </si>
  <si>
    <t>Grazing Units</t>
  </si>
  <si>
    <t>Seed Units</t>
  </si>
  <si>
    <t>Gather units</t>
  </si>
  <si>
    <t>Foiliage Units</t>
  </si>
  <si>
    <t>* NOTE:  CROPS LAST X DAYS, ONLY SPAWN ON THE DATE LISTED</t>
  </si>
  <si>
    <t>* OTHERS ARE DAILY NUMBERS</t>
  </si>
  <si>
    <t>Trees avg 1/10 sq.ft. to 1/90 sq.ft.</t>
  </si>
  <si>
    <t>Shrub Leaves</t>
  </si>
  <si>
    <t>Desert Scrub</t>
  </si>
  <si>
    <t>Forest Leaves</t>
  </si>
  <si>
    <t>Pine Needles</t>
  </si>
  <si>
    <t>Gather today</t>
  </si>
  <si>
    <t>Game</t>
  </si>
  <si>
    <t>Water</t>
  </si>
  <si>
    <t>Fish</t>
  </si>
  <si>
    <t>Type</t>
  </si>
  <si>
    <t>both</t>
  </si>
  <si>
    <t>Shark</t>
  </si>
  <si>
    <t>Crocidile</t>
  </si>
  <si>
    <t>Ocean</t>
  </si>
  <si>
    <t>%</t>
  </si>
  <si>
    <t>% Based Upon</t>
  </si>
  <si>
    <t>Avg. lbs. of Fish/Ocean Tile</t>
  </si>
  <si>
    <t>* Assume a volume depth of -5 or approximately a cube of ocean water and an average 40 lbs fish</t>
  </si>
  <si>
    <t>* .2 kcal/hr/kg</t>
  </si>
  <si>
    <t>kcal /yr</t>
  </si>
  <si>
    <t>Reg.</t>
  </si>
  <si>
    <t>Fish/Ocean</t>
  </si>
  <si>
    <t>Freshwater, Swamp/Rainforest</t>
  </si>
  <si>
    <t>* avg 790 pound american alligator</t>
  </si>
  <si>
    <t>Squirrel</t>
  </si>
  <si>
    <t>Rabbit</t>
  </si>
  <si>
    <t>Lizard</t>
  </si>
  <si>
    <t>Chicken</t>
  </si>
  <si>
    <t>Songbird</t>
  </si>
  <si>
    <t>Habitat</t>
  </si>
  <si>
    <t>Foods</t>
  </si>
  <si>
    <t>% of Food</t>
  </si>
  <si>
    <t>Hot</t>
  </si>
  <si>
    <t>Temperate</t>
  </si>
  <si>
    <t>Rat</t>
  </si>
  <si>
    <t>Frog</t>
  </si>
  <si>
    <t>Fox</t>
  </si>
  <si>
    <t>Cat</t>
  </si>
  <si>
    <t>Falcon</t>
  </si>
  <si>
    <t>Avg. lbs./Animal</t>
  </si>
  <si>
    <t>Wet, Very Wet</t>
  </si>
  <si>
    <t>Very Dry, Dry</t>
  </si>
  <si>
    <t>Very Dry, Dry, Very Wet, *Desert</t>
  </si>
  <si>
    <t>Dry, Wet</t>
  </si>
  <si>
    <t>Temperate, Hot</t>
  </si>
  <si>
    <t>Cold, Temperate</t>
  </si>
  <si>
    <t>Dry, Wet, Very Wet</t>
  </si>
  <si>
    <t>Tier</t>
  </si>
  <si>
    <t>P1</t>
  </si>
  <si>
    <t>Grazing, Foiliage</t>
  </si>
  <si>
    <t>Seeds, Foiliage</t>
  </si>
  <si>
    <t>P2</t>
  </si>
  <si>
    <t>Whale</t>
  </si>
  <si>
    <t>* based on humpback, 66000 lbs</t>
  </si>
  <si>
    <t>Regeneration Rate</t>
  </si>
  <si>
    <t>Daily Units Consumed</t>
  </si>
  <si>
    <t>Game Sums</t>
  </si>
  <si>
    <t>Tier 1, 2, 3</t>
  </si>
  <si>
    <t>TOTAL</t>
  </si>
  <si>
    <t>Herd Animals</t>
  </si>
  <si>
    <t>Cow</t>
  </si>
  <si>
    <t>Sheep</t>
  </si>
  <si>
    <t>Camel</t>
  </si>
  <si>
    <t>Horse</t>
  </si>
  <si>
    <t>Pig</t>
  </si>
  <si>
    <t>Wolf</t>
  </si>
  <si>
    <t>Deer</t>
  </si>
  <si>
    <t>Bison</t>
  </si>
  <si>
    <t>Elephant</t>
  </si>
  <si>
    <t>Mammoth</t>
  </si>
  <si>
    <t>Antelope</t>
  </si>
  <si>
    <t>Lion</t>
  </si>
  <si>
    <t>Human</t>
  </si>
  <si>
    <t>Dry</t>
  </si>
  <si>
    <t>Hot, Temperate</t>
  </si>
  <si>
    <t>Very Dry</t>
  </si>
  <si>
    <t>Skin Units</t>
  </si>
  <si>
    <t>Other Prod.</t>
  </si>
  <si>
    <t>Egg</t>
  </si>
  <si>
    <t>Grazing, Scrub</t>
  </si>
  <si>
    <t>Grazing, Foiliage, Scrub</t>
  </si>
  <si>
    <t>Grazing, Foiliage, Scrub, Seeds</t>
  </si>
  <si>
    <t>Game, Herds</t>
  </si>
  <si>
    <t>Gather, Game, *Nuts, Crops</t>
  </si>
  <si>
    <t>*</t>
  </si>
  <si>
    <t>Monsters</t>
  </si>
  <si>
    <t>Sabre-Tooth Tiger</t>
  </si>
  <si>
    <t>Cave-Bear</t>
  </si>
  <si>
    <t>Mega-Panther</t>
  </si>
  <si>
    <t>Very Wet</t>
  </si>
  <si>
    <t>P3</t>
  </si>
  <si>
    <t>Milk</t>
  </si>
  <si>
    <t>Wool</t>
  </si>
  <si>
    <t>Ivory</t>
  </si>
  <si>
    <t>Domestic Dog</t>
  </si>
  <si>
    <t>Domestic Cat</t>
  </si>
  <si>
    <t>Sanitation</t>
  </si>
  <si>
    <t>Hunting</t>
  </si>
  <si>
    <t>Game, Herds, Foiliage</t>
  </si>
  <si>
    <t>Grazing Left</t>
  </si>
  <si>
    <t>Seeds Left</t>
  </si>
  <si>
    <t>Foiliage Left</t>
  </si>
  <si>
    <t>Meat Left</t>
  </si>
  <si>
    <t>Max Herd Supported</t>
  </si>
  <si>
    <t>Animals Consumed</t>
  </si>
  <si>
    <t>Game Animal Sum</t>
  </si>
  <si>
    <t>Ideal Predation</t>
  </si>
  <si>
    <t>Regeneratable excess meat</t>
  </si>
  <si>
    <t>N/A</t>
  </si>
  <si>
    <t>Range</t>
  </si>
  <si>
    <t>Cold</t>
  </si>
  <si>
    <t>Wet</t>
  </si>
  <si>
    <t>Special Crops</t>
  </si>
  <si>
    <t>Cotton</t>
  </si>
  <si>
    <t>Smokable Herb</t>
  </si>
  <si>
    <t>Medicinal Herb</t>
  </si>
  <si>
    <t>Units/Tile</t>
  </si>
  <si>
    <t>FORAGE CONST</t>
  </si>
  <si>
    <t>Very Dry, Dry,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</si>
</sst>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%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2" fontId="1" fillId="0" borderId="0" xfId="0" applyNumberFormat="1" applyFont="1"/>
    <xf numFmtId="2" fontId="0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0" fontId="0" fillId="0" borderId="0" xfId="1" applyNumberFormat="1" applyFont="1"/>
    <xf numFmtId="165" fontId="0" fillId="0" borderId="0" xfId="1" applyNumberFormat="1" applyFont="1"/>
    <xf numFmtId="0" fontId="4" fillId="0" borderId="0" xfId="0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5"/>
  <sheetViews>
    <sheetView tabSelected="1" topLeftCell="AB7" workbookViewId="0">
      <selection activeCell="AT17" sqref="AT17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8.7109375" customWidth="1"/>
    <col min="4" max="4" width="9.85546875" customWidth="1"/>
    <col min="5" max="5" width="11.140625" bestFit="1" customWidth="1"/>
    <col min="6" max="6" width="7.5703125" customWidth="1"/>
    <col min="7" max="7" width="10" customWidth="1"/>
    <col min="8" max="8" width="9.140625" bestFit="1" customWidth="1"/>
    <col min="9" max="9" width="13.140625" bestFit="1" customWidth="1"/>
    <col min="10" max="10" width="15.85546875" bestFit="1" customWidth="1"/>
    <col min="11" max="11" width="18.5703125" customWidth="1"/>
    <col min="12" max="12" width="12.7109375" bestFit="1" customWidth="1"/>
    <col min="13" max="13" width="16.85546875" bestFit="1" customWidth="1"/>
    <col min="14" max="14" width="12" bestFit="1" customWidth="1"/>
    <col min="15" max="15" width="17.42578125" bestFit="1" customWidth="1"/>
    <col min="18" max="18" width="10" bestFit="1" customWidth="1"/>
    <col min="23" max="23" width="10.28515625" customWidth="1"/>
    <col min="24" max="24" width="7.42578125" bestFit="1" customWidth="1"/>
    <col min="26" max="26" width="5" style="11" customWidth="1"/>
    <col min="27" max="27" width="6.85546875" bestFit="1" customWidth="1"/>
    <col min="28" max="28" width="7.7109375" bestFit="1" customWidth="1"/>
    <col min="29" max="29" width="6.28515625" bestFit="1" customWidth="1"/>
    <col min="30" max="30" width="10" customWidth="1"/>
    <col min="31" max="31" width="6.5703125" bestFit="1" customWidth="1"/>
    <col min="32" max="32" width="9.5703125" customWidth="1"/>
    <col min="33" max="33" width="11.5703125" customWidth="1"/>
    <col min="34" max="34" width="12.5703125" bestFit="1" customWidth="1"/>
    <col min="35" max="35" width="6.5703125" bestFit="1" customWidth="1"/>
    <col min="36" max="36" width="7" bestFit="1" customWidth="1"/>
    <col min="37" max="37" width="8" bestFit="1" customWidth="1"/>
    <col min="38" max="38" width="5" bestFit="1" customWidth="1"/>
    <col min="39" max="39" width="12.85546875" bestFit="1" customWidth="1"/>
    <col min="40" max="40" width="10.5703125" bestFit="1" customWidth="1"/>
    <col min="41" max="41" width="12.85546875" customWidth="1"/>
    <col min="42" max="42" width="8" customWidth="1"/>
    <col min="43" max="43" width="6.7109375" bestFit="1" customWidth="1"/>
    <col min="44" max="44" width="6.140625" bestFit="1" customWidth="1"/>
    <col min="45" max="45" width="8" bestFit="1" customWidth="1"/>
    <col min="46" max="46" width="8.85546875" bestFit="1" customWidth="1"/>
    <col min="47" max="48" width="5" bestFit="1" customWidth="1"/>
    <col min="49" max="49" width="4.85546875" customWidth="1"/>
    <col min="50" max="50" width="3.85546875" bestFit="1" customWidth="1"/>
    <col min="51" max="51" width="6.85546875" customWidth="1"/>
  </cols>
  <sheetData>
    <row r="1" spans="1:54" x14ac:dyDescent="0.25">
      <c r="AB1" s="15" t="s">
        <v>106</v>
      </c>
      <c r="AC1" s="1" t="s">
        <v>149</v>
      </c>
      <c r="AD1" s="4">
        <v>0</v>
      </c>
      <c r="AE1" s="1" t="s">
        <v>147</v>
      </c>
      <c r="AF1" s="4">
        <v>0</v>
      </c>
      <c r="AG1" s="1" t="s">
        <v>185</v>
      </c>
      <c r="AH1" s="4">
        <v>0</v>
      </c>
      <c r="AI1" s="1" t="s">
        <v>163</v>
      </c>
      <c r="AJ1" s="4">
        <v>0</v>
      </c>
      <c r="AP1" t="s">
        <v>191</v>
      </c>
      <c r="AR1">
        <v>0.2</v>
      </c>
    </row>
    <row r="2" spans="1:54" x14ac:dyDescent="0.25">
      <c r="AB2" s="15" t="s">
        <v>107</v>
      </c>
      <c r="AC2" s="1" t="s">
        <v>149</v>
      </c>
      <c r="AD2" s="4">
        <v>0</v>
      </c>
      <c r="AE2" s="1" t="s">
        <v>147</v>
      </c>
      <c r="AF2" s="4">
        <v>0.42</v>
      </c>
      <c r="AG2" s="1" t="s">
        <v>185</v>
      </c>
      <c r="AH2" s="4">
        <v>0.57999999999999996</v>
      </c>
      <c r="AI2" s="1" t="s">
        <v>163</v>
      </c>
      <c r="AJ2" s="4">
        <v>0</v>
      </c>
    </row>
    <row r="3" spans="1:54" x14ac:dyDescent="0.25">
      <c r="A3" s="2" t="s">
        <v>0</v>
      </c>
      <c r="C3" t="s">
        <v>14</v>
      </c>
      <c r="N3">
        <v>2.29568E-3</v>
      </c>
      <c r="P3" t="s">
        <v>16</v>
      </c>
      <c r="S3">
        <v>2700</v>
      </c>
      <c r="T3" t="s">
        <v>17</v>
      </c>
      <c r="U3">
        <f>S3*120</f>
        <v>324000</v>
      </c>
      <c r="V3" t="s">
        <v>38</v>
      </c>
      <c r="W3">
        <f>120/365</f>
        <v>0.32876712328767121</v>
      </c>
      <c r="Y3" s="15" t="s">
        <v>107</v>
      </c>
      <c r="Z3" s="10" t="s">
        <v>48</v>
      </c>
      <c r="AB3" s="15" t="s">
        <v>184</v>
      </c>
      <c r="AC3" s="1" t="s">
        <v>149</v>
      </c>
      <c r="AD3" s="4">
        <v>0</v>
      </c>
      <c r="AE3" s="1" t="s">
        <v>147</v>
      </c>
      <c r="AF3" s="4">
        <v>0</v>
      </c>
      <c r="AG3" s="1" t="s">
        <v>185</v>
      </c>
      <c r="AH3" s="4">
        <v>0</v>
      </c>
      <c r="AI3" s="1" t="s">
        <v>163</v>
      </c>
      <c r="AJ3" s="4">
        <v>0</v>
      </c>
      <c r="AK3" s="1"/>
      <c r="AL3" s="4"/>
      <c r="AP3" t="s">
        <v>72</v>
      </c>
      <c r="AW3" s="1" t="s">
        <v>130</v>
      </c>
      <c r="AZ3" s="1" t="s">
        <v>131</v>
      </c>
      <c r="BA3" s="1" t="s">
        <v>132</v>
      </c>
      <c r="BB3">
        <f>SUM(AW4:AY4)+AW6*M47+AX6*M48+AY6*M49</f>
        <v>46.242369139285614</v>
      </c>
    </row>
    <row r="4" spans="1:54" s="1" customFormat="1" x14ac:dyDescent="0.25">
      <c r="A4" s="1" t="s">
        <v>1</v>
      </c>
      <c r="B4" s="1" t="s">
        <v>8</v>
      </c>
      <c r="C4" s="1" t="s">
        <v>9</v>
      </c>
      <c r="E4" s="1" t="s">
        <v>10</v>
      </c>
      <c r="G4" s="1" t="s">
        <v>39</v>
      </c>
      <c r="H4" s="1" t="s">
        <v>59</v>
      </c>
      <c r="I4" s="1" t="s">
        <v>11</v>
      </c>
      <c r="J4" s="1" t="s">
        <v>36</v>
      </c>
      <c r="K4" s="1" t="s">
        <v>15</v>
      </c>
      <c r="L4" s="1" t="s">
        <v>12</v>
      </c>
      <c r="M4" s="1" t="s">
        <v>13</v>
      </c>
      <c r="N4" s="1" t="s">
        <v>27</v>
      </c>
      <c r="O4" s="1" t="s">
        <v>29</v>
      </c>
      <c r="Q4" s="1" t="s">
        <v>42</v>
      </c>
      <c r="W4" s="1" t="s">
        <v>55</v>
      </c>
      <c r="X4"/>
      <c r="Y4" t="s">
        <v>3</v>
      </c>
      <c r="Z4" s="11">
        <f>VLOOKUP($Y$4, $A$5:$F$21, 3, FALSE)</f>
        <v>68</v>
      </c>
      <c r="AA4">
        <f>VLOOKUP($Y$4, $A$5:$F$21, 4, FALSE)</f>
        <v>88</v>
      </c>
      <c r="AB4">
        <f>VLOOKUP($Y$4, $A$5:$F$21, 5, FALSE)</f>
        <v>14.8</v>
      </c>
      <c r="AC4">
        <f>VLOOKUP($Y$4, $A$5:$F$21, 6, FALSE)</f>
        <v>22.2</v>
      </c>
      <c r="AD4" s="1" t="s">
        <v>58</v>
      </c>
      <c r="AE4" s="1">
        <f ca="1">COUNTIF(W6:W125, "yes")</f>
        <v>11</v>
      </c>
      <c r="AF4" s="8">
        <f ca="1">SUM(AF6:AF125)</f>
        <v>52.639590139590148</v>
      </c>
      <c r="AG4" s="8">
        <f ca="1">SUM(AG6:AG125)</f>
        <v>56.843966393911515</v>
      </c>
      <c r="AI4" s="1" t="s">
        <v>51</v>
      </c>
      <c r="AJ4" s="7">
        <v>50</v>
      </c>
      <c r="AM4" s="1">
        <f>SUM(AM6:AM125)*AR1</f>
        <v>225.96695954828897</v>
      </c>
      <c r="AN4" s="1">
        <f>SUM(AN6:AN125)*AR1</f>
        <v>181.84200638971936</v>
      </c>
      <c r="AO4" s="1">
        <f>SUM(AO6:AO125)*AR1</f>
        <v>40.288164664554444</v>
      </c>
      <c r="AP4" s="3" t="s">
        <v>73</v>
      </c>
      <c r="AW4" s="1">
        <f>AP6*M40+AQ6*M41+AR6*M42+AS6*M43+AT6*M44+AU6*M45+AV6*M46</f>
        <v>45.444381613426621</v>
      </c>
    </row>
    <row r="5" spans="1:54" x14ac:dyDescent="0.25">
      <c r="A5" t="s">
        <v>2</v>
      </c>
      <c r="B5">
        <f>ROUND((34/52)*120, 0)</f>
        <v>78</v>
      </c>
      <c r="C5">
        <f>ROUND((3600/365)*2+55,0)</f>
        <v>75</v>
      </c>
      <c r="D5">
        <f>ROUND((3600/365)*2+75,0)</f>
        <v>95</v>
      </c>
      <c r="E5">
        <f>ROUND(2*7.5*$W$3,1)</f>
        <v>4.9000000000000004</v>
      </c>
      <c r="F5">
        <f>ROUND(3*7.5*$W$3,1)</f>
        <v>7.4</v>
      </c>
      <c r="G5" t="s">
        <v>40</v>
      </c>
      <c r="H5" s="5">
        <v>5.0000000000000001E-3</v>
      </c>
      <c r="I5">
        <f>408/0.220462</f>
        <v>1850.6590704974101</v>
      </c>
      <c r="J5">
        <f>I5/$S$3</f>
        <v>0.68542928536941117</v>
      </c>
      <c r="K5">
        <f>40*40</f>
        <v>1600</v>
      </c>
      <c r="L5">
        <f>I5*K5*$N$3</f>
        <v>6797.6336239351913</v>
      </c>
      <c r="M5">
        <f>L5/$S$3</f>
        <v>2.5176420829389596</v>
      </c>
      <c r="N5">
        <f>K5*$N$3</f>
        <v>3.6730879999999999</v>
      </c>
      <c r="O5">
        <f>N5/M5</f>
        <v>1.4589397058823528</v>
      </c>
      <c r="Q5">
        <f>(120/B5)*E5</f>
        <v>7.5384615384615392</v>
      </c>
      <c r="R5">
        <f>(120/B5)*F5</f>
        <v>11.384615384615385</v>
      </c>
      <c r="T5" t="s">
        <v>43</v>
      </c>
      <c r="W5" s="1" t="s">
        <v>52</v>
      </c>
      <c r="X5" s="1" t="s">
        <v>51</v>
      </c>
      <c r="Y5" s="1" t="s">
        <v>53</v>
      </c>
      <c r="Z5" s="12" t="s">
        <v>49</v>
      </c>
      <c r="AA5" s="1" t="s">
        <v>50</v>
      </c>
      <c r="AB5" s="1" t="s">
        <v>10</v>
      </c>
      <c r="AC5" s="1"/>
      <c r="AD5" s="1" t="s">
        <v>54</v>
      </c>
      <c r="AF5" s="1" t="s">
        <v>57</v>
      </c>
      <c r="AG5" s="1" t="s">
        <v>70</v>
      </c>
      <c r="AH5" s="1" t="s">
        <v>79</v>
      </c>
      <c r="AI5" s="1" t="s">
        <v>26</v>
      </c>
      <c r="AJ5" s="1" t="s">
        <v>65</v>
      </c>
      <c r="AK5" s="1" t="s">
        <v>66</v>
      </c>
      <c r="AL5" s="1" t="s">
        <v>67</v>
      </c>
      <c r="AM5" s="1" t="s">
        <v>68</v>
      </c>
      <c r="AN5" s="1" t="s">
        <v>69</v>
      </c>
      <c r="AO5" s="1" t="s">
        <v>71</v>
      </c>
      <c r="AP5" s="1" t="s">
        <v>98</v>
      </c>
      <c r="AQ5" s="1" t="s">
        <v>99</v>
      </c>
      <c r="AR5" s="1" t="s">
        <v>100</v>
      </c>
      <c r="AS5" s="1" t="s">
        <v>101</v>
      </c>
      <c r="AT5" s="1" t="s">
        <v>102</v>
      </c>
      <c r="AU5" s="1" t="s">
        <v>108</v>
      </c>
      <c r="AV5" s="1" t="s">
        <v>109</v>
      </c>
      <c r="AW5" s="1" t="s">
        <v>110</v>
      </c>
      <c r="AX5" s="1" t="s">
        <v>111</v>
      </c>
      <c r="AY5" s="1" t="s">
        <v>112</v>
      </c>
      <c r="BA5" s="1" t="s">
        <v>179</v>
      </c>
    </row>
    <row r="6" spans="1:54" x14ac:dyDescent="0.25">
      <c r="A6" t="s">
        <v>3</v>
      </c>
      <c r="B6">
        <f>ROUND((12/52)*120, 0)</f>
        <v>28</v>
      </c>
      <c r="C6">
        <f>ROUND((2400/365)*2+55,0)</f>
        <v>68</v>
      </c>
      <c r="D6">
        <f>ROUND((2400/365)*2+75,0)</f>
        <v>88</v>
      </c>
      <c r="E6">
        <f>ROUND(6*7.5*$W$3,1)</f>
        <v>14.8</v>
      </c>
      <c r="F6">
        <f>ROUND(9*7.5*$W$3,1)</f>
        <v>22.2</v>
      </c>
      <c r="G6" t="s">
        <v>40</v>
      </c>
      <c r="H6" s="5">
        <v>0.01</v>
      </c>
      <c r="I6">
        <f>100/0.220462</f>
        <v>453.59290943563974</v>
      </c>
      <c r="J6">
        <f t="shared" ref="J6:J26" si="0">I6/$S$3</f>
        <v>0.16799737386505176</v>
      </c>
      <c r="K6">
        <f>80*35</f>
        <v>2800</v>
      </c>
      <c r="L6">
        <f>I6*K6*$N$3</f>
        <v>2915.6516769329864</v>
      </c>
      <c r="M6">
        <f t="shared" ref="M6:M21" si="1">L6/$S$3</f>
        <v>1.0798709914566615</v>
      </c>
      <c r="N6">
        <f t="shared" ref="N6:N11" si="2">K6*$N$3</f>
        <v>6.4279039999999998</v>
      </c>
      <c r="O6">
        <f t="shared" ref="O6:O11" si="3">N6/M6</f>
        <v>5.9524739999999996</v>
      </c>
      <c r="Q6">
        <f t="shared" ref="Q6:Q11" si="4">(120/B6)*E6</f>
        <v>63.428571428571431</v>
      </c>
      <c r="R6">
        <f t="shared" ref="R6:R11" si="5">(120/B6)*F6</f>
        <v>95.142857142857139</v>
      </c>
      <c r="T6" t="s">
        <v>44</v>
      </c>
      <c r="W6" s="6" t="str">
        <f ca="1">IF(AND(COUNTIFS(INDIRECT(CONCATENATE(ADDRESS(ROW(AA6), 27), ":", ADDRESS(ROW(AA5)+VLOOKUP($Y$4, $A$5:$B$21, 2, FALSE), 27))), "&gt;" &amp; $Z$4-10, INDIRECT(CONCATENATE(ADDRESS(ROW(AA6), 27), ":", ADDRESS(ROW(AA5)+VLOOKUP($Y$4, $A$5:$B$21, 2, FALSE), 27))), "&lt;" &amp; $AA$4+10) = VLOOKUP($Y$4, $A$5:$B$21, 2, FALSE), Y6&gt;$AB$4, Y6&lt;$AC$4), "yes", "no")</f>
        <v>no</v>
      </c>
      <c r="X6" s="6" t="str">
        <f ca="1">IF(W6= "yes", (COUNTIFS(INDIRECT(CONCATENATE(ADDRESS(ROW(AA6), 27), ":", ADDRESS(ROW(AA5)+VLOOKUP($Y$4, $A$5:$B$21, 2, FALSE), 27))), "&gt;68", INDIRECT(CONCATENATE(ADDRESS(ROW(AA6), 27), ":", ADDRESS(ROW(AA5)+VLOOKUP($Y$4, $A$5:$B$21, 2, FALSE), 27))), "&lt;88")/VLOOKUP($Y$4, $A$5:$B$21, 2, FALSE)*AD6)*100, "N/A")</f>
        <v>N/A</v>
      </c>
      <c r="Y6" s="6">
        <f ca="1">SUM(INDIRECT(CONCATENATE(ADDRESS(ROW(AA6), 28), ":", ADDRESS(ROW(AA5)+VLOOKUP($Y$4, $A$5:$B$21, 2, FALSE), 28))))</f>
        <v>3.4000000000000004</v>
      </c>
      <c r="Z6" s="11">
        <v>1</v>
      </c>
      <c r="AA6" s="6">
        <v>19.84938076891147</v>
      </c>
      <c r="AB6" s="6">
        <v>0</v>
      </c>
      <c r="AC6" s="6"/>
      <c r="AD6" s="6">
        <f ca="1">1.25-ABS(((VLOOKUP($Y$4, $A$5:$G$21, 5, FALSE)+VLOOKUP($Y$4, $A$5:$G$21, 6, FALSE))/2)-Y6)/(ABS(VLOOKUP($Y$4, $A$5:$G$21, 5, FALSE)-VLOOKUP($Y$4, $A$5:$G$21, 6, FALSE))*0.75)</f>
        <v>-1.4707207207207214</v>
      </c>
      <c r="AE6" s="6"/>
      <c r="AF6" s="6">
        <f ca="1">IF(W6="yes", X6*(1/((80-VLOOKUP($Y$4, $A$5:$H$21, 2, FALSE))*100))*400, 0)</f>
        <v>0</v>
      </c>
      <c r="AG6" s="6">
        <f ca="1">AF6*VLOOKUP($Y$4, $A$5:$M$21, 13, FALSE)</f>
        <v>0</v>
      </c>
      <c r="AH6" s="6">
        <f ca="1">AG6</f>
        <v>0</v>
      </c>
      <c r="AI6" s="6">
        <f>(1.2-ABS(70-AA6)/70)*400*SUM($AF$1:$AF$3)*(($AJ$4-50)/200+1)+(1.2-ABS(70-AA6)/70)*400*(($AJ$4-50)/200+1)*SUM($AD$1:$AD$3)*0.3*(0.5+SUM(AB6:AB10)/10)</f>
        <v>81.23851384538753</v>
      </c>
      <c r="AJ6">
        <f>SUM($AH$2, $AJ$2*0.8)*((($AJ$4/100))*3000+500)</f>
        <v>1160</v>
      </c>
      <c r="AK6">
        <f>SUM($AJ$1*0.8,$AH$1)*((($AJ$4/100))*3000+500)</f>
        <v>0</v>
      </c>
      <c r="AL6">
        <f>SUM($AH$3, $AJ$3*0.8)*((($AJ$4/100))*3000+500)</f>
        <v>0</v>
      </c>
      <c r="AM6">
        <f>AI6*$M$23</f>
        <v>5.4682947497330341</v>
      </c>
      <c r="AN6">
        <f>($K$18*(AK6+AI6))*$M$18+AJ6*$K$20*$M$20+AL6*$K$19*$M$19</f>
        <v>7.3732181215430543</v>
      </c>
      <c r="AO6" s="16">
        <f>(SUM(($AF$1+$AH$1+$AJ$1)*1.2, ($AF$2+$AH$2+$AJ$2),($AF$3+$AH$3+$AJ$3)*0.8)*$K$25*$M$25+SUM(($AD$1+$AF$1+$AH$1)*1.2, ($AD$2+$AF$2+$AH$2),($AD$3+$AF$3+$AH$3)*0.8)*$K$26*$M$26+SUM($AD$1:$AD$3)*$K$27*$M$27+SUM($AH$2, $AJ$2*1.25, $AH$1*1.5, $AJ$1*2)*$K$28*$M$28)*IF(AA6&gt;50, 1, IF(AA6&gt;30, 1-((50-AA6)/20), 0))+SUM($AH$3*1.25, $AJ$3)*$K$29*$M$29</f>
        <v>0</v>
      </c>
      <c r="AP6">
        <f>ROUNDDOWN((($AN$4/120)/$G$40)*$E$40*SUM(AH1:AH3, AJ1:AJ3)*(-(50-AJ4)/200+1), 0)</f>
        <v>26</v>
      </c>
      <c r="AQ6">
        <f>ROUNDDOWN(((($AM$4+$AO$4)/120)/$G$41)*$E$41*SUM(AD1:AD3, AF1:AF3)*(-(50-AJ4)/200+1), 0)</f>
        <v>15</v>
      </c>
      <c r="AR6">
        <f>IF(FALSE, ROUNDDOWN((($AN$4/120)/$G$42)*SUM(AD1:AD2, AF1, AJ1, )*(-(50-AJ4)/200+1), 0), 0)</f>
        <v>0</v>
      </c>
      <c r="AS6">
        <f>ROUNDDOWN((($AN$4/120)/$G$43)*SUM(AF2,AH2)*$E$43*(-(50-AJ4)/200+1), 0)</f>
        <v>5</v>
      </c>
      <c r="AT6">
        <f>ROUNDDOWN((($AN$4/120)/$G$44)*$E$44*(-(50-AJ4)/200+1), 0)</f>
        <v>178</v>
      </c>
      <c r="AU6">
        <f>ROUNDDOWN((($AN$4/120)/$G$45)*$E$45*(-(50-AJ4)/200+1), 0)</f>
        <v>147</v>
      </c>
      <c r="AV6">
        <f>ROUNDDOWN((($AO$4/120)/$G$46)*$E$46*SUM((AH1+AH2)/4, AJ1:AJ2)*(-(50-AJ4)/200+1), 0)</f>
        <v>78</v>
      </c>
      <c r="AW6">
        <f>ROUNDDOWN(((AW4-AT6*M44)/(G47*120))*SUM(AD2:AD3, AF2:AF3, AH2:AH3)*E47*(-(50-AJ4)/200+1), 0)</f>
        <v>0</v>
      </c>
      <c r="AX6">
        <f>ROUNDDOWN(((AW4-AT6*M44)/(G48*120))*SUM(AF1:AF2, AH1:AH2, AJ1:AJ2)*E48*(-(50-AJ4)/200+1), 0)</f>
        <v>0</v>
      </c>
      <c r="AY6">
        <f>ROUNDDOWN((AW4/(G48*120))*E48*(-(50-AJ4)/200+1), 0)</f>
        <v>1</v>
      </c>
      <c r="BA6">
        <f>SUM(AP6:AV6)</f>
        <v>449</v>
      </c>
    </row>
    <row r="7" spans="1:54" x14ac:dyDescent="0.25">
      <c r="A7" t="s">
        <v>56</v>
      </c>
      <c r="B7">
        <f>ROUND((17/52)*120, 0)</f>
        <v>39</v>
      </c>
      <c r="C7">
        <f>ROUND((600/365)*2+55,0)</f>
        <v>58</v>
      </c>
      <c r="D7">
        <f>ROUND((900/365)*2+75,0)</f>
        <v>80</v>
      </c>
      <c r="E7">
        <f>ROUND(5*7.5*$W$3,1)</f>
        <v>12.3</v>
      </c>
      <c r="F7">
        <f>ROUND(8*7.5*$W$3,1)</f>
        <v>19.7</v>
      </c>
      <c r="G7" t="s">
        <v>41</v>
      </c>
      <c r="H7" s="5">
        <v>0.15</v>
      </c>
      <c r="I7">
        <f>87/0.220462</f>
        <v>394.62583120900655</v>
      </c>
      <c r="J7">
        <f t="shared" si="0"/>
        <v>0.14615771526259502</v>
      </c>
      <c r="K7">
        <f>80*50</f>
        <v>4000</v>
      </c>
      <c r="L7">
        <f t="shared" ref="L7:L11" si="6">I7*K7*$N$3</f>
        <v>3623.7385127595685</v>
      </c>
      <c r="M7">
        <f t="shared" si="1"/>
        <v>1.3421253750961364</v>
      </c>
      <c r="N7">
        <f t="shared" si="2"/>
        <v>9.1827199999999998</v>
      </c>
      <c r="O7">
        <f t="shared" si="3"/>
        <v>6.8419241379310352</v>
      </c>
      <c r="Q7">
        <f t="shared" si="4"/>
        <v>37.846153846153854</v>
      </c>
      <c r="R7">
        <f t="shared" si="5"/>
        <v>60.615384615384613</v>
      </c>
      <c r="W7" s="6" t="str">
        <f t="shared" ref="W7:W70" ca="1" si="7">IF(AND(COUNTIFS(INDIRECT(CONCATENATE(ADDRESS(ROW(AA7), 27), ":", ADDRESS(ROW(AA6)+VLOOKUP($Y$4, $A$5:$B$21, 2, FALSE), 27))), "&gt;" &amp; $Z$4-10, INDIRECT(CONCATENATE(ADDRESS(ROW(AA7), 27), ":", ADDRESS(ROW(AA6)+VLOOKUP($Y$4, $A$5:$B$21, 2, FALSE), 27))), "&lt;" &amp; $AA$4+10) = VLOOKUP($Y$4, $A$5:$B$21, 2, FALSE), Y7&gt;$AB$4, Y7&lt;$AC$4), "yes", "no")</f>
        <v>no</v>
      </c>
      <c r="X7" s="6" t="str">
        <f t="shared" ref="X7:X70" ca="1" si="8">IF(W7= "yes", (COUNTIFS(INDIRECT(CONCATENATE(ADDRESS(ROW(AA7), 27), ":", ADDRESS(ROW(AA6)+VLOOKUP($Y$4, $A$5:$B$21, 2, FALSE), 27))), "&gt;68", INDIRECT(CONCATENATE(ADDRESS(ROW(AA7), 27), ":", ADDRESS(ROW(AA6)+VLOOKUP($Y$4, $A$5:$B$21, 2, FALSE), 27))), "&lt;88")/VLOOKUP($Y$4, $A$5:$B$21, 2, FALSE)*AD7)*100, "N/A")</f>
        <v>N/A</v>
      </c>
      <c r="Y7" s="6">
        <f t="shared" ref="Y7:Y70" ca="1" si="9">SUM(INDIRECT(CONCATENATE(ADDRESS(ROW(AA7), 28), ":", ADDRESS(ROW(AA6)+VLOOKUP($Y$4, $A$5:$B$21, 2, FALSE), 28))))</f>
        <v>3.4000000000000004</v>
      </c>
      <c r="Z7" s="11">
        <v>2</v>
      </c>
      <c r="AA7" s="6">
        <v>16.302550074176708</v>
      </c>
      <c r="AB7" s="6">
        <v>0</v>
      </c>
      <c r="AC7" s="6"/>
      <c r="AD7" s="6">
        <f t="shared" ref="AD7:AD70" ca="1" si="10">1.25-ABS(((VLOOKUP($Y$4, $A$5:$G$21, 5, FALSE)+VLOOKUP($Y$4, $A$5:$G$21, 6, FALSE))/2)-Y7)/(ABS(VLOOKUP($Y$4, $A$5:$G$21, 5, FALSE)-VLOOKUP($Y$4, $A$5:$G$21, 6, FALSE))*0.75)</f>
        <v>-1.4707207207207214</v>
      </c>
      <c r="AE7" s="6"/>
      <c r="AF7" s="6">
        <f t="shared" ref="AF7:AF70" ca="1" si="11">IF(W7="yes", X7*(1/((80-VLOOKUP($Y$4, $A$5:$H$21, 2, FALSE))*100))*400, 0)</f>
        <v>0</v>
      </c>
      <c r="AG7" s="6">
        <f t="shared" ref="AG7:AG70" ca="1" si="12">AF7*VLOOKUP($Y$4, $A$5:$M$21, 13, FALSE)</f>
        <v>0</v>
      </c>
      <c r="AH7" s="6">
        <f>IF(VLOOKUP($Y$4, $A$5:$G$21,7, FALSE) = "Yes", IF(AA7&gt;32, SUM(AG6:AG7), 0), SUM(AG6:AG7))</f>
        <v>0</v>
      </c>
      <c r="AI7" s="6">
        <f>(1.2-ABS(70-AA7)/70)*400*SUM($AF$1:$AF$3)*(($AJ$4-50)/200+1)+(1.2-ABS(70-AA7)/70)*400*(($AJ$4-50)/200+1)*SUM($AD$1:$AD$3)*0.3*(0.5+SUM(AB7:AB11)/10)</f>
        <v>72.726120178024104</v>
      </c>
      <c r="AJ7">
        <f t="shared" ref="AJ7:AJ70" si="13">SUM($AH$2, $AJ$2*0.8)*((($AJ$4/100))*3000+500)</f>
        <v>1160</v>
      </c>
      <c r="AK7">
        <f t="shared" ref="AK7:AK70" si="14">SUM($AJ$1*0.8,$AH$1)*((($AJ$4/100))*3000+500)</f>
        <v>0</v>
      </c>
      <c r="AL7">
        <f t="shared" ref="AL7:AL70" si="15">SUM($AH$3, $AJ$3*0.8)*((($AJ$4/100))*3000+500)</f>
        <v>0</v>
      </c>
      <c r="AM7">
        <f t="shared" ref="AM7:AM70" si="16">AI7*$M$23</f>
        <v>4.895311870116422</v>
      </c>
      <c r="AN7">
        <f t="shared" ref="AN7:AN70" si="17">($K$18*(AK7+AI7))*$M$18+AJ7*$K$20*$M$20+AL7*$K$19*$M$19</f>
        <v>7.3436714847919093</v>
      </c>
      <c r="AO7" s="16">
        <f t="shared" ref="AO7:AO70" si="18">(SUM(($AF$1+$AH$1+$AJ$1)*1.2, ($AF$2+$AH$2+$AJ$2),($AF$3+$AH$3+$AJ$3)*0.8)*$K$25*$M$25+SUM(($AD$1+$AF$1+$AH$1)*1.2, ($AD$2+$AF$2+$AH$2),($AD$3+$AF$3+$AH$3)*0.8)*$K$26*$M$26+SUM($AD$1:$AD$3)*$K$27*$M$27+SUM($AH$2, $AJ$2*1.25, $AH$1*1.5, $AJ$1*2)*$K$28*$M$28)*IF(AA7&gt;50, 1, IF(AA7&gt;30, 1-((50-AA7)/20), 0))+SUM($AH$3*1.25, $AJ$3)*$K$29*$M$29</f>
        <v>0</v>
      </c>
    </row>
    <row r="8" spans="1:54" x14ac:dyDescent="0.25">
      <c r="A8" t="s">
        <v>4</v>
      </c>
      <c r="B8">
        <f>ROUND((17/52)*120, 0)</f>
        <v>39</v>
      </c>
      <c r="C8">
        <f>ROUND((-1200/365)*2+55,0)</f>
        <v>48</v>
      </c>
      <c r="D8">
        <f>ROUND((-900/365)*2+75,0)</f>
        <v>70</v>
      </c>
      <c r="E8">
        <f>ROUND(5*7.5*$W$3,1)</f>
        <v>12.3</v>
      </c>
      <c r="F8">
        <f>ROUND(8*7.5*$W$3,1)</f>
        <v>19.7</v>
      </c>
      <c r="G8" t="s">
        <v>41</v>
      </c>
      <c r="H8" s="5">
        <v>0.1</v>
      </c>
      <c r="I8">
        <f>52/0.220462</f>
        <v>235.86831290653265</v>
      </c>
      <c r="J8">
        <f t="shared" si="0"/>
        <v>8.7358634409826913E-2</v>
      </c>
      <c r="K8">
        <f>(92/50)*3500</f>
        <v>6440</v>
      </c>
      <c r="L8">
        <f t="shared" si="6"/>
        <v>3487.1194056118516</v>
      </c>
      <c r="M8">
        <f t="shared" si="1"/>
        <v>1.2915257057821672</v>
      </c>
      <c r="N8">
        <f t="shared" si="2"/>
        <v>14.784179200000001</v>
      </c>
      <c r="O8">
        <f t="shared" si="3"/>
        <v>11.447065384615385</v>
      </c>
      <c r="Q8">
        <f t="shared" si="4"/>
        <v>37.846153846153854</v>
      </c>
      <c r="R8">
        <f t="shared" si="5"/>
        <v>60.615384615384613</v>
      </c>
      <c r="W8" s="6" t="str">
        <f t="shared" ca="1" si="7"/>
        <v>no</v>
      </c>
      <c r="X8" s="6" t="str">
        <f t="shared" ca="1" si="8"/>
        <v>N/A</v>
      </c>
      <c r="Y8" s="6">
        <f t="shared" ca="1" si="9"/>
        <v>3.4000000000000004</v>
      </c>
      <c r="Z8" s="11">
        <v>3</v>
      </c>
      <c r="AA8" s="6">
        <v>12.665718351214831</v>
      </c>
      <c r="AB8" s="6">
        <v>0</v>
      </c>
      <c r="AC8" s="6"/>
      <c r="AD8" s="6">
        <f t="shared" ca="1" si="10"/>
        <v>-1.4707207207207214</v>
      </c>
      <c r="AE8" s="6"/>
      <c r="AF8" s="6">
        <f t="shared" ca="1" si="11"/>
        <v>0</v>
      </c>
      <c r="AG8" s="6">
        <f t="shared" ca="1" si="12"/>
        <v>0</v>
      </c>
      <c r="AH8" s="6">
        <f>IF(VLOOKUP($Y$4, $A$5:$G$21,7, FALSE) = "Yes", IF(AA8&gt;32, SUM(AG6:AG8), 0), SUM(AG6:AG8))</f>
        <v>0</v>
      </c>
      <c r="AI8" s="6">
        <f t="shared" ref="AI8:AI70" si="19">(1.2-ABS(70-AA8)/70)*400*SUM($AF$1:$AF$3)*(($AJ$4-50)/200+1)+(1.2-ABS(70-AA8)/70)*400*(($AJ$4-50)/200+1)*SUM($AD$1:$AD$3)*0.3*(0.5+SUM(AB8:AB12)/10)</f>
        <v>63.997724042915593</v>
      </c>
      <c r="AJ8">
        <f t="shared" si="13"/>
        <v>1160</v>
      </c>
      <c r="AK8">
        <f t="shared" si="14"/>
        <v>0</v>
      </c>
      <c r="AL8">
        <f t="shared" si="15"/>
        <v>0</v>
      </c>
      <c r="AM8">
        <f t="shared" si="16"/>
        <v>4.3077895177252605</v>
      </c>
      <c r="AN8">
        <f t="shared" si="17"/>
        <v>7.3133751004725465</v>
      </c>
      <c r="AO8" s="16">
        <f t="shared" si="18"/>
        <v>0</v>
      </c>
      <c r="AQ8" s="1" t="s">
        <v>173</v>
      </c>
      <c r="AS8" s="1" t="s">
        <v>174</v>
      </c>
      <c r="AT8" s="1" t="s">
        <v>175</v>
      </c>
      <c r="AV8" s="1" t="s">
        <v>176</v>
      </c>
      <c r="AZ8" s="1" t="s">
        <v>181</v>
      </c>
    </row>
    <row r="9" spans="1:54" x14ac:dyDescent="0.25">
      <c r="A9" t="s">
        <v>5</v>
      </c>
      <c r="B9">
        <f>ROUND((22/52)*120, 0)</f>
        <v>51</v>
      </c>
      <c r="C9">
        <f>ROUND((3000/365)*2+55,0)</f>
        <v>71</v>
      </c>
      <c r="D9">
        <f>ROUND((3000/365)*2+75,0)</f>
        <v>91</v>
      </c>
      <c r="E9">
        <f>ROUND(3*7.5*$W$3,1)</f>
        <v>7.4</v>
      </c>
      <c r="F9">
        <f>ROUND(5*7.5*$W$3,1)</f>
        <v>12.3</v>
      </c>
      <c r="G9" t="s">
        <v>40</v>
      </c>
      <c r="H9" s="5">
        <v>0.2</v>
      </c>
      <c r="I9">
        <f>67/0.220462</f>
        <v>303.90724932187862</v>
      </c>
      <c r="J9">
        <f t="shared" si="0"/>
        <v>0.11255824048958468</v>
      </c>
      <c r="K9">
        <v>4000</v>
      </c>
      <c r="L9">
        <f t="shared" si="6"/>
        <v>2790.6951764930009</v>
      </c>
      <c r="M9">
        <f t="shared" si="1"/>
        <v>1.0335908061085188</v>
      </c>
      <c r="N9">
        <f t="shared" si="2"/>
        <v>9.1827199999999998</v>
      </c>
      <c r="O9">
        <f t="shared" si="3"/>
        <v>8.8842895522388066</v>
      </c>
      <c r="Q9">
        <f t="shared" si="4"/>
        <v>17.411764705882355</v>
      </c>
      <c r="R9">
        <f t="shared" si="5"/>
        <v>28.941176470588239</v>
      </c>
      <c r="W9" s="6" t="str">
        <f t="shared" ca="1" si="7"/>
        <v>no</v>
      </c>
      <c r="X9" s="6" t="str">
        <f t="shared" ca="1" si="8"/>
        <v>N/A</v>
      </c>
      <c r="Y9" s="6">
        <f t="shared" ca="1" si="9"/>
        <v>3.4000000000000004</v>
      </c>
      <c r="Z9" s="11">
        <v>4</v>
      </c>
      <c r="AA9" s="6">
        <v>20.643326613754507</v>
      </c>
      <c r="AB9" s="6">
        <v>0</v>
      </c>
      <c r="AC9" s="6"/>
      <c r="AD9" s="6">
        <f t="shared" ca="1" si="10"/>
        <v>-1.4707207207207214</v>
      </c>
      <c r="AE9" s="6"/>
      <c r="AF9" s="6">
        <f t="shared" ca="1" si="11"/>
        <v>0</v>
      </c>
      <c r="AG9" s="6">
        <f t="shared" ca="1" si="12"/>
        <v>0</v>
      </c>
      <c r="AH9" s="6">
        <f>IF(VLOOKUP($Y$4, $A$5:$G$21,7, FALSE) = "Yes", IF(AA9&gt;32, SUM(AG6:AG9), 0), SUM(AG6:AG9))</f>
        <v>0</v>
      </c>
      <c r="AI9" s="6">
        <f t="shared" si="19"/>
        <v>83.143983873010811</v>
      </c>
      <c r="AJ9">
        <f t="shared" si="13"/>
        <v>1160</v>
      </c>
      <c r="AK9">
        <f t="shared" si="14"/>
        <v>0</v>
      </c>
      <c r="AL9">
        <f t="shared" si="15"/>
        <v>0</v>
      </c>
      <c r="AM9">
        <f t="shared" si="16"/>
        <v>5.59655499545413</v>
      </c>
      <c r="AN9">
        <f t="shared" si="17"/>
        <v>7.3798320344970847</v>
      </c>
      <c r="AO9" s="16">
        <f t="shared" si="18"/>
        <v>0</v>
      </c>
      <c r="AQ9">
        <f>AM4-AQ6*G41*120*AR1</f>
        <v>222.70655954828896</v>
      </c>
      <c r="AS9">
        <f>AN4-(AP6*G40+AR6*G42+AS6*G43+AT6*G44+AU6*G45)*120</f>
        <v>111.22980638971936</v>
      </c>
      <c r="AT9">
        <f>AO4-AV6*G46*120</f>
        <v>39.851364664554445</v>
      </c>
      <c r="AV9">
        <f>AW4-(AW6*G47+AX6*G48+AY6*G49)*120</f>
        <v>42.579381613426619</v>
      </c>
      <c r="AZ9">
        <f>(AV14-AV12)*M40+(AW14-AW12)*M41+(AX14-AX12)*M42+(AY14-AY12)*M43+(AZ14-AZ12)*M44+(BA14-BA12)*M45+(BB14-BB12)*M46</f>
        <v>12.330224480592445</v>
      </c>
    </row>
    <row r="10" spans="1:54" x14ac:dyDescent="0.25">
      <c r="A10" t="s">
        <v>6</v>
      </c>
      <c r="B10">
        <f>ROUND((17/52)*120, 0)</f>
        <v>39</v>
      </c>
      <c r="C10">
        <f>ROUND((2000/365)*2+55,0)</f>
        <v>66</v>
      </c>
      <c r="D10">
        <f>ROUND((2000/365)*2+75,0)</f>
        <v>86</v>
      </c>
      <c r="E10">
        <f>ROUND(2*7.5*$W$3,1)</f>
        <v>4.9000000000000004</v>
      </c>
      <c r="F10">
        <f>ROUND(4*7.5*$W$3,1)</f>
        <v>9.9</v>
      </c>
      <c r="G10" t="s">
        <v>40</v>
      </c>
      <c r="H10" s="5">
        <v>0.05</v>
      </c>
      <c r="I10">
        <f>35/0.220462</f>
        <v>158.7575183024739</v>
      </c>
      <c r="J10">
        <f t="shared" si="0"/>
        <v>5.879908085276811E-2</v>
      </c>
      <c r="K10">
        <f>80*30</f>
        <v>2400</v>
      </c>
      <c r="L10">
        <f t="shared" si="6"/>
        <v>874.69550307989596</v>
      </c>
      <c r="M10">
        <f t="shared" si="1"/>
        <v>0.32396129743699853</v>
      </c>
      <c r="N10">
        <f t="shared" si="2"/>
        <v>5.5096319999999999</v>
      </c>
      <c r="O10">
        <f t="shared" si="3"/>
        <v>17.007068571428569</v>
      </c>
      <c r="Q10">
        <f t="shared" si="4"/>
        <v>15.076923076923078</v>
      </c>
      <c r="R10">
        <f t="shared" si="5"/>
        <v>30.461538461538463</v>
      </c>
      <c r="W10" s="6" t="str">
        <f t="shared" ca="1" si="7"/>
        <v>no</v>
      </c>
      <c r="X10" s="6" t="str">
        <f t="shared" ca="1" si="8"/>
        <v>N/A</v>
      </c>
      <c r="Y10" s="6">
        <f t="shared" ca="1" si="9"/>
        <v>3.4000000000000004</v>
      </c>
      <c r="Z10" s="11">
        <v>5</v>
      </c>
      <c r="AA10" s="6">
        <v>17.238081211686684</v>
      </c>
      <c r="AB10" s="6">
        <v>0</v>
      </c>
      <c r="AC10" s="6"/>
      <c r="AD10" s="6">
        <f t="shared" ca="1" si="10"/>
        <v>-1.4707207207207214</v>
      </c>
      <c r="AE10" s="6"/>
      <c r="AF10" s="6">
        <f t="shared" ca="1" si="11"/>
        <v>0</v>
      </c>
      <c r="AG10" s="6">
        <f t="shared" ca="1" si="12"/>
        <v>0</v>
      </c>
      <c r="AH10" s="6">
        <f>IF(VLOOKUP($Y$4, $A$5:$G$21,7, FALSE) = "Yes", IF(AA10&gt;32, SUM(AG6:AG10), 0), SUM(AG6:AG10))</f>
        <v>0</v>
      </c>
      <c r="AI10" s="6">
        <f t="shared" si="19"/>
        <v>74.971394908048026</v>
      </c>
      <c r="AJ10">
        <f t="shared" si="13"/>
        <v>1160</v>
      </c>
      <c r="AK10">
        <f t="shared" si="14"/>
        <v>0</v>
      </c>
      <c r="AL10">
        <f t="shared" si="15"/>
        <v>0</v>
      </c>
      <c r="AM10">
        <f t="shared" si="16"/>
        <v>5.0464449157216764</v>
      </c>
      <c r="AN10">
        <f t="shared" si="17"/>
        <v>7.3514648645916347</v>
      </c>
      <c r="AO10" s="16">
        <f t="shared" si="18"/>
        <v>0</v>
      </c>
      <c r="AV10" s="1" t="s">
        <v>178</v>
      </c>
    </row>
    <row r="11" spans="1:54" x14ac:dyDescent="0.25">
      <c r="A11" t="s">
        <v>7</v>
      </c>
      <c r="B11">
        <f>ROUND((25/52)*120, 0)</f>
        <v>58</v>
      </c>
      <c r="C11">
        <f>ROUND((2100/365)*2+55,0)</f>
        <v>67</v>
      </c>
      <c r="D11">
        <f>ROUND((2700/365)*2+75,0)</f>
        <v>90</v>
      </c>
      <c r="E11">
        <f>ROUND(10*7.5*$W$3,1)</f>
        <v>24.7</v>
      </c>
      <c r="F11">
        <f>ROUND(13*7.5*$W$3,1)</f>
        <v>32.1</v>
      </c>
      <c r="G11" t="s">
        <v>40</v>
      </c>
      <c r="H11" s="5">
        <v>0.02</v>
      </c>
      <c r="I11">
        <f>199/0.220462</f>
        <v>902.64988977692303</v>
      </c>
      <c r="J11">
        <f t="shared" si="0"/>
        <v>0.33431477399145298</v>
      </c>
      <c r="K11">
        <v>3000</v>
      </c>
      <c r="L11">
        <f t="shared" si="6"/>
        <v>6216.5858968892608</v>
      </c>
      <c r="M11">
        <f t="shared" si="1"/>
        <v>2.3024392210700966</v>
      </c>
      <c r="N11">
        <f t="shared" si="2"/>
        <v>6.8870399999999998</v>
      </c>
      <c r="O11">
        <f t="shared" si="3"/>
        <v>2.99119296482412</v>
      </c>
      <c r="Q11">
        <f t="shared" si="4"/>
        <v>51.103448275862071</v>
      </c>
      <c r="R11">
        <f t="shared" si="5"/>
        <v>66.413793103448285</v>
      </c>
      <c r="W11" s="6" t="str">
        <f t="shared" ca="1" si="7"/>
        <v>no</v>
      </c>
      <c r="X11" s="6" t="str">
        <f t="shared" ca="1" si="8"/>
        <v>N/A</v>
      </c>
      <c r="Y11" s="6">
        <f t="shared" ca="1" si="9"/>
        <v>3.4000000000000004</v>
      </c>
      <c r="Z11" s="11">
        <v>6</v>
      </c>
      <c r="AA11" s="6">
        <v>19.351021327840805</v>
      </c>
      <c r="AB11" s="6">
        <v>0</v>
      </c>
      <c r="AC11" s="6"/>
      <c r="AD11" s="6">
        <f t="shared" ca="1" si="10"/>
        <v>-1.4707207207207214</v>
      </c>
      <c r="AE11" s="6"/>
      <c r="AF11" s="6">
        <f t="shared" ca="1" si="11"/>
        <v>0</v>
      </c>
      <c r="AG11" s="6">
        <f t="shared" ca="1" si="12"/>
        <v>0</v>
      </c>
      <c r="AH11" s="6">
        <f t="shared" ref="AH11:AH74" si="20">IF(VLOOKUP($Y$4, $A$5:$G$21,7, FALSE) = "Yes", IF(AA11&gt;32, SUM(AG7:AG11), 0), SUM(AG7:AG11))</f>
        <v>0</v>
      </c>
      <c r="AI11" s="6">
        <f t="shared" si="19"/>
        <v>80.042451186817928</v>
      </c>
      <c r="AJ11">
        <f t="shared" si="13"/>
        <v>1160</v>
      </c>
      <c r="AK11">
        <f t="shared" si="14"/>
        <v>0</v>
      </c>
      <c r="AL11">
        <f t="shared" si="15"/>
        <v>0</v>
      </c>
      <c r="AM11">
        <f t="shared" si="16"/>
        <v>5.387785852577978</v>
      </c>
      <c r="AN11">
        <f t="shared" si="17"/>
        <v>7.3690665714285597</v>
      </c>
      <c r="AO11" s="16">
        <f t="shared" si="18"/>
        <v>0</v>
      </c>
      <c r="AQ11" s="1" t="s">
        <v>177</v>
      </c>
      <c r="AT11" s="1" t="s">
        <v>180</v>
      </c>
      <c r="AV11" s="1" t="s">
        <v>98</v>
      </c>
      <c r="AW11" s="1" t="s">
        <v>99</v>
      </c>
      <c r="AX11" s="1" t="s">
        <v>100</v>
      </c>
      <c r="AY11" s="1" t="s">
        <v>101</v>
      </c>
      <c r="AZ11" s="1" t="s">
        <v>102</v>
      </c>
      <c r="BA11" s="1" t="s">
        <v>108</v>
      </c>
      <c r="BB11" s="1" t="s">
        <v>109</v>
      </c>
    </row>
    <row r="12" spans="1:54" s="1" customFormat="1" x14ac:dyDescent="0.25">
      <c r="A12" s="1" t="s">
        <v>22</v>
      </c>
      <c r="B12" s="1" t="s">
        <v>8</v>
      </c>
      <c r="C12" s="1" t="s">
        <v>9</v>
      </c>
      <c r="E12" s="1" t="s">
        <v>10</v>
      </c>
      <c r="G12" s="1" t="s">
        <v>39</v>
      </c>
      <c r="H12" s="1" t="s">
        <v>59</v>
      </c>
      <c r="I12" s="1" t="s">
        <v>11</v>
      </c>
      <c r="J12" s="1" t="s">
        <v>36</v>
      </c>
      <c r="K12" s="1" t="s">
        <v>15</v>
      </c>
      <c r="L12" s="1" t="s">
        <v>12</v>
      </c>
      <c r="M12" s="1" t="s">
        <v>13</v>
      </c>
      <c r="N12" s="1" t="s">
        <v>27</v>
      </c>
      <c r="O12" s="1" t="s">
        <v>29</v>
      </c>
      <c r="Q12" s="1" t="s">
        <v>42</v>
      </c>
      <c r="W12" s="6" t="str">
        <f t="shared" ca="1" si="7"/>
        <v>no</v>
      </c>
      <c r="X12" s="6" t="str">
        <f t="shared" ca="1" si="8"/>
        <v>N/A</v>
      </c>
      <c r="Y12" s="6">
        <f t="shared" ca="1" si="9"/>
        <v>3.4000000000000004</v>
      </c>
      <c r="Z12" s="11">
        <v>7</v>
      </c>
      <c r="AA12" s="6">
        <v>17.781615122519462</v>
      </c>
      <c r="AB12" s="6">
        <v>0</v>
      </c>
      <c r="AC12" s="6"/>
      <c r="AD12" s="6">
        <f t="shared" ca="1" si="10"/>
        <v>-1.4707207207207214</v>
      </c>
      <c r="AE12" s="8"/>
      <c r="AF12" s="6">
        <f t="shared" ca="1" si="11"/>
        <v>0</v>
      </c>
      <c r="AG12" s="6">
        <f t="shared" ca="1" si="12"/>
        <v>0</v>
      </c>
      <c r="AH12" s="6">
        <f t="shared" si="20"/>
        <v>0</v>
      </c>
      <c r="AI12" s="6">
        <f t="shared" si="19"/>
        <v>76.275876294046697</v>
      </c>
      <c r="AJ12">
        <f t="shared" si="13"/>
        <v>1160</v>
      </c>
      <c r="AK12">
        <f t="shared" si="14"/>
        <v>0</v>
      </c>
      <c r="AL12">
        <f t="shared" si="15"/>
        <v>0</v>
      </c>
      <c r="AM12">
        <f t="shared" si="16"/>
        <v>5.1342516514253482</v>
      </c>
      <c r="AN12">
        <f t="shared" si="17"/>
        <v>7.3559927376161767</v>
      </c>
      <c r="AO12" s="16">
        <f t="shared" si="18"/>
        <v>0</v>
      </c>
      <c r="AQ12" s="3" t="s">
        <v>134</v>
      </c>
      <c r="AS12" s="1">
        <f>$AQ$9/(G51*120)</f>
        <v>0.37568582919751847</v>
      </c>
      <c r="AT12" s="1" t="s">
        <v>182</v>
      </c>
      <c r="AV12">
        <f>(($AW$4-$AV$9)/$AW$4)*AP6</f>
        <v>1.6391465205457181</v>
      </c>
      <c r="AW12">
        <f t="shared" ref="AW12:BB12" si="21">(($AW$4-$AV$9)/$AW$4)*AQ6</f>
        <v>0.94566145416099123</v>
      </c>
      <c r="AX12">
        <f t="shared" si="21"/>
        <v>0</v>
      </c>
      <c r="AY12">
        <f t="shared" si="21"/>
        <v>0.31522048472033043</v>
      </c>
      <c r="AZ12">
        <f t="shared" si="21"/>
        <v>11.221849256043763</v>
      </c>
      <c r="BA12">
        <f t="shared" si="21"/>
        <v>9.2674822507777144</v>
      </c>
      <c r="BB12">
        <f t="shared" si="21"/>
        <v>4.9174395616371545</v>
      </c>
    </row>
    <row r="13" spans="1:54" x14ac:dyDescent="0.25">
      <c r="A13" t="s">
        <v>19</v>
      </c>
      <c r="B13">
        <f>ROUND((22/52)*120, 0)</f>
        <v>51</v>
      </c>
      <c r="C13">
        <f>ROUND((2700/365)*2+55,0)</f>
        <v>70</v>
      </c>
      <c r="D13">
        <f>ROUND((2700/365)*2+75,0)</f>
        <v>90</v>
      </c>
      <c r="E13">
        <f>ROUND(3*7.5*$W$3,1)</f>
        <v>7.4</v>
      </c>
      <c r="F13">
        <f>ROUND(4*7.5*$W$3,1)</f>
        <v>9.9</v>
      </c>
      <c r="G13" t="s">
        <v>40</v>
      </c>
      <c r="H13" s="5">
        <v>0.1</v>
      </c>
      <c r="I13">
        <f>44/0.220462</f>
        <v>199.58088015168147</v>
      </c>
      <c r="J13">
        <f t="shared" si="0"/>
        <v>7.3918844500622763E-2</v>
      </c>
      <c r="K13">
        <f>19800/4</f>
        <v>4950</v>
      </c>
      <c r="L13">
        <f t="shared" ref="L13" si="22">I13*K13*$N$3</f>
        <v>2267.9604829857303</v>
      </c>
      <c r="M13">
        <f t="shared" si="1"/>
        <v>0.83998536406878899</v>
      </c>
      <c r="N13">
        <f t="shared" ref="N13" si="23">K13*$N$3</f>
        <v>11.363616</v>
      </c>
      <c r="O13">
        <f>N13/M13</f>
        <v>13.528349999999998</v>
      </c>
      <c r="Q13">
        <f>(120/B13)*E13</f>
        <v>17.411764705882355</v>
      </c>
      <c r="R13">
        <f>(120/B13)*F13</f>
        <v>23.294117647058826</v>
      </c>
      <c r="W13" s="6" t="str">
        <f t="shared" ca="1" si="7"/>
        <v>no</v>
      </c>
      <c r="X13" s="6" t="str">
        <f t="shared" ca="1" si="8"/>
        <v>N/A</v>
      </c>
      <c r="Y13" s="6">
        <f t="shared" ca="1" si="9"/>
        <v>3.4000000000000004</v>
      </c>
      <c r="Z13" s="11">
        <v>8</v>
      </c>
      <c r="AA13" s="9">
        <v>15.627879888307332</v>
      </c>
      <c r="AB13" s="9">
        <v>0</v>
      </c>
      <c r="AC13" s="8"/>
      <c r="AD13" s="6">
        <f t="shared" ca="1" si="10"/>
        <v>-1.4707207207207214</v>
      </c>
      <c r="AE13" s="6"/>
      <c r="AF13" s="6">
        <f t="shared" ca="1" si="11"/>
        <v>0</v>
      </c>
      <c r="AG13" s="6">
        <f t="shared" ca="1" si="12"/>
        <v>0</v>
      </c>
      <c r="AH13" s="6">
        <f t="shared" si="20"/>
        <v>0</v>
      </c>
      <c r="AI13" s="6">
        <f t="shared" si="19"/>
        <v>71.106911731937586</v>
      </c>
      <c r="AJ13">
        <f t="shared" si="13"/>
        <v>1160</v>
      </c>
      <c r="AK13">
        <f t="shared" si="14"/>
        <v>0</v>
      </c>
      <c r="AL13">
        <f t="shared" si="15"/>
        <v>0</v>
      </c>
      <c r="AM13">
        <f t="shared" si="16"/>
        <v>4.7863203508807333</v>
      </c>
      <c r="AN13">
        <f t="shared" si="17"/>
        <v>7.3380511897667473</v>
      </c>
      <c r="AO13" s="16">
        <f t="shared" si="18"/>
        <v>0</v>
      </c>
      <c r="AQ13" s="3" t="s">
        <v>135</v>
      </c>
      <c r="AS13" s="1">
        <f>($AQ$9+$AT$9)/(G52*120)</f>
        <v>3.3218360856888083</v>
      </c>
      <c r="AT13" s="1" t="s">
        <v>182</v>
      </c>
      <c r="AV13" s="1" t="s">
        <v>128</v>
      </c>
    </row>
    <row r="14" spans="1:54" x14ac:dyDescent="0.25">
      <c r="A14" t="s">
        <v>20</v>
      </c>
      <c r="B14">
        <f>ROUND((17/52)*120, 0)</f>
        <v>39</v>
      </c>
      <c r="C14">
        <f>ROUND((1800/365)*2+55,0)</f>
        <v>65</v>
      </c>
      <c r="D14">
        <f>ROUND((1800/365)*2+75,0)</f>
        <v>85</v>
      </c>
      <c r="E14">
        <f>ROUND(3*7.5*$W$3,1)</f>
        <v>7.4</v>
      </c>
      <c r="F14">
        <f>ROUND(4*7.5*$W$3,1)</f>
        <v>9.9</v>
      </c>
      <c r="G14" t="s">
        <v>40</v>
      </c>
      <c r="H14" s="5">
        <v>0.15</v>
      </c>
      <c r="I14">
        <f>41/0.220462</f>
        <v>185.9730928686123</v>
      </c>
      <c r="J14">
        <f t="shared" si="0"/>
        <v>6.8878923284671226E-2</v>
      </c>
      <c r="K14">
        <f>19400/4</f>
        <v>4850</v>
      </c>
      <c r="L14">
        <f t="shared" ref="L14:L16" si="24">I14*K14*$N$3</f>
        <v>2070.633342707587</v>
      </c>
      <c r="M14">
        <f t="shared" si="1"/>
        <v>0.766901238039847</v>
      </c>
      <c r="N14">
        <f t="shared" ref="N14:N16" si="25">K14*$N$3</f>
        <v>11.134048</v>
      </c>
      <c r="O14">
        <f t="shared" ref="O14:O16" si="26">N14/M14</f>
        <v>14.518229268292682</v>
      </c>
      <c r="Q14">
        <f t="shared" ref="Q14:Q16" si="27">(120/B14)*E14</f>
        <v>22.76923076923077</v>
      </c>
      <c r="R14">
        <f t="shared" ref="R14:R16" si="28">(120/B14)*F14</f>
        <v>30.461538461538463</v>
      </c>
      <c r="W14" s="6" t="str">
        <f t="shared" ca="1" si="7"/>
        <v>no</v>
      </c>
      <c r="X14" s="6" t="str">
        <f t="shared" ca="1" si="8"/>
        <v>N/A</v>
      </c>
      <c r="Y14" s="6">
        <f t="shared" ca="1" si="9"/>
        <v>3.4000000000000004</v>
      </c>
      <c r="Z14" s="11">
        <v>9</v>
      </c>
      <c r="AA14" s="6">
        <v>19.686521231483308</v>
      </c>
      <c r="AB14" s="6">
        <v>0</v>
      </c>
      <c r="AC14" s="6"/>
      <c r="AD14" s="6">
        <f t="shared" ca="1" si="10"/>
        <v>-1.4707207207207214</v>
      </c>
      <c r="AE14" s="6"/>
      <c r="AF14" s="6">
        <f t="shared" ca="1" si="11"/>
        <v>0</v>
      </c>
      <c r="AG14" s="6">
        <f t="shared" ca="1" si="12"/>
        <v>0</v>
      </c>
      <c r="AH14" s="6">
        <f t="shared" si="20"/>
        <v>0</v>
      </c>
      <c r="AI14" s="6">
        <f t="shared" si="19"/>
        <v>80.847650955559928</v>
      </c>
      <c r="AJ14">
        <f t="shared" si="13"/>
        <v>1160</v>
      </c>
      <c r="AK14">
        <f t="shared" si="14"/>
        <v>0</v>
      </c>
      <c r="AL14">
        <f t="shared" si="15"/>
        <v>0</v>
      </c>
      <c r="AM14">
        <f t="shared" si="16"/>
        <v>5.441985141307927</v>
      </c>
      <c r="AN14">
        <f t="shared" si="17"/>
        <v>7.3718614310190347</v>
      </c>
      <c r="AO14" s="16">
        <f t="shared" si="18"/>
        <v>0</v>
      </c>
      <c r="AQ14" s="3" t="s">
        <v>136</v>
      </c>
      <c r="AS14" s="1">
        <f>($AQ$9+$AT$9)/(G53*120)</f>
        <v>0.62528679260024633</v>
      </c>
      <c r="AT14" s="1" t="s">
        <v>182</v>
      </c>
      <c r="AV14">
        <f>(AP6-AV12)*P40</f>
        <v>6.0902133698635703</v>
      </c>
      <c r="AW14">
        <f>(AQ6-AW12)*P41</f>
        <v>7.0271692729195046</v>
      </c>
      <c r="AX14">
        <f>(AR6-AX12)*P42</f>
        <v>0</v>
      </c>
      <c r="AY14">
        <f>(AS6-AY12)*P43</f>
        <v>0.9369559030559339</v>
      </c>
      <c r="AZ14">
        <f>(AT6-AZ12)*P44</f>
        <v>41.694537685989062</v>
      </c>
      <c r="BA14">
        <f>(AU6-BA12)*P45</f>
        <v>55.093007099688919</v>
      </c>
      <c r="BB14">
        <f>(AV6-BB12)*P46</f>
        <v>21.924768131508852</v>
      </c>
    </row>
    <row r="15" spans="1:54" x14ac:dyDescent="0.25">
      <c r="A15" t="s">
        <v>18</v>
      </c>
      <c r="B15">
        <f>ROUND((15/52)*120, 0)</f>
        <v>35</v>
      </c>
      <c r="C15">
        <f>ROUND((900/365)*2+55,0)</f>
        <v>60</v>
      </c>
      <c r="D15">
        <f>ROUND((2700/365)*2+75,0)</f>
        <v>90</v>
      </c>
      <c r="E15">
        <f>ROUND(5*7.5*$W$3,1)</f>
        <v>12.3</v>
      </c>
      <c r="F15">
        <f>ROUND(10*7.5*$W$3,1)</f>
        <v>24.7</v>
      </c>
      <c r="G15" t="s">
        <v>41</v>
      </c>
      <c r="H15" s="5">
        <v>0.1</v>
      </c>
      <c r="I15">
        <f>28/0.220462</f>
        <v>127.00601464197912</v>
      </c>
      <c r="J15">
        <f t="shared" si="0"/>
        <v>4.7039264682214491E-2</v>
      </c>
      <c r="K15">
        <f>12000/3</f>
        <v>4000</v>
      </c>
      <c r="L15">
        <f t="shared" si="24"/>
        <v>1166.2606707731945</v>
      </c>
      <c r="M15">
        <f t="shared" si="1"/>
        <v>0.43194839658266465</v>
      </c>
      <c r="N15">
        <f t="shared" si="25"/>
        <v>9.1827199999999998</v>
      </c>
      <c r="O15">
        <f t="shared" si="26"/>
        <v>21.258835714285713</v>
      </c>
      <c r="P15" t="s">
        <v>28</v>
      </c>
      <c r="Q15">
        <f t="shared" si="27"/>
        <v>42.171428571428571</v>
      </c>
      <c r="R15">
        <f t="shared" si="28"/>
        <v>84.685714285714283</v>
      </c>
      <c r="W15" s="6" t="str">
        <f t="shared" ca="1" si="7"/>
        <v>no</v>
      </c>
      <c r="X15" s="6" t="str">
        <f t="shared" ca="1" si="8"/>
        <v>N/A</v>
      </c>
      <c r="Y15" s="6">
        <f t="shared" ca="1" si="9"/>
        <v>3.4000000000000004</v>
      </c>
      <c r="Z15" s="11">
        <v>10</v>
      </c>
      <c r="AA15" s="6">
        <v>21.45308615729278</v>
      </c>
      <c r="AB15" s="6">
        <v>0</v>
      </c>
      <c r="AC15" s="6"/>
      <c r="AD15" s="6">
        <f t="shared" ca="1" si="10"/>
        <v>-1.4707207207207214</v>
      </c>
      <c r="AE15" s="6"/>
      <c r="AF15" s="6">
        <f t="shared" ca="1" si="11"/>
        <v>0</v>
      </c>
      <c r="AG15" s="6">
        <f t="shared" ca="1" si="12"/>
        <v>0</v>
      </c>
      <c r="AH15" s="6">
        <f t="shared" si="20"/>
        <v>0</v>
      </c>
      <c r="AI15" s="6">
        <f t="shared" si="19"/>
        <v>85.087406777502665</v>
      </c>
      <c r="AJ15">
        <f t="shared" si="13"/>
        <v>1160</v>
      </c>
      <c r="AK15">
        <f t="shared" si="14"/>
        <v>0</v>
      </c>
      <c r="AL15">
        <f t="shared" si="15"/>
        <v>0</v>
      </c>
      <c r="AM15">
        <f t="shared" si="16"/>
        <v>5.7273699102292737</v>
      </c>
      <c r="AN15">
        <f t="shared" si="17"/>
        <v>7.3865776824143126</v>
      </c>
      <c r="AO15" s="16">
        <f t="shared" si="18"/>
        <v>0</v>
      </c>
      <c r="AQ15" s="3" t="s">
        <v>137</v>
      </c>
      <c r="AS15" s="1">
        <f>$AQ$9/(G54*120)</f>
        <v>0.56352874379627771</v>
      </c>
      <c r="AT15" s="1" t="s">
        <v>182</v>
      </c>
    </row>
    <row r="16" spans="1:54" x14ac:dyDescent="0.25">
      <c r="A16" t="s">
        <v>21</v>
      </c>
      <c r="B16">
        <f>ROUND((17/52)*120, 0)</f>
        <v>39</v>
      </c>
      <c r="C16">
        <f>ROUND((-2200/365)*2+55,0)</f>
        <v>43</v>
      </c>
      <c r="D16">
        <f>ROUND((800/365)*2+75,0)</f>
        <v>79</v>
      </c>
      <c r="E16">
        <f>ROUND(5*7.5*$W$3,1)</f>
        <v>12.3</v>
      </c>
      <c r="F16">
        <f>ROUND(10*7.5*$W$3,1)</f>
        <v>24.7</v>
      </c>
      <c r="G16" t="s">
        <v>41</v>
      </c>
      <c r="H16" s="5">
        <v>0.2</v>
      </c>
      <c r="I16">
        <f>57/0.220462</f>
        <v>258.54795837831466</v>
      </c>
      <c r="J16">
        <f t="shared" si="0"/>
        <v>9.5758503103079498E-2</v>
      </c>
      <c r="K16">
        <f>6700/4</f>
        <v>1675</v>
      </c>
      <c r="L16">
        <f t="shared" si="24"/>
        <v>994.18515662563175</v>
      </c>
      <c r="M16">
        <f t="shared" si="1"/>
        <v>0.3682167246761599</v>
      </c>
      <c r="N16">
        <f t="shared" si="25"/>
        <v>3.8452640000000002</v>
      </c>
      <c r="O16">
        <f t="shared" si="26"/>
        <v>10.442936842105263</v>
      </c>
      <c r="Q16">
        <f t="shared" si="27"/>
        <v>37.846153846153854</v>
      </c>
      <c r="R16">
        <f t="shared" si="28"/>
        <v>76</v>
      </c>
      <c r="W16" s="6" t="str">
        <f t="shared" ca="1" si="7"/>
        <v>no</v>
      </c>
      <c r="X16" s="6" t="str">
        <f t="shared" ca="1" si="8"/>
        <v>N/A</v>
      </c>
      <c r="Y16" s="6">
        <f t="shared" ca="1" si="9"/>
        <v>3.4000000000000004</v>
      </c>
      <c r="Z16" s="11">
        <v>11</v>
      </c>
      <c r="AA16" s="6">
        <v>21.822124995394145</v>
      </c>
      <c r="AB16" s="6">
        <v>0</v>
      </c>
      <c r="AC16" s="6"/>
      <c r="AD16" s="6">
        <f t="shared" ca="1" si="10"/>
        <v>-1.4707207207207214</v>
      </c>
      <c r="AE16" s="6"/>
      <c r="AF16" s="6">
        <f t="shared" ca="1" si="11"/>
        <v>0</v>
      </c>
      <c r="AG16" s="6">
        <f t="shared" ca="1" si="12"/>
        <v>0</v>
      </c>
      <c r="AH16" s="6">
        <f t="shared" si="20"/>
        <v>0</v>
      </c>
      <c r="AI16" s="6">
        <f t="shared" si="19"/>
        <v>85.973099988945947</v>
      </c>
      <c r="AJ16">
        <f t="shared" si="13"/>
        <v>1160</v>
      </c>
      <c r="AK16">
        <f t="shared" si="14"/>
        <v>0</v>
      </c>
      <c r="AL16">
        <f t="shared" si="15"/>
        <v>0</v>
      </c>
      <c r="AM16">
        <f t="shared" si="16"/>
        <v>5.7869873417744531</v>
      </c>
      <c r="AN16">
        <f t="shared" si="17"/>
        <v>7.3896519358633519</v>
      </c>
      <c r="AO16" s="16">
        <f t="shared" si="18"/>
        <v>0</v>
      </c>
      <c r="AQ16" s="3" t="s">
        <v>138</v>
      </c>
      <c r="AS16" s="1">
        <f>($AQ$9+$AT$9+$AS$9)/(G55*120)</f>
        <v>5.4046808936171598</v>
      </c>
      <c r="AT16" s="1" t="s">
        <v>182</v>
      </c>
    </row>
    <row r="17" spans="1:46" x14ac:dyDescent="0.25">
      <c r="A17" s="1" t="s">
        <v>23</v>
      </c>
      <c r="B17" s="1" t="s">
        <v>8</v>
      </c>
      <c r="C17" s="1" t="s">
        <v>9</v>
      </c>
      <c r="D17" s="1"/>
      <c r="E17" s="1" t="s">
        <v>10</v>
      </c>
      <c r="F17" s="1"/>
      <c r="G17" s="1" t="s">
        <v>39</v>
      </c>
      <c r="H17" s="1" t="s">
        <v>59</v>
      </c>
      <c r="I17" s="1" t="s">
        <v>11</v>
      </c>
      <c r="J17" s="1" t="s">
        <v>36</v>
      </c>
      <c r="K17" s="1" t="s">
        <v>46</v>
      </c>
      <c r="L17" s="1" t="s">
        <v>12</v>
      </c>
      <c r="M17" s="1" t="s">
        <v>13</v>
      </c>
      <c r="N17" s="1" t="s">
        <v>27</v>
      </c>
      <c r="O17" s="1" t="s">
        <v>29</v>
      </c>
      <c r="Q17" s="1" t="s">
        <v>42</v>
      </c>
      <c r="T17" t="s">
        <v>74</v>
      </c>
      <c r="W17" s="6" t="str">
        <f t="shared" ca="1" si="7"/>
        <v>no</v>
      </c>
      <c r="X17" s="6" t="str">
        <f t="shared" ca="1" si="8"/>
        <v>N/A</v>
      </c>
      <c r="Y17" s="6">
        <f t="shared" ca="1" si="9"/>
        <v>3.4000000000000004</v>
      </c>
      <c r="Z17" s="11">
        <v>12</v>
      </c>
      <c r="AA17" s="6">
        <v>21.287357337884398</v>
      </c>
      <c r="AB17" s="6">
        <v>0</v>
      </c>
      <c r="AC17" s="6"/>
      <c r="AD17" s="6">
        <f t="shared" ca="1" si="10"/>
        <v>-1.4707207207207214</v>
      </c>
      <c r="AE17" s="6"/>
      <c r="AF17" s="6">
        <f t="shared" ca="1" si="11"/>
        <v>0</v>
      </c>
      <c r="AG17" s="6">
        <f t="shared" ca="1" si="12"/>
        <v>0</v>
      </c>
      <c r="AH17" s="6">
        <f t="shared" si="20"/>
        <v>0</v>
      </c>
      <c r="AI17" s="6">
        <f t="shared" si="19"/>
        <v>84.689657610922552</v>
      </c>
      <c r="AJ17">
        <f t="shared" si="13"/>
        <v>1160</v>
      </c>
      <c r="AK17">
        <f t="shared" si="14"/>
        <v>0</v>
      </c>
      <c r="AL17">
        <f t="shared" si="15"/>
        <v>0</v>
      </c>
      <c r="AM17">
        <f t="shared" si="16"/>
        <v>5.7005967754639064</v>
      </c>
      <c r="AN17">
        <f t="shared" si="17"/>
        <v>7.3851970895279582</v>
      </c>
      <c r="AO17" s="16">
        <f t="shared" si="18"/>
        <v>0</v>
      </c>
      <c r="AQ17" s="3" t="s">
        <v>139</v>
      </c>
      <c r="AS17" s="1">
        <f>$AV$9/(G56*120)</f>
        <v>0.71827566824268918</v>
      </c>
      <c r="AT17" s="1">
        <f>$AZ$9/(G56*120)</f>
        <v>0.20799973820162693</v>
      </c>
    </row>
    <row r="18" spans="1:46" x14ac:dyDescent="0.25">
      <c r="A18" t="s">
        <v>23</v>
      </c>
      <c r="B18" t="s">
        <v>45</v>
      </c>
      <c r="C18" t="s">
        <v>45</v>
      </c>
      <c r="E18" t="s">
        <v>45</v>
      </c>
      <c r="G18" t="s">
        <v>41</v>
      </c>
      <c r="H18" s="5"/>
      <c r="I18">
        <f>400/0.220462</f>
        <v>1814.371637742559</v>
      </c>
      <c r="J18">
        <f t="shared" si="0"/>
        <v>0.67198949546020703</v>
      </c>
      <c r="K18">
        <v>1.5</v>
      </c>
      <c r="L18">
        <f t="shared" ref="L18" si="29">I18*K18*$N$3</f>
        <v>6.2478250219992564</v>
      </c>
      <c r="M18">
        <f>L18/$S$3</f>
        <v>2.3140092674071321E-3</v>
      </c>
      <c r="N18">
        <f t="shared" ref="N18" si="30">K18*$N$3</f>
        <v>3.4435200000000003E-3</v>
      </c>
      <c r="O18">
        <f t="shared" ref="O18" si="31">N18/M18</f>
        <v>1.4881184999999999</v>
      </c>
      <c r="Q18" t="e">
        <f>(120/B18)*E18</f>
        <v>#VALUE!</v>
      </c>
      <c r="R18" t="e">
        <f>(120/B18)*F18</f>
        <v>#VALUE!</v>
      </c>
      <c r="T18">
        <f>(200*200)/90</f>
        <v>444.44444444444446</v>
      </c>
      <c r="U18">
        <f>(200*200)/10</f>
        <v>4000</v>
      </c>
      <c r="W18" s="6" t="str">
        <f t="shared" ca="1" si="7"/>
        <v>no</v>
      </c>
      <c r="X18" s="6" t="str">
        <f t="shared" ca="1" si="8"/>
        <v>N/A</v>
      </c>
      <c r="Y18" s="6">
        <f t="shared" ca="1" si="9"/>
        <v>3.4000000000000004</v>
      </c>
      <c r="Z18" s="11">
        <v>13</v>
      </c>
      <c r="AA18" s="6">
        <v>23.941837546069667</v>
      </c>
      <c r="AB18" s="6">
        <v>0</v>
      </c>
      <c r="AC18" s="6"/>
      <c r="AD18" s="6">
        <f t="shared" ca="1" si="10"/>
        <v>-1.4707207207207214</v>
      </c>
      <c r="AE18" s="6"/>
      <c r="AF18" s="6">
        <f t="shared" ca="1" si="11"/>
        <v>0</v>
      </c>
      <c r="AG18" s="6">
        <f t="shared" ca="1" si="12"/>
        <v>0</v>
      </c>
      <c r="AH18" s="6">
        <f t="shared" si="20"/>
        <v>0</v>
      </c>
      <c r="AI18" s="6">
        <f t="shared" si="19"/>
        <v>91.06041011056719</v>
      </c>
      <c r="AJ18">
        <f t="shared" si="13"/>
        <v>1160</v>
      </c>
      <c r="AK18">
        <f t="shared" si="14"/>
        <v>0</v>
      </c>
      <c r="AL18">
        <f t="shared" si="15"/>
        <v>0</v>
      </c>
      <c r="AM18">
        <f t="shared" si="16"/>
        <v>6.1294223508794925</v>
      </c>
      <c r="AN18">
        <f t="shared" si="17"/>
        <v>7.4073100600147601</v>
      </c>
      <c r="AO18" s="16">
        <f t="shared" si="18"/>
        <v>0</v>
      </c>
      <c r="AQ18" s="3" t="s">
        <v>140</v>
      </c>
      <c r="AS18" s="1">
        <f>($AQ$9+$AT$9)/(G57*120)</f>
        <v>3.5432918247347289</v>
      </c>
      <c r="AT18" s="1" t="s">
        <v>182</v>
      </c>
    </row>
    <row r="19" spans="1:46" x14ac:dyDescent="0.25">
      <c r="A19" t="s">
        <v>30</v>
      </c>
      <c r="B19" t="s">
        <v>45</v>
      </c>
      <c r="C19" t="s">
        <v>45</v>
      </c>
      <c r="E19" t="s">
        <v>45</v>
      </c>
      <c r="G19" t="s">
        <v>41</v>
      </c>
      <c r="H19" s="5"/>
      <c r="I19">
        <f>673/0.220462</f>
        <v>3052.6802805018551</v>
      </c>
      <c r="J19">
        <f t="shared" si="0"/>
        <v>1.1306223261117982</v>
      </c>
      <c r="K19">
        <f>(10*100/3)/120</f>
        <v>2.7777777777777777</v>
      </c>
      <c r="L19">
        <f t="shared" ref="L19:L21" si="32">I19*K19*$N$3</f>
        <v>19.466602962062495</v>
      </c>
      <c r="M19">
        <f t="shared" si="1"/>
        <v>7.209852948912035E-3</v>
      </c>
      <c r="N19">
        <f t="shared" ref="N19:N21" si="33">K19*$N$3</f>
        <v>6.3768888888888885E-3</v>
      </c>
      <c r="O19">
        <f t="shared" ref="O19:O21" si="34">N19/M19</f>
        <v>0.88446864784546808</v>
      </c>
      <c r="Q19" t="e">
        <f t="shared" ref="Q19:Q21" si="35">(120/B19)*E19</f>
        <v>#VALUE!</v>
      </c>
      <c r="R19" t="e">
        <f t="shared" ref="R19:R21" si="36">(120/B19)*F19</f>
        <v>#VALUE!</v>
      </c>
      <c r="W19" s="6" t="str">
        <f t="shared" ca="1" si="7"/>
        <v>no</v>
      </c>
      <c r="X19" s="6" t="str">
        <f t="shared" ca="1" si="8"/>
        <v>N/A</v>
      </c>
      <c r="Y19" s="6">
        <f t="shared" ca="1" si="9"/>
        <v>3.4000000000000004</v>
      </c>
      <c r="Z19" s="11">
        <v>14</v>
      </c>
      <c r="AA19" s="6">
        <v>28.878115879516052</v>
      </c>
      <c r="AB19" s="6">
        <v>0</v>
      </c>
      <c r="AC19" s="6"/>
      <c r="AD19" s="6">
        <f t="shared" ca="1" si="10"/>
        <v>-1.4707207207207214</v>
      </c>
      <c r="AE19" s="6"/>
      <c r="AF19" s="6">
        <f t="shared" ca="1" si="11"/>
        <v>0</v>
      </c>
      <c r="AG19" s="6">
        <f t="shared" ca="1" si="12"/>
        <v>0</v>
      </c>
      <c r="AH19" s="6">
        <f t="shared" si="20"/>
        <v>0</v>
      </c>
      <c r="AI19" s="6">
        <f t="shared" si="19"/>
        <v>102.90747811083853</v>
      </c>
      <c r="AJ19">
        <f t="shared" si="13"/>
        <v>1160</v>
      </c>
      <c r="AK19">
        <f t="shared" si="14"/>
        <v>0</v>
      </c>
      <c r="AL19">
        <f t="shared" si="15"/>
        <v>0</v>
      </c>
      <c r="AM19">
        <f t="shared" si="16"/>
        <v>6.9268675117905962</v>
      </c>
      <c r="AN19">
        <f t="shared" si="17"/>
        <v>7.4484313977311061</v>
      </c>
      <c r="AO19" s="16">
        <f t="shared" si="18"/>
        <v>0</v>
      </c>
      <c r="AQ19" s="3" t="s">
        <v>141</v>
      </c>
      <c r="AS19" s="1">
        <f>$AQ$9/(G58*120)</f>
        <v>0.3220164250264444</v>
      </c>
      <c r="AT19" s="1" t="s">
        <v>182</v>
      </c>
    </row>
    <row r="20" spans="1:46" x14ac:dyDescent="0.25">
      <c r="A20" t="s">
        <v>31</v>
      </c>
      <c r="B20" t="s">
        <v>45</v>
      </c>
      <c r="C20" t="s">
        <v>45</v>
      </c>
      <c r="E20" t="s">
        <v>45</v>
      </c>
      <c r="G20" t="s">
        <v>41</v>
      </c>
      <c r="H20" s="5"/>
      <c r="I20">
        <f>387/0.220462</f>
        <v>1755.4045595159257</v>
      </c>
      <c r="J20">
        <f t="shared" si="0"/>
        <v>0.6501498368577503</v>
      </c>
      <c r="K20">
        <f>(500/3.5+100)/120</f>
        <v>2.0238095238095237</v>
      </c>
      <c r="L20">
        <f t="shared" si="32"/>
        <v>8.1556430197883145</v>
      </c>
      <c r="M20">
        <f t="shared" si="1"/>
        <v>3.0206085258475241E-3</v>
      </c>
      <c r="N20">
        <f t="shared" si="33"/>
        <v>4.6460190476190471E-3</v>
      </c>
      <c r="O20">
        <f t="shared" si="34"/>
        <v>1.5381069767441857</v>
      </c>
      <c r="Q20" t="e">
        <f t="shared" si="35"/>
        <v>#VALUE!</v>
      </c>
      <c r="R20" t="e">
        <f t="shared" si="36"/>
        <v>#VALUE!</v>
      </c>
      <c r="W20" s="6" t="str">
        <f t="shared" ca="1" si="7"/>
        <v>no</v>
      </c>
      <c r="X20" s="6" t="str">
        <f t="shared" ca="1" si="8"/>
        <v>N/A</v>
      </c>
      <c r="Y20" s="6">
        <f t="shared" ca="1" si="9"/>
        <v>3.4000000000000004</v>
      </c>
      <c r="Z20" s="11">
        <v>15</v>
      </c>
      <c r="AA20" s="6">
        <v>29.88839187627455</v>
      </c>
      <c r="AB20" s="6">
        <v>0</v>
      </c>
      <c r="AC20" s="6"/>
      <c r="AD20" s="6">
        <f t="shared" ca="1" si="10"/>
        <v>-1.4707207207207214</v>
      </c>
      <c r="AE20" s="6"/>
      <c r="AF20" s="6">
        <f t="shared" ca="1" si="11"/>
        <v>0</v>
      </c>
      <c r="AG20" s="6">
        <f t="shared" ca="1" si="12"/>
        <v>0</v>
      </c>
      <c r="AH20" s="6">
        <f t="shared" si="20"/>
        <v>0</v>
      </c>
      <c r="AI20" s="6">
        <f t="shared" si="19"/>
        <v>105.33214050305892</v>
      </c>
      <c r="AJ20">
        <f t="shared" si="13"/>
        <v>1160</v>
      </c>
      <c r="AK20">
        <f t="shared" si="14"/>
        <v>0</v>
      </c>
      <c r="AL20">
        <f t="shared" si="15"/>
        <v>0</v>
      </c>
      <c r="AM20">
        <f t="shared" si="16"/>
        <v>7.0900754288444201</v>
      </c>
      <c r="AN20">
        <f t="shared" si="17"/>
        <v>7.4568474346000029</v>
      </c>
      <c r="AO20" s="16">
        <f t="shared" si="18"/>
        <v>0</v>
      </c>
      <c r="AQ20" s="3" t="s">
        <v>142</v>
      </c>
      <c r="AS20" s="1">
        <f>($AQ$9+$AT$9)/(G59*120)</f>
        <v>6.6436721713776181E-2</v>
      </c>
      <c r="AT20" s="1" t="s">
        <v>182</v>
      </c>
    </row>
    <row r="21" spans="1:46" x14ac:dyDescent="0.25">
      <c r="A21" t="s">
        <v>24</v>
      </c>
      <c r="B21">
        <f>ROUND((30/52)*120, 0)</f>
        <v>69</v>
      </c>
      <c r="C21">
        <f>ROUND((-500/365)*2+55,0)</f>
        <v>52</v>
      </c>
      <c r="D21">
        <f>ROUND((-300/365)*2+75,0)</f>
        <v>73</v>
      </c>
      <c r="E21">
        <f>ROUND(8*7.5*$W$3,1)</f>
        <v>19.7</v>
      </c>
      <c r="F21">
        <f>ROUND(14*7.5*$W$3,1)</f>
        <v>34.5</v>
      </c>
      <c r="G21" t="s">
        <v>41</v>
      </c>
      <c r="H21" s="5">
        <v>0.02</v>
      </c>
      <c r="I21">
        <f>600/0.220462</f>
        <v>2721.5574566138384</v>
      </c>
      <c r="J21">
        <f t="shared" si="0"/>
        <v>1.0079842431903105</v>
      </c>
      <c r="K21">
        <f>200/120</f>
        <v>1.6666666666666667</v>
      </c>
      <c r="L21">
        <f t="shared" si="32"/>
        <v>10.413041703332095</v>
      </c>
      <c r="M21">
        <f t="shared" si="1"/>
        <v>3.8566821123452201E-3</v>
      </c>
      <c r="N21">
        <f t="shared" si="33"/>
        <v>3.8261333333333334E-3</v>
      </c>
      <c r="O21">
        <f t="shared" si="34"/>
        <v>0.99207899999999993</v>
      </c>
      <c r="Q21">
        <f t="shared" si="35"/>
        <v>34.260869565217391</v>
      </c>
      <c r="R21">
        <f t="shared" si="36"/>
        <v>60</v>
      </c>
      <c r="W21" s="6" t="str">
        <f t="shared" ca="1" si="7"/>
        <v>no</v>
      </c>
      <c r="X21" s="6" t="str">
        <f t="shared" ca="1" si="8"/>
        <v>N/A</v>
      </c>
      <c r="Y21" s="6">
        <f t="shared" ca="1" si="9"/>
        <v>3.4000000000000004</v>
      </c>
      <c r="Z21" s="11">
        <v>16</v>
      </c>
      <c r="AA21" s="6">
        <v>29.664657231925865</v>
      </c>
      <c r="AB21" s="6">
        <v>0</v>
      </c>
      <c r="AC21" s="6"/>
      <c r="AD21" s="6">
        <f t="shared" ca="1" si="10"/>
        <v>-1.4707207207207214</v>
      </c>
      <c r="AE21" s="6"/>
      <c r="AF21" s="6">
        <f t="shared" ca="1" si="11"/>
        <v>0</v>
      </c>
      <c r="AG21" s="6">
        <f t="shared" ca="1" si="12"/>
        <v>0</v>
      </c>
      <c r="AH21" s="6">
        <f t="shared" si="20"/>
        <v>0</v>
      </c>
      <c r="AI21" s="6">
        <f t="shared" si="19"/>
        <v>104.79517735662206</v>
      </c>
      <c r="AJ21">
        <f t="shared" si="13"/>
        <v>1160</v>
      </c>
      <c r="AK21">
        <f t="shared" si="14"/>
        <v>0</v>
      </c>
      <c r="AL21">
        <f t="shared" si="15"/>
        <v>0</v>
      </c>
      <c r="AM21">
        <f t="shared" si="16"/>
        <v>7.0539315776650504</v>
      </c>
      <c r="AN21">
        <f t="shared" si="17"/>
        <v>7.4549836280543369</v>
      </c>
      <c r="AO21" s="16">
        <f t="shared" si="18"/>
        <v>0</v>
      </c>
      <c r="AQ21" s="3" t="s">
        <v>143</v>
      </c>
      <c r="AS21" s="1">
        <f>($AQ$9+$AT$9)/(G60*120)</f>
        <v>4.0264679826531015E-2</v>
      </c>
      <c r="AT21" s="1" t="s">
        <v>182</v>
      </c>
    </row>
    <row r="22" spans="1:46" x14ac:dyDescent="0.25">
      <c r="A22" s="1" t="s">
        <v>25</v>
      </c>
      <c r="B22" s="1" t="s">
        <v>8</v>
      </c>
      <c r="C22" s="1" t="s">
        <v>9</v>
      </c>
      <c r="D22" s="1"/>
      <c r="E22" s="1" t="s">
        <v>10</v>
      </c>
      <c r="F22" s="1"/>
      <c r="G22" s="1" t="s">
        <v>39</v>
      </c>
      <c r="H22" s="1" t="s">
        <v>59</v>
      </c>
      <c r="I22" s="1" t="s">
        <v>11</v>
      </c>
      <c r="J22" s="1" t="s">
        <v>36</v>
      </c>
      <c r="K22" s="1" t="s">
        <v>47</v>
      </c>
      <c r="L22" s="1" t="s">
        <v>12</v>
      </c>
      <c r="M22" s="1" t="s">
        <v>13</v>
      </c>
      <c r="N22" s="1" t="s">
        <v>27</v>
      </c>
      <c r="O22" s="1" t="s">
        <v>29</v>
      </c>
      <c r="W22" s="6" t="str">
        <f t="shared" ca="1" si="7"/>
        <v>no</v>
      </c>
      <c r="X22" s="6" t="str">
        <f t="shared" ca="1" si="8"/>
        <v>N/A</v>
      </c>
      <c r="Y22" s="6">
        <f t="shared" ca="1" si="9"/>
        <v>3.4000000000000004</v>
      </c>
      <c r="Z22" s="11">
        <v>17</v>
      </c>
      <c r="AA22" s="6">
        <v>31.398826055637763</v>
      </c>
      <c r="AB22" s="6">
        <v>0</v>
      </c>
      <c r="AC22" s="6"/>
      <c r="AD22" s="6">
        <f t="shared" ca="1" si="10"/>
        <v>-1.4707207207207214</v>
      </c>
      <c r="AE22" s="6"/>
      <c r="AF22" s="6">
        <f t="shared" ca="1" si="11"/>
        <v>0</v>
      </c>
      <c r="AG22" s="6">
        <f t="shared" ca="1" si="12"/>
        <v>0</v>
      </c>
      <c r="AH22" s="6">
        <f t="shared" si="20"/>
        <v>0</v>
      </c>
      <c r="AI22" s="6">
        <f t="shared" si="19"/>
        <v>108.95718253353063</v>
      </c>
      <c r="AJ22">
        <f t="shared" si="13"/>
        <v>1160</v>
      </c>
      <c r="AK22">
        <f t="shared" si="14"/>
        <v>0</v>
      </c>
      <c r="AL22">
        <f t="shared" si="15"/>
        <v>0</v>
      </c>
      <c r="AM22">
        <f t="shared" si="16"/>
        <v>7.3340828258841615</v>
      </c>
      <c r="AN22">
        <f t="shared" si="17"/>
        <v>7.4694300058798806</v>
      </c>
      <c r="AO22" s="16">
        <f t="shared" si="18"/>
        <v>0.19458468175979129</v>
      </c>
      <c r="AQ22" s="3" t="s">
        <v>144</v>
      </c>
      <c r="AS22" s="1">
        <f>$AQ$9/(G61*120)</f>
        <v>4.098390863972929</v>
      </c>
      <c r="AT22" s="1" t="s">
        <v>182</v>
      </c>
    </row>
    <row r="23" spans="1:46" x14ac:dyDescent="0.25">
      <c r="A23" t="s">
        <v>26</v>
      </c>
      <c r="B23" t="s">
        <v>45</v>
      </c>
      <c r="C23" t="s">
        <v>45</v>
      </c>
      <c r="E23" t="s">
        <v>45</v>
      </c>
      <c r="G23" t="s">
        <v>41</v>
      </c>
      <c r="H23" s="5"/>
      <c r="I23">
        <v>1000</v>
      </c>
      <c r="J23">
        <f t="shared" si="0"/>
        <v>0.37037037037037035</v>
      </c>
      <c r="K23">
        <f>(((11500+7500)/2)/120)</f>
        <v>79.166666666666671</v>
      </c>
      <c r="L23">
        <f>I23*K23*$N$3</f>
        <v>181.74133333333336</v>
      </c>
      <c r="M23">
        <f>L23/$S$3</f>
        <v>6.731160493827161E-2</v>
      </c>
      <c r="N23">
        <f t="shared" ref="N23" si="37">K23*$N$3</f>
        <v>0.18174133333333334</v>
      </c>
      <c r="O23">
        <f>N23/M23</f>
        <v>2.6999999999999997</v>
      </c>
      <c r="P23" t="s">
        <v>32</v>
      </c>
      <c r="W23" s="6" t="str">
        <f t="shared" ca="1" si="7"/>
        <v>no</v>
      </c>
      <c r="X23" s="6" t="str">
        <f t="shared" ca="1" si="8"/>
        <v>N/A</v>
      </c>
      <c r="Y23" s="6">
        <f t="shared" ca="1" si="9"/>
        <v>3.4000000000000004</v>
      </c>
      <c r="Z23" s="11">
        <v>18</v>
      </c>
      <c r="AA23" s="6">
        <v>31.782850996533362</v>
      </c>
      <c r="AB23" s="6">
        <v>0</v>
      </c>
      <c r="AC23" s="6"/>
      <c r="AD23" s="6">
        <f t="shared" ca="1" si="10"/>
        <v>-1.4707207207207214</v>
      </c>
      <c r="AE23" s="6"/>
      <c r="AF23" s="6">
        <f t="shared" ca="1" si="11"/>
        <v>0</v>
      </c>
      <c r="AG23" s="6">
        <f t="shared" ca="1" si="12"/>
        <v>0</v>
      </c>
      <c r="AH23" s="6">
        <f t="shared" si="20"/>
        <v>0</v>
      </c>
      <c r="AI23" s="6">
        <f t="shared" si="19"/>
        <v>109.87884239168005</v>
      </c>
      <c r="AJ23">
        <f t="shared" si="13"/>
        <v>1160</v>
      </c>
      <c r="AK23">
        <f t="shared" si="14"/>
        <v>0</v>
      </c>
      <c r="AL23">
        <f t="shared" si="15"/>
        <v>0</v>
      </c>
      <c r="AM23">
        <f t="shared" si="16"/>
        <v>7.396121230143379</v>
      </c>
      <c r="AN23">
        <f t="shared" si="17"/>
        <v>7.4726291000596134</v>
      </c>
      <c r="AO23" s="16">
        <f t="shared" si="18"/>
        <v>0.24800474110943188</v>
      </c>
      <c r="AQ23" s="3" t="s">
        <v>145</v>
      </c>
      <c r="AS23" s="1">
        <f>$AV$9/(G62*120)</f>
        <v>0.16900603958651511</v>
      </c>
      <c r="AT23" s="1">
        <f>$AZ$9/(G62*120)</f>
        <v>4.8941114870971046E-2</v>
      </c>
    </row>
    <row r="24" spans="1:46" x14ac:dyDescent="0.25">
      <c r="A24" s="1" t="s">
        <v>35</v>
      </c>
      <c r="B24" s="1" t="s">
        <v>8</v>
      </c>
      <c r="C24" s="1" t="s">
        <v>9</v>
      </c>
      <c r="D24" s="1"/>
      <c r="E24" s="1" t="s">
        <v>10</v>
      </c>
      <c r="F24" s="1"/>
      <c r="G24" s="1" t="s">
        <v>39</v>
      </c>
      <c r="H24" s="1" t="s">
        <v>59</v>
      </c>
      <c r="I24" s="1" t="s">
        <v>11</v>
      </c>
      <c r="J24" s="1" t="s">
        <v>36</v>
      </c>
      <c r="K24" s="1" t="s">
        <v>47</v>
      </c>
      <c r="L24" s="1" t="s">
        <v>12</v>
      </c>
      <c r="M24" s="1" t="s">
        <v>13</v>
      </c>
      <c r="N24" s="1" t="s">
        <v>27</v>
      </c>
      <c r="O24" s="1" t="s">
        <v>29</v>
      </c>
      <c r="P24" t="s">
        <v>33</v>
      </c>
      <c r="W24" s="6" t="str">
        <f t="shared" ca="1" si="7"/>
        <v>no</v>
      </c>
      <c r="X24" s="6" t="str">
        <f t="shared" ca="1" si="8"/>
        <v>N/A</v>
      </c>
      <c r="Y24" s="6">
        <f t="shared" ca="1" si="9"/>
        <v>3.4000000000000004</v>
      </c>
      <c r="Z24" s="11">
        <v>19</v>
      </c>
      <c r="AA24" s="6">
        <v>35.808824311253595</v>
      </c>
      <c r="AB24" s="6">
        <v>0</v>
      </c>
      <c r="AC24" s="6"/>
      <c r="AD24" s="6">
        <f t="shared" ca="1" si="10"/>
        <v>-1.4707207207207214</v>
      </c>
      <c r="AE24" s="6"/>
      <c r="AF24" s="6">
        <f t="shared" ca="1" si="11"/>
        <v>0</v>
      </c>
      <c r="AG24" s="6">
        <f t="shared" ca="1" si="12"/>
        <v>0</v>
      </c>
      <c r="AH24" s="6">
        <f t="shared" ca="1" si="20"/>
        <v>0</v>
      </c>
      <c r="AI24" s="6">
        <f t="shared" si="19"/>
        <v>119.54117834700861</v>
      </c>
      <c r="AJ24">
        <f t="shared" si="13"/>
        <v>1160</v>
      </c>
      <c r="AK24">
        <f t="shared" si="14"/>
        <v>0</v>
      </c>
      <c r="AL24">
        <f t="shared" si="15"/>
        <v>0</v>
      </c>
      <c r="AM24">
        <f t="shared" si="16"/>
        <v>8.046508570749312</v>
      </c>
      <c r="AN24">
        <f t="shared" si="17"/>
        <v>7.5061672024777604</v>
      </c>
      <c r="AO24" s="16">
        <f t="shared" si="18"/>
        <v>0.8080405890698692</v>
      </c>
      <c r="AQ24" s="3" t="s">
        <v>168</v>
      </c>
      <c r="AS24" s="1">
        <f>$AV$9/(G63*120)</f>
        <v>1.7238616037824543</v>
      </c>
      <c r="AT24" s="1">
        <f>$AZ$9/(G63*120)</f>
        <v>0.49919937168390466</v>
      </c>
    </row>
    <row r="25" spans="1:46" x14ac:dyDescent="0.25">
      <c r="A25" t="s">
        <v>75</v>
      </c>
      <c r="B25" t="s">
        <v>45</v>
      </c>
      <c r="C25" t="s">
        <v>45</v>
      </c>
      <c r="E25" t="s">
        <v>45</v>
      </c>
      <c r="G25" t="s">
        <v>41</v>
      </c>
      <c r="H25" s="5"/>
      <c r="I25">
        <f>25/0.220462</f>
        <v>113.39822735890993</v>
      </c>
      <c r="J25">
        <f t="shared" si="0"/>
        <v>4.1999343466262939E-2</v>
      </c>
      <c r="K25">
        <v>45</v>
      </c>
      <c r="L25">
        <f>I25*K25*$N$3</f>
        <v>11.714671916248607</v>
      </c>
      <c r="M25">
        <f t="shared" ref="M25" si="38">L25/$S$3</f>
        <v>4.338767376388373E-3</v>
      </c>
      <c r="N25">
        <f t="shared" ref="N25" si="39">K25*$N$3</f>
        <v>0.1033056</v>
      </c>
      <c r="O25">
        <f>N25/M25</f>
        <v>23.809895999999995</v>
      </c>
      <c r="P25" t="s">
        <v>34</v>
      </c>
      <c r="W25" s="6" t="str">
        <f t="shared" ca="1" si="7"/>
        <v>no</v>
      </c>
      <c r="X25" s="6" t="str">
        <f t="shared" ca="1" si="8"/>
        <v>N/A</v>
      </c>
      <c r="Y25" s="6">
        <f t="shared" ca="1" si="9"/>
        <v>3.9000000000000004</v>
      </c>
      <c r="Z25" s="11">
        <v>20</v>
      </c>
      <c r="AA25" s="6">
        <v>35.869063467035986</v>
      </c>
      <c r="AB25" s="6">
        <v>0</v>
      </c>
      <c r="AC25" s="6"/>
      <c r="AD25" s="6">
        <f t="shared" ca="1" si="10"/>
        <v>-1.3806306306306309</v>
      </c>
      <c r="AE25" s="6"/>
      <c r="AF25" s="6">
        <f t="shared" ca="1" si="11"/>
        <v>0</v>
      </c>
      <c r="AG25" s="6">
        <f t="shared" ca="1" si="12"/>
        <v>0</v>
      </c>
      <c r="AH25" s="6">
        <f t="shared" ca="1" si="20"/>
        <v>0</v>
      </c>
      <c r="AI25" s="6">
        <f t="shared" si="19"/>
        <v>119.68575232088635</v>
      </c>
      <c r="AJ25">
        <f t="shared" si="13"/>
        <v>1160</v>
      </c>
      <c r="AK25">
        <f t="shared" si="14"/>
        <v>0</v>
      </c>
      <c r="AL25">
        <f t="shared" si="15"/>
        <v>0</v>
      </c>
      <c r="AM25">
        <f t="shared" si="16"/>
        <v>8.0562400769633271</v>
      </c>
      <c r="AN25">
        <f t="shared" si="17"/>
        <v>7.5066690207508291</v>
      </c>
      <c r="AO25" s="16">
        <f t="shared" si="18"/>
        <v>0.81642019917946995</v>
      </c>
      <c r="AQ25" s="3" t="s">
        <v>169</v>
      </c>
      <c r="AS25" s="1">
        <f>$AV$9/(G64*120)</f>
        <v>7.6616071279220197</v>
      </c>
      <c r="AT25" s="1">
        <f>$AZ$9/(G64*120)</f>
        <v>2.2186638741506877</v>
      </c>
    </row>
    <row r="26" spans="1:46" x14ac:dyDescent="0.25">
      <c r="A26" s="3" t="s">
        <v>37</v>
      </c>
      <c r="B26" t="s">
        <v>45</v>
      </c>
      <c r="C26" t="s">
        <v>45</v>
      </c>
      <c r="E26" t="s">
        <v>45</v>
      </c>
      <c r="G26" s="3" t="s">
        <v>41</v>
      </c>
      <c r="H26" s="5"/>
      <c r="I26">
        <f>30/0.220462</f>
        <v>136.07787283069192</v>
      </c>
      <c r="J26">
        <f t="shared" si="0"/>
        <v>5.0399212159515525E-2</v>
      </c>
      <c r="K26">
        <v>55</v>
      </c>
      <c r="L26">
        <f>I26*K26*$N$3</f>
        <v>17.181518810497955</v>
      </c>
      <c r="M26">
        <f t="shared" ref="M26" si="40">L26/$S$3</f>
        <v>6.3635254853696135E-3</v>
      </c>
      <c r="N26">
        <f t="shared" ref="N26" si="41">K26*$N$3</f>
        <v>0.1262624</v>
      </c>
      <c r="O26">
        <f>N26/M26</f>
        <v>19.841579999999997</v>
      </c>
      <c r="R26">
        <f>400*M25</f>
        <v>1.7355069505553493</v>
      </c>
      <c r="W26" s="6" t="str">
        <f t="shared" ca="1" si="7"/>
        <v>no</v>
      </c>
      <c r="X26" s="6" t="str">
        <f t="shared" ca="1" si="8"/>
        <v>N/A</v>
      </c>
      <c r="Y26" s="6">
        <f t="shared" ca="1" si="9"/>
        <v>3.9000000000000004</v>
      </c>
      <c r="Z26" s="11">
        <v>21</v>
      </c>
      <c r="AA26" s="6">
        <v>40.85618133265141</v>
      </c>
      <c r="AB26" s="6">
        <v>0.5</v>
      </c>
      <c r="AC26" s="6"/>
      <c r="AD26" s="6">
        <f t="shared" ca="1" si="10"/>
        <v>-1.3806306306306309</v>
      </c>
      <c r="AE26" s="6"/>
      <c r="AF26" s="6">
        <f t="shared" ca="1" si="11"/>
        <v>0</v>
      </c>
      <c r="AG26" s="6">
        <f t="shared" ca="1" si="12"/>
        <v>0</v>
      </c>
      <c r="AH26" s="6">
        <f t="shared" ca="1" si="20"/>
        <v>0</v>
      </c>
      <c r="AI26" s="6">
        <f t="shared" si="19"/>
        <v>131.65483519836337</v>
      </c>
      <c r="AJ26">
        <f t="shared" si="13"/>
        <v>1160</v>
      </c>
      <c r="AK26">
        <f t="shared" si="14"/>
        <v>0</v>
      </c>
      <c r="AL26">
        <f t="shared" si="15"/>
        <v>0</v>
      </c>
      <c r="AM26">
        <f t="shared" si="16"/>
        <v>8.8618982550854906</v>
      </c>
      <c r="AN26">
        <f t="shared" si="17"/>
        <v>7.5482138738020979</v>
      </c>
      <c r="AO26" s="16">
        <f t="shared" si="18"/>
        <v>1.5101567355187986</v>
      </c>
    </row>
    <row r="27" spans="1:46" x14ac:dyDescent="0.25">
      <c r="A27" s="3" t="s">
        <v>76</v>
      </c>
      <c r="B27" t="s">
        <v>45</v>
      </c>
      <c r="C27" t="s">
        <v>45</v>
      </c>
      <c r="E27" t="s">
        <v>45</v>
      </c>
      <c r="G27" t="s">
        <v>41</v>
      </c>
      <c r="I27">
        <f t="shared" ref="I27" si="42">30/0.220462</f>
        <v>136.07787283069192</v>
      </c>
      <c r="J27">
        <f t="shared" ref="J27:J28" si="43">I27/$S$3</f>
        <v>5.0399212159515525E-2</v>
      </c>
      <c r="K27">
        <v>35</v>
      </c>
      <c r="L27">
        <f t="shared" ref="L27:L29" si="44">I27*K27*$N$3</f>
        <v>10.933693788498699</v>
      </c>
      <c r="M27">
        <f t="shared" ref="M27:M29" si="45">L27/$S$3</f>
        <v>4.0495162179624809E-3</v>
      </c>
      <c r="N27">
        <f t="shared" ref="N27:N29" si="46">K27*$N$3</f>
        <v>8.0348799999999998E-2</v>
      </c>
      <c r="O27">
        <f t="shared" ref="O27:O29" si="47">N27/M27</f>
        <v>19.84158</v>
      </c>
      <c r="R27">
        <f>400*M26</f>
        <v>2.5454101941478453</v>
      </c>
      <c r="W27" s="6" t="str">
        <f t="shared" ca="1" si="7"/>
        <v>no</v>
      </c>
      <c r="X27" s="6" t="str">
        <f t="shared" ca="1" si="8"/>
        <v>N/A</v>
      </c>
      <c r="Y27" s="6">
        <f t="shared" ca="1" si="9"/>
        <v>3.4000000000000004</v>
      </c>
      <c r="Z27" s="11">
        <v>22</v>
      </c>
      <c r="AA27" s="6">
        <v>37.863141395803233</v>
      </c>
      <c r="AB27" s="6">
        <v>0</v>
      </c>
      <c r="AC27" s="6"/>
      <c r="AD27" s="6">
        <f t="shared" ca="1" si="10"/>
        <v>-1.4707207207207214</v>
      </c>
      <c r="AE27" s="6"/>
      <c r="AF27" s="6">
        <f t="shared" ca="1" si="11"/>
        <v>0</v>
      </c>
      <c r="AG27" s="6">
        <f t="shared" ca="1" si="12"/>
        <v>0</v>
      </c>
      <c r="AH27" s="6">
        <f t="shared" ca="1" si="20"/>
        <v>0</v>
      </c>
      <c r="AI27" s="6">
        <f t="shared" si="19"/>
        <v>124.47153934992775</v>
      </c>
      <c r="AJ27">
        <f t="shared" si="13"/>
        <v>1160</v>
      </c>
      <c r="AK27">
        <f t="shared" si="14"/>
        <v>0</v>
      </c>
      <c r="AL27">
        <f t="shared" si="15"/>
        <v>0</v>
      </c>
      <c r="AM27">
        <f t="shared" si="16"/>
        <v>8.3783790827808655</v>
      </c>
      <c r="AN27">
        <f t="shared" si="17"/>
        <v>7.5232805540563872</v>
      </c>
      <c r="AO27" s="16">
        <f t="shared" si="18"/>
        <v>1.0938078111770824</v>
      </c>
    </row>
    <row r="28" spans="1:46" x14ac:dyDescent="0.25">
      <c r="A28" s="3" t="s">
        <v>77</v>
      </c>
      <c r="B28" t="s">
        <v>45</v>
      </c>
      <c r="C28" t="s">
        <v>45</v>
      </c>
      <c r="E28" t="s">
        <v>45</v>
      </c>
      <c r="G28" s="3" t="s">
        <v>41</v>
      </c>
      <c r="I28">
        <f>25/0.220462</f>
        <v>113.39822735890993</v>
      </c>
      <c r="J28">
        <f t="shared" si="43"/>
        <v>4.1999343466262939E-2</v>
      </c>
      <c r="K28">
        <v>200</v>
      </c>
      <c r="L28">
        <f t="shared" si="44"/>
        <v>52.065208516660469</v>
      </c>
      <c r="M28">
        <f t="shared" si="45"/>
        <v>1.92834105617261E-2</v>
      </c>
      <c r="N28">
        <f t="shared" si="46"/>
        <v>0.45913599999999999</v>
      </c>
      <c r="O28">
        <f t="shared" si="47"/>
        <v>23.809895999999998</v>
      </c>
      <c r="W28" s="6" t="str">
        <f t="shared" ca="1" si="7"/>
        <v>no</v>
      </c>
      <c r="X28" s="6" t="str">
        <f t="shared" ca="1" si="8"/>
        <v>N/A</v>
      </c>
      <c r="Y28" s="6">
        <f t="shared" ca="1" si="9"/>
        <v>3.4000000000000004</v>
      </c>
      <c r="Z28" s="11">
        <v>23</v>
      </c>
      <c r="AA28" s="6">
        <v>40.183298758082209</v>
      </c>
      <c r="AB28" s="6">
        <v>0</v>
      </c>
      <c r="AC28" s="6"/>
      <c r="AD28" s="6">
        <f t="shared" ca="1" si="10"/>
        <v>-1.4707207207207214</v>
      </c>
      <c r="AE28" s="6"/>
      <c r="AF28" s="6">
        <f t="shared" ca="1" si="11"/>
        <v>0</v>
      </c>
      <c r="AG28" s="6">
        <f t="shared" ca="1" si="12"/>
        <v>0</v>
      </c>
      <c r="AH28" s="6">
        <f t="shared" ca="1" si="20"/>
        <v>0</v>
      </c>
      <c r="AI28" s="6">
        <f t="shared" si="19"/>
        <v>130.03991701939728</v>
      </c>
      <c r="AJ28">
        <f t="shared" si="13"/>
        <v>1160</v>
      </c>
      <c r="AK28">
        <f t="shared" si="14"/>
        <v>0</v>
      </c>
      <c r="AL28">
        <f t="shared" si="15"/>
        <v>0</v>
      </c>
      <c r="AM28">
        <f t="shared" si="16"/>
        <v>8.7531955206152929</v>
      </c>
      <c r="AN28">
        <f t="shared" si="17"/>
        <v>7.5426084703537501</v>
      </c>
      <c r="AO28" s="16">
        <f t="shared" si="18"/>
        <v>1.4165549319875073</v>
      </c>
    </row>
    <row r="29" spans="1:46" x14ac:dyDescent="0.25">
      <c r="A29" s="3" t="s">
        <v>78</v>
      </c>
      <c r="B29" t="s">
        <v>45</v>
      </c>
      <c r="C29" t="s">
        <v>45</v>
      </c>
      <c r="E29" t="s">
        <v>45</v>
      </c>
      <c r="G29" s="3" t="s">
        <v>41</v>
      </c>
      <c r="I29">
        <f>15/0.220462</f>
        <v>68.038936415345958</v>
      </c>
      <c r="J29">
        <f t="shared" ref="J29:J37" si="48">I29/$S$3</f>
        <v>2.5199606079757762E-2</v>
      </c>
      <c r="K29">
        <v>150</v>
      </c>
      <c r="L29">
        <f t="shared" si="44"/>
        <v>23.429343832497214</v>
      </c>
      <c r="M29">
        <f t="shared" si="45"/>
        <v>8.6775347527767461E-3</v>
      </c>
      <c r="N29">
        <f t="shared" si="46"/>
        <v>0.34435199999999999</v>
      </c>
      <c r="O29">
        <f t="shared" si="47"/>
        <v>39.683159999999994</v>
      </c>
      <c r="W29" s="6" t="str">
        <f t="shared" ca="1" si="7"/>
        <v>no</v>
      </c>
      <c r="X29" s="6" t="str">
        <f t="shared" ca="1" si="8"/>
        <v>N/A</v>
      </c>
      <c r="Y29" s="6">
        <f t="shared" ca="1" si="9"/>
        <v>3.5000000000000004</v>
      </c>
      <c r="Z29" s="11">
        <v>24</v>
      </c>
      <c r="AA29" s="6">
        <v>43.71042789884094</v>
      </c>
      <c r="AB29" s="6">
        <v>0.1</v>
      </c>
      <c r="AC29" s="6"/>
      <c r="AD29" s="6">
        <f t="shared" ca="1" si="10"/>
        <v>-1.4527027027027031</v>
      </c>
      <c r="AE29" s="6"/>
      <c r="AF29" s="6">
        <f t="shared" ca="1" si="11"/>
        <v>0</v>
      </c>
      <c r="AG29" s="6">
        <f t="shared" ca="1" si="12"/>
        <v>0</v>
      </c>
      <c r="AH29" s="6">
        <f t="shared" ca="1" si="20"/>
        <v>0</v>
      </c>
      <c r="AI29" s="6">
        <f t="shared" si="19"/>
        <v>138.50502695721826</v>
      </c>
      <c r="AJ29">
        <f t="shared" si="13"/>
        <v>1160</v>
      </c>
      <c r="AK29">
        <f t="shared" si="14"/>
        <v>0</v>
      </c>
      <c r="AL29">
        <f t="shared" si="15"/>
        <v>0</v>
      </c>
      <c r="AM29">
        <f t="shared" si="16"/>
        <v>9.3229956565089349</v>
      </c>
      <c r="AN29">
        <f t="shared" si="17"/>
        <v>7.5719909846223565</v>
      </c>
      <c r="AO29" s="16">
        <f t="shared" si="18"/>
        <v>1.9071987104716801</v>
      </c>
    </row>
    <row r="30" spans="1:46" x14ac:dyDescent="0.25">
      <c r="A30" s="1" t="s">
        <v>186</v>
      </c>
      <c r="B30" s="1" t="s">
        <v>8</v>
      </c>
      <c r="C30" s="1" t="s">
        <v>9</v>
      </c>
      <c r="D30" s="1"/>
      <c r="E30" s="1" t="s">
        <v>10</v>
      </c>
      <c r="F30" s="1"/>
      <c r="G30" s="1" t="s">
        <v>39</v>
      </c>
      <c r="H30" s="1" t="s">
        <v>59</v>
      </c>
      <c r="I30" s="1" t="s">
        <v>11</v>
      </c>
      <c r="J30" s="1" t="s">
        <v>36</v>
      </c>
      <c r="K30" s="1" t="s">
        <v>15</v>
      </c>
      <c r="L30" s="1" t="s">
        <v>190</v>
      </c>
      <c r="M30" s="1"/>
      <c r="N30" s="1" t="s">
        <v>27</v>
      </c>
      <c r="O30" s="1"/>
      <c r="P30" s="1"/>
      <c r="Q30" s="1" t="s">
        <v>42</v>
      </c>
      <c r="R30" s="1"/>
      <c r="W30" s="6" t="str">
        <f ca="1">IF(AND(COUNTIFS(INDIRECT(CONCATENATE(ADDRESS(ROW(AA30), 27), ":", ADDRESS(ROW(AA29)+VLOOKUP($Y$4, $A$5:$B$21, 2, FALSE), 27))), "&gt;" &amp; $Z$4-10, INDIRECT(CONCATENATE(ADDRESS(ROW(AA30), 27), ":", ADDRESS(ROW(AA29)+VLOOKUP($Y$4, $A$5:$B$21, 2, FALSE), 27))), "&lt;" &amp; $AA$4+10) = VLOOKUP($Y$4, $A$5:$B$21, 2, FALSE), Y30&gt;$AB$4, Y30&lt;$AC$4), "yes", "no")</f>
        <v>no</v>
      </c>
      <c r="X30" s="6" t="str">
        <f ca="1">IF(W30= "yes", (COUNTIFS(INDIRECT(CONCATENATE(ADDRESS(ROW(AA30), 27), ":", ADDRESS(ROW(AA29)+VLOOKUP($Y$4, $A$5:$B$21, 2, FALSE), 27))), "&gt;68", INDIRECT(CONCATENATE(ADDRESS(ROW(AA30), 27), ":", ADDRESS(ROW(AA29)+VLOOKUP($Y$4, $A$5:$B$21, 2, FALSE), 27))), "&lt;88")/VLOOKUP($Y$4, $A$5:$B$21, 2, FALSE)*AD30)*100, "N/A")</f>
        <v>N/A</v>
      </c>
      <c r="Y30" s="6">
        <f ca="1">SUM(INDIRECT(CONCATENATE(ADDRESS(ROW(AA30), 28), ":", ADDRESS(ROW(AA29)+VLOOKUP($Y$4, $A$5:$B$21, 2, FALSE), 28))))</f>
        <v>4.5</v>
      </c>
      <c r="Z30" s="11">
        <v>25</v>
      </c>
      <c r="AA30" s="6">
        <v>48.438738371752081</v>
      </c>
      <c r="AB30" s="6">
        <v>0</v>
      </c>
      <c r="AC30" s="6"/>
      <c r="AD30" s="6">
        <f t="shared" ca="1" si="10"/>
        <v>-1.272522522522523</v>
      </c>
      <c r="AE30" s="6"/>
      <c r="AF30" s="6">
        <f t="shared" ca="1" si="11"/>
        <v>0</v>
      </c>
      <c r="AG30" s="6">
        <f t="shared" ca="1" si="12"/>
        <v>0</v>
      </c>
      <c r="AH30" s="6">
        <f t="shared" ca="1" si="20"/>
        <v>0</v>
      </c>
      <c r="AI30" s="6">
        <f t="shared" si="19"/>
        <v>149.85297209220496</v>
      </c>
      <c r="AJ30">
        <f t="shared" si="13"/>
        <v>1160</v>
      </c>
      <c r="AK30">
        <f t="shared" si="14"/>
        <v>0</v>
      </c>
      <c r="AL30">
        <f t="shared" si="15"/>
        <v>0</v>
      </c>
      <c r="AM30">
        <f t="shared" si="16"/>
        <v>10.086844056296341</v>
      </c>
      <c r="AN30">
        <f t="shared" si="17"/>
        <v>7.6113798599349369</v>
      </c>
      <c r="AO30" s="16">
        <f t="shared" si="18"/>
        <v>2.5649336625229013</v>
      </c>
    </row>
    <row r="31" spans="1:46" x14ac:dyDescent="0.25">
      <c r="A31" t="s">
        <v>187</v>
      </c>
      <c r="B31">
        <f>ROUND((12/52)*120, 0)</f>
        <v>28</v>
      </c>
      <c r="C31">
        <f>ROUND((850/365)*2+55,0)</f>
        <v>60</v>
      </c>
      <c r="D31">
        <f>ROUND((900/365)*2+75,0)</f>
        <v>80</v>
      </c>
      <c r="E31">
        <f>ROUND(6*7.5*$W$3,1)</f>
        <v>14.8</v>
      </c>
      <c r="F31">
        <f>ROUND(10*7.5*$W$3,1)</f>
        <v>24.7</v>
      </c>
      <c r="G31" t="s">
        <v>40</v>
      </c>
      <c r="H31" s="5">
        <v>5.0000000000000001E-3</v>
      </c>
      <c r="I31">
        <v>0</v>
      </c>
      <c r="J31">
        <f>I31/$S$3</f>
        <v>0</v>
      </c>
      <c r="N31">
        <f>K31*$N$3</f>
        <v>0</v>
      </c>
      <c r="Q31">
        <f>(120/B31)*E31</f>
        <v>63.428571428571431</v>
      </c>
      <c r="R31">
        <f>(120/B31)*F31</f>
        <v>105.85714285714285</v>
      </c>
      <c r="W31" s="6" t="str">
        <f t="shared" ca="1" si="7"/>
        <v>no</v>
      </c>
      <c r="X31" s="6" t="str">
        <f t="shared" ca="1" si="8"/>
        <v>N/A</v>
      </c>
      <c r="Y31" s="6">
        <f t="shared" ca="1" si="9"/>
        <v>4.5</v>
      </c>
      <c r="Z31" s="11">
        <v>26</v>
      </c>
      <c r="AA31" s="6">
        <v>45.062879708705367</v>
      </c>
      <c r="AB31" s="6">
        <v>0.6</v>
      </c>
      <c r="AC31" s="6"/>
      <c r="AD31" s="6">
        <f t="shared" ca="1" si="10"/>
        <v>-1.272522522522523</v>
      </c>
      <c r="AE31" s="6"/>
      <c r="AF31" s="6">
        <f t="shared" ca="1" si="11"/>
        <v>0</v>
      </c>
      <c r="AG31" s="6">
        <f t="shared" ca="1" si="12"/>
        <v>0</v>
      </c>
      <c r="AH31" s="6">
        <f t="shared" ca="1" si="20"/>
        <v>0</v>
      </c>
      <c r="AI31" s="6">
        <f t="shared" si="19"/>
        <v>141.75091130089288</v>
      </c>
      <c r="AJ31">
        <f t="shared" si="13"/>
        <v>1160</v>
      </c>
      <c r="AK31">
        <f t="shared" si="14"/>
        <v>0</v>
      </c>
      <c r="AL31">
        <f t="shared" si="15"/>
        <v>0</v>
      </c>
      <c r="AM31">
        <f t="shared" si="16"/>
        <v>9.5414813411256816</v>
      </c>
      <c r="AN31">
        <f t="shared" si="17"/>
        <v>7.583257494300649</v>
      </c>
      <c r="AO31" s="16">
        <f t="shared" si="18"/>
        <v>2.0953324701748754</v>
      </c>
    </row>
    <row r="32" spans="1:46" x14ac:dyDescent="0.25">
      <c r="A32" s="3" t="s">
        <v>188</v>
      </c>
      <c r="B32">
        <f>ROUND((30/52)*120, 0)</f>
        <v>69</v>
      </c>
      <c r="C32">
        <f>ROUND((2000/365)*2+55,0)</f>
        <v>66</v>
      </c>
      <c r="D32">
        <f>ROUND((2000/365)*2+75,0)</f>
        <v>86</v>
      </c>
      <c r="E32">
        <f>ROUND(1*7.5*$W$3,1)</f>
        <v>2.5</v>
      </c>
      <c r="F32">
        <f>ROUND(3*7.5*$W$3,1)</f>
        <v>7.4</v>
      </c>
      <c r="G32" t="s">
        <v>40</v>
      </c>
      <c r="H32" s="5">
        <v>5.0000000000000001E-3</v>
      </c>
      <c r="I32">
        <v>0</v>
      </c>
      <c r="J32">
        <v>0</v>
      </c>
      <c r="Q32">
        <f t="shared" ref="Q32:Q33" si="49">(120/B32)*E32</f>
        <v>4.3478260869565215</v>
      </c>
      <c r="R32">
        <f t="shared" ref="R32:R33" si="50">(120/B32)*F32</f>
        <v>12.869565217391305</v>
      </c>
      <c r="W32" s="6" t="str">
        <f t="shared" ca="1" si="7"/>
        <v>no</v>
      </c>
      <c r="X32" s="6" t="str">
        <f t="shared" ca="1" si="8"/>
        <v>N/A</v>
      </c>
      <c r="Y32" s="6">
        <f t="shared" ca="1" si="9"/>
        <v>4.8000000000000007</v>
      </c>
      <c r="Z32" s="11">
        <v>27</v>
      </c>
      <c r="AA32" s="6">
        <v>45.377936862746083</v>
      </c>
      <c r="AB32" s="6">
        <v>0</v>
      </c>
      <c r="AC32" s="6"/>
      <c r="AD32" s="6">
        <f t="shared" ca="1" si="10"/>
        <v>-1.218468468468469</v>
      </c>
      <c r="AE32" s="6"/>
      <c r="AF32" s="6">
        <f t="shared" ca="1" si="11"/>
        <v>0</v>
      </c>
      <c r="AG32" s="6">
        <f t="shared" ca="1" si="12"/>
        <v>0</v>
      </c>
      <c r="AH32" s="6">
        <f t="shared" ca="1" si="20"/>
        <v>0</v>
      </c>
      <c r="AI32" s="6">
        <f t="shared" si="19"/>
        <v>142.50704847059058</v>
      </c>
      <c r="AJ32">
        <f t="shared" si="13"/>
        <v>1160</v>
      </c>
      <c r="AK32">
        <f t="shared" si="14"/>
        <v>0</v>
      </c>
      <c r="AL32">
        <f t="shared" si="15"/>
        <v>0</v>
      </c>
      <c r="AM32">
        <f t="shared" si="16"/>
        <v>9.592378147571516</v>
      </c>
      <c r="AN32">
        <f t="shared" si="17"/>
        <v>7.585882056927816</v>
      </c>
      <c r="AO32" s="16">
        <f t="shared" si="18"/>
        <v>2.1391587170538751</v>
      </c>
    </row>
    <row r="33" spans="1:41" x14ac:dyDescent="0.25">
      <c r="A33" s="3" t="s">
        <v>189</v>
      </c>
      <c r="B33">
        <f>ROUND((17/52)*120, 0)</f>
        <v>39</v>
      </c>
      <c r="C33">
        <f>ROUND((-500/365)*2+55,0)</f>
        <v>52</v>
      </c>
      <c r="D33">
        <f>ROUND((800/365)*2+75,0)</f>
        <v>79</v>
      </c>
      <c r="E33">
        <f>ROUND(6*7.5*$W$3,1)</f>
        <v>14.8</v>
      </c>
      <c r="F33">
        <f>ROUND(11*7.5*$W$3,1)</f>
        <v>27.1</v>
      </c>
      <c r="G33" s="3" t="s">
        <v>41</v>
      </c>
      <c r="H33" s="5">
        <v>5.0000000000000001E-3</v>
      </c>
      <c r="I33">
        <v>0</v>
      </c>
      <c r="J33">
        <v>0</v>
      </c>
      <c r="Q33">
        <f t="shared" si="49"/>
        <v>45.53846153846154</v>
      </c>
      <c r="R33">
        <f t="shared" si="50"/>
        <v>83.384615384615387</v>
      </c>
      <c r="W33" s="6" t="str">
        <f ca="1">IF(AND(COUNTIFS(INDIRECT(CONCATENATE(ADDRESS(ROW(AA33), 27), ":", ADDRESS(ROW(AA32)+VLOOKUP($Y$4, $A$5:$B$21, 2, FALSE), 27))), "&gt;" &amp; $Z$4-10, INDIRECT(CONCATENATE(ADDRESS(ROW(AA33), 27), ":", ADDRESS(ROW(AA32)+VLOOKUP($Y$4, $A$5:$B$21, 2, FALSE), 27))), "&lt;" &amp; $AA$4+10) = VLOOKUP($Y$4, $A$5:$B$21, 2, FALSE), Y33&gt;$AB$4, Y33&lt;$AC$4), "yes", "no")</f>
        <v>no</v>
      </c>
      <c r="X33" s="6" t="str">
        <f ca="1">IF(W33= "yes", (COUNTIFS(INDIRECT(CONCATENATE(ADDRESS(ROW(AA33), 27), ":", ADDRESS(ROW(AA32)+VLOOKUP($Y$4, $A$5:$B$21, 2, FALSE), 27))), "&gt;68", INDIRECT(CONCATENATE(ADDRESS(ROW(AA33), 27), ":", ADDRESS(ROW(AA32)+VLOOKUP($Y$4, $A$5:$B$21, 2, FALSE), 27))), "&lt;88")/VLOOKUP($Y$4, $A$5:$B$21, 2, FALSE)*AD33)*100, "N/A")</f>
        <v>N/A</v>
      </c>
      <c r="Y33" s="6">
        <f ca="1">SUM(INDIRECT(CONCATENATE(ADDRESS(ROW(AA33), 28), ":", ADDRESS(ROW(AA32)+VLOOKUP($Y$4, $A$5:$B$21, 2, FALSE), 28))))</f>
        <v>4.8000000000000007</v>
      </c>
      <c r="Z33" s="11">
        <v>28</v>
      </c>
      <c r="AA33" s="6">
        <v>54.879417533301357</v>
      </c>
      <c r="AB33" s="6">
        <v>2.2000000000000002</v>
      </c>
      <c r="AC33" s="6"/>
      <c r="AD33" s="6">
        <f t="shared" ca="1" si="10"/>
        <v>-1.218468468468469</v>
      </c>
      <c r="AE33" s="6"/>
      <c r="AF33" s="6">
        <f t="shared" ca="1" si="11"/>
        <v>0</v>
      </c>
      <c r="AG33" s="6">
        <f t="shared" ca="1" si="12"/>
        <v>0</v>
      </c>
      <c r="AH33" s="6">
        <f ca="1">IF(VLOOKUP($Y$4, $A$5:$G$21,7, FALSE) = "Yes", IF(AA33&gt;32, SUM(AG29:AG33), 0), SUM(AG29:AG33))</f>
        <v>0</v>
      </c>
      <c r="AI33" s="6">
        <f t="shared" si="19"/>
        <v>165.31060207992326</v>
      </c>
      <c r="AJ33">
        <f t="shared" si="13"/>
        <v>1160</v>
      </c>
      <c r="AK33">
        <f t="shared" si="14"/>
        <v>0</v>
      </c>
      <c r="AL33">
        <f t="shared" si="15"/>
        <v>0</v>
      </c>
      <c r="AM33">
        <f t="shared" si="16"/>
        <v>11.127321939311615</v>
      </c>
      <c r="AN33">
        <f t="shared" si="17"/>
        <v>7.6650335085005334</v>
      </c>
      <c r="AO33" s="16">
        <f t="shared" si="18"/>
        <v>2.7821140587930331</v>
      </c>
    </row>
    <row r="34" spans="1:41" x14ac:dyDescent="0.25">
      <c r="A34" s="1" t="s">
        <v>81</v>
      </c>
      <c r="B34" s="1" t="s">
        <v>83</v>
      </c>
      <c r="C34" s="1" t="s">
        <v>89</v>
      </c>
      <c r="D34" s="1" t="s">
        <v>88</v>
      </c>
      <c r="E34" s="1" t="s">
        <v>95</v>
      </c>
      <c r="F34" s="1" t="s">
        <v>121</v>
      </c>
      <c r="G34" s="1" t="s">
        <v>94</v>
      </c>
      <c r="H34" s="1" t="s">
        <v>59</v>
      </c>
      <c r="I34" s="1" t="s">
        <v>11</v>
      </c>
      <c r="J34" s="1" t="s">
        <v>36</v>
      </c>
      <c r="K34" s="1" t="s">
        <v>90</v>
      </c>
      <c r="L34" s="1" t="s">
        <v>12</v>
      </c>
      <c r="M34" s="1" t="s">
        <v>13</v>
      </c>
      <c r="N34" s="1" t="s">
        <v>27</v>
      </c>
      <c r="O34" s="1" t="s">
        <v>29</v>
      </c>
      <c r="W34" s="6" t="str">
        <f t="shared" ca="1" si="7"/>
        <v>no</v>
      </c>
      <c r="X34" s="6" t="str">
        <f t="shared" ca="1" si="8"/>
        <v>N/A</v>
      </c>
      <c r="Y34" s="6">
        <f t="shared" ca="1" si="9"/>
        <v>2.8000000000000003</v>
      </c>
      <c r="Z34" s="11">
        <v>29</v>
      </c>
      <c r="AA34" s="6">
        <v>52.163232691473354</v>
      </c>
      <c r="AB34" s="6">
        <v>0</v>
      </c>
      <c r="AC34" s="6"/>
      <c r="AD34" s="6">
        <f t="shared" ca="1" si="10"/>
        <v>-1.5788288288288292</v>
      </c>
      <c r="AE34" s="6"/>
      <c r="AF34" s="6">
        <f t="shared" ca="1" si="11"/>
        <v>0</v>
      </c>
      <c r="AG34" s="6">
        <f t="shared" ca="1" si="12"/>
        <v>0</v>
      </c>
      <c r="AH34" s="6">
        <f ca="1">IF(VLOOKUP($Y$4, $A$5:$G$21,7, FALSE) = "Yes", IF(AA34&gt;32, SUM(AG30:AG34), 0), SUM(AG30:AG34))</f>
        <v>0</v>
      </c>
      <c r="AI34" s="6">
        <f t="shared" si="19"/>
        <v>158.79175845953603</v>
      </c>
      <c r="AJ34">
        <f t="shared" si="13"/>
        <v>1160</v>
      </c>
      <c r="AK34">
        <f t="shared" si="14"/>
        <v>0</v>
      </c>
      <c r="AL34">
        <f t="shared" si="15"/>
        <v>0</v>
      </c>
      <c r="AM34">
        <f t="shared" si="16"/>
        <v>10.688528112881738</v>
      </c>
      <c r="AN34">
        <f t="shared" si="17"/>
        <v>7.6424065116750022</v>
      </c>
      <c r="AO34" s="16">
        <f t="shared" si="18"/>
        <v>2.7821140587930331</v>
      </c>
    </row>
    <row r="35" spans="1:41" x14ac:dyDescent="0.25">
      <c r="A35" s="3" t="s">
        <v>82</v>
      </c>
      <c r="B35" t="s">
        <v>84</v>
      </c>
      <c r="C35" t="s">
        <v>81</v>
      </c>
      <c r="D35" s="13">
        <v>0.02</v>
      </c>
      <c r="E35">
        <f>D35*(200^3)</f>
        <v>160000</v>
      </c>
      <c r="F35">
        <v>1</v>
      </c>
      <c r="G35" s="4">
        <v>0.5</v>
      </c>
      <c r="H35" s="4">
        <v>0.2</v>
      </c>
      <c r="I35">
        <f>109/0.220462</f>
        <v>494.41627128484731</v>
      </c>
      <c r="J35">
        <f t="shared" si="48"/>
        <v>0.18311713751290642</v>
      </c>
      <c r="K35">
        <f>E35*40</f>
        <v>6400000</v>
      </c>
      <c r="L35">
        <f t="shared" ref="L35" si="51">I35*K35*$N$3</f>
        <v>7264137.8922444694</v>
      </c>
      <c r="M35">
        <f t="shared" ref="M35" si="52">L35/$S$3</f>
        <v>2690.4214415720257</v>
      </c>
      <c r="N35">
        <f t="shared" ref="N35:N36" si="53">K35*$N$3</f>
        <v>14692.352000000001</v>
      </c>
      <c r="O35">
        <f t="shared" ref="O35:O36" si="54">N35/M35</f>
        <v>5.4609853211009165</v>
      </c>
      <c r="P35" t="s">
        <v>91</v>
      </c>
      <c r="W35" s="6" t="str">
        <f t="shared" ca="1" si="7"/>
        <v>no</v>
      </c>
      <c r="X35" s="6" t="str">
        <f t="shared" ca="1" si="8"/>
        <v>N/A</v>
      </c>
      <c r="Y35" s="6">
        <f t="shared" ca="1" si="9"/>
        <v>3.4000000000000004</v>
      </c>
      <c r="Z35" s="11">
        <v>30</v>
      </c>
      <c r="AA35" s="6">
        <v>52.225671568933365</v>
      </c>
      <c r="AB35" s="6">
        <v>0</v>
      </c>
      <c r="AC35" s="6"/>
      <c r="AD35" s="6">
        <f t="shared" ca="1" si="10"/>
        <v>-1.4707207207207214</v>
      </c>
      <c r="AE35" s="6"/>
      <c r="AF35" s="6">
        <f t="shared" ca="1" si="11"/>
        <v>0</v>
      </c>
      <c r="AG35" s="6">
        <f t="shared" ca="1" si="12"/>
        <v>0</v>
      </c>
      <c r="AH35" s="6">
        <f ca="1">IF(VLOOKUP($Y$4, $A$5:$G$21,7, FALSE) = "Yes", IF(AA35&gt;32, SUM(AG31:AG35), 0), SUM(AG31:AG35))</f>
        <v>0</v>
      </c>
      <c r="AI35" s="6">
        <f t="shared" si="19"/>
        <v>158.94161176544009</v>
      </c>
      <c r="AJ35">
        <f t="shared" si="13"/>
        <v>1160</v>
      </c>
      <c r="AK35">
        <f t="shared" si="14"/>
        <v>0</v>
      </c>
      <c r="AL35">
        <f t="shared" si="15"/>
        <v>0</v>
      </c>
      <c r="AM35">
        <f t="shared" si="16"/>
        <v>10.698614979407447</v>
      </c>
      <c r="AN35">
        <f t="shared" si="17"/>
        <v>7.6429266545829222</v>
      </c>
      <c r="AO35" s="16">
        <f t="shared" si="18"/>
        <v>2.7821140587930331</v>
      </c>
    </row>
    <row r="36" spans="1:41" x14ac:dyDescent="0.25">
      <c r="A36" s="3" t="s">
        <v>85</v>
      </c>
      <c r="B36" t="s">
        <v>87</v>
      </c>
      <c r="C36" t="s">
        <v>82</v>
      </c>
      <c r="D36" s="14">
        <f>(L35/R36)/K35</f>
        <v>2.0896325734638235E-8</v>
      </c>
      <c r="E36">
        <f>ROUNDDOWN(K35*D36, 0)</f>
        <v>0</v>
      </c>
      <c r="F36" t="s">
        <v>125</v>
      </c>
      <c r="G36" s="4">
        <v>0.1</v>
      </c>
      <c r="H36" s="4">
        <v>0.2</v>
      </c>
      <c r="I36">
        <f>178/0.220462</f>
        <v>807.39537879543866</v>
      </c>
      <c r="J36">
        <f t="shared" si="48"/>
        <v>0.29903532547979211</v>
      </c>
      <c r="K36">
        <f>E36*2078</f>
        <v>0</v>
      </c>
      <c r="L36">
        <f t="shared" ref="L36" si="55">I36*K36*$N$3</f>
        <v>0</v>
      </c>
      <c r="M36">
        <f t="shared" ref="M36" si="56">L36/$S$3</f>
        <v>0</v>
      </c>
      <c r="N36">
        <f t="shared" si="53"/>
        <v>0</v>
      </c>
      <c r="O36" t="e">
        <f t="shared" si="54"/>
        <v>#DIV/0!</v>
      </c>
      <c r="P36" t="s">
        <v>92</v>
      </c>
      <c r="R36">
        <f>943*0.2*24*120*100</f>
        <v>54316800.000000015</v>
      </c>
      <c r="S36" t="s">
        <v>93</v>
      </c>
      <c r="W36" s="6" t="str">
        <f t="shared" ca="1" si="7"/>
        <v>no</v>
      </c>
      <c r="X36" s="6" t="str">
        <f t="shared" ca="1" si="8"/>
        <v>N/A</v>
      </c>
      <c r="Y36" s="6">
        <f t="shared" ca="1" si="9"/>
        <v>3.4000000000000004</v>
      </c>
      <c r="Z36" s="11">
        <v>31</v>
      </c>
      <c r="AA36" s="6">
        <v>56.963372298588233</v>
      </c>
      <c r="AB36" s="6">
        <v>0</v>
      </c>
      <c r="AC36" s="6"/>
      <c r="AD36" s="6">
        <f t="shared" ca="1" si="10"/>
        <v>-1.4707207207207214</v>
      </c>
      <c r="AE36" s="6"/>
      <c r="AF36" s="6">
        <f t="shared" ca="1" si="11"/>
        <v>0</v>
      </c>
      <c r="AG36" s="6">
        <f t="shared" ca="1" si="12"/>
        <v>0</v>
      </c>
      <c r="AH36" s="6">
        <f ca="1">IF(VLOOKUP($Y$4, $A$5:$G$21,7, FALSE) = "Yes", IF(AA36&gt;32, SUM(AG32:AG36), 0), SUM(AG32:AG36))</f>
        <v>0</v>
      </c>
      <c r="AI36" s="6">
        <f t="shared" si="19"/>
        <v>170.31209351661175</v>
      </c>
      <c r="AJ36">
        <f t="shared" si="13"/>
        <v>1160</v>
      </c>
      <c r="AK36">
        <f t="shared" si="14"/>
        <v>0</v>
      </c>
      <c r="AL36">
        <f t="shared" si="15"/>
        <v>0</v>
      </c>
      <c r="AM36">
        <f t="shared" si="16"/>
        <v>11.463980355000141</v>
      </c>
      <c r="AN36">
        <f t="shared" si="17"/>
        <v>7.6823937548035648</v>
      </c>
      <c r="AO36" s="16">
        <f t="shared" si="18"/>
        <v>2.7821140587930331</v>
      </c>
    </row>
    <row r="37" spans="1:41" x14ac:dyDescent="0.25">
      <c r="A37" s="3" t="s">
        <v>126</v>
      </c>
      <c r="B37" t="s">
        <v>87</v>
      </c>
      <c r="C37" t="s">
        <v>81</v>
      </c>
      <c r="D37" s="14">
        <f>1/(200^3)</f>
        <v>1.2499999999999999E-7</v>
      </c>
      <c r="E37">
        <f>ROUNDDOWN(D37*(200^3), 0)</f>
        <v>1</v>
      </c>
      <c r="F37">
        <v>2</v>
      </c>
      <c r="G37" s="4">
        <v>0.05</v>
      </c>
      <c r="H37" s="4">
        <v>0.2</v>
      </c>
      <c r="I37">
        <f>327/0.220462</f>
        <v>1483.2488138545418</v>
      </c>
      <c r="J37">
        <f t="shared" si="48"/>
        <v>0.54935141253871922</v>
      </c>
      <c r="K37">
        <f>E37*66000</f>
        <v>66000</v>
      </c>
      <c r="L37">
        <f t="shared" ref="L37" si="57">I37*K37*$N$3</f>
        <v>224734.26604131324</v>
      </c>
      <c r="M37">
        <f t="shared" ref="M37" si="58">L37/$S$3</f>
        <v>83.234913348634535</v>
      </c>
      <c r="N37">
        <f t="shared" ref="N37" si="59">K37*$N$3</f>
        <v>151.51488000000001</v>
      </c>
      <c r="O37">
        <f t="shared" ref="O37" si="60">N37/M37</f>
        <v>1.8203284403669726</v>
      </c>
      <c r="P37" t="s">
        <v>127</v>
      </c>
      <c r="W37" s="6" t="str">
        <f t="shared" ca="1" si="7"/>
        <v>no</v>
      </c>
      <c r="X37" s="6" t="str">
        <f t="shared" ca="1" si="8"/>
        <v>N/A</v>
      </c>
      <c r="Y37" s="6">
        <f t="shared" ca="1" si="9"/>
        <v>3.4000000000000004</v>
      </c>
      <c r="Z37" s="11">
        <v>32</v>
      </c>
      <c r="AA37" s="6">
        <v>55.97328930559739</v>
      </c>
      <c r="AB37" s="6">
        <v>0</v>
      </c>
      <c r="AC37" s="6"/>
      <c r="AD37" s="6">
        <f t="shared" ca="1" si="10"/>
        <v>-1.4707207207207214</v>
      </c>
      <c r="AE37" s="6"/>
      <c r="AF37" s="6">
        <f t="shared" ca="1" si="11"/>
        <v>0</v>
      </c>
      <c r="AG37" s="6">
        <f t="shared" ca="1" si="12"/>
        <v>0</v>
      </c>
      <c r="AH37" s="6">
        <f t="shared" ca="1" si="20"/>
        <v>0</v>
      </c>
      <c r="AI37" s="6">
        <f t="shared" si="19"/>
        <v>167.93589433343371</v>
      </c>
      <c r="AJ37">
        <f t="shared" si="13"/>
        <v>1160</v>
      </c>
      <c r="AK37">
        <f t="shared" si="14"/>
        <v>0</v>
      </c>
      <c r="AL37">
        <f t="shared" si="15"/>
        <v>0</v>
      </c>
      <c r="AM37">
        <f t="shared" si="16"/>
        <v>11.304034574327416</v>
      </c>
      <c r="AN37">
        <f t="shared" si="17"/>
        <v>7.6741459344069458</v>
      </c>
      <c r="AO37" s="16">
        <f t="shared" si="18"/>
        <v>2.7821140587930331</v>
      </c>
    </row>
    <row r="38" spans="1:41" x14ac:dyDescent="0.25">
      <c r="A38" s="3" t="s">
        <v>86</v>
      </c>
      <c r="B38" t="s">
        <v>96</v>
      </c>
      <c r="C38" t="s">
        <v>82</v>
      </c>
      <c r="D38" s="4">
        <f>1/((1190/I35)*5)</f>
        <v>8.3095171644512161E-2</v>
      </c>
      <c r="E38">
        <f>E35*D38</f>
        <v>13295.227463121946</v>
      </c>
      <c r="F38" t="s">
        <v>125</v>
      </c>
      <c r="G38" s="4">
        <v>0.1</v>
      </c>
      <c r="H38" s="4">
        <v>0.2</v>
      </c>
      <c r="I38">
        <f>143/0.220462</f>
        <v>648.63786049296482</v>
      </c>
      <c r="J38">
        <f>I38/$S$3</f>
        <v>0.240236244627024</v>
      </c>
      <c r="K38">
        <f>E38*790</f>
        <v>10503229.695866337</v>
      </c>
      <c r="L38">
        <f t="shared" ref="L38" si="61">I38*K38*$N$3</f>
        <v>15639991.34451071</v>
      </c>
      <c r="M38">
        <f t="shared" ref="M38" si="62">L38/$S$3</f>
        <v>5792.5893868558187</v>
      </c>
      <c r="N38">
        <f t="shared" ref="N38" si="63">K38*$N$3</f>
        <v>24112.054348206431</v>
      </c>
      <c r="O38">
        <f t="shared" ref="O38:O40" si="64">N38/M38</f>
        <v>4.1625692307692299</v>
      </c>
      <c r="P38" t="s">
        <v>97</v>
      </c>
      <c r="W38" s="6" t="str">
        <f t="shared" ca="1" si="7"/>
        <v>no</v>
      </c>
      <c r="X38" s="6" t="str">
        <f t="shared" ca="1" si="8"/>
        <v>N/A</v>
      </c>
      <c r="Y38" s="6">
        <f t="shared" ca="1" si="9"/>
        <v>3.6000000000000005</v>
      </c>
      <c r="Z38" s="11">
        <v>33</v>
      </c>
      <c r="AA38" s="6">
        <v>59.35265844946705</v>
      </c>
      <c r="AB38" s="6">
        <v>0</v>
      </c>
      <c r="AC38" s="6"/>
      <c r="AD38" s="6">
        <f t="shared" ca="1" si="10"/>
        <v>-1.4346846846846848</v>
      </c>
      <c r="AE38" s="6"/>
      <c r="AF38" s="6">
        <f t="shared" ca="1" si="11"/>
        <v>0</v>
      </c>
      <c r="AG38" s="6">
        <f t="shared" ca="1" si="12"/>
        <v>0</v>
      </c>
      <c r="AH38" s="6">
        <f t="shared" ca="1" si="20"/>
        <v>0</v>
      </c>
      <c r="AI38" s="6">
        <f t="shared" si="19"/>
        <v>176.0463802787209</v>
      </c>
      <c r="AJ38">
        <f t="shared" si="13"/>
        <v>1160</v>
      </c>
      <c r="AK38">
        <f t="shared" si="14"/>
        <v>0</v>
      </c>
      <c r="AL38">
        <f t="shared" si="15"/>
        <v>0</v>
      </c>
      <c r="AM38">
        <f t="shared" si="16"/>
        <v>11.849964400133992</v>
      </c>
      <c r="AN38">
        <f t="shared" si="17"/>
        <v>7.7022975438678012</v>
      </c>
      <c r="AO38" s="16">
        <f t="shared" si="18"/>
        <v>2.7821140587930331</v>
      </c>
    </row>
    <row r="39" spans="1:41" x14ac:dyDescent="0.25">
      <c r="A39" s="1" t="s">
        <v>80</v>
      </c>
      <c r="B39" s="1" t="s">
        <v>103</v>
      </c>
      <c r="C39" s="1" t="s">
        <v>50</v>
      </c>
      <c r="D39" s="1" t="s">
        <v>104</v>
      </c>
      <c r="E39" s="1" t="s">
        <v>105</v>
      </c>
      <c r="F39" s="1" t="s">
        <v>121</v>
      </c>
      <c r="G39" s="1" t="s">
        <v>129</v>
      </c>
      <c r="H39" s="1" t="s">
        <v>59</v>
      </c>
      <c r="I39" s="1" t="s">
        <v>11</v>
      </c>
      <c r="J39" s="1" t="s">
        <v>36</v>
      </c>
      <c r="K39" s="1" t="s">
        <v>113</v>
      </c>
      <c r="L39" s="1" t="s">
        <v>12</v>
      </c>
      <c r="M39" s="1" t="s">
        <v>13</v>
      </c>
      <c r="N39" s="1" t="s">
        <v>27</v>
      </c>
      <c r="O39" s="1" t="s">
        <v>29</v>
      </c>
      <c r="P39" s="1" t="s">
        <v>128</v>
      </c>
      <c r="R39" s="1" t="s">
        <v>150</v>
      </c>
      <c r="S39" s="1" t="s">
        <v>151</v>
      </c>
      <c r="W39" s="6" t="str">
        <f t="shared" ca="1" si="7"/>
        <v>no</v>
      </c>
      <c r="X39" s="6" t="str">
        <f t="shared" ca="1" si="8"/>
        <v>N/A</v>
      </c>
      <c r="Y39" s="6">
        <f t="shared" ca="1" si="9"/>
        <v>3.6000000000000005</v>
      </c>
      <c r="Z39" s="11">
        <v>34</v>
      </c>
      <c r="AA39" s="6">
        <v>60.79896081685807</v>
      </c>
      <c r="AB39" s="6">
        <v>0</v>
      </c>
      <c r="AC39" s="6"/>
      <c r="AD39" s="6">
        <f t="shared" ca="1" si="10"/>
        <v>-1.4346846846846848</v>
      </c>
      <c r="AE39" s="6"/>
      <c r="AF39" s="6">
        <f t="shared" ca="1" si="11"/>
        <v>0</v>
      </c>
      <c r="AG39" s="6">
        <f t="shared" ca="1" si="12"/>
        <v>0</v>
      </c>
      <c r="AH39" s="6">
        <f t="shared" ca="1" si="20"/>
        <v>0</v>
      </c>
      <c r="AI39" s="6">
        <f t="shared" si="19"/>
        <v>179.51750596045935</v>
      </c>
      <c r="AJ39">
        <f t="shared" si="13"/>
        <v>1160</v>
      </c>
      <c r="AK39">
        <f t="shared" si="14"/>
        <v>0</v>
      </c>
      <c r="AL39">
        <f t="shared" si="15"/>
        <v>0</v>
      </c>
      <c r="AM39">
        <f t="shared" si="16"/>
        <v>12.083611440714259</v>
      </c>
      <c r="AN39">
        <f t="shared" si="17"/>
        <v>7.7143458693616171</v>
      </c>
      <c r="AO39" s="16">
        <f t="shared" si="18"/>
        <v>2.7821140587930331</v>
      </c>
    </row>
    <row r="40" spans="1:41" x14ac:dyDescent="0.25">
      <c r="A40" s="3" t="s">
        <v>98</v>
      </c>
      <c r="B40" t="s">
        <v>114</v>
      </c>
      <c r="C40" t="s">
        <v>45</v>
      </c>
      <c r="D40" t="s">
        <v>23</v>
      </c>
      <c r="E40" s="5">
        <v>0.125</v>
      </c>
      <c r="F40">
        <v>1</v>
      </c>
      <c r="G40">
        <f>(24.7*K40*0.45)/$S$3</f>
        <v>4.1166666666666669E-3</v>
      </c>
      <c r="H40" s="4">
        <v>0.25</v>
      </c>
      <c r="I40">
        <f>173/0.220462</f>
        <v>784.71573332365676</v>
      </c>
      <c r="J40">
        <f>I40/$S$3</f>
        <v>0.29063545678653951</v>
      </c>
      <c r="K40">
        <v>1</v>
      </c>
      <c r="L40">
        <f>I40*K40</f>
        <v>784.71573332365676</v>
      </c>
      <c r="M40">
        <f>L40/$S$3</f>
        <v>0.29063545678653951</v>
      </c>
      <c r="N40">
        <f>K40</f>
        <v>1</v>
      </c>
      <c r="O40">
        <f t="shared" si="64"/>
        <v>3.4407364161849712</v>
      </c>
      <c r="P40" s="4">
        <v>0.25</v>
      </c>
      <c r="W40" s="6" t="str">
        <f t="shared" ca="1" si="7"/>
        <v>no</v>
      </c>
      <c r="X40" s="6" t="str">
        <f t="shared" ca="1" si="8"/>
        <v>N/A</v>
      </c>
      <c r="Y40" s="6">
        <f t="shared" ca="1" si="9"/>
        <v>3.6000000000000005</v>
      </c>
      <c r="Z40" s="11">
        <v>35</v>
      </c>
      <c r="AA40" s="6">
        <v>65.409885964463612</v>
      </c>
      <c r="AB40" s="6">
        <v>0</v>
      </c>
      <c r="AC40" s="6"/>
      <c r="AD40" s="6">
        <f t="shared" ca="1" si="10"/>
        <v>-1.4346846846846848</v>
      </c>
      <c r="AE40" s="6"/>
      <c r="AF40" s="6">
        <f t="shared" ca="1" si="11"/>
        <v>0</v>
      </c>
      <c r="AG40" s="6">
        <f t="shared" ca="1" si="12"/>
        <v>0</v>
      </c>
      <c r="AH40" s="6">
        <f t="shared" ca="1" si="20"/>
        <v>0</v>
      </c>
      <c r="AI40" s="6">
        <f t="shared" si="19"/>
        <v>190.58372631471266</v>
      </c>
      <c r="AJ40">
        <f t="shared" si="13"/>
        <v>1160</v>
      </c>
      <c r="AK40">
        <f t="shared" si="14"/>
        <v>0</v>
      </c>
      <c r="AL40">
        <f t="shared" si="15"/>
        <v>0</v>
      </c>
      <c r="AM40">
        <f t="shared" si="16"/>
        <v>12.828496493359618</v>
      </c>
      <c r="AN40">
        <f t="shared" si="17"/>
        <v>7.7527568740439845</v>
      </c>
      <c r="AO40" s="16">
        <f t="shared" si="18"/>
        <v>2.7821140587930331</v>
      </c>
    </row>
    <row r="41" spans="1:41" x14ac:dyDescent="0.25">
      <c r="A41" s="3" t="s">
        <v>99</v>
      </c>
      <c r="B41" t="s">
        <v>115</v>
      </c>
      <c r="C41" t="s">
        <v>45</v>
      </c>
      <c r="D41" t="s">
        <v>123</v>
      </c>
      <c r="E41" s="5">
        <v>0.15</v>
      </c>
      <c r="F41">
        <v>1</v>
      </c>
      <c r="G41">
        <f t="shared" ref="G41:G45" si="65">(24.7*K41*0.45)/$S$3</f>
        <v>9.0566666666666677E-3</v>
      </c>
      <c r="H41" s="4">
        <v>0.25</v>
      </c>
      <c r="I41">
        <f>167/0.220462</f>
        <v>757.50015875751831</v>
      </c>
      <c r="J41">
        <f>I41/$S$3</f>
        <v>0.28055561435463638</v>
      </c>
      <c r="K41">
        <v>2.2000000000000002</v>
      </c>
      <c r="L41">
        <f>I41*K41</f>
        <v>1666.5003492665403</v>
      </c>
      <c r="M41">
        <f t="shared" ref="M41:M69" si="66">L41/$S$3</f>
        <v>0.61722235158020011</v>
      </c>
      <c r="N41">
        <f t="shared" ref="N41:N49" si="67">K41</f>
        <v>2.2000000000000002</v>
      </c>
      <c r="O41">
        <f t="shared" ref="O41:O49" si="68">N41/M41</f>
        <v>3.5643556886227548</v>
      </c>
      <c r="P41" s="4">
        <v>0.5</v>
      </c>
      <c r="W41" s="6" t="str">
        <f t="shared" ca="1" si="7"/>
        <v>no</v>
      </c>
      <c r="X41" s="6" t="str">
        <f t="shared" ca="1" si="8"/>
        <v>N/A</v>
      </c>
      <c r="Y41" s="6">
        <f t="shared" ca="1" si="9"/>
        <v>3.6000000000000005</v>
      </c>
      <c r="Z41" s="11">
        <v>36</v>
      </c>
      <c r="AA41" s="6">
        <v>63.383295314974632</v>
      </c>
      <c r="AB41" s="6">
        <v>0</v>
      </c>
      <c r="AC41" s="6"/>
      <c r="AD41" s="6">
        <f t="shared" ca="1" si="10"/>
        <v>-1.4346846846846848</v>
      </c>
      <c r="AE41" s="6"/>
      <c r="AF41" s="6">
        <f t="shared" ca="1" si="11"/>
        <v>0</v>
      </c>
      <c r="AG41" s="6">
        <f t="shared" ca="1" si="12"/>
        <v>0</v>
      </c>
      <c r="AH41" s="6">
        <f t="shared" ca="1" si="20"/>
        <v>0</v>
      </c>
      <c r="AI41" s="6">
        <f t="shared" si="19"/>
        <v>185.71990875593909</v>
      </c>
      <c r="AJ41">
        <f t="shared" si="13"/>
        <v>1160</v>
      </c>
      <c r="AK41">
        <f t="shared" si="14"/>
        <v>0</v>
      </c>
      <c r="AL41">
        <f t="shared" si="15"/>
        <v>0</v>
      </c>
      <c r="AM41">
        <f t="shared" si="16"/>
        <v>12.501105127351622</v>
      </c>
      <c r="AN41">
        <f t="shared" si="17"/>
        <v>7.7358744956850156</v>
      </c>
      <c r="AO41" s="16">
        <f t="shared" si="18"/>
        <v>2.7821140587930331</v>
      </c>
    </row>
    <row r="42" spans="1:41" x14ac:dyDescent="0.25">
      <c r="A42" s="3" t="s">
        <v>100</v>
      </c>
      <c r="B42" t="s">
        <v>116</v>
      </c>
      <c r="C42" t="s">
        <v>106</v>
      </c>
      <c r="D42" t="s">
        <v>23</v>
      </c>
      <c r="E42" s="5">
        <v>7.4999999999999997E-2</v>
      </c>
      <c r="F42">
        <v>1</v>
      </c>
      <c r="G42">
        <f>(5.6*K42*0.45)/$S$3</f>
        <v>9.3333333333333332E-4</v>
      </c>
      <c r="H42" s="4">
        <v>0.2</v>
      </c>
      <c r="I42">
        <f>160/0.220462</f>
        <v>725.74865509702352</v>
      </c>
      <c r="J42">
        <f t="shared" ref="J42:J69" si="69">I42/$S$3</f>
        <v>0.26879579818408278</v>
      </c>
      <c r="K42">
        <v>1</v>
      </c>
      <c r="L42">
        <f t="shared" ref="L42:L49" si="70">I42*K42</f>
        <v>725.74865509702352</v>
      </c>
      <c r="M42">
        <f t="shared" si="66"/>
        <v>0.26879579818408278</v>
      </c>
      <c r="N42">
        <f t="shared" si="67"/>
        <v>1</v>
      </c>
      <c r="O42">
        <f t="shared" si="68"/>
        <v>3.7202962500000001</v>
      </c>
      <c r="P42" s="4">
        <v>0.2</v>
      </c>
      <c r="W42" s="6" t="str">
        <f t="shared" ca="1" si="7"/>
        <v>no</v>
      </c>
      <c r="X42" s="6" t="str">
        <f t="shared" ca="1" si="8"/>
        <v>N/A</v>
      </c>
      <c r="Y42" s="6">
        <f t="shared" ca="1" si="9"/>
        <v>3.6000000000000005</v>
      </c>
      <c r="Z42" s="11">
        <v>37</v>
      </c>
      <c r="AA42" s="6">
        <v>62.217186319037779</v>
      </c>
      <c r="AB42" s="6">
        <v>0</v>
      </c>
      <c r="AC42" s="6"/>
      <c r="AD42" s="6">
        <f t="shared" ca="1" si="10"/>
        <v>-1.4346846846846848</v>
      </c>
      <c r="AE42" s="6"/>
      <c r="AF42" s="6">
        <f t="shared" ca="1" si="11"/>
        <v>0</v>
      </c>
      <c r="AG42" s="6">
        <f t="shared" ca="1" si="12"/>
        <v>0</v>
      </c>
      <c r="AH42" s="6">
        <f t="shared" ca="1" si="20"/>
        <v>0</v>
      </c>
      <c r="AI42" s="6">
        <f t="shared" si="19"/>
        <v>182.92124716569066</v>
      </c>
      <c r="AJ42">
        <f t="shared" si="13"/>
        <v>1160</v>
      </c>
      <c r="AK42">
        <f t="shared" si="14"/>
        <v>0</v>
      </c>
      <c r="AL42">
        <f t="shared" si="15"/>
        <v>0</v>
      </c>
      <c r="AM42">
        <f t="shared" si="16"/>
        <v>12.312722724032906</v>
      </c>
      <c r="AN42">
        <f t="shared" si="17"/>
        <v>7.7261603024007588</v>
      </c>
      <c r="AO42" s="16">
        <f t="shared" si="18"/>
        <v>2.7821140587930331</v>
      </c>
    </row>
    <row r="43" spans="1:41" x14ac:dyDescent="0.25">
      <c r="A43" s="3" t="s">
        <v>101</v>
      </c>
      <c r="B43" t="s">
        <v>117</v>
      </c>
      <c r="C43" t="s">
        <v>107</v>
      </c>
      <c r="D43" t="s">
        <v>23</v>
      </c>
      <c r="E43" s="5">
        <v>0.05</v>
      </c>
      <c r="F43">
        <v>1</v>
      </c>
      <c r="G43">
        <f>(26.2*K43*0.45)/$S$3</f>
        <v>1.3099999999999999E-2</v>
      </c>
      <c r="H43" s="4">
        <v>0.25</v>
      </c>
      <c r="I43">
        <f>216/0.220462</f>
        <v>979.76068438098184</v>
      </c>
      <c r="J43">
        <f t="shared" si="69"/>
        <v>0.36287432754851179</v>
      </c>
      <c r="K43">
        <v>3</v>
      </c>
      <c r="L43">
        <f t="shared" si="70"/>
        <v>2939.2820531429456</v>
      </c>
      <c r="M43">
        <f t="shared" si="66"/>
        <v>1.0886229826455354</v>
      </c>
      <c r="N43">
        <f t="shared" si="67"/>
        <v>3</v>
      </c>
      <c r="O43">
        <f t="shared" si="68"/>
        <v>2.7557749999999999</v>
      </c>
      <c r="P43" s="4">
        <v>0.2</v>
      </c>
      <c r="S43" t="s">
        <v>152</v>
      </c>
      <c r="W43" s="6" t="str">
        <f t="shared" ca="1" si="7"/>
        <v>no</v>
      </c>
      <c r="X43" s="6" t="str">
        <f t="shared" ca="1" si="8"/>
        <v>N/A</v>
      </c>
      <c r="Y43" s="6">
        <f t="shared" ca="1" si="9"/>
        <v>3.6000000000000005</v>
      </c>
      <c r="Z43" s="11">
        <v>38</v>
      </c>
      <c r="AA43" s="6">
        <v>66.409657913731067</v>
      </c>
      <c r="AB43" s="6">
        <v>0</v>
      </c>
      <c r="AC43" s="6"/>
      <c r="AD43" s="6">
        <f t="shared" ca="1" si="10"/>
        <v>-1.4346846846846848</v>
      </c>
      <c r="AE43" s="6"/>
      <c r="AF43" s="6">
        <f t="shared" ca="1" si="11"/>
        <v>0</v>
      </c>
      <c r="AG43" s="6">
        <f t="shared" ca="1" si="12"/>
        <v>0</v>
      </c>
      <c r="AH43" s="6">
        <f t="shared" ca="1" si="20"/>
        <v>0</v>
      </c>
      <c r="AI43" s="6">
        <f t="shared" si="19"/>
        <v>192.98317899295455</v>
      </c>
      <c r="AJ43">
        <f t="shared" si="13"/>
        <v>1160</v>
      </c>
      <c r="AK43">
        <f t="shared" si="14"/>
        <v>0</v>
      </c>
      <c r="AL43">
        <f t="shared" si="15"/>
        <v>0</v>
      </c>
      <c r="AM43">
        <f t="shared" si="16"/>
        <v>12.990007504105513</v>
      </c>
      <c r="AN43">
        <f t="shared" si="17"/>
        <v>7.7610854076452194</v>
      </c>
      <c r="AO43" s="16">
        <f t="shared" si="18"/>
        <v>2.7821140587930331</v>
      </c>
    </row>
    <row r="44" spans="1:41" x14ac:dyDescent="0.25">
      <c r="A44" s="3" t="s">
        <v>102</v>
      </c>
      <c r="B44" t="s">
        <v>45</v>
      </c>
      <c r="C44" t="s">
        <v>45</v>
      </c>
      <c r="D44" t="s">
        <v>23</v>
      </c>
      <c r="E44" s="5">
        <v>7.4999999999999997E-2</v>
      </c>
      <c r="F44">
        <v>1</v>
      </c>
      <c r="G44">
        <f>(38.2*K44*0.45)/$S$3</f>
        <v>6.3666666666666667E-4</v>
      </c>
      <c r="H44" s="4">
        <v>0.25</v>
      </c>
      <c r="I44">
        <f>132/0.220462</f>
        <v>598.74264045504447</v>
      </c>
      <c r="J44">
        <f t="shared" si="69"/>
        <v>0.22175653350186833</v>
      </c>
      <c r="K44">
        <v>0.1</v>
      </c>
      <c r="L44">
        <f t="shared" si="70"/>
        <v>59.874264045504447</v>
      </c>
      <c r="M44">
        <f t="shared" si="66"/>
        <v>2.2175653350186831E-2</v>
      </c>
      <c r="N44">
        <f t="shared" si="67"/>
        <v>0.1</v>
      </c>
      <c r="O44">
        <f t="shared" si="68"/>
        <v>4.5094500000000002</v>
      </c>
      <c r="P44" s="4">
        <v>0.25</v>
      </c>
      <c r="S44" t="s">
        <v>152</v>
      </c>
      <c r="W44" s="6" t="str">
        <f t="shared" ca="1" si="7"/>
        <v>no</v>
      </c>
      <c r="X44" s="6" t="str">
        <f t="shared" ca="1" si="8"/>
        <v>N/A</v>
      </c>
      <c r="Y44" s="6">
        <f t="shared" ca="1" si="9"/>
        <v>3.6000000000000005</v>
      </c>
      <c r="Z44" s="11">
        <v>39</v>
      </c>
      <c r="AA44" s="6">
        <v>68.258877734296448</v>
      </c>
      <c r="AB44" s="6">
        <v>0</v>
      </c>
      <c r="AC44" s="6"/>
      <c r="AD44" s="6">
        <f t="shared" ca="1" si="10"/>
        <v>-1.4346846846846848</v>
      </c>
      <c r="AE44" s="6"/>
      <c r="AF44" s="6">
        <f t="shared" ca="1" si="11"/>
        <v>0</v>
      </c>
      <c r="AG44" s="6">
        <f t="shared" ca="1" si="12"/>
        <v>0</v>
      </c>
      <c r="AH44" s="6">
        <f t="shared" ca="1" si="20"/>
        <v>0</v>
      </c>
      <c r="AI44" s="6">
        <f t="shared" si="19"/>
        <v>197.42130656231146</v>
      </c>
      <c r="AJ44">
        <f t="shared" si="13"/>
        <v>1160</v>
      </c>
      <c r="AK44">
        <f t="shared" si="14"/>
        <v>0</v>
      </c>
      <c r="AL44">
        <f t="shared" si="15"/>
        <v>0</v>
      </c>
      <c r="AM44">
        <f t="shared" si="16"/>
        <v>13.288744993719718</v>
      </c>
      <c r="AN44">
        <f t="shared" si="17"/>
        <v>7.7764902101333604</v>
      </c>
      <c r="AO44" s="16">
        <f t="shared" si="18"/>
        <v>2.7821140587930331</v>
      </c>
    </row>
    <row r="45" spans="1:41" x14ac:dyDescent="0.25">
      <c r="A45" s="3" t="s">
        <v>108</v>
      </c>
      <c r="B45" t="s">
        <v>45</v>
      </c>
      <c r="C45" t="s">
        <v>45</v>
      </c>
      <c r="D45" t="s">
        <v>124</v>
      </c>
      <c r="E45" s="5">
        <v>0.2</v>
      </c>
      <c r="F45">
        <v>1</v>
      </c>
      <c r="G45">
        <f t="shared" si="65"/>
        <v>2.0583333333333335E-3</v>
      </c>
      <c r="H45" s="4">
        <v>0.25</v>
      </c>
      <c r="I45">
        <f>150/0.220462</f>
        <v>680.38936415345961</v>
      </c>
      <c r="J45">
        <f t="shared" si="69"/>
        <v>0.25199606079757764</v>
      </c>
      <c r="K45">
        <v>0.5</v>
      </c>
      <c r="L45">
        <f t="shared" si="70"/>
        <v>340.1946820767298</v>
      </c>
      <c r="M45">
        <f t="shared" si="66"/>
        <v>0.12599803039878882</v>
      </c>
      <c r="N45">
        <f t="shared" si="67"/>
        <v>0.5</v>
      </c>
      <c r="O45">
        <f t="shared" si="68"/>
        <v>3.9683159999999997</v>
      </c>
      <c r="P45" s="4">
        <v>0.4</v>
      </c>
      <c r="W45" s="6" t="str">
        <f t="shared" ca="1" si="7"/>
        <v>no</v>
      </c>
      <c r="X45" s="6" t="str">
        <f t="shared" ca="1" si="8"/>
        <v>N/A</v>
      </c>
      <c r="Y45" s="6">
        <f t="shared" ca="1" si="9"/>
        <v>3.6000000000000005</v>
      </c>
      <c r="Z45" s="11">
        <v>40</v>
      </c>
      <c r="AA45" s="6">
        <v>72.063051470952772</v>
      </c>
      <c r="AB45" s="6">
        <v>0</v>
      </c>
      <c r="AC45" s="6"/>
      <c r="AD45" s="6">
        <f t="shared" ca="1" si="10"/>
        <v>-1.4346846846846848</v>
      </c>
      <c r="AE45" s="6"/>
      <c r="AF45" s="6">
        <f t="shared" ca="1" si="11"/>
        <v>0</v>
      </c>
      <c r="AG45" s="6">
        <f t="shared" ca="1" si="12"/>
        <v>0</v>
      </c>
      <c r="AH45" s="6">
        <f t="shared" ca="1" si="20"/>
        <v>0</v>
      </c>
      <c r="AI45" s="6">
        <f t="shared" si="19"/>
        <v>196.64867646971334</v>
      </c>
      <c r="AJ45">
        <f t="shared" si="13"/>
        <v>1160</v>
      </c>
      <c r="AK45">
        <f t="shared" si="14"/>
        <v>0</v>
      </c>
      <c r="AL45">
        <f t="shared" si="15"/>
        <v>0</v>
      </c>
      <c r="AM45">
        <f t="shared" si="16"/>
        <v>13.236738022163333</v>
      </c>
      <c r="AN45">
        <f t="shared" si="17"/>
        <v>7.7738084003415358</v>
      </c>
      <c r="AO45" s="16">
        <f t="shared" si="18"/>
        <v>2.7821140587930331</v>
      </c>
    </row>
    <row r="46" spans="1:41" x14ac:dyDescent="0.25">
      <c r="A46" s="3" t="s">
        <v>109</v>
      </c>
      <c r="B46" t="s">
        <v>114</v>
      </c>
      <c r="C46" t="s">
        <v>118</v>
      </c>
      <c r="D46" t="s">
        <v>35</v>
      </c>
      <c r="E46" s="5">
        <v>7.4999999999999997E-2</v>
      </c>
      <c r="F46">
        <v>1</v>
      </c>
      <c r="G46">
        <f>(5.6*K46*0.45)/$S$3</f>
        <v>4.6666666666666665E-5</v>
      </c>
      <c r="H46" s="4">
        <v>0.2</v>
      </c>
      <c r="I46">
        <f>(73*1.5)/0.220462</f>
        <v>496.68423583202548</v>
      </c>
      <c r="J46">
        <f t="shared" si="69"/>
        <v>0.18395712438223166</v>
      </c>
      <c r="K46">
        <v>0.05</v>
      </c>
      <c r="L46">
        <f t="shared" si="70"/>
        <v>24.834211791601277</v>
      </c>
      <c r="M46">
        <f t="shared" si="66"/>
        <v>9.1978562191115838E-3</v>
      </c>
      <c r="N46">
        <f t="shared" si="67"/>
        <v>0.05</v>
      </c>
      <c r="O46">
        <f t="shared" si="68"/>
        <v>5.4360493150684928</v>
      </c>
      <c r="P46" s="4">
        <v>0.3</v>
      </c>
      <c r="W46" s="6" t="str">
        <f t="shared" ca="1" si="7"/>
        <v>no</v>
      </c>
      <c r="X46" s="6" t="str">
        <f t="shared" ca="1" si="8"/>
        <v>N/A</v>
      </c>
      <c r="Y46" s="6">
        <f t="shared" ca="1" si="9"/>
        <v>3.6000000000000005</v>
      </c>
      <c r="Z46" s="11">
        <v>41</v>
      </c>
      <c r="AA46" s="6">
        <v>71.720394706387168</v>
      </c>
      <c r="AB46" s="6">
        <v>0</v>
      </c>
      <c r="AC46" s="6"/>
      <c r="AD46" s="6">
        <f t="shared" ca="1" si="10"/>
        <v>-1.4346846846846848</v>
      </c>
      <c r="AE46" s="6"/>
      <c r="AF46" s="6">
        <f t="shared" ca="1" si="11"/>
        <v>0</v>
      </c>
      <c r="AG46" s="6">
        <f t="shared" ca="1" si="12"/>
        <v>0</v>
      </c>
      <c r="AH46" s="6">
        <f t="shared" ca="1" si="20"/>
        <v>0</v>
      </c>
      <c r="AI46" s="6">
        <f t="shared" si="19"/>
        <v>197.4710527046708</v>
      </c>
      <c r="AJ46">
        <f t="shared" si="13"/>
        <v>1160</v>
      </c>
      <c r="AK46">
        <f t="shared" si="14"/>
        <v>0</v>
      </c>
      <c r="AL46">
        <f t="shared" si="15"/>
        <v>0</v>
      </c>
      <c r="AM46">
        <f t="shared" si="16"/>
        <v>13.292093486401413</v>
      </c>
      <c r="AN46">
        <f t="shared" si="17"/>
        <v>7.7766628796850163</v>
      </c>
      <c r="AO46" s="16">
        <f t="shared" si="18"/>
        <v>2.7821140587930331</v>
      </c>
    </row>
    <row r="47" spans="1:41" x14ac:dyDescent="0.25">
      <c r="A47" s="3" t="s">
        <v>110</v>
      </c>
      <c r="B47" t="s">
        <v>192</v>
      </c>
      <c r="C47" t="s">
        <v>119</v>
      </c>
      <c r="D47" t="s">
        <v>80</v>
      </c>
      <c r="E47" s="5">
        <v>0.125</v>
      </c>
      <c r="F47" t="s">
        <v>122</v>
      </c>
      <c r="G47">
        <f>1.5*(24.7*K47*0.45)/$S$3</f>
        <v>0.12350000000000001</v>
      </c>
      <c r="H47" s="4">
        <v>0.25</v>
      </c>
      <c r="I47">
        <f>(262)/0.220462</f>
        <v>1188.413422721376</v>
      </c>
      <c r="J47">
        <f t="shared" si="69"/>
        <v>0.44015311952643554</v>
      </c>
      <c r="K47">
        <v>20</v>
      </c>
      <c r="L47">
        <f t="shared" si="70"/>
        <v>23768.268454427522</v>
      </c>
      <c r="M47">
        <f t="shared" si="66"/>
        <v>8.8030623905287122</v>
      </c>
      <c r="N47">
        <f t="shared" si="67"/>
        <v>20</v>
      </c>
      <c r="O47">
        <f t="shared" si="68"/>
        <v>2.271936641221374</v>
      </c>
      <c r="P47" s="4">
        <v>0.15</v>
      </c>
      <c r="W47" s="6" t="str">
        <f t="shared" ca="1" si="7"/>
        <v>no</v>
      </c>
      <c r="X47" s="6" t="str">
        <f t="shared" ca="1" si="8"/>
        <v>N/A</v>
      </c>
      <c r="Y47" s="6">
        <f t="shared" ca="1" si="9"/>
        <v>3.6000000000000005</v>
      </c>
      <c r="Z47" s="11">
        <v>42</v>
      </c>
      <c r="AA47" s="6">
        <v>72.129107521424913</v>
      </c>
      <c r="AB47" s="6">
        <v>0</v>
      </c>
      <c r="AC47" s="6"/>
      <c r="AD47" s="6">
        <f t="shared" ca="1" si="10"/>
        <v>-1.4346846846846848</v>
      </c>
      <c r="AE47" s="6"/>
      <c r="AF47" s="6">
        <f t="shared" ca="1" si="11"/>
        <v>0</v>
      </c>
      <c r="AG47" s="6">
        <f t="shared" ca="1" si="12"/>
        <v>0</v>
      </c>
      <c r="AH47" s="6">
        <f t="shared" ca="1" si="20"/>
        <v>0</v>
      </c>
      <c r="AI47" s="6">
        <f t="shared" si="19"/>
        <v>196.49014194858023</v>
      </c>
      <c r="AJ47">
        <f t="shared" si="13"/>
        <v>1160</v>
      </c>
      <c r="AK47">
        <f t="shared" si="14"/>
        <v>0</v>
      </c>
      <c r="AL47">
        <f t="shared" si="15"/>
        <v>0</v>
      </c>
      <c r="AM47">
        <f t="shared" si="16"/>
        <v>13.226066809107742</v>
      </c>
      <c r="AN47">
        <f t="shared" si="17"/>
        <v>7.7732581248148769</v>
      </c>
      <c r="AO47" s="16">
        <f t="shared" si="18"/>
        <v>2.7821140587930331</v>
      </c>
    </row>
    <row r="48" spans="1:41" x14ac:dyDescent="0.25">
      <c r="A48" s="3" t="s">
        <v>111</v>
      </c>
      <c r="B48" t="s">
        <v>120</v>
      </c>
      <c r="C48" t="s">
        <v>118</v>
      </c>
      <c r="D48" t="s">
        <v>80</v>
      </c>
      <c r="E48" s="5">
        <v>0.15</v>
      </c>
      <c r="F48" t="s">
        <v>122</v>
      </c>
      <c r="G48">
        <f>1.5*(24.7*K48*0.45)/$S$3</f>
        <v>5.5575000000000006E-2</v>
      </c>
      <c r="H48" s="4">
        <v>0.25</v>
      </c>
      <c r="I48">
        <f>(250/1.7)/0.220462</f>
        <v>667.04839622888198</v>
      </c>
      <c r="J48">
        <f t="shared" si="69"/>
        <v>0.24705496156625259</v>
      </c>
      <c r="K48">
        <v>9</v>
      </c>
      <c r="L48">
        <f t="shared" si="70"/>
        <v>6003.4355660599376</v>
      </c>
      <c r="M48">
        <f t="shared" si="66"/>
        <v>2.2234946540962732</v>
      </c>
      <c r="N48">
        <f t="shared" si="67"/>
        <v>9</v>
      </c>
      <c r="O48">
        <f t="shared" si="68"/>
        <v>4.0476823199999998</v>
      </c>
      <c r="P48" s="4">
        <v>0.15</v>
      </c>
      <c r="W48" s="6" t="str">
        <f t="shared" ca="1" si="7"/>
        <v>no</v>
      </c>
      <c r="X48" s="6" t="str">
        <f t="shared" ca="1" si="8"/>
        <v>N/A</v>
      </c>
      <c r="Y48" s="6">
        <f t="shared" ca="1" si="9"/>
        <v>3.6000000000000005</v>
      </c>
      <c r="Z48" s="11">
        <v>43</v>
      </c>
      <c r="AA48" s="6">
        <v>74.487352115553577</v>
      </c>
      <c r="AB48" s="6">
        <v>0</v>
      </c>
      <c r="AC48" s="6"/>
      <c r="AD48" s="6">
        <f t="shared" ca="1" si="10"/>
        <v>-1.4346846846846848</v>
      </c>
      <c r="AE48" s="6"/>
      <c r="AF48" s="6">
        <f t="shared" ca="1" si="11"/>
        <v>0</v>
      </c>
      <c r="AG48" s="6">
        <f t="shared" ca="1" si="12"/>
        <v>0</v>
      </c>
      <c r="AH48" s="6">
        <f t="shared" ca="1" si="20"/>
        <v>0</v>
      </c>
      <c r="AI48" s="6">
        <f t="shared" si="19"/>
        <v>190.8303549226714</v>
      </c>
      <c r="AJ48">
        <f t="shared" si="13"/>
        <v>1160</v>
      </c>
      <c r="AK48">
        <f t="shared" si="14"/>
        <v>0</v>
      </c>
      <c r="AL48">
        <f t="shared" si="15"/>
        <v>0</v>
      </c>
      <c r="AM48">
        <f t="shared" si="16"/>
        <v>12.845097460785013</v>
      </c>
      <c r="AN48">
        <f t="shared" si="17"/>
        <v>7.7536129253706214</v>
      </c>
      <c r="AO48" s="16">
        <f t="shared" si="18"/>
        <v>2.7821140587930331</v>
      </c>
    </row>
    <row r="49" spans="1:41" x14ac:dyDescent="0.25">
      <c r="A49" s="3" t="s">
        <v>112</v>
      </c>
      <c r="B49" t="s">
        <v>45</v>
      </c>
      <c r="C49" t="s">
        <v>45</v>
      </c>
      <c r="D49" t="s">
        <v>80</v>
      </c>
      <c r="E49" s="5">
        <v>0.17499999999999999</v>
      </c>
      <c r="F49" t="s">
        <v>122</v>
      </c>
      <c r="G49">
        <f>1.5*(38.2*K49*0.45)/$S$3</f>
        <v>2.3875E-2</v>
      </c>
      <c r="H49" s="4">
        <v>0.25</v>
      </c>
      <c r="I49">
        <f>(190)/0.220462</f>
        <v>861.82652792771546</v>
      </c>
      <c r="J49">
        <f t="shared" si="69"/>
        <v>0.31919501034359832</v>
      </c>
      <c r="K49">
        <v>2.5</v>
      </c>
      <c r="L49">
        <f t="shared" si="70"/>
        <v>2154.5663198192888</v>
      </c>
      <c r="M49">
        <f t="shared" si="66"/>
        <v>0.79798752585899579</v>
      </c>
      <c r="N49">
        <f t="shared" si="67"/>
        <v>2.5</v>
      </c>
      <c r="O49">
        <f t="shared" si="68"/>
        <v>3.1328810526315789</v>
      </c>
      <c r="P49" s="4">
        <v>0.15</v>
      </c>
      <c r="S49" t="s">
        <v>152</v>
      </c>
      <c r="W49" s="6" t="str">
        <f t="shared" ca="1" si="7"/>
        <v>no</v>
      </c>
      <c r="X49" s="6" t="str">
        <f t="shared" ca="1" si="8"/>
        <v>N/A</v>
      </c>
      <c r="Y49" s="6">
        <f t="shared" ca="1" si="9"/>
        <v>13.400000000000002</v>
      </c>
      <c r="Z49" s="11">
        <v>44</v>
      </c>
      <c r="AA49" s="6">
        <v>75.493233654353517</v>
      </c>
      <c r="AB49" s="6">
        <v>0</v>
      </c>
      <c r="AC49" s="6"/>
      <c r="AD49" s="6">
        <f t="shared" ca="1" si="10"/>
        <v>0.33108108108108125</v>
      </c>
      <c r="AE49" s="6"/>
      <c r="AF49" s="6">
        <f t="shared" ca="1" si="11"/>
        <v>0</v>
      </c>
      <c r="AG49" s="6">
        <f t="shared" ca="1" si="12"/>
        <v>0</v>
      </c>
      <c r="AH49" s="6">
        <f t="shared" ca="1" si="20"/>
        <v>0</v>
      </c>
      <c r="AI49" s="6">
        <f t="shared" si="19"/>
        <v>188.41623922955154</v>
      </c>
      <c r="AJ49">
        <f t="shared" si="13"/>
        <v>1160</v>
      </c>
      <c r="AK49">
        <f t="shared" si="14"/>
        <v>0</v>
      </c>
      <c r="AL49">
        <f t="shared" si="15"/>
        <v>0</v>
      </c>
      <c r="AM49">
        <f t="shared" si="16"/>
        <v>12.682599458974446</v>
      </c>
      <c r="AN49">
        <f t="shared" si="17"/>
        <v>7.7452334962409122</v>
      </c>
      <c r="AO49" s="16">
        <f t="shared" si="18"/>
        <v>2.7821140587930331</v>
      </c>
    </row>
    <row r="50" spans="1:41" x14ac:dyDescent="0.25">
      <c r="A50" s="1" t="s">
        <v>133</v>
      </c>
      <c r="B50" s="1" t="s">
        <v>103</v>
      </c>
      <c r="C50" s="1" t="s">
        <v>50</v>
      </c>
      <c r="D50" s="1" t="s">
        <v>104</v>
      </c>
      <c r="E50" s="1" t="s">
        <v>105</v>
      </c>
      <c r="F50" s="1" t="s">
        <v>121</v>
      </c>
      <c r="G50" s="1" t="s">
        <v>129</v>
      </c>
      <c r="H50" s="1" t="s">
        <v>59</v>
      </c>
      <c r="I50" s="1" t="s">
        <v>11</v>
      </c>
      <c r="J50" s="1" t="s">
        <v>36</v>
      </c>
      <c r="K50" s="1" t="s">
        <v>113</v>
      </c>
      <c r="L50" s="1" t="s">
        <v>12</v>
      </c>
      <c r="M50" s="1" t="s">
        <v>13</v>
      </c>
      <c r="N50" s="1" t="s">
        <v>27</v>
      </c>
      <c r="O50" s="1" t="s">
        <v>29</v>
      </c>
      <c r="P50" s="1" t="s">
        <v>128</v>
      </c>
      <c r="R50" s="1" t="s">
        <v>150</v>
      </c>
      <c r="S50" s="1" t="s">
        <v>151</v>
      </c>
      <c r="T50" s="1" t="s">
        <v>183</v>
      </c>
      <c r="W50" s="6" t="str">
        <f t="shared" ca="1" si="7"/>
        <v>no</v>
      </c>
      <c r="X50" s="6" t="str">
        <f t="shared" ca="1" si="8"/>
        <v>N/A</v>
      </c>
      <c r="Y50" s="6">
        <f t="shared" ca="1" si="9"/>
        <v>13.400000000000002</v>
      </c>
      <c r="Z50" s="11">
        <v>45</v>
      </c>
      <c r="AA50" s="6">
        <v>76.644784526238709</v>
      </c>
      <c r="AB50" s="6">
        <v>0</v>
      </c>
      <c r="AC50" s="6"/>
      <c r="AD50" s="6">
        <f t="shared" ca="1" si="10"/>
        <v>0.33108108108108125</v>
      </c>
      <c r="AE50" s="6"/>
      <c r="AF50" s="6">
        <f t="shared" ca="1" si="11"/>
        <v>0</v>
      </c>
      <c r="AG50" s="6">
        <f t="shared" ca="1" si="12"/>
        <v>0</v>
      </c>
      <c r="AH50" s="6">
        <f t="shared" ca="1" si="20"/>
        <v>0</v>
      </c>
      <c r="AI50" s="6">
        <f t="shared" si="19"/>
        <v>185.65251713702708</v>
      </c>
      <c r="AJ50">
        <f t="shared" si="13"/>
        <v>1160</v>
      </c>
      <c r="AK50">
        <f t="shared" si="14"/>
        <v>0</v>
      </c>
      <c r="AL50">
        <f t="shared" si="15"/>
        <v>0</v>
      </c>
      <c r="AM50">
        <f t="shared" si="16"/>
        <v>12.496568889323266</v>
      </c>
      <c r="AN50">
        <f t="shared" si="17"/>
        <v>7.7356405784389537</v>
      </c>
      <c r="AO50" s="16">
        <f t="shared" si="18"/>
        <v>2.7821140587930331</v>
      </c>
    </row>
    <row r="51" spans="1:41" x14ac:dyDescent="0.25">
      <c r="A51" s="3" t="s">
        <v>134</v>
      </c>
      <c r="B51" t="s">
        <v>147</v>
      </c>
      <c r="C51" t="s">
        <v>148</v>
      </c>
      <c r="D51" t="s">
        <v>25</v>
      </c>
      <c r="F51">
        <v>2</v>
      </c>
      <c r="G51">
        <f t="shared" ref="G51:G61" si="71">(24.7*K51*0.45)/$S$3</f>
        <v>4.9400000000000004</v>
      </c>
      <c r="H51" s="4">
        <v>0.25</v>
      </c>
      <c r="I51">
        <f>(250)/0.220462</f>
        <v>1133.9822735890993</v>
      </c>
      <c r="J51">
        <f t="shared" si="69"/>
        <v>0.41999343466262939</v>
      </c>
      <c r="K51">
        <v>1200</v>
      </c>
      <c r="L51">
        <f t="shared" ref="L51" si="72">I51*K51</f>
        <v>1360778.7283069193</v>
      </c>
      <c r="M51">
        <f t="shared" si="66"/>
        <v>503.99212159515531</v>
      </c>
      <c r="N51">
        <f t="shared" ref="N51" si="73">K51</f>
        <v>1200</v>
      </c>
      <c r="O51">
        <f t="shared" ref="O51" si="74">N51/M51</f>
        <v>2.3809895999999995</v>
      </c>
      <c r="S51" t="s">
        <v>165</v>
      </c>
      <c r="W51" s="6" t="str">
        <f t="shared" ca="1" si="7"/>
        <v>yes</v>
      </c>
      <c r="X51" s="6">
        <f ca="1">IF(W51= "yes", (COUNTIFS(INDIRECT(CONCATENATE(ADDRESS(ROW(AA51), 27), ":", ADDRESS(ROW(AA50)+VLOOKUP($Y$4, $A$5:$B$21, 2, FALSE), 27))), "&gt;68", INDIRECT(CONCATENATE(ADDRESS(ROW(AA51), 27), ":", ADDRESS(ROW(AA50)+VLOOKUP($Y$4, $A$5:$B$21, 2, FALSE), 27))), "&lt;88")/VLOOKUP($Y$4, $A$5:$B$21, 2, FALSE)*AD51)*100, "N/A")</f>
        <v>54.633204633204649</v>
      </c>
      <c r="Y51" s="6">
        <f t="shared" ca="1" si="9"/>
        <v>15.100000000000001</v>
      </c>
      <c r="Z51" s="11">
        <v>46</v>
      </c>
      <c r="AA51" s="6">
        <v>74.839952164924597</v>
      </c>
      <c r="AB51" s="6">
        <v>0</v>
      </c>
      <c r="AC51" s="6"/>
      <c r="AD51" s="6">
        <f ca="1">1.25-ABS(((VLOOKUP($Y$4, $A$5:$G$21, 5, FALSE)+VLOOKUP($Y$4, $A$5:$G$21, 6, FALSE))/2)-Y51)/(ABS(VLOOKUP($Y$4, $A$5:$G$21, 5, FALSE)-VLOOKUP($Y$4, $A$5:$G$21, 6, FALSE))*0.75)</f>
        <v>0.63738738738738754</v>
      </c>
      <c r="AE51" s="6"/>
      <c r="AF51" s="6">
        <f t="shared" ca="1" si="11"/>
        <v>4.2025542025542038</v>
      </c>
      <c r="AG51" s="6">
        <f t="shared" ca="1" si="12"/>
        <v>4.5382163733625678</v>
      </c>
      <c r="AH51" s="6">
        <f t="shared" ca="1" si="20"/>
        <v>4.5382163733625678</v>
      </c>
      <c r="AI51" s="6">
        <f t="shared" si="19"/>
        <v>189.98411480418093</v>
      </c>
      <c r="AJ51">
        <f t="shared" si="13"/>
        <v>1160</v>
      </c>
      <c r="AK51">
        <f t="shared" si="14"/>
        <v>0</v>
      </c>
      <c r="AL51">
        <f t="shared" si="15"/>
        <v>0</v>
      </c>
      <c r="AM51">
        <f t="shared" si="16"/>
        <v>12.788135680246265</v>
      </c>
      <c r="AN51">
        <f t="shared" si="17"/>
        <v>7.7506756141556634</v>
      </c>
      <c r="AO51" s="16">
        <f t="shared" si="18"/>
        <v>2.7821140587930331</v>
      </c>
    </row>
    <row r="52" spans="1:41" x14ac:dyDescent="0.25">
      <c r="A52" s="3" t="s">
        <v>135</v>
      </c>
      <c r="B52" t="s">
        <v>147</v>
      </c>
      <c r="C52" t="s">
        <v>45</v>
      </c>
      <c r="D52" t="s">
        <v>153</v>
      </c>
      <c r="F52">
        <v>2</v>
      </c>
      <c r="G52">
        <f t="shared" si="71"/>
        <v>0.65866666666666673</v>
      </c>
      <c r="H52" s="4">
        <v>0.25</v>
      </c>
      <c r="I52">
        <f>(294)/0.220462</f>
        <v>1333.5631537407808</v>
      </c>
      <c r="J52">
        <f t="shared" si="69"/>
        <v>0.49391227916325214</v>
      </c>
      <c r="K52">
        <v>160</v>
      </c>
      <c r="L52">
        <f t="shared" ref="L52:L65" si="75">I52*K52</f>
        <v>213370.10459852492</v>
      </c>
      <c r="M52">
        <f t="shared" si="66"/>
        <v>79.025964666120345</v>
      </c>
      <c r="N52">
        <f t="shared" ref="N52:N65" si="76">K52</f>
        <v>160</v>
      </c>
      <c r="O52">
        <f t="shared" ref="O52:O65" si="77">N52/M52</f>
        <v>2.0246510204081631</v>
      </c>
      <c r="S52" t="s">
        <v>166</v>
      </c>
      <c r="W52" s="6" t="str">
        <f t="shared" ca="1" si="7"/>
        <v>yes</v>
      </c>
      <c r="X52" s="6">
        <f t="shared" ca="1" si="8"/>
        <v>60.810810810810821</v>
      </c>
      <c r="Y52" s="6">
        <f t="shared" ca="1" si="9"/>
        <v>15.500000000000002</v>
      </c>
      <c r="Z52" s="11">
        <v>47</v>
      </c>
      <c r="AA52" s="6">
        <v>78.976590570350567</v>
      </c>
      <c r="AB52" s="6">
        <v>0.5</v>
      </c>
      <c r="AC52" s="6"/>
      <c r="AD52" s="6">
        <f t="shared" ca="1" si="10"/>
        <v>0.70945945945945965</v>
      </c>
      <c r="AE52" s="6"/>
      <c r="AF52" s="6">
        <f t="shared" ca="1" si="11"/>
        <v>4.6777546777546783</v>
      </c>
      <c r="AG52" s="6">
        <f t="shared" ca="1" si="12"/>
        <v>5.0513715816579809</v>
      </c>
      <c r="AH52" s="6">
        <f t="shared" ca="1" si="20"/>
        <v>9.5895879550205478</v>
      </c>
      <c r="AI52" s="6">
        <f t="shared" si="19"/>
        <v>180.05618263115863</v>
      </c>
      <c r="AJ52">
        <f t="shared" si="13"/>
        <v>1160</v>
      </c>
      <c r="AK52">
        <f t="shared" si="14"/>
        <v>0</v>
      </c>
      <c r="AL52">
        <f t="shared" si="15"/>
        <v>0</v>
      </c>
      <c r="AM52">
        <f t="shared" si="16"/>
        <v>12.119870631961833</v>
      </c>
      <c r="AN52">
        <f t="shared" si="17"/>
        <v>7.7162156235738184</v>
      </c>
      <c r="AO52" s="16">
        <f t="shared" si="18"/>
        <v>2.7821140587930331</v>
      </c>
    </row>
    <row r="53" spans="1:41" x14ac:dyDescent="0.25">
      <c r="A53" s="3" t="s">
        <v>136</v>
      </c>
      <c r="B53" t="s">
        <v>149</v>
      </c>
      <c r="C53" t="s">
        <v>148</v>
      </c>
      <c r="D53" t="s">
        <v>154</v>
      </c>
      <c r="F53">
        <v>2</v>
      </c>
      <c r="G53">
        <f>0.85*(24.7*K53*0.45)/$S$3</f>
        <v>3.4991666666666665</v>
      </c>
      <c r="H53" s="4">
        <v>0.25</v>
      </c>
      <c r="I53">
        <f>(98)/0.220462</f>
        <v>444.5210512469269</v>
      </c>
      <c r="J53">
        <f t="shared" si="69"/>
        <v>0.1646374263877507</v>
      </c>
      <c r="K53">
        <v>1000</v>
      </c>
      <c r="L53">
        <f t="shared" si="75"/>
        <v>444521.05124692689</v>
      </c>
      <c r="M53">
        <f t="shared" si="66"/>
        <v>164.63742638775071</v>
      </c>
      <c r="N53">
        <f t="shared" si="76"/>
        <v>1000</v>
      </c>
      <c r="O53">
        <f t="shared" si="77"/>
        <v>6.0739530612244899</v>
      </c>
      <c r="S53" t="s">
        <v>166</v>
      </c>
      <c r="W53" s="6" t="str">
        <f t="shared" ca="1" si="7"/>
        <v>yes</v>
      </c>
      <c r="X53" s="6">
        <f t="shared" ca="1" si="8"/>
        <v>53.088803088803104</v>
      </c>
      <c r="Y53" s="6">
        <f t="shared" ca="1" si="9"/>
        <v>15.000000000000002</v>
      </c>
      <c r="Z53" s="11">
        <v>48</v>
      </c>
      <c r="AA53" s="6">
        <v>81.55245563804543</v>
      </c>
      <c r="AB53" s="6">
        <v>0</v>
      </c>
      <c r="AC53" s="6"/>
      <c r="AD53" s="6">
        <f t="shared" ca="1" si="10"/>
        <v>0.61936936936936959</v>
      </c>
      <c r="AE53" s="6"/>
      <c r="AF53" s="6">
        <f t="shared" ca="1" si="11"/>
        <v>4.0837540837540844</v>
      </c>
      <c r="AG53" s="6">
        <f t="shared" ca="1" si="12"/>
        <v>4.4099275712887138</v>
      </c>
      <c r="AH53" s="6">
        <f t="shared" ca="1" si="20"/>
        <v>13.999515526309262</v>
      </c>
      <c r="AI53" s="6">
        <f t="shared" si="19"/>
        <v>173.87410646869097</v>
      </c>
      <c r="AJ53">
        <f t="shared" si="13"/>
        <v>1160</v>
      </c>
      <c r="AK53">
        <f t="shared" si="14"/>
        <v>0</v>
      </c>
      <c r="AL53">
        <f t="shared" si="15"/>
        <v>0</v>
      </c>
      <c r="AM53">
        <f t="shared" si="16"/>
        <v>11.703745163615503</v>
      </c>
      <c r="AN53">
        <f t="shared" si="17"/>
        <v>7.6947575512761679</v>
      </c>
      <c r="AO53" s="16">
        <f t="shared" si="18"/>
        <v>2.7821140587930331</v>
      </c>
    </row>
    <row r="54" spans="1:41" x14ac:dyDescent="0.25">
      <c r="A54" s="3" t="s">
        <v>137</v>
      </c>
      <c r="B54" t="s">
        <v>147</v>
      </c>
      <c r="C54" t="s">
        <v>118</v>
      </c>
      <c r="D54" t="s">
        <v>25</v>
      </c>
      <c r="F54">
        <v>2</v>
      </c>
      <c r="G54">
        <f t="shared" si="71"/>
        <v>3.2933333333333334</v>
      </c>
      <c r="H54" s="4">
        <v>0.25</v>
      </c>
      <c r="I54">
        <f>(175)/0.220462</f>
        <v>793.78759151236954</v>
      </c>
      <c r="J54">
        <f t="shared" si="69"/>
        <v>0.29399540426384058</v>
      </c>
      <c r="K54">
        <v>800</v>
      </c>
      <c r="L54">
        <f t="shared" si="75"/>
        <v>635030.07320989564</v>
      </c>
      <c r="M54">
        <f t="shared" si="66"/>
        <v>235.19632341107246</v>
      </c>
      <c r="N54">
        <f t="shared" si="76"/>
        <v>800</v>
      </c>
      <c r="O54">
        <f t="shared" si="77"/>
        <v>3.4014137142857139</v>
      </c>
      <c r="W54" s="6" t="str">
        <f t="shared" ca="1" si="7"/>
        <v>yes</v>
      </c>
      <c r="X54" s="6">
        <f t="shared" ca="1" si="8"/>
        <v>71.621621621621657</v>
      </c>
      <c r="Y54" s="6">
        <f t="shared" ca="1" si="9"/>
        <v>16.200000000000003</v>
      </c>
      <c r="Z54" s="11">
        <v>49</v>
      </c>
      <c r="AA54" s="6">
        <v>77.665204383817709</v>
      </c>
      <c r="AB54" s="6">
        <v>0</v>
      </c>
      <c r="AC54" s="6"/>
      <c r="AD54" s="6">
        <f t="shared" ca="1" si="10"/>
        <v>0.83558558558558604</v>
      </c>
      <c r="AE54" s="6"/>
      <c r="AF54" s="6">
        <f t="shared" ca="1" si="11"/>
        <v>5.5093555093555118</v>
      </c>
      <c r="AG54" s="6">
        <f t="shared" ca="1" si="12"/>
        <v>5.9493931961749569</v>
      </c>
      <c r="AH54" s="6">
        <f t="shared" ca="1" si="20"/>
        <v>19.948908722484219</v>
      </c>
      <c r="AI54" s="6">
        <f t="shared" si="19"/>
        <v>183.20350947883747</v>
      </c>
      <c r="AJ54">
        <f t="shared" si="13"/>
        <v>1160</v>
      </c>
      <c r="AK54">
        <f t="shared" si="14"/>
        <v>0</v>
      </c>
      <c r="AL54">
        <f t="shared" si="15"/>
        <v>0</v>
      </c>
      <c r="AM54">
        <f t="shared" si="16"/>
        <v>12.331722253344406</v>
      </c>
      <c r="AN54">
        <f t="shared" si="17"/>
        <v>7.7271400388134506</v>
      </c>
      <c r="AO54" s="16">
        <f t="shared" si="18"/>
        <v>2.7821140587930331</v>
      </c>
    </row>
    <row r="55" spans="1:41" x14ac:dyDescent="0.25">
      <c r="A55" s="3" t="s">
        <v>138</v>
      </c>
      <c r="B55" t="s">
        <v>114</v>
      </c>
      <c r="C55" t="s">
        <v>118</v>
      </c>
      <c r="D55" t="s">
        <v>155</v>
      </c>
      <c r="F55">
        <v>2</v>
      </c>
      <c r="G55">
        <f t="shared" si="71"/>
        <v>0.57633333333333336</v>
      </c>
      <c r="H55" s="4">
        <v>0.25</v>
      </c>
      <c r="I55">
        <f>(242)/0.220462</f>
        <v>1097.6948408342482</v>
      </c>
      <c r="J55">
        <f t="shared" si="69"/>
        <v>0.40655364475342526</v>
      </c>
      <c r="K55">
        <v>140</v>
      </c>
      <c r="L55">
        <f t="shared" si="75"/>
        <v>153677.27771679475</v>
      </c>
      <c r="M55">
        <f t="shared" si="66"/>
        <v>56.917510265479535</v>
      </c>
      <c r="N55">
        <f t="shared" si="76"/>
        <v>140</v>
      </c>
      <c r="O55">
        <f t="shared" si="77"/>
        <v>2.4596999999999998</v>
      </c>
      <c r="W55" s="6" t="str">
        <f t="shared" ca="1" si="7"/>
        <v>yes</v>
      </c>
      <c r="X55" s="6">
        <f t="shared" ca="1" si="8"/>
        <v>76.254826254826298</v>
      </c>
      <c r="Y55" s="6">
        <f t="shared" ca="1" si="9"/>
        <v>16.500000000000004</v>
      </c>
      <c r="Z55" s="11">
        <v>50</v>
      </c>
      <c r="AA55" s="6">
        <v>79.412398125966433</v>
      </c>
      <c r="AB55" s="6">
        <v>0</v>
      </c>
      <c r="AC55" s="6"/>
      <c r="AD55" s="6">
        <f t="shared" ca="1" si="10"/>
        <v>0.88963963963964021</v>
      </c>
      <c r="AE55" s="6"/>
      <c r="AF55" s="6">
        <f t="shared" ca="1" si="11"/>
        <v>5.8657558657558697</v>
      </c>
      <c r="AG55" s="6">
        <f t="shared" ca="1" si="12"/>
        <v>6.3342596023965188</v>
      </c>
      <c r="AH55" s="6">
        <f t="shared" ca="1" si="20"/>
        <v>26.283168324880737</v>
      </c>
      <c r="AI55" s="6">
        <f t="shared" si="19"/>
        <v>179.01024449768056</v>
      </c>
      <c r="AJ55">
        <f t="shared" si="13"/>
        <v>1160</v>
      </c>
      <c r="AK55">
        <f t="shared" si="14"/>
        <v>0</v>
      </c>
      <c r="AL55">
        <f t="shared" si="15"/>
        <v>0</v>
      </c>
      <c r="AM55">
        <f t="shared" si="16"/>
        <v>12.049466857531284</v>
      </c>
      <c r="AN55">
        <f t="shared" si="17"/>
        <v>7.7125851577728142</v>
      </c>
      <c r="AO55" s="16">
        <f t="shared" si="18"/>
        <v>2.7821140587930331</v>
      </c>
    </row>
    <row r="56" spans="1:41" x14ac:dyDescent="0.25">
      <c r="A56" s="3" t="s">
        <v>139</v>
      </c>
      <c r="B56" t="s">
        <v>117</v>
      </c>
      <c r="C56" t="s">
        <v>45</v>
      </c>
      <c r="D56" t="s">
        <v>156</v>
      </c>
      <c r="F56" t="s">
        <v>125</v>
      </c>
      <c r="G56">
        <f>(24.7*K56*0.45*1.5)/$S$3</f>
        <v>0.49400000000000005</v>
      </c>
      <c r="H56" s="4">
        <v>0.25</v>
      </c>
      <c r="I56">
        <f>(262)/0.220462</f>
        <v>1188.413422721376</v>
      </c>
      <c r="J56">
        <f t="shared" si="69"/>
        <v>0.44015311952643554</v>
      </c>
      <c r="K56">
        <v>80</v>
      </c>
      <c r="L56">
        <f t="shared" si="75"/>
        <v>95073.073817710087</v>
      </c>
      <c r="M56">
        <f t="shared" si="66"/>
        <v>35.212249562114849</v>
      </c>
      <c r="N56">
        <f t="shared" si="76"/>
        <v>80</v>
      </c>
      <c r="O56">
        <f t="shared" si="77"/>
        <v>2.271936641221374</v>
      </c>
      <c r="W56" s="6" t="str">
        <f t="shared" ca="1" si="7"/>
        <v>yes</v>
      </c>
      <c r="X56" s="6">
        <f t="shared" ca="1" si="8"/>
        <v>79.343629343629374</v>
      </c>
      <c r="Y56" s="6">
        <f t="shared" ca="1" si="9"/>
        <v>16.700000000000003</v>
      </c>
      <c r="Z56" s="11">
        <v>51</v>
      </c>
      <c r="AA56" s="6">
        <v>80.391509659822901</v>
      </c>
      <c r="AB56" s="6">
        <v>0.1</v>
      </c>
      <c r="AC56" s="6"/>
      <c r="AD56" s="6">
        <f t="shared" ca="1" si="10"/>
        <v>0.9256756756756761</v>
      </c>
      <c r="AE56" s="6"/>
      <c r="AF56" s="6">
        <f t="shared" ca="1" si="11"/>
        <v>6.1033561033561057</v>
      </c>
      <c r="AG56" s="6">
        <f t="shared" ca="1" si="12"/>
        <v>6.590837206544224</v>
      </c>
      <c r="AH56" s="6">
        <f t="shared" ca="1" si="20"/>
        <v>28.33578915806239</v>
      </c>
      <c r="AI56" s="6">
        <f t="shared" si="19"/>
        <v>176.66037681642501</v>
      </c>
      <c r="AJ56">
        <f t="shared" si="13"/>
        <v>1160</v>
      </c>
      <c r="AK56">
        <f t="shared" si="14"/>
        <v>0</v>
      </c>
      <c r="AL56">
        <f t="shared" si="15"/>
        <v>0</v>
      </c>
      <c r="AM56">
        <f t="shared" si="16"/>
        <v>11.891293492513398</v>
      </c>
      <c r="AN56">
        <f t="shared" si="17"/>
        <v>7.7044287343854059</v>
      </c>
      <c r="AO56" s="16">
        <f t="shared" si="18"/>
        <v>2.7821140587930331</v>
      </c>
    </row>
    <row r="57" spans="1:41" x14ac:dyDescent="0.25">
      <c r="A57" s="3" t="s">
        <v>140</v>
      </c>
      <c r="B57" t="s">
        <v>120</v>
      </c>
      <c r="C57" t="s">
        <v>45</v>
      </c>
      <c r="D57" t="s">
        <v>154</v>
      </c>
      <c r="F57">
        <v>2</v>
      </c>
      <c r="G57">
        <f t="shared" si="71"/>
        <v>0.61750000000000005</v>
      </c>
      <c r="H57" s="4">
        <v>0.25</v>
      </c>
      <c r="I57">
        <f>(158)/0.220462</f>
        <v>716.67679690831073</v>
      </c>
      <c r="J57">
        <f t="shared" si="69"/>
        <v>0.26543585070678177</v>
      </c>
      <c r="K57">
        <v>150</v>
      </c>
      <c r="L57">
        <f t="shared" si="75"/>
        <v>107501.5195362466</v>
      </c>
      <c r="M57">
        <f t="shared" si="66"/>
        <v>39.815377606017258</v>
      </c>
      <c r="N57">
        <f t="shared" si="76"/>
        <v>150</v>
      </c>
      <c r="O57">
        <f t="shared" si="77"/>
        <v>3.767388607594937</v>
      </c>
      <c r="W57" s="6" t="str">
        <f t="shared" ca="1" si="7"/>
        <v>yes</v>
      </c>
      <c r="X57" s="6">
        <f t="shared" ca="1" si="8"/>
        <v>77.799227799227808</v>
      </c>
      <c r="Y57" s="6">
        <f t="shared" ca="1" si="9"/>
        <v>16.600000000000001</v>
      </c>
      <c r="Z57" s="11">
        <v>52</v>
      </c>
      <c r="AA57" s="6">
        <v>83.69993442841033</v>
      </c>
      <c r="AB57" s="6">
        <v>1.1000000000000001</v>
      </c>
      <c r="AC57" s="6"/>
      <c r="AD57" s="6">
        <f t="shared" ca="1" si="10"/>
        <v>0.90765765765765782</v>
      </c>
      <c r="AE57" s="6"/>
      <c r="AF57" s="6">
        <f t="shared" ca="1" si="11"/>
        <v>5.9845559845559855</v>
      </c>
      <c r="AG57" s="6">
        <f t="shared" ca="1" si="12"/>
        <v>6.4625484044703692</v>
      </c>
      <c r="AH57" s="6">
        <f t="shared" ca="1" si="20"/>
        <v>29.746965980874783</v>
      </c>
      <c r="AI57" s="6">
        <f t="shared" si="19"/>
        <v>168.72015737181519</v>
      </c>
      <c r="AJ57">
        <f t="shared" si="13"/>
        <v>1160</v>
      </c>
      <c r="AK57">
        <f t="shared" si="14"/>
        <v>0</v>
      </c>
      <c r="AL57">
        <f t="shared" si="15"/>
        <v>0</v>
      </c>
      <c r="AM57">
        <f t="shared" si="16"/>
        <v>11.356824578134638</v>
      </c>
      <c r="AN57">
        <f t="shared" si="17"/>
        <v>7.6768681223152955</v>
      </c>
      <c r="AO57" s="16">
        <f t="shared" si="18"/>
        <v>2.7821140587930331</v>
      </c>
    </row>
    <row r="58" spans="1:41" x14ac:dyDescent="0.25">
      <c r="A58" s="3" t="s">
        <v>141</v>
      </c>
      <c r="B58" t="s">
        <v>147</v>
      </c>
      <c r="C58" t="s">
        <v>45</v>
      </c>
      <c r="D58" t="s">
        <v>25</v>
      </c>
      <c r="F58">
        <v>2</v>
      </c>
      <c r="G58">
        <f t="shared" si="71"/>
        <v>5.7633333333333336</v>
      </c>
      <c r="H58" s="4">
        <v>0.25</v>
      </c>
      <c r="I58">
        <f>(100)/0.220462</f>
        <v>453.59290943563974</v>
      </c>
      <c r="J58">
        <f t="shared" si="69"/>
        <v>0.16799737386505176</v>
      </c>
      <c r="K58">
        <v>1400</v>
      </c>
      <c r="L58">
        <f t="shared" si="75"/>
        <v>635030.07320989564</v>
      </c>
      <c r="M58">
        <f t="shared" si="66"/>
        <v>235.19632341107246</v>
      </c>
      <c r="N58">
        <f t="shared" si="76"/>
        <v>1400</v>
      </c>
      <c r="O58">
        <f t="shared" si="77"/>
        <v>5.9524739999999996</v>
      </c>
      <c r="W58" s="6" t="str">
        <f t="shared" ca="1" si="7"/>
        <v>yes</v>
      </c>
      <c r="X58" s="6">
        <f t="shared" ca="1" si="8"/>
        <v>62.717181467181469</v>
      </c>
      <c r="Y58" s="6">
        <f t="shared" ca="1" si="9"/>
        <v>15.8</v>
      </c>
      <c r="Z58" s="11">
        <v>53</v>
      </c>
      <c r="AA58" s="6">
        <v>82.435005657568766</v>
      </c>
      <c r="AB58" s="6">
        <v>0</v>
      </c>
      <c r="AC58" s="6"/>
      <c r="AD58" s="6">
        <f t="shared" ca="1" si="10"/>
        <v>0.7635135135135136</v>
      </c>
      <c r="AE58" s="6"/>
      <c r="AF58" s="6">
        <f t="shared" ca="1" si="11"/>
        <v>4.8243985743985744</v>
      </c>
      <c r="AG58" s="6">
        <f t="shared" ca="1" si="12"/>
        <v>5.2097280717178931</v>
      </c>
      <c r="AH58" s="6">
        <f t="shared" ca="1" si="20"/>
        <v>30.546766481303962</v>
      </c>
      <c r="AI58" s="6">
        <f t="shared" si="19"/>
        <v>171.75598642183496</v>
      </c>
      <c r="AJ58">
        <f t="shared" si="13"/>
        <v>1160</v>
      </c>
      <c r="AK58">
        <f t="shared" si="14"/>
        <v>0</v>
      </c>
      <c r="AL58">
        <f t="shared" si="15"/>
        <v>0</v>
      </c>
      <c r="AM58">
        <f t="shared" si="16"/>
        <v>11.561171103809698</v>
      </c>
      <c r="AN58">
        <f t="shared" si="17"/>
        <v>7.68740552714931</v>
      </c>
      <c r="AO58" s="16">
        <f t="shared" si="18"/>
        <v>2.7821140587930331</v>
      </c>
    </row>
    <row r="59" spans="1:41" x14ac:dyDescent="0.25">
      <c r="A59" s="3" t="s">
        <v>142</v>
      </c>
      <c r="B59" t="s">
        <v>114</v>
      </c>
      <c r="C59" t="s">
        <v>106</v>
      </c>
      <c r="D59" t="s">
        <v>154</v>
      </c>
      <c r="F59">
        <v>2</v>
      </c>
      <c r="G59">
        <f t="shared" si="71"/>
        <v>32.93333333333333</v>
      </c>
      <c r="H59" s="4">
        <v>0.25</v>
      </c>
      <c r="I59">
        <f>(125)/0.220462</f>
        <v>566.99113679454967</v>
      </c>
      <c r="J59">
        <f t="shared" si="69"/>
        <v>0.2099967173313147</v>
      </c>
      <c r="K59">
        <v>8000</v>
      </c>
      <c r="L59">
        <f t="shared" si="75"/>
        <v>4535929.0943563972</v>
      </c>
      <c r="M59">
        <f t="shared" si="66"/>
        <v>1679.9737386505174</v>
      </c>
      <c r="N59">
        <f t="shared" si="76"/>
        <v>8000</v>
      </c>
      <c r="O59">
        <f t="shared" si="77"/>
        <v>4.7619791999999999</v>
      </c>
      <c r="S59" t="s">
        <v>167</v>
      </c>
      <c r="W59" s="6" t="str">
        <f t="shared" ca="1" si="7"/>
        <v>yes</v>
      </c>
      <c r="X59" s="6">
        <f t="shared" ca="1" si="8"/>
        <v>59.990347490347496</v>
      </c>
      <c r="Y59" s="6">
        <f t="shared" ca="1" si="9"/>
        <v>15.8</v>
      </c>
      <c r="Z59" s="11">
        <v>54</v>
      </c>
      <c r="AA59" s="6">
        <v>83.294013383493592</v>
      </c>
      <c r="AB59" s="6">
        <v>0.9</v>
      </c>
      <c r="AC59" s="6"/>
      <c r="AD59" s="6">
        <f t="shared" ca="1" si="10"/>
        <v>0.7635135135135136</v>
      </c>
      <c r="AE59" s="6"/>
      <c r="AF59" s="6">
        <f t="shared" ca="1" si="11"/>
        <v>4.6146421146421153</v>
      </c>
      <c r="AG59" s="6">
        <f t="shared" ca="1" si="12"/>
        <v>4.983218155556246</v>
      </c>
      <c r="AH59" s="6">
        <f t="shared" ca="1" si="20"/>
        <v>29.580591440685254</v>
      </c>
      <c r="AI59" s="6">
        <f t="shared" si="19"/>
        <v>169.69436787961536</v>
      </c>
      <c r="AJ59">
        <f t="shared" si="13"/>
        <v>1160</v>
      </c>
      <c r="AK59">
        <f t="shared" si="14"/>
        <v>0</v>
      </c>
      <c r="AL59">
        <f t="shared" si="15"/>
        <v>0</v>
      </c>
      <c r="AM59">
        <f t="shared" si="16"/>
        <v>11.422400250962397</v>
      </c>
      <c r="AN59">
        <f t="shared" si="17"/>
        <v>7.6802496205304784</v>
      </c>
      <c r="AO59" s="16">
        <f t="shared" si="18"/>
        <v>2.7821140587930331</v>
      </c>
    </row>
    <row r="60" spans="1:41" x14ac:dyDescent="0.25">
      <c r="A60" s="3" t="s">
        <v>143</v>
      </c>
      <c r="B60" t="s">
        <v>147</v>
      </c>
      <c r="C60" t="s">
        <v>119</v>
      </c>
      <c r="D60" t="s">
        <v>154</v>
      </c>
      <c r="F60">
        <v>3</v>
      </c>
      <c r="G60">
        <f t="shared" si="71"/>
        <v>54.34</v>
      </c>
      <c r="H60" s="4">
        <v>0.25</v>
      </c>
      <c r="I60">
        <f>(125)/0.220462</f>
        <v>566.99113679454967</v>
      </c>
      <c r="J60">
        <f t="shared" si="69"/>
        <v>0.2099967173313147</v>
      </c>
      <c r="K60">
        <v>13200</v>
      </c>
      <c r="L60">
        <f t="shared" si="75"/>
        <v>7484283.0056880554</v>
      </c>
      <c r="M60">
        <f t="shared" si="66"/>
        <v>2771.9566687733541</v>
      </c>
      <c r="N60">
        <f t="shared" si="76"/>
        <v>13200</v>
      </c>
      <c r="O60">
        <f t="shared" si="77"/>
        <v>4.7619791999999999</v>
      </c>
      <c r="S60" t="s">
        <v>167</v>
      </c>
      <c r="W60" s="6" t="str">
        <f t="shared" ca="1" si="7"/>
        <v>yes</v>
      </c>
      <c r="X60" s="6">
        <f t="shared" ca="1" si="8"/>
        <v>45.101351351351347</v>
      </c>
      <c r="Y60" s="6">
        <f t="shared" ca="1" si="9"/>
        <v>14.9</v>
      </c>
      <c r="Z60" s="11">
        <v>55</v>
      </c>
      <c r="AA60" s="6">
        <v>87.374227254965433</v>
      </c>
      <c r="AB60" s="6">
        <v>0</v>
      </c>
      <c r="AC60" s="6"/>
      <c r="AD60" s="6">
        <f t="shared" ca="1" si="10"/>
        <v>0.60135135135135132</v>
      </c>
      <c r="AE60" s="6"/>
      <c r="AF60" s="6">
        <f t="shared" ca="1" si="11"/>
        <v>3.4693347193347193</v>
      </c>
      <c r="AG60" s="6">
        <f t="shared" ca="1" si="12"/>
        <v>3.7464339230630017</v>
      </c>
      <c r="AH60" s="6">
        <f t="shared" ca="1" si="20"/>
        <v>26.992765761351734</v>
      </c>
      <c r="AI60" s="6">
        <f t="shared" si="19"/>
        <v>159.90185458808295</v>
      </c>
      <c r="AJ60">
        <f t="shared" si="13"/>
        <v>1160</v>
      </c>
      <c r="AK60">
        <f t="shared" si="14"/>
        <v>0</v>
      </c>
      <c r="AL60">
        <f t="shared" si="15"/>
        <v>0</v>
      </c>
      <c r="AM60">
        <f t="shared" si="16"/>
        <v>10.763250464929994</v>
      </c>
      <c r="AN60">
        <f t="shared" si="17"/>
        <v>7.6462596707687576</v>
      </c>
      <c r="AO60" s="16">
        <f t="shared" si="18"/>
        <v>2.7821140587930331</v>
      </c>
    </row>
    <row r="61" spans="1:41" x14ac:dyDescent="0.25">
      <c r="A61" s="3" t="s">
        <v>144</v>
      </c>
      <c r="B61" t="s">
        <v>147</v>
      </c>
      <c r="C61" t="s">
        <v>106</v>
      </c>
      <c r="D61" t="s">
        <v>25</v>
      </c>
      <c r="F61">
        <v>2</v>
      </c>
      <c r="G61">
        <f t="shared" si="71"/>
        <v>0.45283333333333337</v>
      </c>
      <c r="H61" s="4">
        <v>0.25</v>
      </c>
      <c r="I61">
        <f>(100)/0.220462</f>
        <v>453.59290943563974</v>
      </c>
      <c r="J61">
        <f t="shared" si="69"/>
        <v>0.16799737386505176</v>
      </c>
      <c r="K61">
        <v>110</v>
      </c>
      <c r="L61">
        <f t="shared" si="75"/>
        <v>49895.220037920371</v>
      </c>
      <c r="M61">
        <f t="shared" si="66"/>
        <v>18.479711125155692</v>
      </c>
      <c r="N61">
        <f t="shared" si="76"/>
        <v>110</v>
      </c>
      <c r="O61">
        <f t="shared" si="77"/>
        <v>5.9524739999999996</v>
      </c>
      <c r="W61" s="6" t="str">
        <f t="shared" ca="1" si="7"/>
        <v>yes</v>
      </c>
      <c r="X61" s="6">
        <f t="shared" ca="1" si="8"/>
        <v>42.953667953667953</v>
      </c>
      <c r="Y61" s="6">
        <f t="shared" ca="1" si="9"/>
        <v>14.9</v>
      </c>
      <c r="Z61" s="11">
        <v>56</v>
      </c>
      <c r="AA61" s="6">
        <v>85.972922941575277</v>
      </c>
      <c r="AB61" s="6">
        <v>0.2</v>
      </c>
      <c r="AC61" s="6"/>
      <c r="AD61" s="6">
        <f t="shared" ca="1" si="10"/>
        <v>0.60135135135135132</v>
      </c>
      <c r="AE61" s="6"/>
      <c r="AF61" s="6">
        <f t="shared" ca="1" si="11"/>
        <v>3.3041283041283043</v>
      </c>
      <c r="AG61" s="6">
        <f t="shared" ca="1" si="12"/>
        <v>3.5680323076790494</v>
      </c>
      <c r="AH61" s="6">
        <f t="shared" ca="1" si="20"/>
        <v>23.969960862486563</v>
      </c>
      <c r="AI61" s="6">
        <f t="shared" si="19"/>
        <v>163.26498494021931</v>
      </c>
      <c r="AJ61">
        <f t="shared" si="13"/>
        <v>1160</v>
      </c>
      <c r="AK61">
        <f t="shared" si="14"/>
        <v>0</v>
      </c>
      <c r="AL61">
        <f t="shared" si="15"/>
        <v>0</v>
      </c>
      <c r="AM61">
        <f t="shared" si="16"/>
        <v>10.989628166548906</v>
      </c>
      <c r="AN61">
        <f t="shared" si="17"/>
        <v>7.6579331429722703</v>
      </c>
      <c r="AO61" s="16">
        <f t="shared" si="18"/>
        <v>2.7821140587930331</v>
      </c>
    </row>
    <row r="62" spans="1:41" x14ac:dyDescent="0.25">
      <c r="A62" s="3" t="s">
        <v>145</v>
      </c>
      <c r="B62" t="s">
        <v>117</v>
      </c>
      <c r="C62" t="s">
        <v>106</v>
      </c>
      <c r="D62" t="s">
        <v>156</v>
      </c>
      <c r="F62" t="s">
        <v>125</v>
      </c>
      <c r="G62">
        <f>(24.7*K62*0.45*1.5)/$S$3</f>
        <v>2.0994999999999999</v>
      </c>
      <c r="H62" s="4">
        <v>0.25</v>
      </c>
      <c r="I62">
        <f>(250/1.7)/0.220462</f>
        <v>667.04839622888198</v>
      </c>
      <c r="J62">
        <f t="shared" si="69"/>
        <v>0.24705496156625259</v>
      </c>
      <c r="K62">
        <v>340</v>
      </c>
      <c r="L62">
        <f t="shared" si="75"/>
        <v>226796.45471781987</v>
      </c>
      <c r="M62">
        <f t="shared" si="66"/>
        <v>83.998686932525871</v>
      </c>
      <c r="N62">
        <f t="shared" si="76"/>
        <v>340</v>
      </c>
      <c r="O62">
        <f t="shared" si="77"/>
        <v>4.0476823199999998</v>
      </c>
      <c r="W62" s="6" t="str">
        <f t="shared" ca="1" si="7"/>
        <v>no</v>
      </c>
      <c r="X62" s="6" t="str">
        <f t="shared" ca="1" si="8"/>
        <v>N/A</v>
      </c>
      <c r="Y62" s="6">
        <f t="shared" ca="1" si="9"/>
        <v>14.700000000000001</v>
      </c>
      <c r="Z62" s="11">
        <v>57</v>
      </c>
      <c r="AA62" s="6">
        <v>85.387411923225429</v>
      </c>
      <c r="AB62" s="6">
        <v>0.6</v>
      </c>
      <c r="AC62" s="6"/>
      <c r="AD62" s="6">
        <f t="shared" ca="1" si="10"/>
        <v>0.56531531531531543</v>
      </c>
      <c r="AE62" s="6"/>
      <c r="AF62" s="6">
        <f t="shared" ca="1" si="11"/>
        <v>0</v>
      </c>
      <c r="AG62" s="6">
        <f t="shared" ca="1" si="12"/>
        <v>0</v>
      </c>
      <c r="AH62" s="6">
        <f t="shared" ca="1" si="20"/>
        <v>17.507412458016191</v>
      </c>
      <c r="AI62" s="6">
        <f t="shared" si="19"/>
        <v>164.67021138425895</v>
      </c>
      <c r="AJ62">
        <f t="shared" si="13"/>
        <v>1160</v>
      </c>
      <c r="AK62">
        <f t="shared" si="14"/>
        <v>0</v>
      </c>
      <c r="AL62">
        <f t="shared" si="15"/>
        <v>0</v>
      </c>
      <c r="AM62">
        <f t="shared" si="16"/>
        <v>11.084216213798914</v>
      </c>
      <c r="AN62">
        <f t="shared" si="17"/>
        <v>7.66281070349374</v>
      </c>
      <c r="AO62" s="16">
        <f t="shared" si="18"/>
        <v>2.7821140587930331</v>
      </c>
    </row>
    <row r="63" spans="1:41" x14ac:dyDescent="0.25">
      <c r="A63" s="3" t="s">
        <v>168</v>
      </c>
      <c r="B63" t="s">
        <v>117</v>
      </c>
      <c r="C63" t="s">
        <v>119</v>
      </c>
      <c r="D63" t="s">
        <v>80</v>
      </c>
      <c r="F63" t="s">
        <v>122</v>
      </c>
      <c r="G63">
        <f>1.25*(24.7*K63*0.45)/$S$3</f>
        <v>0.20583333333333334</v>
      </c>
      <c r="H63" s="4">
        <v>0.25</v>
      </c>
      <c r="I63">
        <f>(262)/0.220462</f>
        <v>1188.413422721376</v>
      </c>
      <c r="J63">
        <f t="shared" si="69"/>
        <v>0.44015311952643554</v>
      </c>
      <c r="K63">
        <v>40</v>
      </c>
      <c r="L63">
        <f t="shared" ref="L63" si="78">I63*K63</f>
        <v>47536.536908855043</v>
      </c>
      <c r="M63">
        <f t="shared" si="66"/>
        <v>17.606124781057424</v>
      </c>
      <c r="N63">
        <f t="shared" ref="N63" si="79">K63</f>
        <v>40</v>
      </c>
      <c r="O63">
        <f t="shared" ref="O63" si="80">N63/M63</f>
        <v>2.271936641221374</v>
      </c>
      <c r="S63" t="s">
        <v>171</v>
      </c>
      <c r="W63" s="6" t="str">
        <f t="shared" ca="1" si="7"/>
        <v>no</v>
      </c>
      <c r="X63" s="6" t="str">
        <f t="shared" ca="1" si="8"/>
        <v>N/A</v>
      </c>
      <c r="Y63" s="6">
        <f t="shared" ca="1" si="9"/>
        <v>14.1</v>
      </c>
      <c r="Z63" s="11">
        <v>58</v>
      </c>
      <c r="AA63" s="6">
        <v>84.615074375682511</v>
      </c>
      <c r="AB63" s="6">
        <v>0</v>
      </c>
      <c r="AC63" s="6"/>
      <c r="AD63" s="6">
        <f t="shared" ca="1" si="10"/>
        <v>0.45720720720720698</v>
      </c>
      <c r="AE63" s="6"/>
      <c r="AF63" s="6">
        <f t="shared" ca="1" si="11"/>
        <v>0</v>
      </c>
      <c r="AG63" s="6">
        <f t="shared" ca="1" si="12"/>
        <v>0</v>
      </c>
      <c r="AH63" s="6">
        <f t="shared" ca="1" si="20"/>
        <v>12.297684386298297</v>
      </c>
      <c r="AI63" s="6">
        <f t="shared" si="19"/>
        <v>166.52382149836197</v>
      </c>
      <c r="AJ63">
        <f t="shared" si="13"/>
        <v>1160</v>
      </c>
      <c r="AK63">
        <f t="shared" si="14"/>
        <v>0</v>
      </c>
      <c r="AL63">
        <f t="shared" si="15"/>
        <v>0</v>
      </c>
      <c r="AM63">
        <f t="shared" si="16"/>
        <v>11.208985685509001</v>
      </c>
      <c r="AN63">
        <f t="shared" si="17"/>
        <v>7.6692446099670315</v>
      </c>
      <c r="AO63" s="16">
        <f t="shared" si="18"/>
        <v>2.7821140587930331</v>
      </c>
    </row>
    <row r="64" spans="1:41" x14ac:dyDescent="0.25">
      <c r="A64" s="3" t="s">
        <v>169</v>
      </c>
      <c r="B64" t="s">
        <v>120</v>
      </c>
      <c r="C64" t="s">
        <v>118</v>
      </c>
      <c r="D64" t="s">
        <v>80</v>
      </c>
      <c r="F64" t="s">
        <v>122</v>
      </c>
      <c r="G64">
        <f>1.25*(24.7*K64*0.45)/$S$3</f>
        <v>4.6312499999999993E-2</v>
      </c>
      <c r="H64" s="4">
        <v>0.25</v>
      </c>
      <c r="I64">
        <f>(250/1.7)/0.220462</f>
        <v>667.04839622888198</v>
      </c>
      <c r="J64">
        <f t="shared" si="69"/>
        <v>0.24705496156625259</v>
      </c>
      <c r="K64">
        <v>9</v>
      </c>
      <c r="L64">
        <f t="shared" ref="L64" si="81">I64*K64</f>
        <v>6003.4355660599376</v>
      </c>
      <c r="M64">
        <f t="shared" si="66"/>
        <v>2.2234946540962732</v>
      </c>
      <c r="N64">
        <f t="shared" ref="N64" si="82">K64</f>
        <v>9</v>
      </c>
      <c r="O64">
        <f t="shared" ref="O64" si="83">N64/M64</f>
        <v>4.0476823199999998</v>
      </c>
      <c r="S64" t="s">
        <v>170</v>
      </c>
      <c r="W64" s="6" t="str">
        <f t="shared" ca="1" si="7"/>
        <v>no</v>
      </c>
      <c r="X64" s="6" t="str">
        <f t="shared" ca="1" si="8"/>
        <v>N/A</v>
      </c>
      <c r="Y64" s="6">
        <f t="shared" ca="1" si="9"/>
        <v>14.1</v>
      </c>
      <c r="Z64" s="11">
        <v>59</v>
      </c>
      <c r="AA64" s="6">
        <v>88.453394802858242</v>
      </c>
      <c r="AB64" s="6">
        <v>0</v>
      </c>
      <c r="AC64" s="6"/>
      <c r="AD64" s="6">
        <f t="shared" ca="1" si="10"/>
        <v>0.45720720720720698</v>
      </c>
      <c r="AE64" s="6"/>
      <c r="AF64" s="6">
        <f t="shared" ca="1" si="11"/>
        <v>0</v>
      </c>
      <c r="AG64" s="6">
        <f t="shared" ca="1" si="12"/>
        <v>0</v>
      </c>
      <c r="AH64" s="6">
        <f t="shared" ca="1" si="20"/>
        <v>7.3144662307420507</v>
      </c>
      <c r="AI64" s="6">
        <f t="shared" si="19"/>
        <v>157.31185247314022</v>
      </c>
      <c r="AJ64">
        <f t="shared" si="13"/>
        <v>1160</v>
      </c>
      <c r="AK64">
        <f t="shared" si="14"/>
        <v>0</v>
      </c>
      <c r="AL64">
        <f t="shared" si="15"/>
        <v>0</v>
      </c>
      <c r="AM64">
        <f t="shared" si="16"/>
        <v>10.588913265779681</v>
      </c>
      <c r="AN64">
        <f t="shared" si="17"/>
        <v>7.6372697374238854</v>
      </c>
      <c r="AO64" s="16">
        <f t="shared" si="18"/>
        <v>2.7821140587930331</v>
      </c>
    </row>
    <row r="65" spans="1:41" x14ac:dyDescent="0.25">
      <c r="A65" s="3" t="s">
        <v>146</v>
      </c>
      <c r="B65" t="s">
        <v>45</v>
      </c>
      <c r="C65" t="s">
        <v>45</v>
      </c>
      <c r="D65" t="s">
        <v>157</v>
      </c>
      <c r="F65" t="s">
        <v>158</v>
      </c>
      <c r="G65">
        <v>1</v>
      </c>
      <c r="H65" s="4">
        <v>0.25</v>
      </c>
      <c r="I65">
        <f>85000/K65</f>
        <v>607.14285714285711</v>
      </c>
      <c r="J65">
        <f t="shared" si="69"/>
        <v>0.22486772486772486</v>
      </c>
      <c r="K65">
        <v>140</v>
      </c>
      <c r="L65">
        <f t="shared" si="75"/>
        <v>85000</v>
      </c>
      <c r="M65">
        <f t="shared" si="66"/>
        <v>31.481481481481481</v>
      </c>
      <c r="N65">
        <f t="shared" si="76"/>
        <v>140</v>
      </c>
      <c r="O65">
        <f t="shared" si="77"/>
        <v>4.447058823529412</v>
      </c>
      <c r="W65" s="6" t="str">
        <f t="shared" ca="1" si="7"/>
        <v>no</v>
      </c>
      <c r="X65" s="6" t="str">
        <f t="shared" ca="1" si="8"/>
        <v>N/A</v>
      </c>
      <c r="Y65" s="6">
        <f t="shared" ca="1" si="9"/>
        <v>14.1</v>
      </c>
      <c r="Z65" s="11">
        <v>60</v>
      </c>
      <c r="AA65" s="6">
        <v>84.1</v>
      </c>
      <c r="AB65" s="6">
        <v>0.2</v>
      </c>
      <c r="AC65" s="6"/>
      <c r="AD65" s="6">
        <f t="shared" ca="1" si="10"/>
        <v>0.45720720720720698</v>
      </c>
      <c r="AE65" s="6"/>
      <c r="AF65" s="6">
        <f t="shared" ca="1" si="11"/>
        <v>0</v>
      </c>
      <c r="AG65" s="6">
        <f t="shared" ca="1" si="12"/>
        <v>0</v>
      </c>
      <c r="AH65" s="6">
        <f t="shared" ca="1" si="20"/>
        <v>3.5680323076790494</v>
      </c>
      <c r="AI65" s="6">
        <f t="shared" si="19"/>
        <v>167.76</v>
      </c>
      <c r="AJ65">
        <f t="shared" si="13"/>
        <v>1160</v>
      </c>
      <c r="AK65">
        <f t="shared" si="14"/>
        <v>0</v>
      </c>
      <c r="AL65">
        <f t="shared" si="15"/>
        <v>0</v>
      </c>
      <c r="AM65">
        <f t="shared" si="16"/>
        <v>11.292194844444445</v>
      </c>
      <c r="AN65">
        <f t="shared" si="17"/>
        <v>7.6735354027304705</v>
      </c>
      <c r="AO65" s="16">
        <f t="shared" si="18"/>
        <v>2.7821140587930331</v>
      </c>
    </row>
    <row r="66" spans="1:41" x14ac:dyDescent="0.25">
      <c r="A66" s="1" t="s">
        <v>159</v>
      </c>
      <c r="B66" s="1" t="s">
        <v>103</v>
      </c>
      <c r="C66" s="1" t="s">
        <v>50</v>
      </c>
      <c r="D66" s="1" t="s">
        <v>104</v>
      </c>
      <c r="E66" s="1" t="s">
        <v>105</v>
      </c>
      <c r="F66" s="1" t="s">
        <v>121</v>
      </c>
      <c r="G66" s="1" t="s">
        <v>129</v>
      </c>
      <c r="H66" s="1" t="s">
        <v>59</v>
      </c>
      <c r="I66" s="1" t="s">
        <v>11</v>
      </c>
      <c r="J66" s="1" t="s">
        <v>36</v>
      </c>
      <c r="K66" s="1" t="s">
        <v>113</v>
      </c>
      <c r="L66" s="1" t="s">
        <v>12</v>
      </c>
      <c r="M66" s="1" t="s">
        <v>13</v>
      </c>
      <c r="N66" s="1" t="s">
        <v>27</v>
      </c>
      <c r="O66" s="1" t="s">
        <v>29</v>
      </c>
      <c r="P66" s="1" t="s">
        <v>128</v>
      </c>
      <c r="R66" s="1" t="s">
        <v>150</v>
      </c>
      <c r="S66" s="1" t="s">
        <v>151</v>
      </c>
      <c r="W66" s="6" t="str">
        <f t="shared" ca="1" si="7"/>
        <v>no</v>
      </c>
      <c r="X66" s="6" t="str">
        <f t="shared" ca="1" si="8"/>
        <v>N/A</v>
      </c>
      <c r="Y66" s="6">
        <f t="shared" ca="1" si="9"/>
        <v>13.9</v>
      </c>
      <c r="Z66" s="11">
        <v>61</v>
      </c>
      <c r="AA66" s="6">
        <v>89.652698864604687</v>
      </c>
      <c r="AB66" s="6">
        <v>0</v>
      </c>
      <c r="AC66" s="6"/>
      <c r="AD66" s="6">
        <f t="shared" ca="1" si="10"/>
        <v>0.42117117117117109</v>
      </c>
      <c r="AE66" s="6"/>
      <c r="AF66" s="6">
        <f t="shared" ca="1" si="11"/>
        <v>0</v>
      </c>
      <c r="AG66" s="6">
        <f t="shared" ca="1" si="12"/>
        <v>0</v>
      </c>
      <c r="AH66" s="6">
        <f t="shared" ca="1" si="20"/>
        <v>0</v>
      </c>
      <c r="AI66" s="6">
        <f t="shared" si="19"/>
        <v>154.43352272494874</v>
      </c>
      <c r="AJ66">
        <f t="shared" si="13"/>
        <v>1160</v>
      </c>
      <c r="AK66">
        <f t="shared" si="14"/>
        <v>0</v>
      </c>
      <c r="AL66">
        <f t="shared" si="15"/>
        <v>0</v>
      </c>
      <c r="AM66">
        <f t="shared" si="16"/>
        <v>10.395168270887341</v>
      </c>
      <c r="AN66">
        <f t="shared" si="17"/>
        <v>7.6272790148559322</v>
      </c>
      <c r="AO66" s="16">
        <f t="shared" si="18"/>
        <v>2.7821140587930331</v>
      </c>
    </row>
    <row r="67" spans="1:41" x14ac:dyDescent="0.25">
      <c r="A67" s="3" t="s">
        <v>160</v>
      </c>
      <c r="B67" t="s">
        <v>117</v>
      </c>
      <c r="C67" t="s">
        <v>45</v>
      </c>
      <c r="D67" t="s">
        <v>156</v>
      </c>
      <c r="F67" t="s">
        <v>164</v>
      </c>
      <c r="G67">
        <f>(24.7*K67*0.45*1.5)/$S$3</f>
        <v>3.76675</v>
      </c>
      <c r="H67" s="4">
        <v>0.25</v>
      </c>
      <c r="I67">
        <f>(250/1.7)/0.220462</f>
        <v>667.04839622888198</v>
      </c>
      <c r="J67">
        <f t="shared" si="69"/>
        <v>0.24705496156625259</v>
      </c>
      <c r="K67">
        <v>610</v>
      </c>
      <c r="L67">
        <f t="shared" ref="L67" si="84">I67*K67</f>
        <v>406899.52169961802</v>
      </c>
      <c r="M67">
        <f t="shared" si="66"/>
        <v>150.70352655541407</v>
      </c>
      <c r="N67">
        <f t="shared" ref="N67" si="85">K67</f>
        <v>610</v>
      </c>
      <c r="O67">
        <f t="shared" ref="O67" si="86">N67/M67</f>
        <v>4.0476823199999998</v>
      </c>
      <c r="W67" s="6" t="str">
        <f t="shared" ca="1" si="7"/>
        <v>no</v>
      </c>
      <c r="X67" s="6" t="str">
        <f t="shared" ca="1" si="8"/>
        <v>N/A</v>
      </c>
      <c r="Y67" s="6">
        <f t="shared" ca="1" si="9"/>
        <v>13.9</v>
      </c>
      <c r="Z67" s="11">
        <v>62</v>
      </c>
      <c r="AA67" s="6">
        <v>89.509523505424099</v>
      </c>
      <c r="AB67" s="6">
        <v>0</v>
      </c>
      <c r="AC67" s="6"/>
      <c r="AD67" s="6">
        <f t="shared" ca="1" si="10"/>
        <v>0.42117117117117109</v>
      </c>
      <c r="AE67" s="6"/>
      <c r="AF67" s="6">
        <f t="shared" ca="1" si="11"/>
        <v>0</v>
      </c>
      <c r="AG67" s="6">
        <f t="shared" ca="1" si="12"/>
        <v>0</v>
      </c>
      <c r="AH67" s="6">
        <f t="shared" ca="1" si="20"/>
        <v>0</v>
      </c>
      <c r="AI67" s="6">
        <f t="shared" si="19"/>
        <v>154.77714358698216</v>
      </c>
      <c r="AJ67">
        <f t="shared" si="13"/>
        <v>1160</v>
      </c>
      <c r="AK67">
        <f t="shared" si="14"/>
        <v>0</v>
      </c>
      <c r="AL67">
        <f t="shared" si="15"/>
        <v>0</v>
      </c>
      <c r="AM67">
        <f t="shared" si="16"/>
        <v>10.418297942601082</v>
      </c>
      <c r="AN67">
        <f t="shared" si="17"/>
        <v>7.6284717276447616</v>
      </c>
      <c r="AO67" s="16">
        <f t="shared" si="18"/>
        <v>2.7821140587930331</v>
      </c>
    </row>
    <row r="68" spans="1:41" x14ac:dyDescent="0.25">
      <c r="A68" s="3" t="s">
        <v>161</v>
      </c>
      <c r="B68" t="s">
        <v>117</v>
      </c>
      <c r="C68" t="s">
        <v>119</v>
      </c>
      <c r="D68" t="s">
        <v>172</v>
      </c>
      <c r="F68" t="s">
        <v>164</v>
      </c>
      <c r="G68">
        <f t="shared" ref="G68:G69" si="87">(24.7*K68*0.45*1.5)/$S$3</f>
        <v>4.6312499999999996</v>
      </c>
      <c r="H68" s="4">
        <v>0.25</v>
      </c>
      <c r="I68">
        <f>(259)/0.220462</f>
        <v>1174.8056354383068</v>
      </c>
      <c r="J68">
        <f t="shared" si="69"/>
        <v>0.43511319831048401</v>
      </c>
      <c r="K68">
        <v>750</v>
      </c>
      <c r="L68">
        <f t="shared" ref="L68:L69" si="88">I68*K68</f>
        <v>881104.22657873016</v>
      </c>
      <c r="M68">
        <f t="shared" si="66"/>
        <v>326.334898732863</v>
      </c>
      <c r="N68">
        <f t="shared" ref="N68:N69" si="89">K68</f>
        <v>750</v>
      </c>
      <c r="O68">
        <f t="shared" ref="O68:O69" si="90">N68/M68</f>
        <v>2.2982525096525097</v>
      </c>
      <c r="W68" s="6" t="str">
        <f t="shared" ca="1" si="7"/>
        <v>no</v>
      </c>
      <c r="X68" s="6" t="str">
        <f t="shared" ca="1" si="8"/>
        <v>N/A</v>
      </c>
      <c r="Y68" s="6">
        <f t="shared" ca="1" si="9"/>
        <v>13.9</v>
      </c>
      <c r="Z68" s="11">
        <v>63</v>
      </c>
      <c r="AA68" s="6">
        <v>89.268771036465651</v>
      </c>
      <c r="AB68" s="6">
        <v>0</v>
      </c>
      <c r="AC68" s="6"/>
      <c r="AD68" s="6">
        <f t="shared" ca="1" si="10"/>
        <v>0.42117117117117109</v>
      </c>
      <c r="AE68" s="6"/>
      <c r="AF68" s="6">
        <f t="shared" ca="1" si="11"/>
        <v>0</v>
      </c>
      <c r="AG68" s="6">
        <f t="shared" ca="1" si="12"/>
        <v>0</v>
      </c>
      <c r="AH68" s="6">
        <f t="shared" ca="1" si="20"/>
        <v>0</v>
      </c>
      <c r="AI68" s="6">
        <f t="shared" si="19"/>
        <v>155.35494951248245</v>
      </c>
      <c r="AJ68">
        <f t="shared" si="13"/>
        <v>1160</v>
      </c>
      <c r="AK68">
        <f t="shared" si="14"/>
        <v>0</v>
      </c>
      <c r="AL68">
        <f t="shared" si="15"/>
        <v>0</v>
      </c>
      <c r="AM68">
        <f t="shared" si="16"/>
        <v>10.45719098678935</v>
      </c>
      <c r="AN68">
        <f t="shared" si="17"/>
        <v>7.6304773000443173</v>
      </c>
      <c r="AO68" s="16">
        <f t="shared" si="18"/>
        <v>2.7821140587930331</v>
      </c>
    </row>
    <row r="69" spans="1:41" x14ac:dyDescent="0.25">
      <c r="A69" s="3" t="s">
        <v>162</v>
      </c>
      <c r="B69" t="s">
        <v>163</v>
      </c>
      <c r="C69" t="s">
        <v>106</v>
      </c>
      <c r="D69" t="s">
        <v>156</v>
      </c>
      <c r="F69" t="s">
        <v>164</v>
      </c>
      <c r="G69">
        <f t="shared" si="87"/>
        <v>2.7787500000000001</v>
      </c>
      <c r="H69" s="4">
        <v>0.25</v>
      </c>
      <c r="I69">
        <f>(250/1.7)/0.220462</f>
        <v>667.04839622888198</v>
      </c>
      <c r="J69">
        <f t="shared" si="69"/>
        <v>0.24705496156625259</v>
      </c>
      <c r="K69">
        <v>450</v>
      </c>
      <c r="L69">
        <f t="shared" si="88"/>
        <v>300171.77830299689</v>
      </c>
      <c r="M69">
        <f t="shared" si="66"/>
        <v>111.17473270481366</v>
      </c>
      <c r="N69">
        <f t="shared" si="89"/>
        <v>450</v>
      </c>
      <c r="O69">
        <f t="shared" si="90"/>
        <v>4.0476823199999998</v>
      </c>
      <c r="W69" s="6" t="str">
        <f t="shared" ca="1" si="7"/>
        <v>no</v>
      </c>
      <c r="X69" s="6" t="str">
        <f t="shared" ca="1" si="8"/>
        <v>N/A</v>
      </c>
      <c r="Y69" s="6">
        <f t="shared" ca="1" si="9"/>
        <v>13.9</v>
      </c>
      <c r="Z69" s="11">
        <v>64</v>
      </c>
      <c r="AA69" s="6">
        <v>83.329045384664198</v>
      </c>
      <c r="AB69" s="6">
        <v>0</v>
      </c>
      <c r="AC69" s="6"/>
      <c r="AD69" s="6">
        <f t="shared" ca="1" si="10"/>
        <v>0.42117117117117109</v>
      </c>
      <c r="AE69" s="6"/>
      <c r="AF69" s="6">
        <f t="shared" ca="1" si="11"/>
        <v>0</v>
      </c>
      <c r="AG69" s="6">
        <f t="shared" ca="1" si="12"/>
        <v>0</v>
      </c>
      <c r="AH69" s="6">
        <f t="shared" ca="1" si="20"/>
        <v>0</v>
      </c>
      <c r="AI69" s="6">
        <f t="shared" si="19"/>
        <v>169.61029107680591</v>
      </c>
      <c r="AJ69">
        <f t="shared" si="13"/>
        <v>1160</v>
      </c>
      <c r="AK69">
        <f t="shared" si="14"/>
        <v>0</v>
      </c>
      <c r="AL69">
        <f t="shared" si="15"/>
        <v>0</v>
      </c>
      <c r="AM69">
        <f t="shared" si="16"/>
        <v>11.416740906427213</v>
      </c>
      <c r="AN69">
        <f t="shared" si="17"/>
        <v>7.6799577887791655</v>
      </c>
      <c r="AO69" s="16">
        <f t="shared" si="18"/>
        <v>2.7821140587930331</v>
      </c>
    </row>
    <row r="70" spans="1:41" x14ac:dyDescent="0.25">
      <c r="W70" s="6" t="str">
        <f t="shared" ca="1" si="7"/>
        <v>no</v>
      </c>
      <c r="X70" s="6" t="str">
        <f t="shared" ca="1" si="8"/>
        <v>N/A</v>
      </c>
      <c r="Y70" s="6">
        <f t="shared" ca="1" si="9"/>
        <v>13.9</v>
      </c>
      <c r="Z70" s="11">
        <v>65</v>
      </c>
      <c r="AA70" s="6">
        <v>86.689298389303445</v>
      </c>
      <c r="AB70" s="6">
        <v>0</v>
      </c>
      <c r="AC70" s="6"/>
      <c r="AD70" s="6">
        <f t="shared" ca="1" si="10"/>
        <v>0.42117117117117109</v>
      </c>
      <c r="AE70" s="6"/>
      <c r="AF70" s="6">
        <f t="shared" ca="1" si="11"/>
        <v>0</v>
      </c>
      <c r="AG70" s="6">
        <f t="shared" ca="1" si="12"/>
        <v>0</v>
      </c>
      <c r="AH70" s="6">
        <f t="shared" ca="1" si="20"/>
        <v>0</v>
      </c>
      <c r="AI70" s="6">
        <f t="shared" si="19"/>
        <v>161.54568386567172</v>
      </c>
      <c r="AJ70">
        <f t="shared" si="13"/>
        <v>1160</v>
      </c>
      <c r="AK70">
        <f t="shared" si="14"/>
        <v>0</v>
      </c>
      <c r="AL70">
        <f t="shared" si="15"/>
        <v>0</v>
      </c>
      <c r="AM70">
        <f t="shared" si="16"/>
        <v>10.873899251849013</v>
      </c>
      <c r="AN70">
        <f t="shared" si="17"/>
        <v>7.651965425042321</v>
      </c>
      <c r="AO70" s="16">
        <f t="shared" si="18"/>
        <v>2.7821140587930331</v>
      </c>
    </row>
    <row r="71" spans="1:41" x14ac:dyDescent="0.25">
      <c r="W71" s="6" t="str">
        <f t="shared" ref="W71:W125" ca="1" si="91">IF(AND(COUNTIFS(INDIRECT(CONCATENATE(ADDRESS(ROW(AA71), 27), ":", ADDRESS(ROW(AA70)+VLOOKUP($Y$4, $A$5:$B$21, 2, FALSE), 27))), "&gt;" &amp; $Z$4-10, INDIRECT(CONCATENATE(ADDRESS(ROW(AA71), 27), ":", ADDRESS(ROW(AA70)+VLOOKUP($Y$4, $A$5:$B$21, 2, FALSE), 27))), "&lt;" &amp; $AA$4+10) = VLOOKUP($Y$4, $A$5:$B$21, 2, FALSE), Y71&gt;$AB$4, Y71&lt;$AC$4), "yes", "no")</f>
        <v>no</v>
      </c>
      <c r="X71" s="6" t="str">
        <f t="shared" ref="X71:X125" ca="1" si="92">IF(W71= "yes", (COUNTIFS(INDIRECT(CONCATENATE(ADDRESS(ROW(AA71), 27), ":", ADDRESS(ROW(AA70)+VLOOKUP($Y$4, $A$5:$B$21, 2, FALSE), 27))), "&gt;68", INDIRECT(CONCATENATE(ADDRESS(ROW(AA71), 27), ":", ADDRESS(ROW(AA70)+VLOOKUP($Y$4, $A$5:$B$21, 2, FALSE), 27))), "&lt;88")/VLOOKUP($Y$4, $A$5:$B$21, 2, FALSE)*AD71)*100, "N/A")</f>
        <v>N/A</v>
      </c>
      <c r="Y71" s="6">
        <f t="shared" ref="Y71:Y125" ca="1" si="93">SUM(INDIRECT(CONCATENATE(ADDRESS(ROW(AA71), 28), ":", ADDRESS(ROW(AA70)+VLOOKUP($Y$4, $A$5:$B$21, 2, FALSE), 28))))</f>
        <v>13.9</v>
      </c>
      <c r="Z71" s="11">
        <v>66</v>
      </c>
      <c r="AA71" s="6">
        <v>81.248869430754283</v>
      </c>
      <c r="AB71" s="6">
        <v>0</v>
      </c>
      <c r="AC71" s="6"/>
      <c r="AD71" s="6">
        <f t="shared" ref="AD71:AD125" ca="1" si="94">1.25-ABS(((VLOOKUP($Y$4, $A$5:$G$21, 5, FALSE)+VLOOKUP($Y$4, $A$5:$G$21, 6, FALSE))/2)-Y71)/(ABS(VLOOKUP($Y$4, $A$5:$G$21, 5, FALSE)-VLOOKUP($Y$4, $A$5:$G$21, 6, FALSE))*0.75)</f>
        <v>0.42117117117117109</v>
      </c>
      <c r="AE71" s="6"/>
      <c r="AF71" s="6">
        <f t="shared" ref="AF71:AF125" ca="1" si="95">IF(W71="yes", X71*(1/((80-VLOOKUP($Y$4, $A$5:$H$21, 2, FALSE))*100))*400, 0)</f>
        <v>0</v>
      </c>
      <c r="AG71" s="6">
        <f t="shared" ref="AG71:AG125" ca="1" si="96">AF71*VLOOKUP($Y$4, $A$5:$M$21, 13, FALSE)</f>
        <v>0</v>
      </c>
      <c r="AH71" s="6">
        <f t="shared" ca="1" si="20"/>
        <v>0</v>
      </c>
      <c r="AI71" s="6">
        <f t="shared" ref="AI71:AI125" si="97">(1.2-ABS(70-AA71)/70)*400*SUM($AF$1:$AF$3)*(($AJ$4-50)/200+1)+(1.2-ABS(70-AA71)/70)*400*(($AJ$4-50)/200+1)*SUM($AD$1:$AD$3)*0.3*(0.5+SUM(AB71:AB75)/10)</f>
        <v>174.60271336618973</v>
      </c>
      <c r="AJ71">
        <f t="shared" ref="AJ71:AJ125" si="98">SUM($AH$2, $AJ$2*0.8)*((($AJ$4/100))*3000+500)</f>
        <v>1160</v>
      </c>
      <c r="AK71">
        <f t="shared" ref="AK71:AK125" si="99">SUM($AJ$1*0.8,$AH$1)*((($AJ$4/100))*3000+500)</f>
        <v>0</v>
      </c>
      <c r="AL71">
        <f t="shared" ref="AL71:AL125" si="100">SUM($AH$3, $AJ$3*0.8)*((($AJ$4/100))*3000+500)</f>
        <v>0</v>
      </c>
      <c r="AM71">
        <f t="shared" ref="AM71:AM125" si="101">AI71*$M$23</f>
        <v>11.752788863255239</v>
      </c>
      <c r="AN71">
        <f t="shared" ref="AN71:AN125" si="102">($K$18*(AK71+AI71))*$M$18+AJ71*$K$20*$M$20+AL71*$K$19*$M$19</f>
        <v>7.6972865559458317</v>
      </c>
      <c r="AO71" s="16">
        <f t="shared" ref="AO71:AO125" si="103">(SUM(($AF$1+$AH$1+$AJ$1)*1.2, ($AF$2+$AH$2+$AJ$2),($AF$3+$AH$3+$AJ$3)*0.8)*$K$25*$M$25+SUM(($AD$1+$AF$1+$AH$1)*1.2, ($AD$2+$AF$2+$AH$2),($AD$3+$AF$3+$AH$3)*0.8)*$K$26*$M$26+SUM($AD$1:$AD$3)*$K$27*$M$27+SUM($AH$2, $AJ$2*1.25, $AH$1*1.5, $AJ$1*2)*$K$28*$M$28)*IF(AA71&gt;50, 1, IF(AA71&gt;30, 1-((50-AA71)/20), 0))+SUM($AH$3*1.25, $AJ$3)*$K$29*$M$29</f>
        <v>2.7821140587930331</v>
      </c>
    </row>
    <row r="72" spans="1:41" x14ac:dyDescent="0.25">
      <c r="W72" s="6" t="str">
        <f t="shared" ca="1" si="91"/>
        <v>no</v>
      </c>
      <c r="X72" s="6" t="str">
        <f t="shared" ca="1" si="92"/>
        <v>N/A</v>
      </c>
      <c r="Y72" s="6">
        <f t="shared" ca="1" si="93"/>
        <v>14.700000000000001</v>
      </c>
      <c r="Z72" s="11">
        <v>67</v>
      </c>
      <c r="AA72" s="6">
        <v>81.807522798097196</v>
      </c>
      <c r="AB72" s="6">
        <v>0</v>
      </c>
      <c r="AC72" s="6"/>
      <c r="AD72" s="6">
        <f t="shared" ca="1" si="94"/>
        <v>0.56531531531531543</v>
      </c>
      <c r="AE72" s="6"/>
      <c r="AF72" s="6">
        <f t="shared" ca="1" si="95"/>
        <v>0</v>
      </c>
      <c r="AG72" s="6">
        <f t="shared" ca="1" si="96"/>
        <v>0</v>
      </c>
      <c r="AH72" s="6">
        <f t="shared" ca="1" si="20"/>
        <v>0</v>
      </c>
      <c r="AI72" s="6">
        <f t="shared" si="97"/>
        <v>173.26194528456671</v>
      </c>
      <c r="AJ72">
        <f t="shared" si="98"/>
        <v>1160</v>
      </c>
      <c r="AK72">
        <f t="shared" si="99"/>
        <v>0</v>
      </c>
      <c r="AL72">
        <f t="shared" si="100"/>
        <v>0</v>
      </c>
      <c r="AM72">
        <f t="shared" si="101"/>
        <v>11.662539611831185</v>
      </c>
      <c r="AN72">
        <f t="shared" si="102"/>
        <v>7.6926327312963529</v>
      </c>
      <c r="AO72" s="16">
        <f t="shared" si="103"/>
        <v>2.7821140587930331</v>
      </c>
    </row>
    <row r="73" spans="1:41" x14ac:dyDescent="0.25">
      <c r="W73" s="6" t="str">
        <f t="shared" ca="1" si="91"/>
        <v>no</v>
      </c>
      <c r="X73" s="6" t="str">
        <f t="shared" ca="1" si="92"/>
        <v>N/A</v>
      </c>
      <c r="Y73" s="6">
        <f t="shared" ca="1" si="93"/>
        <v>14.8</v>
      </c>
      <c r="Z73" s="11">
        <v>68</v>
      </c>
      <c r="AA73" s="6">
        <v>83.76548199199712</v>
      </c>
      <c r="AB73" s="6">
        <v>0</v>
      </c>
      <c r="AC73" s="6"/>
      <c r="AD73" s="6">
        <f t="shared" ca="1" si="94"/>
        <v>0.58333333333333337</v>
      </c>
      <c r="AE73" s="6"/>
      <c r="AF73" s="6">
        <f t="shared" ca="1" si="95"/>
        <v>0</v>
      </c>
      <c r="AG73" s="6">
        <f t="shared" ca="1" si="96"/>
        <v>0</v>
      </c>
      <c r="AH73" s="6">
        <f t="shared" ca="1" si="20"/>
        <v>0</v>
      </c>
      <c r="AI73" s="6">
        <f t="shared" si="97"/>
        <v>168.56284321920691</v>
      </c>
      <c r="AJ73">
        <f t="shared" si="98"/>
        <v>1160</v>
      </c>
      <c r="AK73">
        <f t="shared" si="99"/>
        <v>0</v>
      </c>
      <c r="AL73">
        <f t="shared" si="100"/>
        <v>0</v>
      </c>
      <c r="AM73">
        <f t="shared" si="101"/>
        <v>11.346235510043071</v>
      </c>
      <c r="AN73">
        <f t="shared" si="102"/>
        <v>7.6763220827047505</v>
      </c>
      <c r="AO73" s="16">
        <f t="shared" si="103"/>
        <v>2.7821140587930331</v>
      </c>
    </row>
    <row r="74" spans="1:41" x14ac:dyDescent="0.25">
      <c r="W74" s="6" t="str">
        <f t="shared" ca="1" si="91"/>
        <v>no</v>
      </c>
      <c r="X74" s="6" t="str">
        <f t="shared" ca="1" si="92"/>
        <v>N/A</v>
      </c>
      <c r="Y74" s="6">
        <f t="shared" ca="1" si="93"/>
        <v>15.4</v>
      </c>
      <c r="Z74" s="11">
        <v>69</v>
      </c>
      <c r="AA74" s="6">
        <v>84.023460162859081</v>
      </c>
      <c r="AB74" s="6">
        <v>0</v>
      </c>
      <c r="AC74" s="6"/>
      <c r="AD74" s="6">
        <f t="shared" ca="1" si="94"/>
        <v>0.69144144144144137</v>
      </c>
      <c r="AE74" s="6"/>
      <c r="AF74" s="6">
        <f t="shared" ca="1" si="95"/>
        <v>0</v>
      </c>
      <c r="AG74" s="6">
        <f t="shared" ca="1" si="96"/>
        <v>0</v>
      </c>
      <c r="AH74" s="6">
        <f t="shared" ca="1" si="20"/>
        <v>0</v>
      </c>
      <c r="AI74" s="6">
        <f t="shared" si="97"/>
        <v>167.94369560913819</v>
      </c>
      <c r="AJ74">
        <f t="shared" si="98"/>
        <v>1160</v>
      </c>
      <c r="AK74">
        <f t="shared" si="99"/>
        <v>0</v>
      </c>
      <c r="AL74">
        <f t="shared" si="100"/>
        <v>0</v>
      </c>
      <c r="AM74">
        <f t="shared" si="101"/>
        <v>11.304559690715651</v>
      </c>
      <c r="AN74">
        <f t="shared" si="102"/>
        <v>7.6741730127433625</v>
      </c>
      <c r="AO74" s="16">
        <f t="shared" si="103"/>
        <v>2.7821140587930331</v>
      </c>
    </row>
    <row r="75" spans="1:41" x14ac:dyDescent="0.25">
      <c r="B75" t="s">
        <v>60</v>
      </c>
      <c r="W75" s="6" t="str">
        <f t="shared" ca="1" si="91"/>
        <v>no</v>
      </c>
      <c r="X75" s="6" t="str">
        <f t="shared" ca="1" si="92"/>
        <v>N/A</v>
      </c>
      <c r="Y75" s="6">
        <f t="shared" ca="1" si="93"/>
        <v>15.5</v>
      </c>
      <c r="Z75" s="11">
        <v>70</v>
      </c>
      <c r="AA75" s="6">
        <v>83.082685906516772</v>
      </c>
      <c r="AB75" s="6">
        <v>0</v>
      </c>
      <c r="AC75" s="6"/>
      <c r="AD75" s="6">
        <f t="shared" ca="1" si="94"/>
        <v>0.70945945945945932</v>
      </c>
      <c r="AE75" s="6"/>
      <c r="AF75" s="6">
        <f t="shared" ca="1" si="95"/>
        <v>0</v>
      </c>
      <c r="AG75" s="6">
        <f t="shared" ca="1" si="96"/>
        <v>0</v>
      </c>
      <c r="AH75" s="6">
        <f t="shared" ref="AH75:AH125" ca="1" si="104">IF(VLOOKUP($Y$4, $A$5:$G$21,7, FALSE) = "Yes", IF(AA75&gt;32, SUM(AG71:AG75), 0), SUM(AG71:AG75))</f>
        <v>0</v>
      </c>
      <c r="AI75" s="6">
        <f t="shared" si="97"/>
        <v>170.20155382435971</v>
      </c>
      <c r="AJ75">
        <f t="shared" si="98"/>
        <v>1160</v>
      </c>
      <c r="AK75">
        <f t="shared" si="99"/>
        <v>0</v>
      </c>
      <c r="AL75">
        <f t="shared" si="100"/>
        <v>0</v>
      </c>
      <c r="AM75">
        <f t="shared" si="101"/>
        <v>11.456539750905272</v>
      </c>
      <c r="AN75">
        <f t="shared" si="102"/>
        <v>7.6820100699951333</v>
      </c>
      <c r="AO75" s="16">
        <f t="shared" si="103"/>
        <v>2.7821140587930331</v>
      </c>
    </row>
    <row r="76" spans="1:41" x14ac:dyDescent="0.25">
      <c r="B76" t="s">
        <v>61</v>
      </c>
      <c r="W76" s="6" t="str">
        <f t="shared" ca="1" si="91"/>
        <v>no</v>
      </c>
      <c r="X76" s="6" t="str">
        <f t="shared" ca="1" si="92"/>
        <v>N/A</v>
      </c>
      <c r="Y76" s="6">
        <f t="shared" ca="1" si="93"/>
        <v>15.8</v>
      </c>
      <c r="Z76" s="11">
        <v>71</v>
      </c>
      <c r="AA76" s="6">
        <v>78.64492368174254</v>
      </c>
      <c r="AB76" s="6">
        <v>9.8000000000000007</v>
      </c>
      <c r="AC76" s="6"/>
      <c r="AD76" s="6">
        <f t="shared" ca="1" si="94"/>
        <v>0.7635135135135136</v>
      </c>
      <c r="AE76" s="6"/>
      <c r="AF76" s="6">
        <f t="shared" ca="1" si="95"/>
        <v>0</v>
      </c>
      <c r="AG76" s="6">
        <f t="shared" ca="1" si="96"/>
        <v>0</v>
      </c>
      <c r="AH76" s="6">
        <f t="shared" ca="1" si="104"/>
        <v>0</v>
      </c>
      <c r="AI76" s="6">
        <f t="shared" si="97"/>
        <v>180.85218316381787</v>
      </c>
      <c r="AJ76">
        <f t="shared" si="98"/>
        <v>1160</v>
      </c>
      <c r="AK76">
        <f t="shared" si="99"/>
        <v>0</v>
      </c>
      <c r="AL76">
        <f t="shared" si="100"/>
        <v>0</v>
      </c>
      <c r="AM76">
        <f t="shared" si="101"/>
        <v>12.173450705346845</v>
      </c>
      <c r="AN76">
        <f t="shared" si="102"/>
        <v>7.7189785524879699</v>
      </c>
      <c r="AO76" s="16">
        <f t="shared" si="103"/>
        <v>2.7821140587930331</v>
      </c>
    </row>
    <row r="77" spans="1:41" x14ac:dyDescent="0.25">
      <c r="B77" t="s">
        <v>62</v>
      </c>
      <c r="W77" s="6" t="str">
        <f t="shared" ca="1" si="91"/>
        <v>no</v>
      </c>
      <c r="X77" s="6" t="str">
        <f t="shared" ca="1" si="92"/>
        <v>N/A</v>
      </c>
      <c r="Y77" s="6">
        <f t="shared" ca="1" si="93"/>
        <v>7.1999999999999984</v>
      </c>
      <c r="Z77" s="11">
        <v>72</v>
      </c>
      <c r="AA77" s="6">
        <v>82.012488176416113</v>
      </c>
      <c r="AB77" s="6">
        <v>0</v>
      </c>
      <c r="AC77" s="6"/>
      <c r="AD77" s="6">
        <f t="shared" ca="1" si="94"/>
        <v>-0.78603603603603656</v>
      </c>
      <c r="AE77" s="6"/>
      <c r="AF77" s="6">
        <f t="shared" ca="1" si="95"/>
        <v>0</v>
      </c>
      <c r="AG77" s="6">
        <f t="shared" ca="1" si="96"/>
        <v>0</v>
      </c>
      <c r="AH77" s="6">
        <f t="shared" ca="1" si="104"/>
        <v>0</v>
      </c>
      <c r="AI77" s="6">
        <f t="shared" si="97"/>
        <v>172.77002837660132</v>
      </c>
      <c r="AJ77">
        <f t="shared" si="98"/>
        <v>1160</v>
      </c>
      <c r="AK77">
        <f t="shared" si="99"/>
        <v>0</v>
      </c>
      <c r="AL77">
        <f t="shared" si="100"/>
        <v>0</v>
      </c>
      <c r="AM77">
        <f t="shared" si="101"/>
        <v>11.629427895259763</v>
      </c>
      <c r="AN77">
        <f t="shared" si="102"/>
        <v>7.690925280870613</v>
      </c>
      <c r="AO77" s="16">
        <f t="shared" si="103"/>
        <v>2.7821140587930331</v>
      </c>
    </row>
    <row r="78" spans="1:41" x14ac:dyDescent="0.25">
      <c r="B78" t="s">
        <v>63</v>
      </c>
      <c r="W78" s="6" t="str">
        <f t="shared" ca="1" si="91"/>
        <v>no</v>
      </c>
      <c r="X78" s="6" t="str">
        <f t="shared" ca="1" si="92"/>
        <v>N/A</v>
      </c>
      <c r="Y78" s="6">
        <f t="shared" ca="1" si="93"/>
        <v>7.1999999999999984</v>
      </c>
      <c r="Z78" s="11">
        <v>73</v>
      </c>
      <c r="AA78" s="6">
        <v>74.588252032305817</v>
      </c>
      <c r="AB78" s="6">
        <v>1.7</v>
      </c>
      <c r="AC78" s="6"/>
      <c r="AD78" s="6">
        <f t="shared" ca="1" si="94"/>
        <v>-0.78603603603603656</v>
      </c>
      <c r="AE78" s="6"/>
      <c r="AF78" s="6">
        <f t="shared" ca="1" si="95"/>
        <v>0</v>
      </c>
      <c r="AG78" s="6">
        <f t="shared" ca="1" si="96"/>
        <v>0</v>
      </c>
      <c r="AH78" s="6">
        <f t="shared" ca="1" si="104"/>
        <v>0</v>
      </c>
      <c r="AI78" s="6">
        <f t="shared" si="97"/>
        <v>190.58819512246606</v>
      </c>
      <c r="AJ78">
        <f t="shared" si="98"/>
        <v>1160</v>
      </c>
      <c r="AK78">
        <f t="shared" si="99"/>
        <v>0</v>
      </c>
      <c r="AL78">
        <f t="shared" si="100"/>
        <v>0</v>
      </c>
      <c r="AM78">
        <f t="shared" si="101"/>
        <v>12.82879729598166</v>
      </c>
      <c r="AN78">
        <f t="shared" si="102"/>
        <v>7.7527723853378179</v>
      </c>
      <c r="AO78" s="16">
        <f t="shared" si="103"/>
        <v>2.7821140587930331</v>
      </c>
    </row>
    <row r="79" spans="1:41" x14ac:dyDescent="0.25">
      <c r="B79" t="s">
        <v>64</v>
      </c>
      <c r="W79" s="6" t="str">
        <f t="shared" ca="1" si="91"/>
        <v>no</v>
      </c>
      <c r="X79" s="6" t="str">
        <f t="shared" ca="1" si="92"/>
        <v>N/A</v>
      </c>
      <c r="Y79" s="6">
        <f t="shared" ca="1" si="93"/>
        <v>10.6</v>
      </c>
      <c r="Z79" s="11">
        <v>74</v>
      </c>
      <c r="AA79" s="6">
        <v>75.675646441444783</v>
      </c>
      <c r="AB79" s="6">
        <v>0.4</v>
      </c>
      <c r="AC79" s="6"/>
      <c r="AD79" s="6">
        <f t="shared" ca="1" si="94"/>
        <v>-0.17342342342342376</v>
      </c>
      <c r="AE79" s="6"/>
      <c r="AF79" s="6">
        <f t="shared" ca="1" si="95"/>
        <v>0</v>
      </c>
      <c r="AG79" s="6">
        <f t="shared" ca="1" si="96"/>
        <v>0</v>
      </c>
      <c r="AH79" s="6">
        <f t="shared" ca="1" si="104"/>
        <v>0</v>
      </c>
      <c r="AI79" s="6">
        <f t="shared" si="97"/>
        <v>187.9784485405325</v>
      </c>
      <c r="AJ79">
        <f t="shared" si="98"/>
        <v>1160</v>
      </c>
      <c r="AK79">
        <f t="shared" si="99"/>
        <v>0</v>
      </c>
      <c r="AL79">
        <f t="shared" si="100"/>
        <v>0</v>
      </c>
      <c r="AM79">
        <f t="shared" si="101"/>
        <v>12.653131065069543</v>
      </c>
      <c r="AN79">
        <f t="shared" si="102"/>
        <v>7.7437139186735511</v>
      </c>
      <c r="AO79" s="16">
        <f t="shared" si="103"/>
        <v>2.7821140587930331</v>
      </c>
    </row>
    <row r="80" spans="1:41" x14ac:dyDescent="0.25">
      <c r="W80" s="6" t="str">
        <f t="shared" ca="1" si="91"/>
        <v>no</v>
      </c>
      <c r="X80" s="6" t="str">
        <f t="shared" ca="1" si="92"/>
        <v>N/A</v>
      </c>
      <c r="Y80" s="6">
        <f t="shared" ca="1" si="93"/>
        <v>10.299999999999999</v>
      </c>
      <c r="Z80" s="11">
        <v>75</v>
      </c>
      <c r="AA80" s="6">
        <v>71.078654248645194</v>
      </c>
      <c r="AB80" s="6">
        <v>0</v>
      </c>
      <c r="AC80" s="6"/>
      <c r="AD80" s="6">
        <f t="shared" ca="1" si="94"/>
        <v>-0.22747747747747793</v>
      </c>
      <c r="AE80" s="6"/>
      <c r="AF80" s="6">
        <f t="shared" ca="1" si="95"/>
        <v>0</v>
      </c>
      <c r="AG80" s="6">
        <f t="shared" ca="1" si="96"/>
        <v>0</v>
      </c>
      <c r="AH80" s="6">
        <f t="shared" ca="1" si="104"/>
        <v>0</v>
      </c>
      <c r="AI80" s="6">
        <f t="shared" si="97"/>
        <v>199.0112298032515</v>
      </c>
      <c r="AJ80">
        <f t="shared" si="98"/>
        <v>1160</v>
      </c>
      <c r="AK80">
        <f t="shared" si="99"/>
        <v>0</v>
      </c>
      <c r="AL80">
        <f t="shared" si="100"/>
        <v>0</v>
      </c>
      <c r="AM80">
        <f t="shared" si="101"/>
        <v>13.39576527879605</v>
      </c>
      <c r="AN80">
        <f t="shared" si="102"/>
        <v>7.7820088558043619</v>
      </c>
      <c r="AO80" s="16">
        <f t="shared" si="103"/>
        <v>2.7821140587930331</v>
      </c>
    </row>
    <row r="81" spans="23:41" x14ac:dyDescent="0.25">
      <c r="W81" s="6" t="str">
        <f t="shared" ca="1" si="91"/>
        <v>no</v>
      </c>
      <c r="X81" s="6" t="str">
        <f t="shared" ca="1" si="92"/>
        <v>N/A</v>
      </c>
      <c r="Y81" s="6">
        <f t="shared" ca="1" si="93"/>
        <v>10.299999999999999</v>
      </c>
      <c r="Z81" s="11">
        <v>76</v>
      </c>
      <c r="AA81" s="6">
        <v>70.801795332620173</v>
      </c>
      <c r="AB81" s="6">
        <v>1.2</v>
      </c>
      <c r="AC81" s="6"/>
      <c r="AD81" s="6">
        <f t="shared" ca="1" si="94"/>
        <v>-0.22747747747747793</v>
      </c>
      <c r="AE81" s="6"/>
      <c r="AF81" s="6">
        <f t="shared" ca="1" si="95"/>
        <v>0</v>
      </c>
      <c r="AG81" s="6">
        <f t="shared" ca="1" si="96"/>
        <v>0</v>
      </c>
      <c r="AH81" s="6">
        <f t="shared" ca="1" si="104"/>
        <v>0</v>
      </c>
      <c r="AI81" s="6">
        <f t="shared" si="97"/>
        <v>199.67569120171157</v>
      </c>
      <c r="AJ81">
        <f t="shared" si="98"/>
        <v>1160</v>
      </c>
      <c r="AK81">
        <f t="shared" si="99"/>
        <v>0</v>
      </c>
      <c r="AL81">
        <f t="shared" si="100"/>
        <v>0</v>
      </c>
      <c r="AM81">
        <f t="shared" si="101"/>
        <v>13.440491241945926</v>
      </c>
      <c r="AN81">
        <f t="shared" si="102"/>
        <v>7.7843152105551683</v>
      </c>
      <c r="AO81" s="16">
        <f t="shared" si="103"/>
        <v>2.7821140587930331</v>
      </c>
    </row>
    <row r="82" spans="23:41" x14ac:dyDescent="0.25">
      <c r="W82" s="6" t="str">
        <f t="shared" ca="1" si="91"/>
        <v>no</v>
      </c>
      <c r="X82" s="6" t="str">
        <f t="shared" ca="1" si="92"/>
        <v>N/A</v>
      </c>
      <c r="Y82" s="6">
        <f t="shared" ca="1" si="93"/>
        <v>9.1</v>
      </c>
      <c r="Z82" s="11">
        <v>77</v>
      </c>
      <c r="AA82" s="6">
        <v>68.450104189602044</v>
      </c>
      <c r="AB82" s="6">
        <v>0.3</v>
      </c>
      <c r="AC82" s="6"/>
      <c r="AD82" s="6">
        <f t="shared" ca="1" si="94"/>
        <v>-0.44369369369369416</v>
      </c>
      <c r="AE82" s="6"/>
      <c r="AF82" s="6">
        <f t="shared" ca="1" si="95"/>
        <v>0</v>
      </c>
      <c r="AG82" s="6">
        <f t="shared" ca="1" si="96"/>
        <v>0</v>
      </c>
      <c r="AH82" s="6">
        <f t="shared" ca="1" si="104"/>
        <v>0</v>
      </c>
      <c r="AI82" s="6">
        <f t="shared" si="97"/>
        <v>197.88025005504488</v>
      </c>
      <c r="AJ82">
        <f t="shared" si="98"/>
        <v>1160</v>
      </c>
      <c r="AK82">
        <f t="shared" si="99"/>
        <v>0</v>
      </c>
      <c r="AL82">
        <f t="shared" si="100"/>
        <v>0</v>
      </c>
      <c r="AM82">
        <f t="shared" si="101"/>
        <v>13.31963721679158</v>
      </c>
      <c r="AN82">
        <f t="shared" si="102"/>
        <v>7.7780832093764625</v>
      </c>
      <c r="AO82" s="16">
        <f t="shared" si="103"/>
        <v>2.7821140587930331</v>
      </c>
    </row>
    <row r="83" spans="23:41" x14ac:dyDescent="0.25">
      <c r="W83" s="6" t="str">
        <f t="shared" ca="1" si="91"/>
        <v>no</v>
      </c>
      <c r="X83" s="6" t="str">
        <f t="shared" ca="1" si="92"/>
        <v>N/A</v>
      </c>
      <c r="Y83" s="6">
        <f t="shared" ca="1" si="93"/>
        <v>8.9999999999999982</v>
      </c>
      <c r="Z83" s="11">
        <v>78</v>
      </c>
      <c r="AA83" s="6">
        <v>69.429099804704535</v>
      </c>
      <c r="AB83" s="6">
        <v>0.2</v>
      </c>
      <c r="AC83" s="6"/>
      <c r="AD83" s="6">
        <f t="shared" ca="1" si="94"/>
        <v>-0.46171171171171244</v>
      </c>
      <c r="AE83" s="6"/>
      <c r="AF83" s="6">
        <f t="shared" ca="1" si="95"/>
        <v>0</v>
      </c>
      <c r="AG83" s="6">
        <f t="shared" ca="1" si="96"/>
        <v>0</v>
      </c>
      <c r="AH83" s="6">
        <f t="shared" ca="1" si="104"/>
        <v>0</v>
      </c>
      <c r="AI83" s="6">
        <f t="shared" si="97"/>
        <v>200.22983953129088</v>
      </c>
      <c r="AJ83">
        <f t="shared" si="98"/>
        <v>1160</v>
      </c>
      <c r="AK83">
        <f t="shared" si="99"/>
        <v>0</v>
      </c>
      <c r="AL83">
        <f t="shared" si="100"/>
        <v>0</v>
      </c>
      <c r="AM83">
        <f t="shared" si="101"/>
        <v>13.477791855383771</v>
      </c>
      <c r="AN83">
        <f t="shared" si="102"/>
        <v>7.7862386671104158</v>
      </c>
      <c r="AO83" s="16">
        <f t="shared" si="103"/>
        <v>2.7821140587930331</v>
      </c>
    </row>
    <row r="84" spans="23:41" x14ac:dyDescent="0.25">
      <c r="W84" s="6" t="str">
        <f t="shared" ca="1" si="91"/>
        <v>no</v>
      </c>
      <c r="X84" s="6" t="str">
        <f t="shared" ca="1" si="92"/>
        <v>N/A</v>
      </c>
      <c r="Y84" s="6">
        <f t="shared" ca="1" si="93"/>
        <v>10.899999999999999</v>
      </c>
      <c r="Z84" s="11">
        <v>79</v>
      </c>
      <c r="AA84" s="6">
        <v>70.444748063418842</v>
      </c>
      <c r="AB84" s="6">
        <v>0</v>
      </c>
      <c r="AC84" s="6"/>
      <c r="AD84" s="6">
        <f t="shared" ca="1" si="94"/>
        <v>-0.11936936936936982</v>
      </c>
      <c r="AE84" s="6"/>
      <c r="AF84" s="6">
        <f t="shared" ca="1" si="95"/>
        <v>0</v>
      </c>
      <c r="AG84" s="6">
        <f t="shared" ca="1" si="96"/>
        <v>0</v>
      </c>
      <c r="AH84" s="6">
        <f t="shared" ca="1" si="104"/>
        <v>0</v>
      </c>
      <c r="AI84" s="6">
        <f t="shared" si="97"/>
        <v>200.53260464779476</v>
      </c>
      <c r="AJ84">
        <f t="shared" si="98"/>
        <v>1160</v>
      </c>
      <c r="AK84">
        <f t="shared" si="99"/>
        <v>0</v>
      </c>
      <c r="AL84">
        <f t="shared" si="100"/>
        <v>0</v>
      </c>
      <c r="AM84">
        <f t="shared" si="101"/>
        <v>13.498171461294969</v>
      </c>
      <c r="AN84">
        <f t="shared" si="102"/>
        <v>7.7872895690385722</v>
      </c>
      <c r="AO84" s="16">
        <f t="shared" si="103"/>
        <v>2.7821140587930331</v>
      </c>
    </row>
    <row r="85" spans="23:41" x14ac:dyDescent="0.25">
      <c r="W85" s="6" t="str">
        <f t="shared" ca="1" si="91"/>
        <v>no</v>
      </c>
      <c r="X85" s="6" t="str">
        <f t="shared" ca="1" si="92"/>
        <v>N/A</v>
      </c>
      <c r="Y85" s="6">
        <f t="shared" ca="1" si="93"/>
        <v>10.899999999999999</v>
      </c>
      <c r="Z85" s="11">
        <v>80</v>
      </c>
      <c r="AA85" s="6">
        <v>67.503417124005679</v>
      </c>
      <c r="AB85" s="6">
        <v>0.3</v>
      </c>
      <c r="AC85" s="6"/>
      <c r="AD85" s="6">
        <f t="shared" ca="1" si="94"/>
        <v>-0.11936936936936982</v>
      </c>
      <c r="AE85" s="6"/>
      <c r="AF85" s="6">
        <f t="shared" ca="1" si="95"/>
        <v>0</v>
      </c>
      <c r="AG85" s="6">
        <f t="shared" ca="1" si="96"/>
        <v>0</v>
      </c>
      <c r="AH85" s="6">
        <f t="shared" ca="1" si="104"/>
        <v>0</v>
      </c>
      <c r="AI85" s="6">
        <f t="shared" si="97"/>
        <v>195.6082010976136</v>
      </c>
      <c r="AJ85">
        <f t="shared" si="98"/>
        <v>1160</v>
      </c>
      <c r="AK85">
        <f t="shared" si="99"/>
        <v>0</v>
      </c>
      <c r="AL85">
        <f t="shared" si="100"/>
        <v>0</v>
      </c>
      <c r="AM85">
        <f t="shared" si="101"/>
        <v>13.166701954968554</v>
      </c>
      <c r="AN85">
        <f t="shared" si="102"/>
        <v>7.770196895861214</v>
      </c>
      <c r="AO85" s="16">
        <f t="shared" si="103"/>
        <v>2.7821140587930331</v>
      </c>
    </row>
    <row r="86" spans="23:41" x14ac:dyDescent="0.25">
      <c r="W86" s="6" t="str">
        <f t="shared" ca="1" si="91"/>
        <v>no</v>
      </c>
      <c r="X86" s="6" t="str">
        <f t="shared" ca="1" si="92"/>
        <v>N/A</v>
      </c>
      <c r="Y86" s="6">
        <f t="shared" ca="1" si="93"/>
        <v>10.599999999999998</v>
      </c>
      <c r="Z86" s="11">
        <v>81</v>
      </c>
      <c r="AA86" s="6">
        <v>66.211826336221975</v>
      </c>
      <c r="AB86" s="6">
        <v>0</v>
      </c>
      <c r="AC86" s="6"/>
      <c r="AD86" s="6">
        <f t="shared" ca="1" si="94"/>
        <v>-0.17342342342342398</v>
      </c>
      <c r="AE86" s="6"/>
      <c r="AF86" s="6">
        <f t="shared" ca="1" si="95"/>
        <v>0</v>
      </c>
      <c r="AG86" s="6">
        <f t="shared" ca="1" si="96"/>
        <v>0</v>
      </c>
      <c r="AH86" s="6">
        <f t="shared" ca="1" si="104"/>
        <v>0</v>
      </c>
      <c r="AI86" s="6">
        <f t="shared" si="97"/>
        <v>192.50838320693273</v>
      </c>
      <c r="AJ86">
        <f t="shared" si="98"/>
        <v>1160</v>
      </c>
      <c r="AK86">
        <f t="shared" si="99"/>
        <v>0</v>
      </c>
      <c r="AL86">
        <f t="shared" si="100"/>
        <v>0</v>
      </c>
      <c r="AM86">
        <f t="shared" si="101"/>
        <v>12.958048237730457</v>
      </c>
      <c r="AN86">
        <f t="shared" si="102"/>
        <v>7.7594373848717488</v>
      </c>
      <c r="AO86" s="16">
        <f t="shared" si="103"/>
        <v>2.7821140587930331</v>
      </c>
    </row>
    <row r="87" spans="23:41" x14ac:dyDescent="0.25">
      <c r="W87" s="6" t="str">
        <f t="shared" ca="1" si="91"/>
        <v>no</v>
      </c>
      <c r="X87" s="6" t="str">
        <f t="shared" ca="1" si="92"/>
        <v>N/A</v>
      </c>
      <c r="Y87" s="6">
        <f t="shared" ca="1" si="93"/>
        <v>10.599999999999998</v>
      </c>
      <c r="Z87" s="11">
        <v>82</v>
      </c>
      <c r="AA87" s="6">
        <v>60.576989447844561</v>
      </c>
      <c r="AB87" s="6">
        <v>0</v>
      </c>
      <c r="AC87" s="6"/>
      <c r="AD87" s="6">
        <f t="shared" ca="1" si="94"/>
        <v>-0.17342342342342398</v>
      </c>
      <c r="AE87" s="6"/>
      <c r="AF87" s="6">
        <f t="shared" ca="1" si="95"/>
        <v>0</v>
      </c>
      <c r="AG87" s="6">
        <f t="shared" ca="1" si="96"/>
        <v>0</v>
      </c>
      <c r="AH87" s="6">
        <f t="shared" ca="1" si="104"/>
        <v>0</v>
      </c>
      <c r="AI87" s="6">
        <f t="shared" si="97"/>
        <v>178.98477467482695</v>
      </c>
      <c r="AJ87">
        <f t="shared" si="98"/>
        <v>1160</v>
      </c>
      <c r="AK87">
        <f t="shared" si="99"/>
        <v>0</v>
      </c>
      <c r="AL87">
        <f t="shared" si="100"/>
        <v>0</v>
      </c>
      <c r="AM87">
        <f t="shared" si="101"/>
        <v>12.047752442877513</v>
      </c>
      <c r="AN87">
        <f t="shared" si="102"/>
        <v>7.7124967516636307</v>
      </c>
      <c r="AO87" s="16">
        <f t="shared" si="103"/>
        <v>2.7821140587930331</v>
      </c>
    </row>
    <row r="88" spans="23:41" x14ac:dyDescent="0.25">
      <c r="W88" s="6" t="str">
        <f t="shared" ca="1" si="91"/>
        <v>no</v>
      </c>
      <c r="X88" s="6" t="str">
        <f t="shared" ca="1" si="92"/>
        <v>N/A</v>
      </c>
      <c r="Y88" s="6">
        <f t="shared" ca="1" si="93"/>
        <v>10.599999999999998</v>
      </c>
      <c r="Z88" s="11">
        <v>83</v>
      </c>
      <c r="AA88" s="6">
        <v>59.506152982885567</v>
      </c>
      <c r="AB88" s="6">
        <v>0</v>
      </c>
      <c r="AC88" s="6"/>
      <c r="AD88" s="6">
        <f t="shared" ca="1" si="94"/>
        <v>-0.17342342342342398</v>
      </c>
      <c r="AE88" s="6"/>
      <c r="AF88" s="6">
        <f t="shared" ca="1" si="95"/>
        <v>0</v>
      </c>
      <c r="AG88" s="6">
        <f t="shared" ca="1" si="96"/>
        <v>0</v>
      </c>
      <c r="AH88" s="6">
        <f t="shared" ca="1" si="104"/>
        <v>0</v>
      </c>
      <c r="AI88" s="6">
        <f t="shared" si="97"/>
        <v>176.41476715892534</v>
      </c>
      <c r="AJ88">
        <f t="shared" si="98"/>
        <v>1160</v>
      </c>
      <c r="AK88">
        <f t="shared" si="99"/>
        <v>0</v>
      </c>
      <c r="AL88">
        <f t="shared" si="100"/>
        <v>0</v>
      </c>
      <c r="AM88">
        <f t="shared" si="101"/>
        <v>11.874761112278755</v>
      </c>
      <c r="AN88">
        <f t="shared" si="102"/>
        <v>7.7035762198499773</v>
      </c>
      <c r="AO88" s="16">
        <f t="shared" si="103"/>
        <v>2.7821140587930331</v>
      </c>
    </row>
    <row r="89" spans="23:41" x14ac:dyDescent="0.25">
      <c r="W89" s="6" t="str">
        <f t="shared" ca="1" si="91"/>
        <v>no</v>
      </c>
      <c r="X89" s="6" t="str">
        <f t="shared" ca="1" si="92"/>
        <v>N/A</v>
      </c>
      <c r="Y89" s="6">
        <f t="shared" ca="1" si="93"/>
        <v>10.599999999999998</v>
      </c>
      <c r="Z89" s="11">
        <v>84</v>
      </c>
      <c r="AA89" s="6">
        <v>58.706730799629213</v>
      </c>
      <c r="AB89" s="6">
        <v>0</v>
      </c>
      <c r="AC89" s="6"/>
      <c r="AD89" s="6">
        <f t="shared" ca="1" si="94"/>
        <v>-0.17342342342342398</v>
      </c>
      <c r="AE89" s="6"/>
      <c r="AF89" s="6">
        <f t="shared" ca="1" si="95"/>
        <v>0</v>
      </c>
      <c r="AG89" s="6">
        <f t="shared" ca="1" si="96"/>
        <v>0</v>
      </c>
      <c r="AH89" s="6">
        <f t="shared" ca="1" si="104"/>
        <v>0</v>
      </c>
      <c r="AI89" s="6">
        <f t="shared" si="97"/>
        <v>174.4961539191101</v>
      </c>
      <c r="AJ89">
        <f t="shared" si="98"/>
        <v>1160</v>
      </c>
      <c r="AK89">
        <f t="shared" si="99"/>
        <v>0</v>
      </c>
      <c r="AL89">
        <f t="shared" si="100"/>
        <v>0</v>
      </c>
      <c r="AM89">
        <f t="shared" si="101"/>
        <v>11.745616175850975</v>
      </c>
      <c r="AN89">
        <f t="shared" si="102"/>
        <v>7.6969166866237231</v>
      </c>
      <c r="AO89" s="16">
        <f t="shared" si="103"/>
        <v>2.7821140587930331</v>
      </c>
    </row>
    <row r="90" spans="23:41" x14ac:dyDescent="0.25">
      <c r="W90" s="6" t="str">
        <f t="shared" ca="1" si="91"/>
        <v>no</v>
      </c>
      <c r="X90" s="6" t="str">
        <f t="shared" ca="1" si="92"/>
        <v>N/A</v>
      </c>
      <c r="Y90" s="6">
        <f t="shared" ca="1" si="93"/>
        <v>10.599999999999998</v>
      </c>
      <c r="Z90" s="11">
        <v>85</v>
      </c>
      <c r="AA90" s="6">
        <v>54.186235938508467</v>
      </c>
      <c r="AB90" s="6">
        <v>0</v>
      </c>
      <c r="AC90" s="6"/>
      <c r="AD90" s="6">
        <f t="shared" ca="1" si="94"/>
        <v>-0.17342342342342398</v>
      </c>
      <c r="AE90" s="6"/>
      <c r="AF90" s="6">
        <f t="shared" ca="1" si="95"/>
        <v>0</v>
      </c>
      <c r="AG90" s="6">
        <f t="shared" ca="1" si="96"/>
        <v>0</v>
      </c>
      <c r="AH90" s="6">
        <f t="shared" ca="1" si="104"/>
        <v>0</v>
      </c>
      <c r="AI90" s="6">
        <f t="shared" si="97"/>
        <v>163.6469662524203</v>
      </c>
      <c r="AJ90">
        <f t="shared" si="98"/>
        <v>1160</v>
      </c>
      <c r="AK90">
        <f t="shared" si="99"/>
        <v>0</v>
      </c>
      <c r="AL90">
        <f t="shared" si="100"/>
        <v>0</v>
      </c>
      <c r="AM90">
        <f t="shared" si="101"/>
        <v>11.015339941729582</v>
      </c>
      <c r="AN90">
        <f t="shared" si="102"/>
        <v>7.6592590054168843</v>
      </c>
      <c r="AO90" s="16">
        <f t="shared" si="103"/>
        <v>2.7821140587930331</v>
      </c>
    </row>
    <row r="91" spans="23:41" x14ac:dyDescent="0.25">
      <c r="W91" s="6" t="str">
        <f t="shared" ca="1" si="91"/>
        <v>no</v>
      </c>
      <c r="X91" s="6" t="str">
        <f t="shared" ca="1" si="92"/>
        <v>N/A</v>
      </c>
      <c r="Y91" s="6">
        <f t="shared" ca="1" si="93"/>
        <v>10.599999999999998</v>
      </c>
      <c r="Z91" s="11">
        <v>86</v>
      </c>
      <c r="AA91" s="6">
        <v>53.452210945946774</v>
      </c>
      <c r="AB91" s="6">
        <v>0</v>
      </c>
      <c r="AC91" s="6"/>
      <c r="AD91" s="6">
        <f t="shared" ca="1" si="94"/>
        <v>-0.17342342342342398</v>
      </c>
      <c r="AE91" s="6"/>
      <c r="AF91" s="6">
        <f t="shared" ca="1" si="95"/>
        <v>0</v>
      </c>
      <c r="AG91" s="6">
        <f t="shared" ca="1" si="96"/>
        <v>0</v>
      </c>
      <c r="AH91" s="6">
        <f t="shared" ca="1" si="104"/>
        <v>0</v>
      </c>
      <c r="AI91" s="6">
        <f t="shared" si="97"/>
        <v>161.88530627027225</v>
      </c>
      <c r="AJ91">
        <f t="shared" si="98"/>
        <v>1160</v>
      </c>
      <c r="AK91">
        <f t="shared" si="99"/>
        <v>0</v>
      </c>
      <c r="AL91">
        <f t="shared" si="100"/>
        <v>0</v>
      </c>
      <c r="AM91">
        <f t="shared" si="101"/>
        <v>10.896759780975669</v>
      </c>
      <c r="AN91">
        <f t="shared" si="102"/>
        <v>7.6531442591298182</v>
      </c>
      <c r="AO91" s="16">
        <f t="shared" si="103"/>
        <v>2.7821140587930331</v>
      </c>
    </row>
    <row r="92" spans="23:41" x14ac:dyDescent="0.25">
      <c r="W92" s="6" t="str">
        <f t="shared" ca="1" si="91"/>
        <v>no</v>
      </c>
      <c r="X92" s="6" t="str">
        <f t="shared" ca="1" si="92"/>
        <v>N/A</v>
      </c>
      <c r="Y92" s="6">
        <f t="shared" ca="1" si="93"/>
        <v>10.599999999999998</v>
      </c>
      <c r="Z92" s="11">
        <v>87</v>
      </c>
      <c r="AA92" s="6">
        <v>52.212157907986331</v>
      </c>
      <c r="AB92" s="6">
        <v>0</v>
      </c>
      <c r="AC92" s="6"/>
      <c r="AD92" s="6">
        <f t="shared" ca="1" si="94"/>
        <v>-0.17342342342342398</v>
      </c>
      <c r="AE92" s="6"/>
      <c r="AF92" s="6">
        <f t="shared" ca="1" si="95"/>
        <v>0</v>
      </c>
      <c r="AG92" s="6">
        <f t="shared" ca="1" si="96"/>
        <v>0</v>
      </c>
      <c r="AH92" s="6">
        <f t="shared" ca="1" si="104"/>
        <v>0</v>
      </c>
      <c r="AI92" s="6">
        <f t="shared" si="97"/>
        <v>158.90917897916717</v>
      </c>
      <c r="AJ92">
        <f t="shared" si="98"/>
        <v>1160</v>
      </c>
      <c r="AK92">
        <f t="shared" si="99"/>
        <v>0</v>
      </c>
      <c r="AL92">
        <f t="shared" si="100"/>
        <v>0</v>
      </c>
      <c r="AM92">
        <f t="shared" si="101"/>
        <v>10.696431876510795</v>
      </c>
      <c r="AN92">
        <f t="shared" si="102"/>
        <v>7.6428140799309174</v>
      </c>
      <c r="AO92" s="16">
        <f t="shared" si="103"/>
        <v>2.7821140587930331</v>
      </c>
    </row>
    <row r="93" spans="23:41" x14ac:dyDescent="0.25">
      <c r="W93" s="6" t="str">
        <f t="shared" ca="1" si="91"/>
        <v>no</v>
      </c>
      <c r="X93" s="6" t="str">
        <f t="shared" ca="1" si="92"/>
        <v>N/A</v>
      </c>
      <c r="Y93" s="6">
        <f t="shared" ca="1" si="93"/>
        <v>10.599999999999998</v>
      </c>
      <c r="Z93" s="11">
        <v>88</v>
      </c>
      <c r="AA93" s="6">
        <v>50.3734694451664</v>
      </c>
      <c r="AB93" s="6">
        <v>0</v>
      </c>
      <c r="AC93" s="6"/>
      <c r="AD93" s="6">
        <f t="shared" ca="1" si="94"/>
        <v>-0.17342342342342398</v>
      </c>
      <c r="AE93" s="6"/>
      <c r="AF93" s="6">
        <f t="shared" ca="1" si="95"/>
        <v>0</v>
      </c>
      <c r="AG93" s="6">
        <f t="shared" ca="1" si="96"/>
        <v>0</v>
      </c>
      <c r="AH93" s="6">
        <f t="shared" ca="1" si="104"/>
        <v>0</v>
      </c>
      <c r="AI93" s="6">
        <f t="shared" si="97"/>
        <v>154.49632666839935</v>
      </c>
      <c r="AJ93">
        <f t="shared" si="98"/>
        <v>1160</v>
      </c>
      <c r="AK93">
        <f t="shared" si="99"/>
        <v>0</v>
      </c>
      <c r="AL93">
        <f t="shared" si="100"/>
        <v>0</v>
      </c>
      <c r="AM93">
        <f t="shared" si="101"/>
        <v>10.399395705117453</v>
      </c>
      <c r="AN93">
        <f t="shared" si="102"/>
        <v>7.627497008216694</v>
      </c>
      <c r="AO93" s="16">
        <f t="shared" si="103"/>
        <v>2.7821140587930331</v>
      </c>
    </row>
    <row r="94" spans="23:41" x14ac:dyDescent="0.25">
      <c r="W94" s="6" t="str">
        <f t="shared" ca="1" si="91"/>
        <v>no</v>
      </c>
      <c r="X94" s="6" t="str">
        <f t="shared" ca="1" si="92"/>
        <v>N/A</v>
      </c>
      <c r="Y94" s="6">
        <f t="shared" ca="1" si="93"/>
        <v>10.599999999999998</v>
      </c>
      <c r="Z94" s="11">
        <v>89</v>
      </c>
      <c r="AA94" s="6">
        <v>50.643361907150343</v>
      </c>
      <c r="AB94" s="6">
        <v>0</v>
      </c>
      <c r="AC94" s="6"/>
      <c r="AD94" s="6">
        <f t="shared" ca="1" si="94"/>
        <v>-0.17342342342342398</v>
      </c>
      <c r="AE94" s="6"/>
      <c r="AF94" s="6">
        <f t="shared" ca="1" si="95"/>
        <v>0</v>
      </c>
      <c r="AG94" s="6">
        <f t="shared" ca="1" si="96"/>
        <v>0</v>
      </c>
      <c r="AH94" s="6">
        <f t="shared" ca="1" si="104"/>
        <v>0</v>
      </c>
      <c r="AI94" s="6">
        <f t="shared" si="97"/>
        <v>155.14406857716079</v>
      </c>
      <c r="AJ94">
        <f t="shared" si="98"/>
        <v>1160</v>
      </c>
      <c r="AK94">
        <f t="shared" si="99"/>
        <v>0</v>
      </c>
      <c r="AL94">
        <f t="shared" si="100"/>
        <v>0</v>
      </c>
      <c r="AM94">
        <f t="shared" si="101"/>
        <v>10.442996252581965</v>
      </c>
      <c r="AN94">
        <f t="shared" si="102"/>
        <v>7.6297453293863366</v>
      </c>
      <c r="AO94" s="16">
        <f t="shared" si="103"/>
        <v>2.7821140587930331</v>
      </c>
    </row>
    <row r="95" spans="23:41" x14ac:dyDescent="0.25">
      <c r="W95" s="6" t="str">
        <f t="shared" ca="1" si="91"/>
        <v>no</v>
      </c>
      <c r="X95" s="6" t="str">
        <f t="shared" ca="1" si="92"/>
        <v>N/A</v>
      </c>
      <c r="Y95" s="6">
        <f t="shared" ca="1" si="93"/>
        <v>10.599999999999998</v>
      </c>
      <c r="Z95" s="11">
        <v>90</v>
      </c>
      <c r="AA95" s="6">
        <v>50.628811962514774</v>
      </c>
      <c r="AB95" s="6">
        <v>0</v>
      </c>
      <c r="AC95" s="6"/>
      <c r="AD95" s="6">
        <f t="shared" ca="1" si="94"/>
        <v>-0.17342342342342398</v>
      </c>
      <c r="AE95" s="6"/>
      <c r="AF95" s="6">
        <f t="shared" ca="1" si="95"/>
        <v>0</v>
      </c>
      <c r="AG95" s="6">
        <f t="shared" ca="1" si="96"/>
        <v>0</v>
      </c>
      <c r="AH95" s="6">
        <f t="shared" ca="1" si="104"/>
        <v>0</v>
      </c>
      <c r="AI95" s="6">
        <f t="shared" si="97"/>
        <v>155.10914871003544</v>
      </c>
      <c r="AJ95">
        <f t="shared" si="98"/>
        <v>1160</v>
      </c>
      <c r="AK95">
        <f t="shared" si="99"/>
        <v>0</v>
      </c>
      <c r="AL95">
        <f t="shared" si="100"/>
        <v>0</v>
      </c>
      <c r="AM95">
        <f t="shared" si="101"/>
        <v>10.440645740281527</v>
      </c>
      <c r="AN95">
        <f t="shared" si="102"/>
        <v>7.6296241220421201</v>
      </c>
      <c r="AO95" s="16">
        <f t="shared" si="103"/>
        <v>2.7821140587930331</v>
      </c>
    </row>
    <row r="96" spans="23:41" x14ac:dyDescent="0.25">
      <c r="W96" s="6" t="str">
        <f t="shared" ca="1" si="91"/>
        <v>no</v>
      </c>
      <c r="X96" s="6" t="str">
        <f t="shared" ca="1" si="92"/>
        <v>N/A</v>
      </c>
      <c r="Y96" s="6">
        <f t="shared" ca="1" si="93"/>
        <v>10.599999999999998</v>
      </c>
      <c r="Z96" s="11">
        <v>91</v>
      </c>
      <c r="AA96" s="6">
        <v>47.636497707581341</v>
      </c>
      <c r="AB96" s="6">
        <v>0</v>
      </c>
      <c r="AC96" s="6"/>
      <c r="AD96" s="6">
        <f t="shared" ca="1" si="94"/>
        <v>-0.17342342342342398</v>
      </c>
      <c r="AE96" s="6"/>
      <c r="AF96" s="6">
        <f t="shared" ca="1" si="95"/>
        <v>0</v>
      </c>
      <c r="AG96" s="6">
        <f t="shared" ca="1" si="96"/>
        <v>0</v>
      </c>
      <c r="AH96" s="6">
        <f t="shared" ca="1" si="104"/>
        <v>0</v>
      </c>
      <c r="AI96" s="6">
        <f t="shared" si="97"/>
        <v>147.92759449819522</v>
      </c>
      <c r="AJ96">
        <f t="shared" si="98"/>
        <v>1160</v>
      </c>
      <c r="AK96">
        <f t="shared" si="99"/>
        <v>0</v>
      </c>
      <c r="AL96">
        <f t="shared" si="100"/>
        <v>0</v>
      </c>
      <c r="AM96">
        <f t="shared" si="101"/>
        <v>9.9572438003313568</v>
      </c>
      <c r="AN96">
        <f t="shared" si="102"/>
        <v>7.6046968475412422</v>
      </c>
      <c r="AO96" s="16">
        <f t="shared" si="103"/>
        <v>2.4533374110066575</v>
      </c>
    </row>
    <row r="97" spans="23:41" x14ac:dyDescent="0.25">
      <c r="W97" s="6" t="str">
        <f t="shared" ca="1" si="91"/>
        <v>no</v>
      </c>
      <c r="X97" s="6" t="str">
        <f t="shared" ca="1" si="92"/>
        <v>N/A</v>
      </c>
      <c r="Y97" s="6">
        <f t="shared" ca="1" si="93"/>
        <v>10.599999999999998</v>
      </c>
      <c r="Z97" s="11">
        <v>92</v>
      </c>
      <c r="AA97" s="6">
        <v>44.172745320839695</v>
      </c>
      <c r="AB97" s="6">
        <v>0</v>
      </c>
      <c r="AC97" s="6"/>
      <c r="AD97" s="6">
        <f t="shared" ca="1" si="94"/>
        <v>-0.17342342342342398</v>
      </c>
      <c r="AE97" s="6"/>
      <c r="AF97" s="6">
        <f t="shared" ca="1" si="95"/>
        <v>0</v>
      </c>
      <c r="AG97" s="6">
        <f t="shared" ca="1" si="96"/>
        <v>0</v>
      </c>
      <c r="AH97" s="6">
        <f t="shared" ca="1" si="104"/>
        <v>0</v>
      </c>
      <c r="AI97" s="6">
        <f t="shared" si="97"/>
        <v>139.61458877001525</v>
      </c>
      <c r="AJ97">
        <f t="shared" si="98"/>
        <v>1160</v>
      </c>
      <c r="AK97">
        <f t="shared" si="99"/>
        <v>0</v>
      </c>
      <c r="AL97">
        <f t="shared" si="100"/>
        <v>0</v>
      </c>
      <c r="AM97">
        <f t="shared" si="101"/>
        <v>9.3976820429065189</v>
      </c>
      <c r="AN97">
        <f t="shared" si="102"/>
        <v>7.5758422890987172</v>
      </c>
      <c r="AO97" s="16">
        <f t="shared" si="103"/>
        <v>1.9715097004400646</v>
      </c>
    </row>
    <row r="98" spans="23:41" x14ac:dyDescent="0.25">
      <c r="W98" s="6" t="str">
        <f t="shared" ca="1" si="91"/>
        <v>no</v>
      </c>
      <c r="X98" s="6" t="str">
        <f t="shared" ca="1" si="92"/>
        <v>N/A</v>
      </c>
      <c r="Y98" s="6">
        <f t="shared" ca="1" si="93"/>
        <v>10.599999999999998</v>
      </c>
      <c r="Z98" s="11">
        <v>93</v>
      </c>
      <c r="AA98" s="6">
        <v>38.343482170026618</v>
      </c>
      <c r="AB98" s="6">
        <v>0</v>
      </c>
      <c r="AC98" s="6"/>
      <c r="AD98" s="6">
        <f t="shared" ca="1" si="94"/>
        <v>-0.17342342342342398</v>
      </c>
      <c r="AE98" s="6"/>
      <c r="AF98" s="6">
        <f t="shared" ca="1" si="95"/>
        <v>0</v>
      </c>
      <c r="AG98" s="6">
        <f t="shared" ca="1" si="96"/>
        <v>0</v>
      </c>
      <c r="AH98" s="6">
        <f t="shared" ca="1" si="104"/>
        <v>0</v>
      </c>
      <c r="AI98" s="6">
        <f t="shared" si="97"/>
        <v>125.62435720806386</v>
      </c>
      <c r="AJ98">
        <f t="shared" si="98"/>
        <v>1160</v>
      </c>
      <c r="AK98">
        <f t="shared" si="99"/>
        <v>0</v>
      </c>
      <c r="AL98">
        <f t="shared" si="100"/>
        <v>0</v>
      </c>
      <c r="AM98">
        <f t="shared" si="101"/>
        <v>8.4559771030135078</v>
      </c>
      <c r="AN98">
        <f t="shared" si="102"/>
        <v>7.5272820008674257</v>
      </c>
      <c r="AO98" s="16">
        <f t="shared" si="103"/>
        <v>1.160625952226003</v>
      </c>
    </row>
    <row r="99" spans="23:41" x14ac:dyDescent="0.25">
      <c r="W99" s="6" t="str">
        <f t="shared" ca="1" si="91"/>
        <v>no</v>
      </c>
      <c r="X99" s="6" t="str">
        <f t="shared" ca="1" si="92"/>
        <v>N/A</v>
      </c>
      <c r="Y99" s="6">
        <f t="shared" ca="1" si="93"/>
        <v>10.599999999999998</v>
      </c>
      <c r="Z99" s="11">
        <v>94</v>
      </c>
      <c r="AA99" s="6">
        <v>42.854197141696709</v>
      </c>
      <c r="AB99" s="6">
        <v>0.8</v>
      </c>
      <c r="AC99" s="6"/>
      <c r="AD99" s="6">
        <f t="shared" ca="1" si="94"/>
        <v>-0.17342342342342398</v>
      </c>
      <c r="AE99" s="6"/>
      <c r="AF99" s="6">
        <f t="shared" ca="1" si="95"/>
        <v>0</v>
      </c>
      <c r="AG99" s="6">
        <f t="shared" ca="1" si="96"/>
        <v>0</v>
      </c>
      <c r="AH99" s="6">
        <f t="shared" ca="1" si="104"/>
        <v>0</v>
      </c>
      <c r="AI99" s="6">
        <f t="shared" si="97"/>
        <v>136.45007314007208</v>
      </c>
      <c r="AJ99">
        <f t="shared" si="98"/>
        <v>1160</v>
      </c>
      <c r="AK99">
        <f t="shared" si="99"/>
        <v>0</v>
      </c>
      <c r="AL99">
        <f t="shared" si="100"/>
        <v>0</v>
      </c>
      <c r="AM99">
        <f t="shared" si="101"/>
        <v>9.1846734170027986</v>
      </c>
      <c r="AN99">
        <f t="shared" si="102"/>
        <v>7.5648582113569018</v>
      </c>
      <c r="AO99" s="16">
        <f t="shared" si="103"/>
        <v>1.7880921291205816</v>
      </c>
    </row>
    <row r="100" spans="23:41" x14ac:dyDescent="0.25">
      <c r="W100" s="6" t="str">
        <f t="shared" ca="1" si="91"/>
        <v>no</v>
      </c>
      <c r="X100" s="6" t="str">
        <f t="shared" ca="1" si="92"/>
        <v>N/A</v>
      </c>
      <c r="Y100" s="6">
        <f t="shared" ca="1" si="93"/>
        <v>9.7999999999999989</v>
      </c>
      <c r="Z100" s="11">
        <v>95</v>
      </c>
      <c r="AA100" s="6">
        <v>39.509908813252167</v>
      </c>
      <c r="AB100" s="6">
        <v>0.1</v>
      </c>
      <c r="AC100" s="6"/>
      <c r="AD100" s="6">
        <f t="shared" ca="1" si="94"/>
        <v>-0.31756756756756799</v>
      </c>
      <c r="AE100" s="6"/>
      <c r="AF100" s="6">
        <f t="shared" ca="1" si="95"/>
        <v>0</v>
      </c>
      <c r="AG100" s="6">
        <f t="shared" ca="1" si="96"/>
        <v>0</v>
      </c>
      <c r="AH100" s="6">
        <f t="shared" ca="1" si="104"/>
        <v>0</v>
      </c>
      <c r="AI100" s="6">
        <f t="shared" si="97"/>
        <v>128.42378115180517</v>
      </c>
      <c r="AJ100">
        <f t="shared" si="98"/>
        <v>1160</v>
      </c>
      <c r="AK100">
        <f t="shared" si="99"/>
        <v>0</v>
      </c>
      <c r="AL100">
        <f t="shared" si="100"/>
        <v>0</v>
      </c>
      <c r="AM100">
        <f t="shared" si="101"/>
        <v>8.6444108215693625</v>
      </c>
      <c r="AN100">
        <f t="shared" si="102"/>
        <v>7.536998840291254</v>
      </c>
      <c r="AO100" s="16">
        <f t="shared" si="103"/>
        <v>1.3228825503594313</v>
      </c>
    </row>
    <row r="101" spans="23:41" x14ac:dyDescent="0.25">
      <c r="W101" s="6" t="str">
        <f t="shared" ca="1" si="91"/>
        <v>no</v>
      </c>
      <c r="X101" s="6" t="str">
        <f t="shared" ca="1" si="92"/>
        <v>N/A</v>
      </c>
      <c r="Y101" s="6">
        <f t="shared" ca="1" si="93"/>
        <v>9.6999999999999993</v>
      </c>
      <c r="Z101" s="11">
        <v>96</v>
      </c>
      <c r="AA101" s="6">
        <v>37.315141930333894</v>
      </c>
      <c r="AB101" s="6">
        <v>0.6</v>
      </c>
      <c r="AC101" s="6"/>
      <c r="AD101" s="6">
        <f t="shared" ca="1" si="94"/>
        <v>-0.33558558558558604</v>
      </c>
      <c r="AE101" s="6"/>
      <c r="AF101" s="6">
        <f t="shared" ca="1" si="95"/>
        <v>0</v>
      </c>
      <c r="AG101" s="6">
        <f t="shared" ca="1" si="96"/>
        <v>0</v>
      </c>
      <c r="AH101" s="6">
        <f t="shared" ca="1" si="104"/>
        <v>0</v>
      </c>
      <c r="AI101" s="6">
        <f t="shared" si="97"/>
        <v>123.15634063280135</v>
      </c>
      <c r="AJ101">
        <f t="shared" si="98"/>
        <v>1160</v>
      </c>
      <c r="AK101">
        <f t="shared" si="99"/>
        <v>0</v>
      </c>
      <c r="AL101">
        <f t="shared" si="100"/>
        <v>0</v>
      </c>
      <c r="AM101">
        <f t="shared" si="101"/>
        <v>8.2898509463183316</v>
      </c>
      <c r="AN101">
        <f t="shared" si="102"/>
        <v>7.5187154810265184</v>
      </c>
      <c r="AO101" s="16">
        <f t="shared" si="103"/>
        <v>1.0175779603224169</v>
      </c>
    </row>
    <row r="102" spans="23:41" x14ac:dyDescent="0.25">
      <c r="W102" s="6" t="str">
        <f t="shared" ca="1" si="91"/>
        <v>no</v>
      </c>
      <c r="X102" s="6" t="str">
        <f t="shared" ca="1" si="92"/>
        <v>N/A</v>
      </c>
      <c r="Y102" s="6">
        <f t="shared" ca="1" si="93"/>
        <v>9.1</v>
      </c>
      <c r="Z102" s="11">
        <v>97</v>
      </c>
      <c r="AA102" s="6">
        <v>36.773912493973761</v>
      </c>
      <c r="AB102" s="6">
        <v>0.1</v>
      </c>
      <c r="AC102" s="6"/>
      <c r="AD102" s="6">
        <f t="shared" ca="1" si="94"/>
        <v>-0.44369369369369416</v>
      </c>
      <c r="AE102" s="6"/>
      <c r="AF102" s="6">
        <f t="shared" ca="1" si="95"/>
        <v>0</v>
      </c>
      <c r="AG102" s="6">
        <f t="shared" ca="1" si="96"/>
        <v>0</v>
      </c>
      <c r="AH102" s="6">
        <f t="shared" ca="1" si="104"/>
        <v>0</v>
      </c>
      <c r="AI102" s="6">
        <f t="shared" si="97"/>
        <v>121.85738998553701</v>
      </c>
      <c r="AJ102">
        <f t="shared" si="98"/>
        <v>1160</v>
      </c>
      <c r="AK102">
        <f t="shared" si="99"/>
        <v>0</v>
      </c>
      <c r="AL102">
        <f t="shared" si="100"/>
        <v>0</v>
      </c>
      <c r="AM102">
        <f t="shared" si="101"/>
        <v>8.2024164935153632</v>
      </c>
      <c r="AN102">
        <f t="shared" si="102"/>
        <v>7.5142068052730071</v>
      </c>
      <c r="AO102" s="16">
        <f t="shared" si="103"/>
        <v>0.94228985912590901</v>
      </c>
    </row>
    <row r="103" spans="23:41" x14ac:dyDescent="0.25">
      <c r="W103" s="6" t="str">
        <f t="shared" ca="1" si="91"/>
        <v>no</v>
      </c>
      <c r="X103" s="6" t="str">
        <f t="shared" ca="1" si="92"/>
        <v>N/A</v>
      </c>
      <c r="Y103" s="6">
        <f t="shared" ca="1" si="93"/>
        <v>9</v>
      </c>
      <c r="Z103" s="11">
        <v>98</v>
      </c>
      <c r="AA103" s="6">
        <v>33.889721607653271</v>
      </c>
      <c r="AB103" s="6">
        <v>0.3</v>
      </c>
      <c r="AC103" s="6"/>
      <c r="AD103" s="6">
        <f t="shared" ca="1" si="94"/>
        <v>-0.46171171171171199</v>
      </c>
      <c r="AE103" s="6"/>
      <c r="AF103" s="6">
        <f t="shared" ca="1" si="95"/>
        <v>0</v>
      </c>
      <c r="AG103" s="6">
        <f t="shared" ca="1" si="96"/>
        <v>0</v>
      </c>
      <c r="AH103" s="6">
        <f t="shared" ca="1" si="104"/>
        <v>0</v>
      </c>
      <c r="AI103" s="6">
        <f t="shared" si="97"/>
        <v>114.93533185836786</v>
      </c>
      <c r="AJ103">
        <f t="shared" si="98"/>
        <v>1160</v>
      </c>
      <c r="AK103">
        <f t="shared" si="99"/>
        <v>0</v>
      </c>
      <c r="AL103">
        <f t="shared" si="100"/>
        <v>0</v>
      </c>
      <c r="AM103">
        <f t="shared" si="101"/>
        <v>7.7364816514996004</v>
      </c>
      <c r="AN103">
        <f t="shared" si="102"/>
        <v>7.4901802452893067</v>
      </c>
      <c r="AO103" s="16">
        <f t="shared" si="103"/>
        <v>0.54108245847216019</v>
      </c>
    </row>
    <row r="104" spans="23:41" x14ac:dyDescent="0.25">
      <c r="W104" s="6" t="str">
        <f t="shared" ca="1" si="91"/>
        <v>no</v>
      </c>
      <c r="X104" s="6" t="str">
        <f t="shared" ca="1" si="92"/>
        <v>N/A</v>
      </c>
      <c r="Y104" s="6">
        <f t="shared" ca="1" si="93"/>
        <v>8.6999999999999993</v>
      </c>
      <c r="Z104" s="11">
        <v>99</v>
      </c>
      <c r="AA104" s="6">
        <v>31.265558089943546</v>
      </c>
      <c r="AB104" s="6">
        <v>1.2</v>
      </c>
      <c r="AC104" s="6"/>
      <c r="AD104" s="6">
        <f t="shared" ca="1" si="94"/>
        <v>-0.51576576576576616</v>
      </c>
      <c r="AE104" s="6"/>
      <c r="AF104" s="6">
        <f t="shared" ca="1" si="95"/>
        <v>0</v>
      </c>
      <c r="AG104" s="6">
        <f t="shared" ca="1" si="96"/>
        <v>0</v>
      </c>
      <c r="AH104" s="6">
        <f t="shared" si="104"/>
        <v>0</v>
      </c>
      <c r="AI104" s="6">
        <f t="shared" si="97"/>
        <v>108.6373394158645</v>
      </c>
      <c r="AJ104">
        <f t="shared" si="98"/>
        <v>1160</v>
      </c>
      <c r="AK104">
        <f t="shared" si="99"/>
        <v>0</v>
      </c>
      <c r="AL104">
        <f t="shared" si="100"/>
        <v>0</v>
      </c>
      <c r="AM104">
        <f t="shared" si="101"/>
        <v>7.3125536723055937</v>
      </c>
      <c r="AN104">
        <f t="shared" si="102"/>
        <v>7.4683198259722872</v>
      </c>
      <c r="AO104" s="16">
        <f t="shared" si="103"/>
        <v>0.17604634771255984</v>
      </c>
    </row>
    <row r="105" spans="23:41" x14ac:dyDescent="0.25">
      <c r="W105" s="6" t="str">
        <f t="shared" ca="1" si="91"/>
        <v>no</v>
      </c>
      <c r="X105" s="6" t="str">
        <f t="shared" ca="1" si="92"/>
        <v>N/A</v>
      </c>
      <c r="Y105" s="6">
        <f t="shared" ca="1" si="93"/>
        <v>7.5</v>
      </c>
      <c r="Z105" s="11">
        <v>100</v>
      </c>
      <c r="AA105" s="6">
        <v>27.50390972883698</v>
      </c>
      <c r="AB105" s="6">
        <v>0</v>
      </c>
      <c r="AC105" s="6"/>
      <c r="AD105" s="6">
        <f t="shared" ca="1" si="94"/>
        <v>-0.73198198198198239</v>
      </c>
      <c r="AE105" s="6"/>
      <c r="AF105" s="6">
        <f t="shared" ca="1" si="95"/>
        <v>0</v>
      </c>
      <c r="AG105" s="6">
        <f t="shared" ca="1" si="96"/>
        <v>0</v>
      </c>
      <c r="AH105" s="6">
        <f t="shared" si="104"/>
        <v>0</v>
      </c>
      <c r="AI105" s="6">
        <f t="shared" si="97"/>
        <v>99.609383349208741</v>
      </c>
      <c r="AJ105">
        <f t="shared" si="98"/>
        <v>1160</v>
      </c>
      <c r="AK105">
        <f t="shared" si="99"/>
        <v>0</v>
      </c>
      <c r="AL105">
        <f t="shared" si="100"/>
        <v>0</v>
      </c>
      <c r="AM105">
        <f t="shared" si="101"/>
        <v>6.7048674601467892</v>
      </c>
      <c r="AN105">
        <f t="shared" si="102"/>
        <v>7.4369836649663084</v>
      </c>
      <c r="AO105" s="16">
        <f t="shared" si="103"/>
        <v>0</v>
      </c>
    </row>
    <row r="106" spans="23:41" x14ac:dyDescent="0.25">
      <c r="W106" s="6" t="str">
        <f t="shared" ca="1" si="91"/>
        <v>no</v>
      </c>
      <c r="X106" s="6" t="str">
        <f t="shared" ca="1" si="92"/>
        <v>N/A</v>
      </c>
      <c r="Y106" s="6">
        <f t="shared" ca="1" si="93"/>
        <v>7.5</v>
      </c>
      <c r="Z106" s="11">
        <v>101</v>
      </c>
      <c r="AA106" s="6">
        <v>29.40678294373711</v>
      </c>
      <c r="AB106" s="6">
        <v>5.0999999999999996</v>
      </c>
      <c r="AC106" s="6"/>
      <c r="AD106" s="6">
        <f t="shared" ca="1" si="94"/>
        <v>-0.73198198198198239</v>
      </c>
      <c r="AE106" s="6"/>
      <c r="AF106" s="6">
        <f t="shared" ca="1" si="95"/>
        <v>0</v>
      </c>
      <c r="AG106" s="6">
        <f t="shared" ca="1" si="96"/>
        <v>0</v>
      </c>
      <c r="AH106" s="6">
        <f t="shared" si="104"/>
        <v>0</v>
      </c>
      <c r="AI106" s="6">
        <f t="shared" si="97"/>
        <v>104.17627906496907</v>
      </c>
      <c r="AJ106">
        <f t="shared" si="98"/>
        <v>1160</v>
      </c>
      <c r="AK106">
        <f t="shared" si="99"/>
        <v>0</v>
      </c>
      <c r="AL106">
        <f t="shared" si="100"/>
        <v>0</v>
      </c>
      <c r="AM106">
        <f t="shared" si="101"/>
        <v>7.0122725403603328</v>
      </c>
      <c r="AN106">
        <f t="shared" si="102"/>
        <v>7.4528354234806358</v>
      </c>
      <c r="AO106" s="16">
        <f t="shared" si="103"/>
        <v>0</v>
      </c>
    </row>
    <row r="107" spans="23:41" x14ac:dyDescent="0.25">
      <c r="W107" s="6" t="str">
        <f t="shared" ca="1" si="91"/>
        <v>no</v>
      </c>
      <c r="X107" s="6" t="str">
        <f t="shared" ca="1" si="92"/>
        <v>N/A</v>
      </c>
      <c r="Y107" s="6">
        <f t="shared" ca="1" si="93"/>
        <v>2.4000000000000004</v>
      </c>
      <c r="Z107" s="11">
        <v>102</v>
      </c>
      <c r="AA107" s="6">
        <v>27.775730534310725</v>
      </c>
      <c r="AB107" s="6">
        <v>0.1</v>
      </c>
      <c r="AC107" s="6"/>
      <c r="AD107" s="6">
        <f t="shared" ca="1" si="94"/>
        <v>-1.6509009009009019</v>
      </c>
      <c r="AE107" s="6"/>
      <c r="AF107" s="6">
        <f t="shared" ca="1" si="95"/>
        <v>0</v>
      </c>
      <c r="AG107" s="6">
        <f t="shared" ca="1" si="96"/>
        <v>0</v>
      </c>
      <c r="AH107" s="6">
        <f t="shared" si="104"/>
        <v>0</v>
      </c>
      <c r="AI107" s="6">
        <f t="shared" si="97"/>
        <v>100.26175328234574</v>
      </c>
      <c r="AJ107">
        <f t="shared" si="98"/>
        <v>1160</v>
      </c>
      <c r="AK107">
        <f t="shared" si="99"/>
        <v>0</v>
      </c>
      <c r="AL107">
        <f t="shared" si="100"/>
        <v>0</v>
      </c>
      <c r="AM107">
        <f t="shared" si="101"/>
        <v>6.7487795273597131</v>
      </c>
      <c r="AN107">
        <f t="shared" si="102"/>
        <v>7.4392480500728935</v>
      </c>
      <c r="AO107" s="16">
        <f t="shared" si="103"/>
        <v>0</v>
      </c>
    </row>
    <row r="108" spans="23:41" x14ac:dyDescent="0.25">
      <c r="W108" s="6" t="str">
        <f t="shared" ca="1" si="91"/>
        <v>no</v>
      </c>
      <c r="X108" s="6" t="str">
        <f t="shared" ca="1" si="92"/>
        <v>N/A</v>
      </c>
      <c r="Y108" s="6">
        <f t="shared" ca="1" si="93"/>
        <v>2.3000000000000003</v>
      </c>
      <c r="Z108" s="11">
        <v>103</v>
      </c>
      <c r="AA108" s="6">
        <v>26.9118871350381</v>
      </c>
      <c r="AB108" s="6">
        <v>0</v>
      </c>
      <c r="AC108" s="6"/>
      <c r="AD108" s="6">
        <f t="shared" ca="1" si="94"/>
        <v>-1.6689189189189193</v>
      </c>
      <c r="AE108" s="6"/>
      <c r="AF108" s="6">
        <f t="shared" ca="1" si="95"/>
        <v>0</v>
      </c>
      <c r="AG108" s="6">
        <f t="shared" ca="1" si="96"/>
        <v>0</v>
      </c>
      <c r="AH108" s="6">
        <f t="shared" si="104"/>
        <v>0</v>
      </c>
      <c r="AI108" s="6">
        <f t="shared" si="97"/>
        <v>98.188529124091431</v>
      </c>
      <c r="AJ108">
        <f t="shared" si="98"/>
        <v>1160</v>
      </c>
      <c r="AK108">
        <f t="shared" si="99"/>
        <v>0</v>
      </c>
      <c r="AL108">
        <f t="shared" si="100"/>
        <v>0</v>
      </c>
      <c r="AM108">
        <f t="shared" si="101"/>
        <v>6.6092274818708185</v>
      </c>
      <c r="AN108">
        <f t="shared" si="102"/>
        <v>7.4320518601994747</v>
      </c>
      <c r="AO108" s="16">
        <f t="shared" si="103"/>
        <v>0</v>
      </c>
    </row>
    <row r="109" spans="23:41" x14ac:dyDescent="0.25">
      <c r="W109" s="6" t="str">
        <f t="shared" ca="1" si="91"/>
        <v>no</v>
      </c>
      <c r="X109" s="6" t="str">
        <f t="shared" ca="1" si="92"/>
        <v>N/A</v>
      </c>
      <c r="Y109" s="6">
        <f t="shared" ca="1" si="93"/>
        <v>2.3000000000000003</v>
      </c>
      <c r="Z109" s="11">
        <v>104</v>
      </c>
      <c r="AA109" s="6">
        <v>25.616011962535982</v>
      </c>
      <c r="AB109" s="6">
        <v>0</v>
      </c>
      <c r="AC109" s="6"/>
      <c r="AD109" s="6">
        <f t="shared" ca="1" si="94"/>
        <v>-1.6689189189189193</v>
      </c>
      <c r="AE109" s="6"/>
      <c r="AF109" s="6">
        <f t="shared" ca="1" si="95"/>
        <v>0</v>
      </c>
      <c r="AG109" s="6">
        <f t="shared" ca="1" si="96"/>
        <v>0</v>
      </c>
      <c r="AH109" s="6">
        <f t="shared" si="104"/>
        <v>0</v>
      </c>
      <c r="AI109" s="6">
        <f t="shared" si="97"/>
        <v>95.078428710086328</v>
      </c>
      <c r="AJ109">
        <f t="shared" si="98"/>
        <v>1160</v>
      </c>
      <c r="AK109">
        <f t="shared" si="99"/>
        <v>0</v>
      </c>
      <c r="AL109">
        <f t="shared" si="100"/>
        <v>0</v>
      </c>
      <c r="AM109">
        <f t="shared" si="101"/>
        <v>6.399881631484952</v>
      </c>
      <c r="AN109">
        <f t="shared" si="102"/>
        <v>7.4212566584286126</v>
      </c>
      <c r="AO109" s="16">
        <f t="shared" si="103"/>
        <v>0</v>
      </c>
    </row>
    <row r="110" spans="23:41" x14ac:dyDescent="0.25">
      <c r="W110" s="6" t="str">
        <f t="shared" ca="1" si="91"/>
        <v>no</v>
      </c>
      <c r="X110" s="6" t="str">
        <f t="shared" ca="1" si="92"/>
        <v>N/A</v>
      </c>
      <c r="Y110" s="6">
        <f t="shared" ca="1" si="93"/>
        <v>2.3000000000000003</v>
      </c>
      <c r="Z110" s="11">
        <v>105</v>
      </c>
      <c r="AA110" s="6">
        <v>23.688538440961743</v>
      </c>
      <c r="AB110" s="6">
        <v>0.2</v>
      </c>
      <c r="AC110" s="6"/>
      <c r="AD110" s="6">
        <f t="shared" ca="1" si="94"/>
        <v>-1.6689189189189193</v>
      </c>
      <c r="AE110" s="6"/>
      <c r="AF110" s="6">
        <f t="shared" ca="1" si="95"/>
        <v>0</v>
      </c>
      <c r="AG110" s="6">
        <f t="shared" ca="1" si="96"/>
        <v>0</v>
      </c>
      <c r="AH110" s="6">
        <f t="shared" si="104"/>
        <v>0</v>
      </c>
      <c r="AI110" s="6">
        <f t="shared" si="97"/>
        <v>90.452492258308183</v>
      </c>
      <c r="AJ110">
        <f t="shared" si="98"/>
        <v>1160</v>
      </c>
      <c r="AK110">
        <f t="shared" si="99"/>
        <v>0</v>
      </c>
      <c r="AL110">
        <f t="shared" si="100"/>
        <v>0</v>
      </c>
      <c r="AM110">
        <f t="shared" si="101"/>
        <v>6.0885024245733117</v>
      </c>
      <c r="AN110">
        <f t="shared" si="102"/>
        <v>7.4051999686988355</v>
      </c>
      <c r="AO110" s="16">
        <f t="shared" si="103"/>
        <v>0</v>
      </c>
    </row>
    <row r="111" spans="23:41" x14ac:dyDescent="0.25">
      <c r="W111" s="6" t="str">
        <f t="shared" ca="1" si="91"/>
        <v>no</v>
      </c>
      <c r="X111" s="6" t="str">
        <f t="shared" ca="1" si="92"/>
        <v>N/A</v>
      </c>
      <c r="Y111" s="6">
        <f t="shared" ca="1" si="93"/>
        <v>2.1</v>
      </c>
      <c r="Z111" s="11">
        <v>106</v>
      </c>
      <c r="AA111" s="6">
        <v>23.22963031934934</v>
      </c>
      <c r="AB111" s="6">
        <v>2.1</v>
      </c>
      <c r="AC111" s="6"/>
      <c r="AD111" s="6">
        <f t="shared" ca="1" si="94"/>
        <v>-1.7049549549549554</v>
      </c>
      <c r="AE111" s="6"/>
      <c r="AF111" s="6">
        <f t="shared" ca="1" si="95"/>
        <v>0</v>
      </c>
      <c r="AG111" s="6">
        <f t="shared" ca="1" si="96"/>
        <v>0</v>
      </c>
      <c r="AH111" s="6">
        <f t="shared" si="104"/>
        <v>0</v>
      </c>
      <c r="AI111" s="6">
        <f t="shared" si="97"/>
        <v>89.351112766438405</v>
      </c>
      <c r="AJ111">
        <f t="shared" si="98"/>
        <v>1160</v>
      </c>
      <c r="AK111">
        <f t="shared" si="99"/>
        <v>0</v>
      </c>
      <c r="AL111">
        <f t="shared" si="100"/>
        <v>0</v>
      </c>
      <c r="AM111">
        <f t="shared" si="101"/>
        <v>6.0143668033294588</v>
      </c>
      <c r="AN111">
        <f t="shared" si="102"/>
        <v>7.4013770651721575</v>
      </c>
      <c r="AO111" s="16">
        <f t="shared" si="103"/>
        <v>0</v>
      </c>
    </row>
    <row r="112" spans="23:41" x14ac:dyDescent="0.25">
      <c r="W112" s="6" t="str">
        <f t="shared" ca="1" si="91"/>
        <v>no</v>
      </c>
      <c r="X112" s="6" t="str">
        <f t="shared" ca="1" si="92"/>
        <v>N/A</v>
      </c>
      <c r="Y112" s="6">
        <f t="shared" ca="1" si="93"/>
        <v>0</v>
      </c>
      <c r="Z112" s="11">
        <v>107</v>
      </c>
      <c r="AA112" s="6">
        <v>26.43924395307279</v>
      </c>
      <c r="AB112" s="6">
        <v>0</v>
      </c>
      <c r="AC112" s="6"/>
      <c r="AD112" s="6">
        <f t="shared" ca="1" si="94"/>
        <v>-2.0833333333333339</v>
      </c>
      <c r="AE112" s="6"/>
      <c r="AF112" s="6">
        <f t="shared" ca="1" si="95"/>
        <v>0</v>
      </c>
      <c r="AG112" s="6">
        <f t="shared" ca="1" si="96"/>
        <v>0</v>
      </c>
      <c r="AH112" s="6">
        <f t="shared" si="104"/>
        <v>0</v>
      </c>
      <c r="AI112" s="6">
        <f t="shared" si="97"/>
        <v>97.054185487374667</v>
      </c>
      <c r="AJ112">
        <f t="shared" si="98"/>
        <v>1160</v>
      </c>
      <c r="AK112">
        <f t="shared" si="99"/>
        <v>0</v>
      </c>
      <c r="AL112">
        <f t="shared" si="100"/>
        <v>0</v>
      </c>
      <c r="AM112">
        <f t="shared" si="101"/>
        <v>6.5328729911318977</v>
      </c>
      <c r="AN112">
        <f t="shared" si="102"/>
        <v>7.4281145376677937</v>
      </c>
      <c r="AO112" s="16">
        <f t="shared" si="103"/>
        <v>0</v>
      </c>
    </row>
    <row r="113" spans="23:41" x14ac:dyDescent="0.25">
      <c r="W113" s="6" t="str">
        <f t="shared" ca="1" si="91"/>
        <v>no</v>
      </c>
      <c r="X113" s="6" t="str">
        <f t="shared" ca="1" si="92"/>
        <v>N/A</v>
      </c>
      <c r="Y113" s="6">
        <f t="shared" ca="1" si="93"/>
        <v>0</v>
      </c>
      <c r="Z113" s="11">
        <v>108</v>
      </c>
      <c r="AA113" s="6">
        <v>25.317196508269607</v>
      </c>
      <c r="AB113" s="6">
        <v>0</v>
      </c>
      <c r="AC113" s="6"/>
      <c r="AD113" s="6">
        <f t="shared" ca="1" si="94"/>
        <v>-2.0833333333333339</v>
      </c>
      <c r="AE113" s="6"/>
      <c r="AF113" s="6">
        <f t="shared" ca="1" si="95"/>
        <v>0</v>
      </c>
      <c r="AG113" s="6">
        <f t="shared" ca="1" si="96"/>
        <v>0</v>
      </c>
      <c r="AH113" s="6">
        <f t="shared" si="104"/>
        <v>0</v>
      </c>
      <c r="AI113" s="6">
        <f t="shared" si="97"/>
        <v>94.361271619847031</v>
      </c>
      <c r="AJ113">
        <f t="shared" si="98"/>
        <v>1160</v>
      </c>
      <c r="AK113">
        <f t="shared" si="99"/>
        <v>0</v>
      </c>
      <c r="AL113">
        <f t="shared" si="100"/>
        <v>0</v>
      </c>
      <c r="AM113">
        <f t="shared" si="101"/>
        <v>6.3516086367480842</v>
      </c>
      <c r="AN113">
        <f t="shared" si="102"/>
        <v>7.4187673961991116</v>
      </c>
      <c r="AO113" s="16">
        <f t="shared" si="103"/>
        <v>0</v>
      </c>
    </row>
    <row r="114" spans="23:41" x14ac:dyDescent="0.25">
      <c r="W114" s="6" t="str">
        <f t="shared" ca="1" si="91"/>
        <v>no</v>
      </c>
      <c r="X114" s="6" t="str">
        <f t="shared" ca="1" si="92"/>
        <v>N/A</v>
      </c>
      <c r="Y114" s="6">
        <f t="shared" ca="1" si="93"/>
        <v>0</v>
      </c>
      <c r="Z114" s="11">
        <v>109</v>
      </c>
      <c r="AA114" s="6">
        <v>17.063239960458159</v>
      </c>
      <c r="AB114" s="6">
        <v>0</v>
      </c>
      <c r="AC114" s="6"/>
      <c r="AD114" s="6">
        <f t="shared" ca="1" si="94"/>
        <v>-2.0833333333333339</v>
      </c>
      <c r="AE114" s="6"/>
      <c r="AF114" s="6">
        <f t="shared" ca="1" si="95"/>
        <v>0</v>
      </c>
      <c r="AG114" s="6">
        <f t="shared" ca="1" si="96"/>
        <v>0</v>
      </c>
      <c r="AH114" s="6">
        <f t="shared" si="104"/>
        <v>0</v>
      </c>
      <c r="AI114" s="6">
        <f t="shared" si="97"/>
        <v>74.551775905099589</v>
      </c>
      <c r="AJ114">
        <f t="shared" si="98"/>
        <v>1160</v>
      </c>
      <c r="AK114">
        <f t="shared" si="99"/>
        <v>0</v>
      </c>
      <c r="AL114">
        <f t="shared" si="100"/>
        <v>0</v>
      </c>
      <c r="AM114">
        <f t="shared" si="101"/>
        <v>5.01819968717062</v>
      </c>
      <c r="AN114">
        <f t="shared" si="102"/>
        <v>7.3500083611992304</v>
      </c>
      <c r="AO114" s="16">
        <f t="shared" si="103"/>
        <v>0</v>
      </c>
    </row>
    <row r="115" spans="23:41" x14ac:dyDescent="0.25">
      <c r="W115" s="6" t="str">
        <f t="shared" ca="1" si="91"/>
        <v>no</v>
      </c>
      <c r="X115" s="6" t="str">
        <f t="shared" ca="1" si="92"/>
        <v>N/A</v>
      </c>
      <c r="Y115" s="6">
        <f t="shared" ca="1" si="93"/>
        <v>0</v>
      </c>
      <c r="Z115" s="11">
        <v>110</v>
      </c>
      <c r="AA115" s="6">
        <v>21.577140893105863</v>
      </c>
      <c r="AB115" s="6">
        <v>0</v>
      </c>
      <c r="AC115" s="6"/>
      <c r="AD115" s="6">
        <f t="shared" ca="1" si="94"/>
        <v>-2.0833333333333339</v>
      </c>
      <c r="AE115" s="6"/>
      <c r="AF115" s="6">
        <f t="shared" ca="1" si="95"/>
        <v>0</v>
      </c>
      <c r="AG115" s="6">
        <f t="shared" ca="1" si="96"/>
        <v>0</v>
      </c>
      <c r="AH115" s="6">
        <f t="shared" si="104"/>
        <v>0</v>
      </c>
      <c r="AI115" s="6">
        <f t="shared" si="97"/>
        <v>85.385138143454057</v>
      </c>
      <c r="AJ115">
        <f t="shared" si="98"/>
        <v>1160</v>
      </c>
      <c r="AK115">
        <f t="shared" si="99"/>
        <v>0</v>
      </c>
      <c r="AL115">
        <f t="shared" si="100"/>
        <v>0</v>
      </c>
      <c r="AM115">
        <f t="shared" si="101"/>
        <v>5.7474106863119259</v>
      </c>
      <c r="AN115">
        <f t="shared" si="102"/>
        <v>7.3876111121243264</v>
      </c>
      <c r="AO115" s="16">
        <f t="shared" si="103"/>
        <v>0</v>
      </c>
    </row>
    <row r="116" spans="23:41" x14ac:dyDescent="0.25">
      <c r="W116" s="6" t="str">
        <f t="shared" ca="1" si="91"/>
        <v>no</v>
      </c>
      <c r="X116" s="6" t="str">
        <f t="shared" ca="1" si="92"/>
        <v>N/A</v>
      </c>
      <c r="Y116" s="6">
        <f t="shared" ca="1" si="93"/>
        <v>0</v>
      </c>
      <c r="Z116" s="11">
        <v>111</v>
      </c>
      <c r="AA116" s="6">
        <v>18.058766253696533</v>
      </c>
      <c r="AB116" s="6">
        <v>0</v>
      </c>
      <c r="AC116" s="6"/>
      <c r="AD116" s="6">
        <f t="shared" ca="1" si="94"/>
        <v>-2.0833333333333339</v>
      </c>
      <c r="AE116" s="6"/>
      <c r="AF116" s="6">
        <f t="shared" ca="1" si="95"/>
        <v>0</v>
      </c>
      <c r="AG116" s="6">
        <f t="shared" ca="1" si="96"/>
        <v>0</v>
      </c>
      <c r="AH116" s="6">
        <f t="shared" si="104"/>
        <v>0</v>
      </c>
      <c r="AI116" s="6">
        <f t="shared" si="97"/>
        <v>76.94103900887167</v>
      </c>
      <c r="AJ116">
        <f t="shared" si="98"/>
        <v>1160</v>
      </c>
      <c r="AK116">
        <f t="shared" si="99"/>
        <v>0</v>
      </c>
      <c r="AL116">
        <f t="shared" si="100"/>
        <v>0</v>
      </c>
      <c r="AM116">
        <f t="shared" si="101"/>
        <v>5.1790248213053145</v>
      </c>
      <c r="AN116">
        <f t="shared" si="102"/>
        <v>7.3583015266458345</v>
      </c>
      <c r="AO116" s="16">
        <f t="shared" si="103"/>
        <v>0</v>
      </c>
    </row>
    <row r="117" spans="23:41" x14ac:dyDescent="0.25">
      <c r="W117" s="6" t="str">
        <f t="shared" ca="1" si="91"/>
        <v>no</v>
      </c>
      <c r="X117" s="6" t="str">
        <f t="shared" ca="1" si="92"/>
        <v>N/A</v>
      </c>
      <c r="Y117" s="6">
        <f t="shared" ca="1" si="93"/>
        <v>0</v>
      </c>
      <c r="Z117" s="11">
        <v>112</v>
      </c>
      <c r="AA117" s="6">
        <v>16.10817538728373</v>
      </c>
      <c r="AB117" s="6">
        <v>0</v>
      </c>
      <c r="AC117" s="6"/>
      <c r="AD117" s="6">
        <f t="shared" ca="1" si="94"/>
        <v>-2.0833333333333339</v>
      </c>
      <c r="AE117" s="6"/>
      <c r="AF117" s="6">
        <f t="shared" ca="1" si="95"/>
        <v>0</v>
      </c>
      <c r="AG117" s="6">
        <f t="shared" ca="1" si="96"/>
        <v>0</v>
      </c>
      <c r="AH117" s="6">
        <f t="shared" si="104"/>
        <v>0</v>
      </c>
      <c r="AI117" s="6">
        <f t="shared" si="97"/>
        <v>72.259620929480931</v>
      </c>
      <c r="AJ117">
        <f t="shared" si="98"/>
        <v>1160</v>
      </c>
      <c r="AK117">
        <f t="shared" si="99"/>
        <v>0</v>
      </c>
      <c r="AL117">
        <f t="shared" si="100"/>
        <v>0</v>
      </c>
      <c r="AM117">
        <f t="shared" si="101"/>
        <v>4.8639110569944837</v>
      </c>
      <c r="AN117">
        <f t="shared" si="102"/>
        <v>7.3420522594153583</v>
      </c>
      <c r="AO117" s="16">
        <f t="shared" si="103"/>
        <v>0</v>
      </c>
    </row>
    <row r="118" spans="23:41" x14ac:dyDescent="0.25">
      <c r="W118" s="6" t="str">
        <f t="shared" ca="1" si="91"/>
        <v>no</v>
      </c>
      <c r="X118" s="6" t="str">
        <f t="shared" ca="1" si="92"/>
        <v>N/A</v>
      </c>
      <c r="Y118" s="6">
        <f t="shared" ca="1" si="93"/>
        <v>0</v>
      </c>
      <c r="Z118" s="11">
        <v>113</v>
      </c>
      <c r="AA118" s="6">
        <v>20.525718832204639</v>
      </c>
      <c r="AB118" s="6">
        <v>0</v>
      </c>
      <c r="AC118" s="6"/>
      <c r="AD118" s="6">
        <f t="shared" ca="1" si="94"/>
        <v>-2.0833333333333339</v>
      </c>
      <c r="AE118" s="6"/>
      <c r="AF118" s="6">
        <f t="shared" ca="1" si="95"/>
        <v>0</v>
      </c>
      <c r="AG118" s="6">
        <f t="shared" ca="1" si="96"/>
        <v>0</v>
      </c>
      <c r="AH118" s="6">
        <f t="shared" si="104"/>
        <v>0</v>
      </c>
      <c r="AI118" s="6">
        <f t="shared" si="97"/>
        <v>82.861725197291122</v>
      </c>
      <c r="AJ118">
        <f t="shared" si="98"/>
        <v>1160</v>
      </c>
      <c r="AK118">
        <f t="shared" si="99"/>
        <v>0</v>
      </c>
      <c r="AL118">
        <f t="shared" si="100"/>
        <v>0</v>
      </c>
      <c r="AM118">
        <f t="shared" si="101"/>
        <v>5.5775557109836864</v>
      </c>
      <c r="AN118">
        <f t="shared" si="102"/>
        <v>7.3788523107099522</v>
      </c>
      <c r="AO118" s="16">
        <f t="shared" si="103"/>
        <v>0</v>
      </c>
    </row>
    <row r="119" spans="23:41" x14ac:dyDescent="0.25">
      <c r="W119" s="6" t="str">
        <f t="shared" ca="1" si="91"/>
        <v>no</v>
      </c>
      <c r="X119" s="6" t="str">
        <f t="shared" ca="1" si="92"/>
        <v>N/A</v>
      </c>
      <c r="Y119" s="6">
        <f t="shared" ca="1" si="93"/>
        <v>0</v>
      </c>
      <c r="Z119" s="11">
        <v>114</v>
      </c>
      <c r="AA119" s="6">
        <v>16.612144518196786</v>
      </c>
      <c r="AB119" s="6">
        <v>0</v>
      </c>
      <c r="AC119" s="6"/>
      <c r="AD119" s="6">
        <f t="shared" ca="1" si="94"/>
        <v>-2.0833333333333339</v>
      </c>
      <c r="AE119" s="6"/>
      <c r="AF119" s="6">
        <f t="shared" ca="1" si="95"/>
        <v>0</v>
      </c>
      <c r="AG119" s="6">
        <f t="shared" ca="1" si="96"/>
        <v>0</v>
      </c>
      <c r="AH119" s="6">
        <f t="shared" si="104"/>
        <v>0</v>
      </c>
      <c r="AI119" s="6">
        <f t="shared" si="97"/>
        <v>73.469146843672291</v>
      </c>
      <c r="AJ119">
        <f t="shared" si="98"/>
        <v>1160</v>
      </c>
      <c r="AK119">
        <f t="shared" si="99"/>
        <v>0</v>
      </c>
      <c r="AL119">
        <f t="shared" si="100"/>
        <v>0</v>
      </c>
      <c r="AM119">
        <f t="shared" si="101"/>
        <v>4.9453261874931336</v>
      </c>
      <c r="AN119">
        <f t="shared" si="102"/>
        <v>7.3462505406772696</v>
      </c>
      <c r="AO119" s="16">
        <f t="shared" si="103"/>
        <v>0</v>
      </c>
    </row>
    <row r="120" spans="23:41" x14ac:dyDescent="0.25">
      <c r="W120" s="6" t="str">
        <f t="shared" ca="1" si="91"/>
        <v>no</v>
      </c>
      <c r="X120" s="6" t="str">
        <f t="shared" ca="1" si="92"/>
        <v>N/A</v>
      </c>
      <c r="Y120" s="6">
        <f t="shared" ca="1" si="93"/>
        <v>0</v>
      </c>
      <c r="Z120" s="11">
        <v>115</v>
      </c>
      <c r="AA120" s="6">
        <v>13.368712138854487</v>
      </c>
      <c r="AB120" s="6">
        <v>0</v>
      </c>
      <c r="AC120" s="6"/>
      <c r="AD120" s="6">
        <f t="shared" ca="1" si="94"/>
        <v>-2.0833333333333339</v>
      </c>
      <c r="AE120" s="6"/>
      <c r="AF120" s="6">
        <f t="shared" ca="1" si="95"/>
        <v>0</v>
      </c>
      <c r="AG120" s="6">
        <f t="shared" ca="1" si="96"/>
        <v>0</v>
      </c>
      <c r="AH120" s="6">
        <f t="shared" si="104"/>
        <v>0</v>
      </c>
      <c r="AI120" s="6">
        <f t="shared" si="97"/>
        <v>65.68490913325077</v>
      </c>
      <c r="AJ120">
        <f t="shared" si="98"/>
        <v>1160</v>
      </c>
      <c r="AK120">
        <f t="shared" si="99"/>
        <v>0</v>
      </c>
      <c r="AL120">
        <f t="shared" si="100"/>
        <v>0</v>
      </c>
      <c r="AM120">
        <f t="shared" si="101"/>
        <v>4.4213566539836444</v>
      </c>
      <c r="AN120">
        <f t="shared" si="102"/>
        <v>7.319231343374847</v>
      </c>
      <c r="AO120" s="16">
        <f t="shared" si="103"/>
        <v>0</v>
      </c>
    </row>
    <row r="121" spans="23:41" x14ac:dyDescent="0.25">
      <c r="W121" s="6" t="str">
        <f t="shared" ca="1" si="91"/>
        <v>no</v>
      </c>
      <c r="X121" s="6" t="str">
        <f t="shared" ca="1" si="92"/>
        <v>N/A</v>
      </c>
      <c r="Y121" s="6">
        <f t="shared" ca="1" si="93"/>
        <v>0</v>
      </c>
      <c r="Z121" s="11">
        <v>116</v>
      </c>
      <c r="AA121" s="6">
        <v>17.297316558375599</v>
      </c>
      <c r="AB121" s="6">
        <v>0</v>
      </c>
      <c r="AC121" s="6"/>
      <c r="AD121" s="6">
        <f t="shared" ca="1" si="94"/>
        <v>-2.0833333333333339</v>
      </c>
      <c r="AE121" s="6"/>
      <c r="AF121" s="6">
        <f t="shared" ca="1" si="95"/>
        <v>0</v>
      </c>
      <c r="AG121" s="6">
        <f t="shared" ca="1" si="96"/>
        <v>0</v>
      </c>
      <c r="AH121" s="6">
        <f t="shared" si="104"/>
        <v>0</v>
      </c>
      <c r="AI121" s="6">
        <f t="shared" si="97"/>
        <v>75.113559740101422</v>
      </c>
      <c r="AJ121">
        <f t="shared" si="98"/>
        <v>1160</v>
      </c>
      <c r="AK121">
        <f t="shared" si="99"/>
        <v>0</v>
      </c>
      <c r="AL121">
        <f t="shared" si="100"/>
        <v>0</v>
      </c>
      <c r="AM121">
        <f t="shared" si="101"/>
        <v>5.0560142587329704</v>
      </c>
      <c r="AN121">
        <f t="shared" si="102"/>
        <v>7.351958320699941</v>
      </c>
      <c r="AO121" s="16">
        <f t="shared" si="103"/>
        <v>0</v>
      </c>
    </row>
    <row r="122" spans="23:41" x14ac:dyDescent="0.25">
      <c r="W122" s="6" t="str">
        <f t="shared" ca="1" si="91"/>
        <v>no</v>
      </c>
      <c r="X122" s="6" t="str">
        <f t="shared" ca="1" si="92"/>
        <v>N/A</v>
      </c>
      <c r="Y122" s="6">
        <f t="shared" ca="1" si="93"/>
        <v>0</v>
      </c>
      <c r="Z122" s="11">
        <v>117</v>
      </c>
      <c r="AA122" s="6">
        <v>18.400621130573668</v>
      </c>
      <c r="AB122" s="6">
        <v>0</v>
      </c>
      <c r="AC122" s="6"/>
      <c r="AD122" s="6">
        <f t="shared" ca="1" si="94"/>
        <v>-2.0833333333333339</v>
      </c>
      <c r="AE122" s="6"/>
      <c r="AF122" s="6">
        <f t="shared" ca="1" si="95"/>
        <v>0</v>
      </c>
      <c r="AG122" s="6">
        <f t="shared" ca="1" si="96"/>
        <v>0</v>
      </c>
      <c r="AH122" s="6">
        <f t="shared" si="104"/>
        <v>0</v>
      </c>
      <c r="AI122" s="6">
        <f t="shared" si="97"/>
        <v>77.761490713376801</v>
      </c>
      <c r="AJ122">
        <f t="shared" si="98"/>
        <v>1160</v>
      </c>
      <c r="AK122">
        <f t="shared" si="99"/>
        <v>0</v>
      </c>
      <c r="AL122">
        <f t="shared" si="100"/>
        <v>0</v>
      </c>
      <c r="AM122">
        <f t="shared" si="101"/>
        <v>5.2342507423098956</v>
      </c>
      <c r="AN122">
        <f t="shared" si="102"/>
        <v>7.3611493259173617</v>
      </c>
      <c r="AO122" s="16">
        <f t="shared" si="103"/>
        <v>0</v>
      </c>
    </row>
    <row r="123" spans="23:41" x14ac:dyDescent="0.25">
      <c r="W123" s="6" t="str">
        <f t="shared" ca="1" si="91"/>
        <v>no</v>
      </c>
      <c r="X123" s="6" t="str">
        <f t="shared" ca="1" si="92"/>
        <v>N/A</v>
      </c>
      <c r="Y123" s="6">
        <f t="shared" ca="1" si="93"/>
        <v>0</v>
      </c>
      <c r="Z123" s="11">
        <v>118</v>
      </c>
      <c r="AA123" s="6">
        <v>16.782201721122647</v>
      </c>
      <c r="AB123" s="6">
        <v>0</v>
      </c>
      <c r="AC123" s="6"/>
      <c r="AD123" s="6">
        <f t="shared" ca="1" si="94"/>
        <v>-2.0833333333333339</v>
      </c>
      <c r="AE123" s="6"/>
      <c r="AF123" s="6">
        <f t="shared" ca="1" si="95"/>
        <v>0</v>
      </c>
      <c r="AG123" s="6">
        <f t="shared" ca="1" si="96"/>
        <v>0</v>
      </c>
      <c r="AH123" s="6">
        <f t="shared" si="104"/>
        <v>0</v>
      </c>
      <c r="AI123" s="6">
        <f t="shared" si="97"/>
        <v>73.877284130694335</v>
      </c>
      <c r="AJ123">
        <f t="shared" si="98"/>
        <v>1160</v>
      </c>
      <c r="AK123">
        <f t="shared" si="99"/>
        <v>0</v>
      </c>
      <c r="AL123">
        <f t="shared" si="100"/>
        <v>0</v>
      </c>
      <c r="AM123">
        <f t="shared" si="101"/>
        <v>4.9727985633177401</v>
      </c>
      <c r="AN123">
        <f t="shared" si="102"/>
        <v>7.3476671908740849</v>
      </c>
      <c r="AO123" s="16">
        <f t="shared" si="103"/>
        <v>0</v>
      </c>
    </row>
    <row r="124" spans="23:41" x14ac:dyDescent="0.25">
      <c r="W124" s="6" t="str">
        <f t="shared" ca="1" si="91"/>
        <v>no</v>
      </c>
      <c r="X124" s="6" t="str">
        <f t="shared" ca="1" si="92"/>
        <v>N/A</v>
      </c>
      <c r="Y124" s="6">
        <f t="shared" ca="1" si="93"/>
        <v>0</v>
      </c>
      <c r="Z124" s="11">
        <v>119</v>
      </c>
      <c r="AA124" s="6">
        <v>14.646701985160602</v>
      </c>
      <c r="AB124" s="6">
        <v>0</v>
      </c>
      <c r="AC124" s="6"/>
      <c r="AD124" s="6">
        <f t="shared" ca="1" si="94"/>
        <v>-2.0833333333333339</v>
      </c>
      <c r="AE124" s="6"/>
      <c r="AF124" s="6">
        <f t="shared" ca="1" si="95"/>
        <v>0</v>
      </c>
      <c r="AG124" s="6">
        <f t="shared" ca="1" si="96"/>
        <v>0</v>
      </c>
      <c r="AH124" s="6">
        <f t="shared" si="104"/>
        <v>0</v>
      </c>
      <c r="AI124" s="6">
        <f t="shared" si="97"/>
        <v>68.75208476438543</v>
      </c>
      <c r="AJ124">
        <f t="shared" si="98"/>
        <v>1160</v>
      </c>
      <c r="AK124">
        <f t="shared" si="99"/>
        <v>0</v>
      </c>
      <c r="AL124">
        <f t="shared" si="100"/>
        <v>0</v>
      </c>
      <c r="AM124">
        <f t="shared" si="101"/>
        <v>4.6278131683428745</v>
      </c>
      <c r="AN124">
        <f t="shared" si="102"/>
        <v>7.3298775526276634</v>
      </c>
      <c r="AO124" s="16">
        <f t="shared" si="103"/>
        <v>0</v>
      </c>
    </row>
    <row r="125" spans="23:41" x14ac:dyDescent="0.25">
      <c r="W125" s="6" t="str">
        <f t="shared" ca="1" si="91"/>
        <v>no</v>
      </c>
      <c r="X125" s="6" t="str">
        <f t="shared" ca="1" si="92"/>
        <v>N/A</v>
      </c>
      <c r="Y125" s="6">
        <f t="shared" ca="1" si="93"/>
        <v>0</v>
      </c>
      <c r="Z125" s="11">
        <v>120</v>
      </c>
      <c r="AA125" s="6">
        <v>19.7</v>
      </c>
      <c r="AB125" s="6">
        <v>0</v>
      </c>
      <c r="AC125" s="6"/>
      <c r="AD125" s="6">
        <f t="shared" ca="1" si="94"/>
        <v>-2.0833333333333339</v>
      </c>
      <c r="AE125" s="6"/>
      <c r="AF125" s="6">
        <f t="shared" ca="1" si="95"/>
        <v>0</v>
      </c>
      <c r="AG125" s="6">
        <f t="shared" ca="1" si="96"/>
        <v>0</v>
      </c>
      <c r="AH125" s="6">
        <f t="shared" si="104"/>
        <v>0</v>
      </c>
      <c r="AI125" s="6">
        <f t="shared" si="97"/>
        <v>80.88</v>
      </c>
      <c r="AJ125">
        <f t="shared" si="98"/>
        <v>1160</v>
      </c>
      <c r="AK125">
        <f t="shared" si="99"/>
        <v>0</v>
      </c>
      <c r="AL125">
        <f t="shared" si="100"/>
        <v>0</v>
      </c>
      <c r="AM125">
        <f t="shared" si="101"/>
        <v>5.4441626074074074</v>
      </c>
      <c r="AN125">
        <f t="shared" si="102"/>
        <v>7.3719737150019737</v>
      </c>
      <c r="AO125" s="16">
        <f t="shared" si="10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2016-11-30T04:11:28Z</dcterms:created>
  <dcterms:modified xsi:type="dcterms:W3CDTF">2017-02-27T03:13:30Z</dcterms:modified>
</cp:coreProperties>
</file>